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8_{4A19E68C-C17C-4CBD-8F2D-0ECCC6E432F6}" xr6:coauthVersionLast="47" xr6:coauthVersionMax="47" xr10:uidLastSave="{00000000-0000-0000-0000-000000000000}"/>
  <bookViews>
    <workbookView xWindow="-110" yWindow="-110" windowWidth="19420" windowHeight="10420" firstSheet="6" activeTab="10" xr2:uid="{00000000-000D-0000-FFFF-FFFF00000000}"/>
  </bookViews>
  <sheets>
    <sheet name="はじめに" sheetId="54" r:id="rId1"/>
    <sheet name="様式1-1（計画表紙）" sheetId="55" r:id="rId2"/>
    <sheet name="様式1-2（計画排出量）" sheetId="56" r:id="rId3"/>
    <sheet name="様式1-3(計画措置）" sheetId="57" r:id="rId4"/>
    <sheet name="様式1-4（計画代替）" sheetId="58" r:id="rId5"/>
    <sheet name="様式1-5(計画事業場）" sheetId="59" r:id="rId6"/>
    <sheet name="様式2-1（実績表紙）" sheetId="60" r:id="rId7"/>
    <sheet name="様式2-2(実績排出量）" sheetId="61" r:id="rId8"/>
    <sheet name="様式2-3（実績措置）" sheetId="62" r:id="rId9"/>
    <sheet name="様式2-4（実績代替）" sheetId="63" r:id="rId10"/>
    <sheet name="様式2-5（実績事業場）" sheetId="64" r:id="rId11"/>
    <sheet name="排出係数(2017)" sheetId="67" r:id="rId12"/>
    <sheet name="排出係数" sheetId="65" state="hidden" r:id="rId13"/>
    <sheet name="産業分類表" sheetId="66" r:id="rId14"/>
  </sheets>
  <definedNames>
    <definedName name="_xlnm._FilterDatabase" localSheetId="11" hidden="1">'排出係数(2017)'!$A$3:$AO$3</definedName>
    <definedName name="Jナンバー分類" localSheetId="11">#REF!</definedName>
    <definedName name="Jナンバー分類">'様式2-2(実績排出量）'!$CA$17:$CA$22</definedName>
    <definedName name="Jバス" localSheetId="11">#REF!</definedName>
    <definedName name="Jバス">'様式2-2(実績排出量）'!$CD$17:$CD$18</definedName>
    <definedName name="J車種重量" localSheetId="11">#REF!</definedName>
    <definedName name="J車種重量">'様式2-2(実績排出量）'!$AH$16:$AH$515</definedName>
    <definedName name="J小型貨物" localSheetId="11">#REF!</definedName>
    <definedName name="J小型貨物">'様式2-2(実績排出量）'!$CC$17</definedName>
    <definedName name="J乗用" localSheetId="11">#REF!</definedName>
    <definedName name="J乗用">'様式2-2(実績排出量）'!$CF$17</definedName>
    <definedName name="J特殊" localSheetId="11">#REF!</definedName>
    <definedName name="J特殊">'様式2-2(実績排出量）'!$CG$17</definedName>
    <definedName name="J特種" localSheetId="11">#REF!</definedName>
    <definedName name="J特種">'様式2-2(実績排出量）'!$CE$17:$CE$18</definedName>
    <definedName name="J普通貨物" localSheetId="11">#REF!</definedName>
    <definedName name="J普通貨物">'様式2-2(実績排出量）'!$CB$17</definedName>
    <definedName name="_xlnm.Print_Area" localSheetId="11">'排出係数(2017)'!$T$2:$AB$1136,'排出係数(2017)'!$AD$3:$AI$44</definedName>
    <definedName name="_xlnm.Print_Area" localSheetId="1">'様式1-1（計画表紙）'!$A$1:$X$32</definedName>
    <definedName name="_xlnm.Print_Area" localSheetId="2">'様式1-2（計画排出量）'!$A$1:$S$515</definedName>
    <definedName name="_xlnm.Print_Area" localSheetId="6">'様式2-1（実績表紙）'!$A$1:$X$32</definedName>
    <definedName name="_xlnm.Print_Area" localSheetId="7">'様式2-2(実績排出量）'!$A$1:$T$515</definedName>
    <definedName name="_xlnm.Print_Area" localSheetId="9">'様式2-4（実績代替）'!$A$1:$Y$25</definedName>
    <definedName name="_xlnm.Print_Area" localSheetId="10">'様式2-5（実績事業場）'!$A$1:$AH$29</definedName>
    <definedName name="ナンバー分類" localSheetId="11">#REF!</definedName>
    <definedName name="ナンバー分類">'様式1-2（計画排出量）'!$BW$17:$BW$22</definedName>
    <definedName name="バス" localSheetId="11">#REF!</definedName>
    <definedName name="バス">'様式1-2（計画排出量）'!$BZ$17:$BZ$18</definedName>
    <definedName name="車種重量" localSheetId="11">#REF!</definedName>
    <definedName name="車種重量">'様式1-2（計画排出量）'!$AE$16:$AE$515</definedName>
    <definedName name="小型貨物" localSheetId="11">#REF!</definedName>
    <definedName name="小型貨物">'様式1-2（計画排出量）'!$BY$17</definedName>
    <definedName name="乗用" localSheetId="11">#REF!</definedName>
    <definedName name="乗用">'様式1-2（計画排出量）'!$CB$17</definedName>
    <definedName name="特殊" localSheetId="11">#REF!</definedName>
    <definedName name="特殊">'様式1-2（計画排出量）'!$CC$17</definedName>
    <definedName name="特種" localSheetId="11">#REF!</definedName>
    <definedName name="特種">'様式1-2（計画排出量）'!$CA$17:$CA$18</definedName>
    <definedName name="排出係数表" localSheetId="11">'排出係数(2017)'!$A$4:$I$1149</definedName>
    <definedName name="排出係数表">排出係数!$A$4:$I$1039</definedName>
    <definedName name="普通貨物" localSheetId="11">#REF!</definedName>
    <definedName name="普通貨物">'様式1-2（計画排出量）'!$BX$17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K515" i="61" l="1"/>
  <c r="CK514" i="61"/>
  <c r="CK513" i="61"/>
  <c r="CK512" i="61"/>
  <c r="CK511" i="61"/>
  <c r="CK510" i="61"/>
  <c r="CK509" i="61"/>
  <c r="CK508" i="61"/>
  <c r="CK507" i="61"/>
  <c r="CK506" i="61"/>
  <c r="CK505" i="61"/>
  <c r="CK504" i="61"/>
  <c r="CK503" i="61"/>
  <c r="CK502" i="61"/>
  <c r="CK501" i="61"/>
  <c r="CK500" i="61"/>
  <c r="CK499" i="61"/>
  <c r="CK498" i="61"/>
  <c r="CK497" i="61"/>
  <c r="CK496" i="61"/>
  <c r="CK495" i="61"/>
  <c r="CK494" i="61"/>
  <c r="CK493" i="61"/>
  <c r="CK492" i="61"/>
  <c r="CK491" i="61"/>
  <c r="CK490" i="61"/>
  <c r="CK489" i="61"/>
  <c r="CK488" i="61"/>
  <c r="CK487" i="61"/>
  <c r="CK486" i="61"/>
  <c r="CK485" i="61"/>
  <c r="CK484" i="61"/>
  <c r="CK483" i="61"/>
  <c r="CK482" i="61"/>
  <c r="CK481" i="61"/>
  <c r="CK480" i="61"/>
  <c r="CK479" i="61"/>
  <c r="CK478" i="61"/>
  <c r="CK477" i="61"/>
  <c r="CK476" i="61"/>
  <c r="CK475" i="61"/>
  <c r="CK474" i="61"/>
  <c r="CK473" i="61"/>
  <c r="CK472" i="61"/>
  <c r="CK471" i="61"/>
  <c r="CK470" i="61"/>
  <c r="CK469" i="61"/>
  <c r="CK468" i="61"/>
  <c r="CK467" i="61"/>
  <c r="CK466" i="61"/>
  <c r="CK465" i="61"/>
  <c r="CK464" i="61"/>
  <c r="CK463" i="61"/>
  <c r="CK462" i="61"/>
  <c r="CK461" i="61"/>
  <c r="CK460" i="61"/>
  <c r="CK459" i="61"/>
  <c r="CK458" i="61"/>
  <c r="CK457" i="61"/>
  <c r="CK456" i="61"/>
  <c r="CK455" i="61"/>
  <c r="CK454" i="61"/>
  <c r="CK453" i="61"/>
  <c r="CK452" i="61"/>
  <c r="CK451" i="61"/>
  <c r="CK450" i="61"/>
  <c r="CK449" i="61"/>
  <c r="CK448" i="61"/>
  <c r="CK447" i="61"/>
  <c r="CK446" i="61"/>
  <c r="CK445" i="61"/>
  <c r="CK444" i="61"/>
  <c r="CK443" i="61"/>
  <c r="CK442" i="61"/>
  <c r="CK441" i="61"/>
  <c r="CK440" i="61"/>
  <c r="CK439" i="61"/>
  <c r="CK438" i="61"/>
  <c r="CK437" i="61"/>
  <c r="CK436" i="61"/>
  <c r="CK435" i="61"/>
  <c r="CK434" i="61"/>
  <c r="CK433" i="61"/>
  <c r="CK432" i="61"/>
  <c r="CK431" i="61"/>
  <c r="CK430" i="61"/>
  <c r="CK429" i="61"/>
  <c r="CK428" i="61"/>
  <c r="CK427" i="61"/>
  <c r="CK426" i="61"/>
  <c r="CK425" i="61"/>
  <c r="CK424" i="61"/>
  <c r="CK423" i="61"/>
  <c r="CK422" i="61"/>
  <c r="CK421" i="61"/>
  <c r="CK420" i="61"/>
  <c r="CK419" i="61"/>
  <c r="CK418" i="61"/>
  <c r="CK417" i="61"/>
  <c r="CK416" i="61"/>
  <c r="CK415" i="61"/>
  <c r="CK414" i="61"/>
  <c r="CK413" i="61"/>
  <c r="CK412" i="61"/>
  <c r="CK411" i="61"/>
  <c r="CK410" i="61"/>
  <c r="CK409" i="61"/>
  <c r="CK408" i="61"/>
  <c r="CK407" i="61"/>
  <c r="CK406" i="61"/>
  <c r="CK405" i="61"/>
  <c r="CK404" i="61"/>
  <c r="CK403" i="61"/>
  <c r="CK402" i="61"/>
  <c r="CK401" i="61"/>
  <c r="CK400" i="61"/>
  <c r="CK399" i="61"/>
  <c r="CK398" i="61"/>
  <c r="CK397" i="61"/>
  <c r="CK396" i="61"/>
  <c r="CK395" i="61"/>
  <c r="CK394" i="61"/>
  <c r="CK393" i="61"/>
  <c r="CK392" i="61"/>
  <c r="CK391" i="61"/>
  <c r="CK390" i="61"/>
  <c r="CK389" i="61"/>
  <c r="CK388" i="61"/>
  <c r="CK387" i="61"/>
  <c r="CK386" i="61"/>
  <c r="CK385" i="61"/>
  <c r="CK384" i="61"/>
  <c r="CK383" i="61"/>
  <c r="CK382" i="61"/>
  <c r="CK381" i="61"/>
  <c r="CK380" i="61"/>
  <c r="CK379" i="61"/>
  <c r="CK378" i="61"/>
  <c r="CK377" i="61"/>
  <c r="CK376" i="61"/>
  <c r="CK375" i="61"/>
  <c r="CK374" i="61"/>
  <c r="CK373" i="61"/>
  <c r="CK372" i="61"/>
  <c r="CK371" i="61"/>
  <c r="CK370" i="61"/>
  <c r="CK369" i="61"/>
  <c r="CK368" i="61"/>
  <c r="CK367" i="61"/>
  <c r="CK366" i="61"/>
  <c r="CK365" i="61"/>
  <c r="CK364" i="61"/>
  <c r="CK363" i="61"/>
  <c r="CK362" i="61"/>
  <c r="CK361" i="61"/>
  <c r="CK360" i="61"/>
  <c r="CK359" i="61"/>
  <c r="CK358" i="61"/>
  <c r="CK357" i="61"/>
  <c r="CK356" i="61"/>
  <c r="CK355" i="61"/>
  <c r="CK354" i="61"/>
  <c r="CK353" i="61"/>
  <c r="CK352" i="61"/>
  <c r="CK351" i="61"/>
  <c r="CK350" i="61"/>
  <c r="CK349" i="61"/>
  <c r="CK348" i="61"/>
  <c r="CK347" i="61"/>
  <c r="CK346" i="61"/>
  <c r="CK345" i="61"/>
  <c r="CK344" i="61"/>
  <c r="CK343" i="61"/>
  <c r="CK342" i="61"/>
  <c r="CK341" i="61"/>
  <c r="CK340" i="61"/>
  <c r="CK339" i="61"/>
  <c r="CK338" i="61"/>
  <c r="CK337" i="61"/>
  <c r="CK336" i="61"/>
  <c r="CK335" i="61"/>
  <c r="CK334" i="61"/>
  <c r="CK333" i="61"/>
  <c r="CK332" i="61"/>
  <c r="CK331" i="61"/>
  <c r="CK330" i="61"/>
  <c r="CK329" i="61"/>
  <c r="CK328" i="61"/>
  <c r="CK327" i="61"/>
  <c r="CK326" i="61"/>
  <c r="CK325" i="61"/>
  <c r="CK324" i="61"/>
  <c r="CK323" i="61"/>
  <c r="CK322" i="61"/>
  <c r="CK321" i="61"/>
  <c r="CK320" i="61"/>
  <c r="CK319" i="61"/>
  <c r="CK318" i="61"/>
  <c r="CK317" i="61"/>
  <c r="CK316" i="61"/>
  <c r="CK315" i="61"/>
  <c r="CK314" i="61"/>
  <c r="CK313" i="61"/>
  <c r="CK312" i="61"/>
  <c r="CK311" i="61"/>
  <c r="CK310" i="61"/>
  <c r="CK309" i="61"/>
  <c r="CK308" i="61"/>
  <c r="CK307" i="61"/>
  <c r="CK306" i="61"/>
  <c r="CK305" i="61"/>
  <c r="CK304" i="61"/>
  <c r="CK303" i="61"/>
  <c r="CK302" i="61"/>
  <c r="CK301" i="61"/>
  <c r="CK300" i="61"/>
  <c r="CK299" i="61"/>
  <c r="CK298" i="61"/>
  <c r="CK297" i="61"/>
  <c r="CK296" i="61"/>
  <c r="CK295" i="61"/>
  <c r="CK294" i="61"/>
  <c r="CK293" i="61"/>
  <c r="CK292" i="61"/>
  <c r="CK291" i="61"/>
  <c r="CK290" i="61"/>
  <c r="CK289" i="61"/>
  <c r="CK288" i="61"/>
  <c r="CK287" i="61"/>
  <c r="CK286" i="61"/>
  <c r="CK285" i="61"/>
  <c r="CK284" i="61"/>
  <c r="CK283" i="61"/>
  <c r="CK282" i="61"/>
  <c r="CK281" i="61"/>
  <c r="CK280" i="61"/>
  <c r="CK279" i="61"/>
  <c r="CK278" i="61"/>
  <c r="CK277" i="61"/>
  <c r="CK276" i="61"/>
  <c r="CK275" i="61"/>
  <c r="CK274" i="61"/>
  <c r="CK273" i="61"/>
  <c r="CK272" i="61"/>
  <c r="CK271" i="61"/>
  <c r="CK270" i="61"/>
  <c r="CK269" i="61"/>
  <c r="CK268" i="61"/>
  <c r="CK267" i="61"/>
  <c r="CK266" i="61"/>
  <c r="CK265" i="61"/>
  <c r="CK264" i="61"/>
  <c r="CK263" i="61"/>
  <c r="CK262" i="61"/>
  <c r="CK261" i="61"/>
  <c r="CK260" i="61"/>
  <c r="CK259" i="61"/>
  <c r="CK258" i="61"/>
  <c r="CK257" i="61"/>
  <c r="CK256" i="61"/>
  <c r="CK255" i="61"/>
  <c r="CK254" i="61"/>
  <c r="CK253" i="61"/>
  <c r="CK252" i="61"/>
  <c r="CK251" i="61"/>
  <c r="CK250" i="61"/>
  <c r="CK249" i="61"/>
  <c r="CK248" i="61"/>
  <c r="CK247" i="61"/>
  <c r="CK246" i="61"/>
  <c r="CK245" i="61"/>
  <c r="CK244" i="61"/>
  <c r="CK243" i="61"/>
  <c r="CK242" i="61"/>
  <c r="CK241" i="61"/>
  <c r="CK240" i="61"/>
  <c r="CK239" i="61"/>
  <c r="CK238" i="61"/>
  <c r="CK237" i="61"/>
  <c r="CK236" i="61"/>
  <c r="CK235" i="61"/>
  <c r="CK234" i="61"/>
  <c r="CK233" i="61"/>
  <c r="CK232" i="61"/>
  <c r="CK231" i="61"/>
  <c r="CK230" i="61"/>
  <c r="CK229" i="61"/>
  <c r="CK228" i="61"/>
  <c r="CK227" i="61"/>
  <c r="CK226" i="61"/>
  <c r="CK225" i="61"/>
  <c r="CK224" i="61"/>
  <c r="CK223" i="61"/>
  <c r="CK222" i="61"/>
  <c r="CK221" i="61"/>
  <c r="CK220" i="61"/>
  <c r="CK219" i="61"/>
  <c r="CK218" i="61"/>
  <c r="CK217" i="61"/>
  <c r="CK216" i="61"/>
  <c r="CK215" i="61"/>
  <c r="CK214" i="61"/>
  <c r="CK213" i="61"/>
  <c r="CK212" i="61"/>
  <c r="CK211" i="61"/>
  <c r="CK210" i="61"/>
  <c r="CK209" i="61"/>
  <c r="CK208" i="61"/>
  <c r="CK207" i="61"/>
  <c r="CK206" i="61"/>
  <c r="CK205" i="61"/>
  <c r="CK204" i="61"/>
  <c r="CK203" i="61"/>
  <c r="CK202" i="61"/>
  <c r="CK201" i="61"/>
  <c r="CK200" i="61"/>
  <c r="CK199" i="61"/>
  <c r="CK198" i="61"/>
  <c r="CK197" i="61"/>
  <c r="CK196" i="61"/>
  <c r="CK195" i="61"/>
  <c r="CK194" i="61"/>
  <c r="CK193" i="61"/>
  <c r="CK192" i="61"/>
  <c r="CK191" i="61"/>
  <c r="CK190" i="61"/>
  <c r="CK189" i="61"/>
  <c r="CK188" i="61"/>
  <c r="CK187" i="61"/>
  <c r="CK186" i="61"/>
  <c r="CK185" i="61"/>
  <c r="CK184" i="61"/>
  <c r="CK183" i="61"/>
  <c r="CK182" i="61"/>
  <c r="CK181" i="61"/>
  <c r="CK180" i="61"/>
  <c r="CK179" i="61"/>
  <c r="CK178" i="61"/>
  <c r="CK177" i="61"/>
  <c r="CK176" i="61"/>
  <c r="CK175" i="61"/>
  <c r="CK174" i="61"/>
  <c r="CK173" i="61"/>
  <c r="CK172" i="61"/>
  <c r="CK171" i="61"/>
  <c r="CK170" i="61"/>
  <c r="CK169" i="61"/>
  <c r="CK168" i="61"/>
  <c r="CK167" i="61"/>
  <c r="CK166" i="61"/>
  <c r="CK165" i="61"/>
  <c r="CK164" i="61"/>
  <c r="CK163" i="61"/>
  <c r="CK162" i="61"/>
  <c r="CK161" i="61"/>
  <c r="CK160" i="61"/>
  <c r="CK159" i="61"/>
  <c r="CK158" i="61"/>
  <c r="CK157" i="61"/>
  <c r="CK156" i="61"/>
  <c r="CK155" i="61"/>
  <c r="CK154" i="61"/>
  <c r="CK153" i="61"/>
  <c r="CK152" i="61"/>
  <c r="CK151" i="61"/>
  <c r="CK150" i="61"/>
  <c r="CK149" i="61"/>
  <c r="CK148" i="61"/>
  <c r="CK147" i="61"/>
  <c r="CK146" i="61"/>
  <c r="CK145" i="61"/>
  <c r="CK144" i="61"/>
  <c r="CK143" i="61"/>
  <c r="CK142" i="61"/>
  <c r="CK141" i="61"/>
  <c r="CK140" i="61"/>
  <c r="CK139" i="61"/>
  <c r="CK138" i="61"/>
  <c r="CK137" i="61"/>
  <c r="CK136" i="61"/>
  <c r="CK135" i="61"/>
  <c r="CK134" i="61"/>
  <c r="CK133" i="61"/>
  <c r="CK132" i="61"/>
  <c r="CK131" i="61"/>
  <c r="CK130" i="61"/>
  <c r="CK129" i="61"/>
  <c r="CK128" i="61"/>
  <c r="CK127" i="61"/>
  <c r="CK126" i="61"/>
  <c r="CK125" i="61"/>
  <c r="CK124" i="61"/>
  <c r="CK123" i="61"/>
  <c r="CK122" i="61"/>
  <c r="CK121" i="61"/>
  <c r="CK120" i="61"/>
  <c r="CK119" i="61"/>
  <c r="CK118" i="61"/>
  <c r="CK117" i="61"/>
  <c r="CK116" i="61"/>
  <c r="CK115" i="61"/>
  <c r="CK114" i="61"/>
  <c r="CK113" i="61"/>
  <c r="CK112" i="61"/>
  <c r="CK111" i="61"/>
  <c r="CK110" i="61"/>
  <c r="CK109" i="61"/>
  <c r="CK108" i="61"/>
  <c r="CK107" i="61"/>
  <c r="CK106" i="61"/>
  <c r="CK105" i="61"/>
  <c r="CK104" i="61"/>
  <c r="CK103" i="61"/>
  <c r="CK102" i="61"/>
  <c r="CK101" i="61"/>
  <c r="CK100" i="61"/>
  <c r="CK99" i="61"/>
  <c r="CK98" i="61"/>
  <c r="CK97" i="61"/>
  <c r="CK96" i="61"/>
  <c r="CK95" i="61"/>
  <c r="CK94" i="61"/>
  <c r="CK93" i="61"/>
  <c r="CK92" i="61"/>
  <c r="CK91" i="61"/>
  <c r="CK90" i="61"/>
  <c r="CK89" i="61"/>
  <c r="CK88" i="61"/>
  <c r="CK87" i="61"/>
  <c r="CK86" i="61"/>
  <c r="CK85" i="61"/>
  <c r="CK84" i="61"/>
  <c r="CK83" i="61"/>
  <c r="CK82" i="61"/>
  <c r="CK81" i="61"/>
  <c r="CK80" i="61"/>
  <c r="CK79" i="61"/>
  <c r="CK78" i="61"/>
  <c r="CK77" i="61"/>
  <c r="CK76" i="61"/>
  <c r="CK75" i="61"/>
  <c r="CK74" i="61"/>
  <c r="CK73" i="61"/>
  <c r="CK72" i="61"/>
  <c r="CK71" i="61"/>
  <c r="CK70" i="61"/>
  <c r="CK69" i="61"/>
  <c r="CK68" i="61"/>
  <c r="CK67" i="61"/>
  <c r="CK66" i="61"/>
  <c r="CK65" i="61"/>
  <c r="CK64" i="61"/>
  <c r="CK63" i="61"/>
  <c r="CK62" i="61"/>
  <c r="CK61" i="61"/>
  <c r="CK60" i="61"/>
  <c r="CK59" i="61"/>
  <c r="CK58" i="61"/>
  <c r="CK57" i="61"/>
  <c r="CK56" i="61"/>
  <c r="CK55" i="61"/>
  <c r="CK54" i="61"/>
  <c r="CK53" i="61"/>
  <c r="CK52" i="61"/>
  <c r="CK51" i="61"/>
  <c r="CK50" i="61"/>
  <c r="CK49" i="61"/>
  <c r="CK48" i="61"/>
  <c r="CK47" i="61"/>
  <c r="CK46" i="61"/>
  <c r="CK45" i="61"/>
  <c r="CK44" i="61"/>
  <c r="CK43" i="61"/>
  <c r="CK42" i="61"/>
  <c r="CK41" i="61"/>
  <c r="CK40" i="61"/>
  <c r="CK39" i="61"/>
  <c r="CK38" i="61"/>
  <c r="CK37" i="61"/>
  <c r="CK36" i="61"/>
  <c r="CK35" i="61"/>
  <c r="CK34" i="61"/>
  <c r="CK33" i="61"/>
  <c r="CK32" i="61"/>
  <c r="CK31" i="61"/>
  <c r="CK30" i="61"/>
  <c r="CK29" i="61"/>
  <c r="CK28" i="61"/>
  <c r="CK27" i="61"/>
  <c r="CK26" i="61"/>
  <c r="CK25" i="61"/>
  <c r="CK24" i="61"/>
  <c r="CK23" i="61"/>
  <c r="CK22" i="61"/>
  <c r="CK21" i="61"/>
  <c r="CK20" i="61"/>
  <c r="CK19" i="61"/>
  <c r="CK18" i="61"/>
  <c r="CK17" i="61"/>
  <c r="CK16" i="61"/>
  <c r="I11" i="61"/>
  <c r="I10" i="61"/>
  <c r="Q515" i="61"/>
  <c r="S515" i="61" s="1"/>
  <c r="P515" i="61"/>
  <c r="R515" i="61" s="1"/>
  <c r="Q514" i="61"/>
  <c r="S514" i="61" s="1"/>
  <c r="P514" i="61"/>
  <c r="R514" i="61" s="1"/>
  <c r="Q513" i="61"/>
  <c r="S513" i="61" s="1"/>
  <c r="P513" i="61"/>
  <c r="R513" i="61" s="1"/>
  <c r="Q512" i="61"/>
  <c r="S512" i="61" s="1"/>
  <c r="P512" i="61"/>
  <c r="R512" i="61" s="1"/>
  <c r="Q511" i="61"/>
  <c r="S511" i="61" s="1"/>
  <c r="P511" i="61"/>
  <c r="R511" i="61" s="1"/>
  <c r="Q510" i="61"/>
  <c r="S510" i="61" s="1"/>
  <c r="P510" i="61"/>
  <c r="R510" i="61" s="1"/>
  <c r="Q509" i="61"/>
  <c r="S509" i="61" s="1"/>
  <c r="P509" i="61"/>
  <c r="R509" i="61" s="1"/>
  <c r="Q508" i="61"/>
  <c r="S508" i="61" s="1"/>
  <c r="P508" i="61"/>
  <c r="R508" i="61" s="1"/>
  <c r="Q507" i="61"/>
  <c r="S507" i="61" s="1"/>
  <c r="P507" i="61"/>
  <c r="R507" i="61" s="1"/>
  <c r="Q506" i="61"/>
  <c r="S506" i="61" s="1"/>
  <c r="P506" i="61"/>
  <c r="R506" i="61" s="1"/>
  <c r="Q505" i="61"/>
  <c r="S505" i="61" s="1"/>
  <c r="P505" i="61"/>
  <c r="R505" i="61" s="1"/>
  <c r="Q504" i="61"/>
  <c r="S504" i="61" s="1"/>
  <c r="P504" i="61"/>
  <c r="R504" i="61" s="1"/>
  <c r="Q503" i="61"/>
  <c r="S503" i="61" s="1"/>
  <c r="P503" i="61"/>
  <c r="R503" i="61" s="1"/>
  <c r="Q502" i="61"/>
  <c r="S502" i="61" s="1"/>
  <c r="P502" i="61"/>
  <c r="R502" i="61" s="1"/>
  <c r="Q501" i="61"/>
  <c r="S501" i="61" s="1"/>
  <c r="P501" i="61"/>
  <c r="R501" i="61" s="1"/>
  <c r="Q500" i="61"/>
  <c r="S500" i="61" s="1"/>
  <c r="P500" i="61"/>
  <c r="R500" i="61" s="1"/>
  <c r="Q499" i="61"/>
  <c r="S499" i="61" s="1"/>
  <c r="P499" i="61"/>
  <c r="R499" i="61" s="1"/>
  <c r="Q498" i="61"/>
  <c r="S498" i="61" s="1"/>
  <c r="P498" i="61"/>
  <c r="R498" i="61" s="1"/>
  <c r="Q497" i="61"/>
  <c r="S497" i="61" s="1"/>
  <c r="P497" i="61"/>
  <c r="R497" i="61" s="1"/>
  <c r="Q496" i="61"/>
  <c r="S496" i="61" s="1"/>
  <c r="P496" i="61"/>
  <c r="R496" i="61" s="1"/>
  <c r="Q495" i="61"/>
  <c r="S495" i="61" s="1"/>
  <c r="P495" i="61"/>
  <c r="R495" i="61" s="1"/>
  <c r="Q494" i="61"/>
  <c r="S494" i="61" s="1"/>
  <c r="P494" i="61"/>
  <c r="R494" i="61" s="1"/>
  <c r="Q493" i="61"/>
  <c r="S493" i="61" s="1"/>
  <c r="P493" i="61"/>
  <c r="R493" i="61" s="1"/>
  <c r="Q492" i="61"/>
  <c r="S492" i="61" s="1"/>
  <c r="P492" i="61"/>
  <c r="R492" i="61" s="1"/>
  <c r="Q491" i="61"/>
  <c r="S491" i="61" s="1"/>
  <c r="P491" i="61"/>
  <c r="R491" i="61" s="1"/>
  <c r="Q490" i="61"/>
  <c r="S490" i="61" s="1"/>
  <c r="P490" i="61"/>
  <c r="R490" i="61" s="1"/>
  <c r="Q489" i="61"/>
  <c r="S489" i="61" s="1"/>
  <c r="P489" i="61"/>
  <c r="R489" i="61" s="1"/>
  <c r="Q488" i="61"/>
  <c r="S488" i="61" s="1"/>
  <c r="P488" i="61"/>
  <c r="R488" i="61" s="1"/>
  <c r="Q487" i="61"/>
  <c r="S487" i="61" s="1"/>
  <c r="P487" i="61"/>
  <c r="R487" i="61" s="1"/>
  <c r="Q486" i="61"/>
  <c r="S486" i="61" s="1"/>
  <c r="P486" i="61"/>
  <c r="R486" i="61" s="1"/>
  <c r="Q485" i="61"/>
  <c r="S485" i="61" s="1"/>
  <c r="P485" i="61"/>
  <c r="R485" i="61" s="1"/>
  <c r="Q484" i="61"/>
  <c r="S484" i="61" s="1"/>
  <c r="P484" i="61"/>
  <c r="R484" i="61" s="1"/>
  <c r="Q483" i="61"/>
  <c r="S483" i="61" s="1"/>
  <c r="P483" i="61"/>
  <c r="R483" i="61" s="1"/>
  <c r="Q482" i="61"/>
  <c r="S482" i="61" s="1"/>
  <c r="P482" i="61"/>
  <c r="R482" i="61" s="1"/>
  <c r="Q481" i="61"/>
  <c r="S481" i="61" s="1"/>
  <c r="P481" i="61"/>
  <c r="R481" i="61" s="1"/>
  <c r="Q480" i="61"/>
  <c r="S480" i="61" s="1"/>
  <c r="P480" i="61"/>
  <c r="R480" i="61" s="1"/>
  <c r="Q479" i="61"/>
  <c r="S479" i="61" s="1"/>
  <c r="P479" i="61"/>
  <c r="R479" i="61" s="1"/>
  <c r="Q478" i="61"/>
  <c r="S478" i="61" s="1"/>
  <c r="P478" i="61"/>
  <c r="R478" i="61" s="1"/>
  <c r="Q477" i="61"/>
  <c r="S477" i="61" s="1"/>
  <c r="P477" i="61"/>
  <c r="R477" i="61" s="1"/>
  <c r="Q476" i="61"/>
  <c r="S476" i="61" s="1"/>
  <c r="P476" i="61"/>
  <c r="R476" i="61" s="1"/>
  <c r="Q475" i="61"/>
  <c r="S475" i="61" s="1"/>
  <c r="P475" i="61"/>
  <c r="R475" i="61" s="1"/>
  <c r="Q474" i="61"/>
  <c r="S474" i="61" s="1"/>
  <c r="P474" i="61"/>
  <c r="R474" i="61" s="1"/>
  <c r="Q473" i="61"/>
  <c r="S473" i="61" s="1"/>
  <c r="P473" i="61"/>
  <c r="R473" i="61" s="1"/>
  <c r="Q472" i="61"/>
  <c r="S472" i="61" s="1"/>
  <c r="P472" i="61"/>
  <c r="R472" i="61" s="1"/>
  <c r="Q471" i="61"/>
  <c r="S471" i="61" s="1"/>
  <c r="P471" i="61"/>
  <c r="R471" i="61" s="1"/>
  <c r="Q470" i="61"/>
  <c r="S470" i="61" s="1"/>
  <c r="P470" i="61"/>
  <c r="R470" i="61" s="1"/>
  <c r="Q469" i="61"/>
  <c r="S469" i="61" s="1"/>
  <c r="P469" i="61"/>
  <c r="R469" i="61" s="1"/>
  <c r="Q468" i="61"/>
  <c r="S468" i="61" s="1"/>
  <c r="P468" i="61"/>
  <c r="R468" i="61" s="1"/>
  <c r="Q467" i="61"/>
  <c r="S467" i="61" s="1"/>
  <c r="P467" i="61"/>
  <c r="R467" i="61" s="1"/>
  <c r="Q466" i="61"/>
  <c r="S466" i="61" s="1"/>
  <c r="P466" i="61"/>
  <c r="R466" i="61" s="1"/>
  <c r="Q465" i="61"/>
  <c r="S465" i="61" s="1"/>
  <c r="P465" i="61"/>
  <c r="R465" i="61" s="1"/>
  <c r="Q464" i="61"/>
  <c r="S464" i="61" s="1"/>
  <c r="P464" i="61"/>
  <c r="R464" i="61" s="1"/>
  <c r="Q463" i="61"/>
  <c r="S463" i="61" s="1"/>
  <c r="P463" i="61"/>
  <c r="R463" i="61" s="1"/>
  <c r="Q462" i="61"/>
  <c r="S462" i="61" s="1"/>
  <c r="P462" i="61"/>
  <c r="R462" i="61" s="1"/>
  <c r="Q461" i="61"/>
  <c r="S461" i="61" s="1"/>
  <c r="P461" i="61"/>
  <c r="R461" i="61" s="1"/>
  <c r="Q460" i="61"/>
  <c r="S460" i="61" s="1"/>
  <c r="P460" i="61"/>
  <c r="R460" i="61" s="1"/>
  <c r="Q459" i="61"/>
  <c r="S459" i="61" s="1"/>
  <c r="P459" i="61"/>
  <c r="R459" i="61" s="1"/>
  <c r="Q458" i="61"/>
  <c r="S458" i="61" s="1"/>
  <c r="P458" i="61"/>
  <c r="R458" i="61" s="1"/>
  <c r="Q457" i="61"/>
  <c r="S457" i="61" s="1"/>
  <c r="P457" i="61"/>
  <c r="R457" i="61" s="1"/>
  <c r="Q456" i="61"/>
  <c r="S456" i="61" s="1"/>
  <c r="P456" i="61"/>
  <c r="R456" i="61" s="1"/>
  <c r="Q455" i="61"/>
  <c r="S455" i="61" s="1"/>
  <c r="P455" i="61"/>
  <c r="R455" i="61" s="1"/>
  <c r="Q454" i="61"/>
  <c r="S454" i="61" s="1"/>
  <c r="P454" i="61"/>
  <c r="R454" i="61" s="1"/>
  <c r="Q453" i="61"/>
  <c r="S453" i="61" s="1"/>
  <c r="P453" i="61"/>
  <c r="R453" i="61" s="1"/>
  <c r="Q452" i="61"/>
  <c r="S452" i="61" s="1"/>
  <c r="P452" i="61"/>
  <c r="R452" i="61" s="1"/>
  <c r="Q451" i="61"/>
  <c r="S451" i="61" s="1"/>
  <c r="P451" i="61"/>
  <c r="R451" i="61" s="1"/>
  <c r="Q450" i="61"/>
  <c r="S450" i="61" s="1"/>
  <c r="P450" i="61"/>
  <c r="R450" i="61" s="1"/>
  <c r="Q449" i="61"/>
  <c r="S449" i="61" s="1"/>
  <c r="P449" i="61"/>
  <c r="R449" i="61" s="1"/>
  <c r="Q448" i="61"/>
  <c r="S448" i="61" s="1"/>
  <c r="P448" i="61"/>
  <c r="R448" i="61" s="1"/>
  <c r="Q447" i="61"/>
  <c r="S447" i="61" s="1"/>
  <c r="P447" i="61"/>
  <c r="R447" i="61" s="1"/>
  <c r="Q446" i="61"/>
  <c r="S446" i="61" s="1"/>
  <c r="P446" i="61"/>
  <c r="R446" i="61" s="1"/>
  <c r="Q445" i="61"/>
  <c r="S445" i="61" s="1"/>
  <c r="P445" i="61"/>
  <c r="R445" i="61" s="1"/>
  <c r="Q444" i="61"/>
  <c r="S444" i="61" s="1"/>
  <c r="P444" i="61"/>
  <c r="R444" i="61" s="1"/>
  <c r="Q443" i="61"/>
  <c r="S443" i="61" s="1"/>
  <c r="P443" i="61"/>
  <c r="R443" i="61" s="1"/>
  <c r="Q442" i="61"/>
  <c r="S442" i="61" s="1"/>
  <c r="P442" i="61"/>
  <c r="R442" i="61" s="1"/>
  <c r="Q441" i="61"/>
  <c r="S441" i="61" s="1"/>
  <c r="P441" i="61"/>
  <c r="R441" i="61" s="1"/>
  <c r="Q440" i="61"/>
  <c r="S440" i="61" s="1"/>
  <c r="P440" i="61"/>
  <c r="R440" i="61" s="1"/>
  <c r="Q439" i="61"/>
  <c r="S439" i="61" s="1"/>
  <c r="P439" i="61"/>
  <c r="R439" i="61" s="1"/>
  <c r="Q438" i="61"/>
  <c r="S438" i="61" s="1"/>
  <c r="P438" i="61"/>
  <c r="R438" i="61" s="1"/>
  <c r="Q437" i="61"/>
  <c r="S437" i="61" s="1"/>
  <c r="P437" i="61"/>
  <c r="R437" i="61" s="1"/>
  <c r="Q436" i="61"/>
  <c r="S436" i="61" s="1"/>
  <c r="P436" i="61"/>
  <c r="R436" i="61" s="1"/>
  <c r="Q435" i="61"/>
  <c r="S435" i="61" s="1"/>
  <c r="P435" i="61"/>
  <c r="R435" i="61" s="1"/>
  <c r="Q434" i="61"/>
  <c r="S434" i="61" s="1"/>
  <c r="P434" i="61"/>
  <c r="R434" i="61" s="1"/>
  <c r="Q433" i="61"/>
  <c r="S433" i="61" s="1"/>
  <c r="P433" i="61"/>
  <c r="R433" i="61" s="1"/>
  <c r="Q432" i="61"/>
  <c r="S432" i="61" s="1"/>
  <c r="P432" i="61"/>
  <c r="R432" i="61" s="1"/>
  <c r="Q431" i="61"/>
  <c r="S431" i="61" s="1"/>
  <c r="P431" i="61"/>
  <c r="R431" i="61" s="1"/>
  <c r="Q430" i="61"/>
  <c r="S430" i="61" s="1"/>
  <c r="P430" i="61"/>
  <c r="R430" i="61" s="1"/>
  <c r="Q429" i="61"/>
  <c r="S429" i="61" s="1"/>
  <c r="P429" i="61"/>
  <c r="R429" i="61" s="1"/>
  <c r="Q428" i="61"/>
  <c r="S428" i="61" s="1"/>
  <c r="P428" i="61"/>
  <c r="R428" i="61" s="1"/>
  <c r="Q427" i="61"/>
  <c r="S427" i="61" s="1"/>
  <c r="P427" i="61"/>
  <c r="R427" i="61" s="1"/>
  <c r="Q426" i="61"/>
  <c r="S426" i="61" s="1"/>
  <c r="P426" i="61"/>
  <c r="R426" i="61" s="1"/>
  <c r="Q425" i="61"/>
  <c r="S425" i="61" s="1"/>
  <c r="P425" i="61"/>
  <c r="R425" i="61" s="1"/>
  <c r="Q424" i="61"/>
  <c r="S424" i="61" s="1"/>
  <c r="P424" i="61"/>
  <c r="R424" i="61" s="1"/>
  <c r="Q423" i="61"/>
  <c r="S423" i="61" s="1"/>
  <c r="P423" i="61"/>
  <c r="R423" i="61" s="1"/>
  <c r="Q422" i="61"/>
  <c r="S422" i="61" s="1"/>
  <c r="P422" i="61"/>
  <c r="R422" i="61" s="1"/>
  <c r="Q421" i="61"/>
  <c r="S421" i="61" s="1"/>
  <c r="P421" i="61"/>
  <c r="R421" i="61" s="1"/>
  <c r="Q420" i="61"/>
  <c r="S420" i="61" s="1"/>
  <c r="P420" i="61"/>
  <c r="R420" i="61" s="1"/>
  <c r="Q419" i="61"/>
  <c r="S419" i="61" s="1"/>
  <c r="P419" i="61"/>
  <c r="R419" i="61" s="1"/>
  <c r="Q418" i="61"/>
  <c r="S418" i="61" s="1"/>
  <c r="P418" i="61"/>
  <c r="R418" i="61" s="1"/>
  <c r="Q417" i="61"/>
  <c r="S417" i="61" s="1"/>
  <c r="P417" i="61"/>
  <c r="R417" i="61" s="1"/>
  <c r="Q416" i="61"/>
  <c r="S416" i="61" s="1"/>
  <c r="P416" i="61"/>
  <c r="R416" i="61" s="1"/>
  <c r="Q415" i="61"/>
  <c r="S415" i="61" s="1"/>
  <c r="P415" i="61"/>
  <c r="R415" i="61" s="1"/>
  <c r="Q414" i="61"/>
  <c r="S414" i="61" s="1"/>
  <c r="P414" i="61"/>
  <c r="R414" i="61" s="1"/>
  <c r="Q413" i="61"/>
  <c r="S413" i="61" s="1"/>
  <c r="P413" i="61"/>
  <c r="R413" i="61" s="1"/>
  <c r="Q412" i="61"/>
  <c r="S412" i="61" s="1"/>
  <c r="P412" i="61"/>
  <c r="R412" i="61" s="1"/>
  <c r="Q411" i="61"/>
  <c r="S411" i="61" s="1"/>
  <c r="P411" i="61"/>
  <c r="R411" i="61" s="1"/>
  <c r="Q410" i="61"/>
  <c r="S410" i="61" s="1"/>
  <c r="P410" i="61"/>
  <c r="R410" i="61" s="1"/>
  <c r="Q409" i="61"/>
  <c r="S409" i="61" s="1"/>
  <c r="P409" i="61"/>
  <c r="R409" i="61" s="1"/>
  <c r="Q408" i="61"/>
  <c r="S408" i="61" s="1"/>
  <c r="P408" i="61"/>
  <c r="R408" i="61" s="1"/>
  <c r="Q407" i="61"/>
  <c r="S407" i="61" s="1"/>
  <c r="P407" i="61"/>
  <c r="R407" i="61" s="1"/>
  <c r="Q406" i="61"/>
  <c r="S406" i="61" s="1"/>
  <c r="P406" i="61"/>
  <c r="R406" i="61" s="1"/>
  <c r="Q405" i="61"/>
  <c r="S405" i="61" s="1"/>
  <c r="P405" i="61"/>
  <c r="R405" i="61" s="1"/>
  <c r="Q404" i="61"/>
  <c r="S404" i="61" s="1"/>
  <c r="P404" i="61"/>
  <c r="R404" i="61" s="1"/>
  <c r="Q403" i="61"/>
  <c r="S403" i="61" s="1"/>
  <c r="P403" i="61"/>
  <c r="R403" i="61" s="1"/>
  <c r="Q402" i="61"/>
  <c r="S402" i="61" s="1"/>
  <c r="P402" i="61"/>
  <c r="R402" i="61" s="1"/>
  <c r="Q401" i="61"/>
  <c r="S401" i="61" s="1"/>
  <c r="P401" i="61"/>
  <c r="R401" i="61" s="1"/>
  <c r="Q400" i="61"/>
  <c r="S400" i="61" s="1"/>
  <c r="P400" i="61"/>
  <c r="R400" i="61" s="1"/>
  <c r="Q399" i="61"/>
  <c r="S399" i="61" s="1"/>
  <c r="P399" i="61"/>
  <c r="R399" i="61" s="1"/>
  <c r="Q398" i="61"/>
  <c r="S398" i="61" s="1"/>
  <c r="P398" i="61"/>
  <c r="R398" i="61" s="1"/>
  <c r="Q397" i="61"/>
  <c r="S397" i="61" s="1"/>
  <c r="P397" i="61"/>
  <c r="R397" i="61" s="1"/>
  <c r="Q396" i="61"/>
  <c r="S396" i="61" s="1"/>
  <c r="P396" i="61"/>
  <c r="R396" i="61" s="1"/>
  <c r="Q395" i="61"/>
  <c r="S395" i="61" s="1"/>
  <c r="P395" i="61"/>
  <c r="R395" i="61" s="1"/>
  <c r="Q394" i="61"/>
  <c r="S394" i="61" s="1"/>
  <c r="P394" i="61"/>
  <c r="R394" i="61" s="1"/>
  <c r="Q393" i="61"/>
  <c r="S393" i="61" s="1"/>
  <c r="P393" i="61"/>
  <c r="R393" i="61" s="1"/>
  <c r="Q392" i="61"/>
  <c r="S392" i="61" s="1"/>
  <c r="P392" i="61"/>
  <c r="R392" i="61" s="1"/>
  <c r="Q391" i="61"/>
  <c r="S391" i="61" s="1"/>
  <c r="P391" i="61"/>
  <c r="R391" i="61" s="1"/>
  <c r="Q390" i="61"/>
  <c r="S390" i="61" s="1"/>
  <c r="P390" i="61"/>
  <c r="R390" i="61" s="1"/>
  <c r="Q389" i="61"/>
  <c r="S389" i="61" s="1"/>
  <c r="P389" i="61"/>
  <c r="R389" i="61" s="1"/>
  <c r="Q388" i="61"/>
  <c r="S388" i="61" s="1"/>
  <c r="P388" i="61"/>
  <c r="R388" i="61" s="1"/>
  <c r="Q387" i="61"/>
  <c r="S387" i="61" s="1"/>
  <c r="P387" i="61"/>
  <c r="R387" i="61" s="1"/>
  <c r="Q386" i="61"/>
  <c r="S386" i="61" s="1"/>
  <c r="P386" i="61"/>
  <c r="R386" i="61" s="1"/>
  <c r="Q385" i="61"/>
  <c r="S385" i="61" s="1"/>
  <c r="P385" i="61"/>
  <c r="R385" i="61" s="1"/>
  <c r="Q384" i="61"/>
  <c r="S384" i="61" s="1"/>
  <c r="P384" i="61"/>
  <c r="R384" i="61" s="1"/>
  <c r="Q383" i="61"/>
  <c r="S383" i="61" s="1"/>
  <c r="P383" i="61"/>
  <c r="R383" i="61" s="1"/>
  <c r="Q382" i="61"/>
  <c r="S382" i="61" s="1"/>
  <c r="P382" i="61"/>
  <c r="R382" i="61" s="1"/>
  <c r="Q381" i="61"/>
  <c r="S381" i="61" s="1"/>
  <c r="P381" i="61"/>
  <c r="R381" i="61" s="1"/>
  <c r="Q380" i="61"/>
  <c r="S380" i="61" s="1"/>
  <c r="P380" i="61"/>
  <c r="R380" i="61" s="1"/>
  <c r="Q379" i="61"/>
  <c r="S379" i="61" s="1"/>
  <c r="P379" i="61"/>
  <c r="R379" i="61" s="1"/>
  <c r="Q378" i="61"/>
  <c r="S378" i="61" s="1"/>
  <c r="P378" i="61"/>
  <c r="R378" i="61" s="1"/>
  <c r="Q377" i="61"/>
  <c r="S377" i="61" s="1"/>
  <c r="P377" i="61"/>
  <c r="R377" i="61" s="1"/>
  <c r="Q376" i="61"/>
  <c r="S376" i="61" s="1"/>
  <c r="P376" i="61"/>
  <c r="R376" i="61" s="1"/>
  <c r="Q375" i="61"/>
  <c r="S375" i="61" s="1"/>
  <c r="P375" i="61"/>
  <c r="R375" i="61" s="1"/>
  <c r="Q374" i="61"/>
  <c r="S374" i="61" s="1"/>
  <c r="P374" i="61"/>
  <c r="R374" i="61" s="1"/>
  <c r="Q373" i="61"/>
  <c r="S373" i="61" s="1"/>
  <c r="P373" i="61"/>
  <c r="R373" i="61" s="1"/>
  <c r="Q372" i="61"/>
  <c r="S372" i="61" s="1"/>
  <c r="P372" i="61"/>
  <c r="R372" i="61" s="1"/>
  <c r="Q371" i="61"/>
  <c r="S371" i="61" s="1"/>
  <c r="P371" i="61"/>
  <c r="R371" i="61" s="1"/>
  <c r="Q370" i="61"/>
  <c r="S370" i="61" s="1"/>
  <c r="P370" i="61"/>
  <c r="R370" i="61" s="1"/>
  <c r="Q369" i="61"/>
  <c r="S369" i="61" s="1"/>
  <c r="P369" i="61"/>
  <c r="R369" i="61" s="1"/>
  <c r="Q368" i="61"/>
  <c r="S368" i="61" s="1"/>
  <c r="P368" i="61"/>
  <c r="R368" i="61" s="1"/>
  <c r="Q367" i="61"/>
  <c r="S367" i="61" s="1"/>
  <c r="P367" i="61"/>
  <c r="R367" i="61" s="1"/>
  <c r="Q366" i="61"/>
  <c r="S366" i="61" s="1"/>
  <c r="P366" i="61"/>
  <c r="R366" i="61" s="1"/>
  <c r="Q365" i="61"/>
  <c r="S365" i="61" s="1"/>
  <c r="P365" i="61"/>
  <c r="R365" i="61" s="1"/>
  <c r="Q364" i="61"/>
  <c r="S364" i="61" s="1"/>
  <c r="P364" i="61"/>
  <c r="R364" i="61" s="1"/>
  <c r="Q363" i="61"/>
  <c r="S363" i="61" s="1"/>
  <c r="P363" i="61"/>
  <c r="R363" i="61" s="1"/>
  <c r="Q362" i="61"/>
  <c r="S362" i="61" s="1"/>
  <c r="P362" i="61"/>
  <c r="R362" i="61" s="1"/>
  <c r="Q361" i="61"/>
  <c r="S361" i="61" s="1"/>
  <c r="P361" i="61"/>
  <c r="R361" i="61" s="1"/>
  <c r="Q360" i="61"/>
  <c r="S360" i="61" s="1"/>
  <c r="P360" i="61"/>
  <c r="R360" i="61" s="1"/>
  <c r="Q359" i="61"/>
  <c r="S359" i="61" s="1"/>
  <c r="P359" i="61"/>
  <c r="R359" i="61" s="1"/>
  <c r="Q358" i="61"/>
  <c r="S358" i="61" s="1"/>
  <c r="P358" i="61"/>
  <c r="R358" i="61" s="1"/>
  <c r="Q357" i="61"/>
  <c r="S357" i="61" s="1"/>
  <c r="P357" i="61"/>
  <c r="R357" i="61" s="1"/>
  <c r="Q356" i="61"/>
  <c r="S356" i="61" s="1"/>
  <c r="P356" i="61"/>
  <c r="R356" i="61" s="1"/>
  <c r="Q355" i="61"/>
  <c r="S355" i="61" s="1"/>
  <c r="P355" i="61"/>
  <c r="R355" i="61" s="1"/>
  <c r="Q354" i="61"/>
  <c r="S354" i="61" s="1"/>
  <c r="P354" i="61"/>
  <c r="R354" i="61" s="1"/>
  <c r="Q353" i="61"/>
  <c r="S353" i="61" s="1"/>
  <c r="P353" i="61"/>
  <c r="R353" i="61" s="1"/>
  <c r="Q352" i="61"/>
  <c r="S352" i="61" s="1"/>
  <c r="P352" i="61"/>
  <c r="R352" i="61" s="1"/>
  <c r="Q351" i="61"/>
  <c r="S351" i="61" s="1"/>
  <c r="P351" i="61"/>
  <c r="R351" i="61" s="1"/>
  <c r="Q350" i="61"/>
  <c r="S350" i="61" s="1"/>
  <c r="P350" i="61"/>
  <c r="R350" i="61" s="1"/>
  <c r="R349" i="61"/>
  <c r="Q349" i="61"/>
  <c r="S349" i="61" s="1"/>
  <c r="P349" i="61"/>
  <c r="Q348" i="61"/>
  <c r="S348" i="61" s="1"/>
  <c r="P348" i="61"/>
  <c r="R348" i="61" s="1"/>
  <c r="Q347" i="61"/>
  <c r="S347" i="61" s="1"/>
  <c r="P347" i="61"/>
  <c r="R347" i="61" s="1"/>
  <c r="Q346" i="61"/>
  <c r="S346" i="61" s="1"/>
  <c r="P346" i="61"/>
  <c r="R346" i="61" s="1"/>
  <c r="S345" i="61"/>
  <c r="Q345" i="61"/>
  <c r="P345" i="61"/>
  <c r="R345" i="61" s="1"/>
  <c r="Q344" i="61"/>
  <c r="S344" i="61" s="1"/>
  <c r="P344" i="61"/>
  <c r="R344" i="61" s="1"/>
  <c r="S343" i="61"/>
  <c r="Q343" i="61"/>
  <c r="P343" i="61"/>
  <c r="R343" i="61" s="1"/>
  <c r="S342" i="61"/>
  <c r="Q342" i="61"/>
  <c r="P342" i="61"/>
  <c r="R342" i="61" s="1"/>
  <c r="S341" i="61"/>
  <c r="Q341" i="61"/>
  <c r="P341" i="61"/>
  <c r="R341" i="61" s="1"/>
  <c r="S340" i="61"/>
  <c r="R340" i="61"/>
  <c r="Q340" i="61"/>
  <c r="P340" i="61"/>
  <c r="S339" i="61"/>
  <c r="Q339" i="61"/>
  <c r="P339" i="61"/>
  <c r="R339" i="61" s="1"/>
  <c r="S338" i="61"/>
  <c r="R338" i="61"/>
  <c r="Q338" i="61"/>
  <c r="P338" i="61"/>
  <c r="S337" i="61"/>
  <c r="Q337" i="61"/>
  <c r="P337" i="61"/>
  <c r="R337" i="61" s="1"/>
  <c r="R336" i="61"/>
  <c r="Q336" i="61"/>
  <c r="S336" i="61" s="1"/>
  <c r="P336" i="61"/>
  <c r="S335" i="61"/>
  <c r="Q335" i="61"/>
  <c r="P335" i="61"/>
  <c r="R335" i="61" s="1"/>
  <c r="Q334" i="61"/>
  <c r="S334" i="61" s="1"/>
  <c r="P334" i="61"/>
  <c r="R334" i="61" s="1"/>
  <c r="S333" i="61"/>
  <c r="Q333" i="61"/>
  <c r="P333" i="61"/>
  <c r="R333" i="61" s="1"/>
  <c r="Q332" i="61"/>
  <c r="S332" i="61" s="1"/>
  <c r="P332" i="61"/>
  <c r="R332" i="61" s="1"/>
  <c r="S331" i="61"/>
  <c r="Q331" i="61"/>
  <c r="P331" i="61"/>
  <c r="R331" i="61" s="1"/>
  <c r="Q330" i="61"/>
  <c r="S330" i="61" s="1"/>
  <c r="P330" i="61"/>
  <c r="R330" i="61" s="1"/>
  <c r="S329" i="61"/>
  <c r="Q329" i="61"/>
  <c r="P329" i="61"/>
  <c r="R329" i="61" s="1"/>
  <c r="Q328" i="61"/>
  <c r="S328" i="61" s="1"/>
  <c r="P328" i="61"/>
  <c r="R328" i="61" s="1"/>
  <c r="S327" i="61"/>
  <c r="Q327" i="61"/>
  <c r="P327" i="61"/>
  <c r="R327" i="61" s="1"/>
  <c r="S326" i="61"/>
  <c r="Q326" i="61"/>
  <c r="P326" i="61"/>
  <c r="R326" i="61" s="1"/>
  <c r="S325" i="61"/>
  <c r="Q325" i="61"/>
  <c r="P325" i="61"/>
  <c r="R325" i="61" s="1"/>
  <c r="S324" i="61"/>
  <c r="R324" i="61"/>
  <c r="Q324" i="61"/>
  <c r="P324" i="61"/>
  <c r="S323" i="61"/>
  <c r="Q323" i="61"/>
  <c r="P323" i="61"/>
  <c r="R323" i="61" s="1"/>
  <c r="S322" i="61"/>
  <c r="R322" i="61"/>
  <c r="Q322" i="61"/>
  <c r="P322" i="61"/>
  <c r="R321" i="61"/>
  <c r="Q321" i="61"/>
  <c r="S321" i="61" s="1"/>
  <c r="P321" i="61"/>
  <c r="Q320" i="61"/>
  <c r="S320" i="61" s="1"/>
  <c r="P320" i="61"/>
  <c r="R320" i="61" s="1"/>
  <c r="R319" i="61"/>
  <c r="Q319" i="61"/>
  <c r="S319" i="61" s="1"/>
  <c r="P319" i="61"/>
  <c r="Q318" i="61"/>
  <c r="S318" i="61" s="1"/>
  <c r="P318" i="61"/>
  <c r="R318" i="61" s="1"/>
  <c r="Q317" i="61"/>
  <c r="S317" i="61" s="1"/>
  <c r="P317" i="61"/>
  <c r="R317" i="61" s="1"/>
  <c r="R316" i="61"/>
  <c r="Q316" i="61"/>
  <c r="S316" i="61" s="1"/>
  <c r="P316" i="61"/>
  <c r="Q315" i="61"/>
  <c r="S315" i="61" s="1"/>
  <c r="P315" i="61"/>
  <c r="R315" i="61" s="1"/>
  <c r="Q314" i="61"/>
  <c r="S314" i="61" s="1"/>
  <c r="P314" i="61"/>
  <c r="R314" i="61" s="1"/>
  <c r="R313" i="61"/>
  <c r="Q313" i="61"/>
  <c r="S313" i="61" s="1"/>
  <c r="P313" i="61"/>
  <c r="Q312" i="61"/>
  <c r="S312" i="61" s="1"/>
  <c r="P312" i="61"/>
  <c r="R312" i="61" s="1"/>
  <c r="R311" i="61"/>
  <c r="Q311" i="61"/>
  <c r="S311" i="61" s="1"/>
  <c r="P311" i="61"/>
  <c r="Q310" i="61"/>
  <c r="S310" i="61" s="1"/>
  <c r="P310" i="61"/>
  <c r="R310" i="61" s="1"/>
  <c r="Q309" i="61"/>
  <c r="S309" i="61" s="1"/>
  <c r="P309" i="61"/>
  <c r="R309" i="61" s="1"/>
  <c r="R308" i="61"/>
  <c r="Q308" i="61"/>
  <c r="S308" i="61" s="1"/>
  <c r="P308" i="61"/>
  <c r="Q307" i="61"/>
  <c r="S307" i="61" s="1"/>
  <c r="P307" i="61"/>
  <c r="R307" i="61" s="1"/>
  <c r="Q306" i="61"/>
  <c r="S306" i="61" s="1"/>
  <c r="P306" i="61"/>
  <c r="R306" i="61" s="1"/>
  <c r="R305" i="61"/>
  <c r="Q305" i="61"/>
  <c r="S305" i="61" s="1"/>
  <c r="P305" i="61"/>
  <c r="Q304" i="61"/>
  <c r="S304" i="61" s="1"/>
  <c r="P304" i="61"/>
  <c r="R304" i="61" s="1"/>
  <c r="R303" i="61"/>
  <c r="Q303" i="61"/>
  <c r="S303" i="61" s="1"/>
  <c r="P303" i="61"/>
  <c r="Q302" i="61"/>
  <c r="S302" i="61" s="1"/>
  <c r="P302" i="61"/>
  <c r="R302" i="61" s="1"/>
  <c r="Q301" i="61"/>
  <c r="S301" i="61" s="1"/>
  <c r="P301" i="61"/>
  <c r="R301" i="61" s="1"/>
  <c r="R300" i="61"/>
  <c r="Q300" i="61"/>
  <c r="S300" i="61" s="1"/>
  <c r="P300" i="61"/>
  <c r="Q299" i="61"/>
  <c r="S299" i="61" s="1"/>
  <c r="P299" i="61"/>
  <c r="R299" i="61" s="1"/>
  <c r="Q298" i="61"/>
  <c r="S298" i="61" s="1"/>
  <c r="P298" i="61"/>
  <c r="R298" i="61" s="1"/>
  <c r="R297" i="61"/>
  <c r="Q297" i="61"/>
  <c r="S297" i="61" s="1"/>
  <c r="P297" i="61"/>
  <c r="Q296" i="61"/>
  <c r="S296" i="61" s="1"/>
  <c r="P296" i="61"/>
  <c r="R296" i="61" s="1"/>
  <c r="R295" i="61"/>
  <c r="Q295" i="61"/>
  <c r="S295" i="61" s="1"/>
  <c r="P295" i="61"/>
  <c r="Q294" i="61"/>
  <c r="S294" i="61" s="1"/>
  <c r="P294" i="61"/>
  <c r="R294" i="61" s="1"/>
  <c r="Q293" i="61"/>
  <c r="S293" i="61" s="1"/>
  <c r="P293" i="61"/>
  <c r="R293" i="61" s="1"/>
  <c r="R292" i="61"/>
  <c r="Q292" i="61"/>
  <c r="S292" i="61" s="1"/>
  <c r="P292" i="61"/>
  <c r="Q291" i="61"/>
  <c r="S291" i="61" s="1"/>
  <c r="P291" i="61"/>
  <c r="R291" i="61" s="1"/>
  <c r="Q290" i="61"/>
  <c r="S290" i="61" s="1"/>
  <c r="P290" i="61"/>
  <c r="R290" i="61" s="1"/>
  <c r="R289" i="61"/>
  <c r="Q289" i="61"/>
  <c r="S289" i="61" s="1"/>
  <c r="P289" i="61"/>
  <c r="Q288" i="61"/>
  <c r="S288" i="61" s="1"/>
  <c r="P288" i="61"/>
  <c r="R288" i="61" s="1"/>
  <c r="R287" i="61"/>
  <c r="Q287" i="61"/>
  <c r="S287" i="61" s="1"/>
  <c r="P287" i="61"/>
  <c r="Q286" i="61"/>
  <c r="S286" i="61" s="1"/>
  <c r="P286" i="61"/>
  <c r="R286" i="61" s="1"/>
  <c r="R285" i="61"/>
  <c r="Q285" i="61"/>
  <c r="S285" i="61" s="1"/>
  <c r="P285" i="61"/>
  <c r="R284" i="61"/>
  <c r="Q284" i="61"/>
  <c r="S284" i="61" s="1"/>
  <c r="P284" i="61"/>
  <c r="Q283" i="61"/>
  <c r="S283" i="61" s="1"/>
  <c r="P283" i="61"/>
  <c r="R283" i="61" s="1"/>
  <c r="R282" i="61"/>
  <c r="Q282" i="61"/>
  <c r="S282" i="61" s="1"/>
  <c r="P282" i="61"/>
  <c r="R281" i="61"/>
  <c r="Q281" i="61"/>
  <c r="S281" i="61" s="1"/>
  <c r="P281" i="61"/>
  <c r="Q280" i="61"/>
  <c r="S280" i="61" s="1"/>
  <c r="P280" i="61"/>
  <c r="R280" i="61" s="1"/>
  <c r="R279" i="61"/>
  <c r="Q279" i="61"/>
  <c r="S279" i="61" s="1"/>
  <c r="P279" i="61"/>
  <c r="Q278" i="61"/>
  <c r="S278" i="61" s="1"/>
  <c r="P278" i="61"/>
  <c r="R278" i="61" s="1"/>
  <c r="Q277" i="61"/>
  <c r="S277" i="61" s="1"/>
  <c r="P277" i="61"/>
  <c r="R277" i="61" s="1"/>
  <c r="R276" i="61"/>
  <c r="Q276" i="61"/>
  <c r="S276" i="61" s="1"/>
  <c r="P276" i="61"/>
  <c r="Q275" i="61"/>
  <c r="S275" i="61" s="1"/>
  <c r="P275" i="61"/>
  <c r="R275" i="61" s="1"/>
  <c r="Q274" i="61"/>
  <c r="S274" i="61" s="1"/>
  <c r="P274" i="61"/>
  <c r="R274" i="61" s="1"/>
  <c r="R273" i="61"/>
  <c r="Q273" i="61"/>
  <c r="S273" i="61" s="1"/>
  <c r="P273" i="61"/>
  <c r="Q272" i="61"/>
  <c r="S272" i="61" s="1"/>
  <c r="P272" i="61"/>
  <c r="R272" i="61" s="1"/>
  <c r="R271" i="61"/>
  <c r="Q271" i="61"/>
  <c r="S271" i="61" s="1"/>
  <c r="P271" i="61"/>
  <c r="Q270" i="61"/>
  <c r="S270" i="61" s="1"/>
  <c r="P270" i="61"/>
  <c r="R270" i="61" s="1"/>
  <c r="Q269" i="61"/>
  <c r="S269" i="61" s="1"/>
  <c r="P269" i="61"/>
  <c r="R269" i="61" s="1"/>
  <c r="R268" i="61"/>
  <c r="Q268" i="61"/>
  <c r="S268" i="61" s="1"/>
  <c r="P268" i="61"/>
  <c r="Q267" i="61"/>
  <c r="S267" i="61" s="1"/>
  <c r="P267" i="61"/>
  <c r="R267" i="61" s="1"/>
  <c r="Q266" i="61"/>
  <c r="S266" i="61" s="1"/>
  <c r="P266" i="61"/>
  <c r="R266" i="61" s="1"/>
  <c r="R265" i="61"/>
  <c r="Q265" i="61"/>
  <c r="S265" i="61" s="1"/>
  <c r="P265" i="61"/>
  <c r="Q264" i="61"/>
  <c r="S264" i="61" s="1"/>
  <c r="P264" i="61"/>
  <c r="R264" i="61" s="1"/>
  <c r="R263" i="61"/>
  <c r="Q263" i="61"/>
  <c r="S263" i="61" s="1"/>
  <c r="P263" i="61"/>
  <c r="Q262" i="61"/>
  <c r="S262" i="61" s="1"/>
  <c r="P262" i="61"/>
  <c r="R262" i="61" s="1"/>
  <c r="R261" i="61"/>
  <c r="Q261" i="61"/>
  <c r="S261" i="61" s="1"/>
  <c r="P261" i="61"/>
  <c r="R260" i="61"/>
  <c r="Q260" i="61"/>
  <c r="S260" i="61" s="1"/>
  <c r="P260" i="61"/>
  <c r="Q259" i="61"/>
  <c r="S259" i="61" s="1"/>
  <c r="P259" i="61"/>
  <c r="R259" i="61" s="1"/>
  <c r="R258" i="61"/>
  <c r="Q258" i="61"/>
  <c r="S258" i="61" s="1"/>
  <c r="P258" i="61"/>
  <c r="R257" i="61"/>
  <c r="Q257" i="61"/>
  <c r="S257" i="61" s="1"/>
  <c r="P257" i="61"/>
  <c r="Q256" i="61"/>
  <c r="S256" i="61" s="1"/>
  <c r="P256" i="61"/>
  <c r="R256" i="61" s="1"/>
  <c r="R255" i="61"/>
  <c r="Q255" i="61"/>
  <c r="S255" i="61" s="1"/>
  <c r="P255" i="61"/>
  <c r="Q254" i="61"/>
  <c r="S254" i="61" s="1"/>
  <c r="P254" i="61"/>
  <c r="R254" i="61" s="1"/>
  <c r="Q253" i="61"/>
  <c r="S253" i="61" s="1"/>
  <c r="P253" i="61"/>
  <c r="R253" i="61" s="1"/>
  <c r="R252" i="61"/>
  <c r="Q252" i="61"/>
  <c r="S252" i="61" s="1"/>
  <c r="P252" i="61"/>
  <c r="Q251" i="61"/>
  <c r="S251" i="61" s="1"/>
  <c r="P251" i="61"/>
  <c r="R251" i="61" s="1"/>
  <c r="Q250" i="61"/>
  <c r="S250" i="61" s="1"/>
  <c r="P250" i="61"/>
  <c r="R250" i="61" s="1"/>
  <c r="R249" i="61"/>
  <c r="Q249" i="61"/>
  <c r="S249" i="61" s="1"/>
  <c r="P249" i="61"/>
  <c r="Q248" i="61"/>
  <c r="S248" i="61" s="1"/>
  <c r="P248" i="61"/>
  <c r="R248" i="61" s="1"/>
  <c r="R247" i="61"/>
  <c r="Q247" i="61"/>
  <c r="S247" i="61" s="1"/>
  <c r="P247" i="61"/>
  <c r="Q246" i="61"/>
  <c r="S246" i="61" s="1"/>
  <c r="P246" i="61"/>
  <c r="R246" i="61" s="1"/>
  <c r="R245" i="61"/>
  <c r="Q245" i="61"/>
  <c r="S245" i="61" s="1"/>
  <c r="P245" i="61"/>
  <c r="R244" i="61"/>
  <c r="Q244" i="61"/>
  <c r="S244" i="61" s="1"/>
  <c r="P244" i="61"/>
  <c r="Q243" i="61"/>
  <c r="S243" i="61" s="1"/>
  <c r="P243" i="61"/>
  <c r="R243" i="61" s="1"/>
  <c r="R242" i="61"/>
  <c r="Q242" i="61"/>
  <c r="S242" i="61" s="1"/>
  <c r="P242" i="61"/>
  <c r="R241" i="61"/>
  <c r="Q241" i="61"/>
  <c r="S241" i="61" s="1"/>
  <c r="P241" i="61"/>
  <c r="Q240" i="61"/>
  <c r="S240" i="61" s="1"/>
  <c r="P240" i="61"/>
  <c r="R240" i="61" s="1"/>
  <c r="R239" i="61"/>
  <c r="Q239" i="61"/>
  <c r="S239" i="61" s="1"/>
  <c r="P239" i="61"/>
  <c r="Q238" i="61"/>
  <c r="S238" i="61" s="1"/>
  <c r="P238" i="61"/>
  <c r="R238" i="61" s="1"/>
  <c r="Q237" i="61"/>
  <c r="S237" i="61" s="1"/>
  <c r="P237" i="61"/>
  <c r="R237" i="61" s="1"/>
  <c r="R236" i="61"/>
  <c r="Q236" i="61"/>
  <c r="S236" i="61" s="1"/>
  <c r="P236" i="61"/>
  <c r="Q235" i="61"/>
  <c r="S235" i="61" s="1"/>
  <c r="P235" i="61"/>
  <c r="R235" i="61" s="1"/>
  <c r="Q234" i="61"/>
  <c r="S234" i="61" s="1"/>
  <c r="P234" i="61"/>
  <c r="R234" i="61" s="1"/>
  <c r="R233" i="61"/>
  <c r="Q233" i="61"/>
  <c r="S233" i="61" s="1"/>
  <c r="P233" i="61"/>
  <c r="Q232" i="61"/>
  <c r="S232" i="61" s="1"/>
  <c r="P232" i="61"/>
  <c r="R232" i="61" s="1"/>
  <c r="R231" i="61"/>
  <c r="Q231" i="61"/>
  <c r="S231" i="61" s="1"/>
  <c r="P231" i="61"/>
  <c r="Q230" i="61"/>
  <c r="S230" i="61" s="1"/>
  <c r="P230" i="61"/>
  <c r="R230" i="61" s="1"/>
  <c r="Q229" i="61"/>
  <c r="S229" i="61" s="1"/>
  <c r="P229" i="61"/>
  <c r="R229" i="61" s="1"/>
  <c r="Q228" i="61"/>
  <c r="S228" i="61" s="1"/>
  <c r="P228" i="61"/>
  <c r="R228" i="61" s="1"/>
  <c r="R227" i="61"/>
  <c r="Q227" i="61"/>
  <c r="S227" i="61" s="1"/>
  <c r="P227" i="61"/>
  <c r="Q226" i="61"/>
  <c r="S226" i="61" s="1"/>
  <c r="P226" i="61"/>
  <c r="R226" i="61" s="1"/>
  <c r="Q225" i="61"/>
  <c r="S225" i="61" s="1"/>
  <c r="P225" i="61"/>
  <c r="R225" i="61" s="1"/>
  <c r="R224" i="61"/>
  <c r="Q224" i="61"/>
  <c r="S224" i="61" s="1"/>
  <c r="P224" i="61"/>
  <c r="Q223" i="61"/>
  <c r="S223" i="61" s="1"/>
  <c r="P223" i="61"/>
  <c r="R223" i="61" s="1"/>
  <c r="Q222" i="61"/>
  <c r="S222" i="61" s="1"/>
  <c r="P222" i="61"/>
  <c r="R222" i="61" s="1"/>
  <c r="Q221" i="61"/>
  <c r="S221" i="61" s="1"/>
  <c r="P221" i="61"/>
  <c r="R221" i="61" s="1"/>
  <c r="Q220" i="61"/>
  <c r="S220" i="61" s="1"/>
  <c r="P220" i="61"/>
  <c r="R220" i="61" s="1"/>
  <c r="Q219" i="61"/>
  <c r="S219" i="61" s="1"/>
  <c r="P219" i="61"/>
  <c r="R219" i="61" s="1"/>
  <c r="Q218" i="61"/>
  <c r="S218" i="61" s="1"/>
  <c r="P218" i="61"/>
  <c r="R218" i="61" s="1"/>
  <c r="Q217" i="61"/>
  <c r="S217" i="61" s="1"/>
  <c r="P217" i="61"/>
  <c r="R217" i="61" s="1"/>
  <c r="Q216" i="61"/>
  <c r="S216" i="61" s="1"/>
  <c r="P216" i="61"/>
  <c r="R216" i="61" s="1"/>
  <c r="R215" i="61"/>
  <c r="Q215" i="61"/>
  <c r="S215" i="61" s="1"/>
  <c r="P215" i="61"/>
  <c r="Q214" i="61"/>
  <c r="S214" i="61" s="1"/>
  <c r="P214" i="61"/>
  <c r="R214" i="61" s="1"/>
  <c r="Q213" i="61"/>
  <c r="S213" i="61" s="1"/>
  <c r="P213" i="61"/>
  <c r="R213" i="61" s="1"/>
  <c r="Q212" i="61"/>
  <c r="S212" i="61" s="1"/>
  <c r="P212" i="61"/>
  <c r="R212" i="61" s="1"/>
  <c r="R211" i="61"/>
  <c r="Q211" i="61"/>
  <c r="S211" i="61" s="1"/>
  <c r="P211" i="61"/>
  <c r="Q210" i="61"/>
  <c r="S210" i="61" s="1"/>
  <c r="P210" i="61"/>
  <c r="R210" i="61" s="1"/>
  <c r="Q209" i="61"/>
  <c r="S209" i="61" s="1"/>
  <c r="P209" i="61"/>
  <c r="R209" i="61" s="1"/>
  <c r="R208" i="61"/>
  <c r="Q208" i="61"/>
  <c r="S208" i="61" s="1"/>
  <c r="P208" i="61"/>
  <c r="Q207" i="61"/>
  <c r="S207" i="61" s="1"/>
  <c r="P207" i="61"/>
  <c r="R207" i="61" s="1"/>
  <c r="Q206" i="61"/>
  <c r="S206" i="61" s="1"/>
  <c r="P206" i="61"/>
  <c r="R206" i="61" s="1"/>
  <c r="Q205" i="61"/>
  <c r="S205" i="61" s="1"/>
  <c r="P205" i="61"/>
  <c r="R205" i="61" s="1"/>
  <c r="Q204" i="61"/>
  <c r="S204" i="61" s="1"/>
  <c r="P204" i="61"/>
  <c r="R204" i="61" s="1"/>
  <c r="R203" i="61"/>
  <c r="Q203" i="61"/>
  <c r="S203" i="61" s="1"/>
  <c r="P203" i="61"/>
  <c r="Q202" i="61"/>
  <c r="S202" i="61" s="1"/>
  <c r="P202" i="61"/>
  <c r="R202" i="61" s="1"/>
  <c r="Q201" i="61"/>
  <c r="S201" i="61" s="1"/>
  <c r="P201" i="61"/>
  <c r="R201" i="61" s="1"/>
  <c r="Q200" i="61"/>
  <c r="S200" i="61" s="1"/>
  <c r="P200" i="61"/>
  <c r="R200" i="61" s="1"/>
  <c r="R199" i="61"/>
  <c r="Q199" i="61"/>
  <c r="S199" i="61" s="1"/>
  <c r="P199" i="61"/>
  <c r="Q198" i="61"/>
  <c r="S198" i="61" s="1"/>
  <c r="P198" i="61"/>
  <c r="R198" i="61" s="1"/>
  <c r="Q197" i="61"/>
  <c r="S197" i="61" s="1"/>
  <c r="P197" i="61"/>
  <c r="R197" i="61" s="1"/>
  <c r="R196" i="61"/>
  <c r="Q196" i="61"/>
  <c r="S196" i="61" s="1"/>
  <c r="P196" i="61"/>
  <c r="R195" i="61"/>
  <c r="Q195" i="61"/>
  <c r="S195" i="61" s="1"/>
  <c r="P195" i="61"/>
  <c r="Q194" i="61"/>
  <c r="S194" i="61" s="1"/>
  <c r="P194" i="61"/>
  <c r="R194" i="61" s="1"/>
  <c r="Q193" i="61"/>
  <c r="S193" i="61" s="1"/>
  <c r="P193" i="61"/>
  <c r="R193" i="61" s="1"/>
  <c r="R192" i="61"/>
  <c r="Q192" i="61"/>
  <c r="S192" i="61" s="1"/>
  <c r="P192" i="61"/>
  <c r="Q191" i="61"/>
  <c r="S191" i="61" s="1"/>
  <c r="P191" i="61"/>
  <c r="R191" i="61" s="1"/>
  <c r="Q190" i="61"/>
  <c r="S190" i="61" s="1"/>
  <c r="P190" i="61"/>
  <c r="R190" i="61" s="1"/>
  <c r="Q189" i="61"/>
  <c r="S189" i="61" s="1"/>
  <c r="P189" i="61"/>
  <c r="R189" i="61" s="1"/>
  <c r="Q188" i="61"/>
  <c r="S188" i="61" s="1"/>
  <c r="P188" i="61"/>
  <c r="R188" i="61" s="1"/>
  <c r="Q187" i="61"/>
  <c r="S187" i="61" s="1"/>
  <c r="P187" i="61"/>
  <c r="R187" i="61" s="1"/>
  <c r="Q186" i="61"/>
  <c r="S186" i="61" s="1"/>
  <c r="P186" i="61"/>
  <c r="R186" i="61" s="1"/>
  <c r="Q185" i="61"/>
  <c r="S185" i="61" s="1"/>
  <c r="P185" i="61"/>
  <c r="R185" i="61" s="1"/>
  <c r="Q184" i="61"/>
  <c r="S184" i="61" s="1"/>
  <c r="P184" i="61"/>
  <c r="R184" i="61" s="1"/>
  <c r="R183" i="61"/>
  <c r="Q183" i="61"/>
  <c r="S183" i="61" s="1"/>
  <c r="P183" i="61"/>
  <c r="Q182" i="61"/>
  <c r="S182" i="61" s="1"/>
  <c r="P182" i="61"/>
  <c r="R182" i="61" s="1"/>
  <c r="Q181" i="61"/>
  <c r="S181" i="61" s="1"/>
  <c r="P181" i="61"/>
  <c r="R181" i="61" s="1"/>
  <c r="Q180" i="61"/>
  <c r="S180" i="61" s="1"/>
  <c r="P180" i="61"/>
  <c r="R180" i="61" s="1"/>
  <c r="R179" i="61"/>
  <c r="Q179" i="61"/>
  <c r="S179" i="61" s="1"/>
  <c r="P179" i="61"/>
  <c r="Q178" i="61"/>
  <c r="S178" i="61" s="1"/>
  <c r="P178" i="61"/>
  <c r="R178" i="61" s="1"/>
  <c r="Q177" i="61"/>
  <c r="S177" i="61" s="1"/>
  <c r="P177" i="61"/>
  <c r="R177" i="61" s="1"/>
  <c r="R176" i="61"/>
  <c r="Q176" i="61"/>
  <c r="S176" i="61" s="1"/>
  <c r="P176" i="61"/>
  <c r="Q175" i="61"/>
  <c r="S175" i="61" s="1"/>
  <c r="P175" i="61"/>
  <c r="R175" i="61" s="1"/>
  <c r="Q174" i="61"/>
  <c r="S174" i="61" s="1"/>
  <c r="P174" i="61"/>
  <c r="R174" i="61" s="1"/>
  <c r="Q173" i="61"/>
  <c r="S173" i="61" s="1"/>
  <c r="P173" i="61"/>
  <c r="R173" i="61" s="1"/>
  <c r="Q172" i="61"/>
  <c r="S172" i="61" s="1"/>
  <c r="P172" i="61"/>
  <c r="R172" i="61" s="1"/>
  <c r="R171" i="61"/>
  <c r="Q171" i="61"/>
  <c r="S171" i="61" s="1"/>
  <c r="P171" i="61"/>
  <c r="Q170" i="61"/>
  <c r="S170" i="61" s="1"/>
  <c r="P170" i="61"/>
  <c r="R170" i="61" s="1"/>
  <c r="Q169" i="61"/>
  <c r="S169" i="61" s="1"/>
  <c r="P169" i="61"/>
  <c r="R169" i="61" s="1"/>
  <c r="Q168" i="61"/>
  <c r="S168" i="61" s="1"/>
  <c r="P168" i="61"/>
  <c r="R168" i="61" s="1"/>
  <c r="R167" i="61"/>
  <c r="Q167" i="61"/>
  <c r="S167" i="61" s="1"/>
  <c r="P167" i="61"/>
  <c r="Q166" i="61"/>
  <c r="S166" i="61" s="1"/>
  <c r="P166" i="61"/>
  <c r="R166" i="61" s="1"/>
  <c r="Q165" i="61"/>
  <c r="S165" i="61" s="1"/>
  <c r="P165" i="61"/>
  <c r="R165" i="61" s="1"/>
  <c r="R164" i="61"/>
  <c r="Q164" i="61"/>
  <c r="S164" i="61" s="1"/>
  <c r="P164" i="61"/>
  <c r="R163" i="61"/>
  <c r="Q163" i="61"/>
  <c r="S163" i="61" s="1"/>
  <c r="P163" i="61"/>
  <c r="Q162" i="61"/>
  <c r="S162" i="61" s="1"/>
  <c r="P162" i="61"/>
  <c r="R162" i="61" s="1"/>
  <c r="Q161" i="61"/>
  <c r="S161" i="61" s="1"/>
  <c r="P161" i="61"/>
  <c r="R161" i="61" s="1"/>
  <c r="R160" i="61"/>
  <c r="Q160" i="61"/>
  <c r="S160" i="61" s="1"/>
  <c r="P160" i="61"/>
  <c r="Q159" i="61"/>
  <c r="S159" i="61" s="1"/>
  <c r="P159" i="61"/>
  <c r="R159" i="61" s="1"/>
  <c r="Q158" i="61"/>
  <c r="S158" i="61" s="1"/>
  <c r="P158" i="61"/>
  <c r="R158" i="61" s="1"/>
  <c r="Q157" i="61"/>
  <c r="S157" i="61" s="1"/>
  <c r="P157" i="61"/>
  <c r="R157" i="61" s="1"/>
  <c r="Q156" i="61"/>
  <c r="S156" i="61" s="1"/>
  <c r="P156" i="61"/>
  <c r="R156" i="61" s="1"/>
  <c r="Q155" i="61"/>
  <c r="S155" i="61" s="1"/>
  <c r="P155" i="61"/>
  <c r="R155" i="61" s="1"/>
  <c r="Q154" i="61"/>
  <c r="S154" i="61" s="1"/>
  <c r="P154" i="61"/>
  <c r="R154" i="61" s="1"/>
  <c r="Q153" i="61"/>
  <c r="S153" i="61" s="1"/>
  <c r="P153" i="61"/>
  <c r="R153" i="61" s="1"/>
  <c r="Q152" i="61"/>
  <c r="S152" i="61" s="1"/>
  <c r="P152" i="61"/>
  <c r="R152" i="61" s="1"/>
  <c r="S151" i="61"/>
  <c r="R151" i="61"/>
  <c r="Q151" i="61"/>
  <c r="P151" i="61"/>
  <c r="Q150" i="61"/>
  <c r="S150" i="61" s="1"/>
  <c r="P150" i="61"/>
  <c r="R150" i="61" s="1"/>
  <c r="S149" i="61"/>
  <c r="R149" i="61"/>
  <c r="Q149" i="61"/>
  <c r="P149" i="61"/>
  <c r="Q148" i="61"/>
  <c r="S148" i="61" s="1"/>
  <c r="P148" i="61"/>
  <c r="R148" i="61" s="1"/>
  <c r="S147" i="61"/>
  <c r="R147" i="61"/>
  <c r="Q147" i="61"/>
  <c r="P147" i="61"/>
  <c r="Q146" i="61"/>
  <c r="S146" i="61" s="1"/>
  <c r="P146" i="61"/>
  <c r="R146" i="61" s="1"/>
  <c r="S145" i="61"/>
  <c r="R145" i="61"/>
  <c r="Q145" i="61"/>
  <c r="P145" i="61"/>
  <c r="Q144" i="61"/>
  <c r="S144" i="61" s="1"/>
  <c r="P144" i="61"/>
  <c r="R144" i="61" s="1"/>
  <c r="S143" i="61"/>
  <c r="R143" i="61"/>
  <c r="Q143" i="61"/>
  <c r="P143" i="61"/>
  <c r="Q142" i="61"/>
  <c r="S142" i="61" s="1"/>
  <c r="P142" i="61"/>
  <c r="R142" i="61" s="1"/>
  <c r="S141" i="61"/>
  <c r="R141" i="61"/>
  <c r="Q141" i="61"/>
  <c r="P141" i="61"/>
  <c r="Q140" i="61"/>
  <c r="S140" i="61" s="1"/>
  <c r="P140" i="61"/>
  <c r="R140" i="61" s="1"/>
  <c r="S139" i="61"/>
  <c r="R139" i="61"/>
  <c r="Q139" i="61"/>
  <c r="P139" i="61"/>
  <c r="Q138" i="61"/>
  <c r="S138" i="61" s="1"/>
  <c r="P138" i="61"/>
  <c r="R138" i="61" s="1"/>
  <c r="S137" i="61"/>
  <c r="R137" i="61"/>
  <c r="Q137" i="61"/>
  <c r="P137" i="61"/>
  <c r="Q136" i="61"/>
  <c r="S136" i="61" s="1"/>
  <c r="P136" i="61"/>
  <c r="R136" i="61" s="1"/>
  <c r="S135" i="61"/>
  <c r="R135" i="61"/>
  <c r="Q135" i="61"/>
  <c r="P135" i="61"/>
  <c r="Q134" i="61"/>
  <c r="S134" i="61" s="1"/>
  <c r="P134" i="61"/>
  <c r="R134" i="61" s="1"/>
  <c r="S133" i="61"/>
  <c r="R133" i="61"/>
  <c r="Q133" i="61"/>
  <c r="P133" i="61"/>
  <c r="Q132" i="61"/>
  <c r="S132" i="61" s="1"/>
  <c r="P132" i="61"/>
  <c r="R132" i="61" s="1"/>
  <c r="S131" i="61"/>
  <c r="R131" i="61"/>
  <c r="Q131" i="61"/>
  <c r="P131" i="61"/>
  <c r="Q130" i="61"/>
  <c r="S130" i="61" s="1"/>
  <c r="P130" i="61"/>
  <c r="R130" i="61" s="1"/>
  <c r="S129" i="61"/>
  <c r="R129" i="61"/>
  <c r="Q129" i="61"/>
  <c r="P129" i="61"/>
  <c r="Q128" i="61"/>
  <c r="S128" i="61" s="1"/>
  <c r="P128" i="61"/>
  <c r="R128" i="61" s="1"/>
  <c r="S127" i="61"/>
  <c r="R127" i="61"/>
  <c r="Q127" i="61"/>
  <c r="P127" i="61"/>
  <c r="Q126" i="61"/>
  <c r="S126" i="61" s="1"/>
  <c r="P126" i="61"/>
  <c r="R126" i="61" s="1"/>
  <c r="S125" i="61"/>
  <c r="R125" i="61"/>
  <c r="Q125" i="61"/>
  <c r="P125" i="61"/>
  <c r="Q124" i="61"/>
  <c r="S124" i="61" s="1"/>
  <c r="P124" i="61"/>
  <c r="R124" i="61" s="1"/>
  <c r="S123" i="61"/>
  <c r="R123" i="61"/>
  <c r="Q123" i="61"/>
  <c r="P123" i="61"/>
  <c r="Q122" i="61"/>
  <c r="S122" i="61" s="1"/>
  <c r="P122" i="61"/>
  <c r="R122" i="61" s="1"/>
  <c r="S121" i="61"/>
  <c r="R121" i="61"/>
  <c r="Q121" i="61"/>
  <c r="P121" i="61"/>
  <c r="Q120" i="61"/>
  <c r="S120" i="61" s="1"/>
  <c r="P120" i="61"/>
  <c r="R120" i="61" s="1"/>
  <c r="S119" i="61"/>
  <c r="R119" i="61"/>
  <c r="Q119" i="61"/>
  <c r="P119" i="61"/>
  <c r="Q118" i="61"/>
  <c r="S118" i="61" s="1"/>
  <c r="P118" i="61"/>
  <c r="R118" i="61" s="1"/>
  <c r="S117" i="61"/>
  <c r="R117" i="61"/>
  <c r="Q117" i="61"/>
  <c r="P117" i="61"/>
  <c r="Q116" i="61"/>
  <c r="S116" i="61" s="1"/>
  <c r="P116" i="61"/>
  <c r="R116" i="61" s="1"/>
  <c r="S115" i="61"/>
  <c r="R115" i="61"/>
  <c r="Q115" i="61"/>
  <c r="P115" i="61"/>
  <c r="Q114" i="61"/>
  <c r="S114" i="61" s="1"/>
  <c r="P114" i="61"/>
  <c r="R114" i="61" s="1"/>
  <c r="S113" i="61"/>
  <c r="R113" i="61"/>
  <c r="Q113" i="61"/>
  <c r="P113" i="61"/>
  <c r="Q112" i="61"/>
  <c r="S112" i="61" s="1"/>
  <c r="P112" i="61"/>
  <c r="R112" i="61" s="1"/>
  <c r="S111" i="61"/>
  <c r="R111" i="61"/>
  <c r="Q111" i="61"/>
  <c r="P111" i="61"/>
  <c r="Q110" i="61"/>
  <c r="S110" i="61" s="1"/>
  <c r="P110" i="61"/>
  <c r="R110" i="61" s="1"/>
  <c r="S109" i="61"/>
  <c r="R109" i="61"/>
  <c r="Q109" i="61"/>
  <c r="P109" i="61"/>
  <c r="Q108" i="61"/>
  <c r="S108" i="61" s="1"/>
  <c r="P108" i="61"/>
  <c r="R108" i="61" s="1"/>
  <c r="S107" i="61"/>
  <c r="R107" i="61"/>
  <c r="Q107" i="61"/>
  <c r="P107" i="61"/>
  <c r="Q106" i="61"/>
  <c r="S106" i="61" s="1"/>
  <c r="P106" i="61"/>
  <c r="R106" i="61" s="1"/>
  <c r="S105" i="61"/>
  <c r="R105" i="61"/>
  <c r="Q105" i="61"/>
  <c r="P105" i="61"/>
  <c r="Q104" i="61"/>
  <c r="S104" i="61" s="1"/>
  <c r="P104" i="61"/>
  <c r="R104" i="61" s="1"/>
  <c r="S103" i="61"/>
  <c r="R103" i="61"/>
  <c r="Q103" i="61"/>
  <c r="P103" i="61"/>
  <c r="Q102" i="61"/>
  <c r="S102" i="61" s="1"/>
  <c r="P102" i="61"/>
  <c r="R102" i="61" s="1"/>
  <c r="S101" i="61"/>
  <c r="R101" i="61"/>
  <c r="Q101" i="61"/>
  <c r="P101" i="61"/>
  <c r="Q100" i="61"/>
  <c r="S100" i="61" s="1"/>
  <c r="P100" i="61"/>
  <c r="R100" i="61" s="1"/>
  <c r="S99" i="61"/>
  <c r="R99" i="61"/>
  <c r="Q99" i="61"/>
  <c r="P99" i="61"/>
  <c r="Q98" i="61"/>
  <c r="S98" i="61" s="1"/>
  <c r="P98" i="61"/>
  <c r="R98" i="61" s="1"/>
  <c r="S97" i="61"/>
  <c r="R97" i="61"/>
  <c r="Q97" i="61"/>
  <c r="P97" i="61"/>
  <c r="Q96" i="61"/>
  <c r="S96" i="61" s="1"/>
  <c r="P96" i="61"/>
  <c r="R96" i="61" s="1"/>
  <c r="S95" i="61"/>
  <c r="R95" i="61"/>
  <c r="Q95" i="61"/>
  <c r="P95" i="61"/>
  <c r="Q94" i="61"/>
  <c r="S94" i="61" s="1"/>
  <c r="P94" i="61"/>
  <c r="R94" i="61" s="1"/>
  <c r="S93" i="61"/>
  <c r="R93" i="61"/>
  <c r="Q93" i="61"/>
  <c r="P93" i="61"/>
  <c r="Q92" i="61"/>
  <c r="S92" i="61" s="1"/>
  <c r="P92" i="61"/>
  <c r="R92" i="61" s="1"/>
  <c r="S91" i="61"/>
  <c r="R91" i="61"/>
  <c r="Q91" i="61"/>
  <c r="P91" i="61"/>
  <c r="Q90" i="61"/>
  <c r="S90" i="61" s="1"/>
  <c r="P90" i="61"/>
  <c r="R90" i="61" s="1"/>
  <c r="S89" i="61"/>
  <c r="R89" i="61"/>
  <c r="Q89" i="61"/>
  <c r="P89" i="61"/>
  <c r="Q88" i="61"/>
  <c r="S88" i="61" s="1"/>
  <c r="P88" i="61"/>
  <c r="R88" i="61" s="1"/>
  <c r="S87" i="61"/>
  <c r="R87" i="61"/>
  <c r="Q87" i="61"/>
  <c r="P87" i="61"/>
  <c r="Q86" i="61"/>
  <c r="S86" i="61" s="1"/>
  <c r="P86" i="61"/>
  <c r="R86" i="61" s="1"/>
  <c r="S85" i="61"/>
  <c r="R85" i="61"/>
  <c r="Q85" i="61"/>
  <c r="P85" i="61"/>
  <c r="Q84" i="61"/>
  <c r="S84" i="61" s="1"/>
  <c r="P84" i="61"/>
  <c r="R84" i="61" s="1"/>
  <c r="S83" i="61"/>
  <c r="R83" i="61"/>
  <c r="Q83" i="61"/>
  <c r="P83" i="61"/>
  <c r="Q82" i="61"/>
  <c r="S82" i="61" s="1"/>
  <c r="P82" i="61"/>
  <c r="R82" i="61" s="1"/>
  <c r="S81" i="61"/>
  <c r="R81" i="61"/>
  <c r="Q81" i="61"/>
  <c r="P81" i="61"/>
  <c r="Q80" i="61"/>
  <c r="S80" i="61" s="1"/>
  <c r="P80" i="61"/>
  <c r="R80" i="61" s="1"/>
  <c r="S79" i="61"/>
  <c r="R79" i="61"/>
  <c r="Q79" i="61"/>
  <c r="P79" i="61"/>
  <c r="Q78" i="61"/>
  <c r="S78" i="61" s="1"/>
  <c r="P78" i="61"/>
  <c r="R78" i="61" s="1"/>
  <c r="S77" i="61"/>
  <c r="R77" i="61"/>
  <c r="Q77" i="61"/>
  <c r="P77" i="61"/>
  <c r="Q76" i="61"/>
  <c r="S76" i="61" s="1"/>
  <c r="P76" i="61"/>
  <c r="R76" i="61" s="1"/>
  <c r="S75" i="61"/>
  <c r="R75" i="61"/>
  <c r="Q75" i="61"/>
  <c r="P75" i="61"/>
  <c r="Q74" i="61"/>
  <c r="S74" i="61" s="1"/>
  <c r="P74" i="61"/>
  <c r="R74" i="61" s="1"/>
  <c r="S73" i="61"/>
  <c r="R73" i="61"/>
  <c r="Q73" i="61"/>
  <c r="P73" i="61"/>
  <c r="Q72" i="61"/>
  <c r="S72" i="61" s="1"/>
  <c r="P72" i="61"/>
  <c r="R72" i="61" s="1"/>
  <c r="S71" i="61"/>
  <c r="R71" i="61"/>
  <c r="Q71" i="61"/>
  <c r="P71" i="61"/>
  <c r="Q70" i="61"/>
  <c r="S70" i="61" s="1"/>
  <c r="P70" i="61"/>
  <c r="R70" i="61" s="1"/>
  <c r="S69" i="61"/>
  <c r="R69" i="61"/>
  <c r="Q69" i="61"/>
  <c r="P69" i="61"/>
  <c r="Q68" i="61"/>
  <c r="S68" i="61" s="1"/>
  <c r="P68" i="61"/>
  <c r="R68" i="61" s="1"/>
  <c r="S67" i="61"/>
  <c r="R67" i="61"/>
  <c r="Q67" i="61"/>
  <c r="P67" i="61"/>
  <c r="Q66" i="61"/>
  <c r="S66" i="61" s="1"/>
  <c r="P66" i="61"/>
  <c r="R66" i="61" s="1"/>
  <c r="S65" i="61"/>
  <c r="R65" i="61"/>
  <c r="Q65" i="61"/>
  <c r="P65" i="61"/>
  <c r="Q64" i="61"/>
  <c r="S64" i="61" s="1"/>
  <c r="P64" i="61"/>
  <c r="R64" i="61" s="1"/>
  <c r="S63" i="61"/>
  <c r="R63" i="61"/>
  <c r="Q63" i="61"/>
  <c r="P63" i="61"/>
  <c r="Q62" i="61"/>
  <c r="S62" i="61" s="1"/>
  <c r="P62" i="61"/>
  <c r="R62" i="61" s="1"/>
  <c r="S61" i="61"/>
  <c r="R61" i="61"/>
  <c r="Q61" i="61"/>
  <c r="P61" i="61"/>
  <c r="Q60" i="61"/>
  <c r="S60" i="61" s="1"/>
  <c r="P60" i="61"/>
  <c r="R60" i="61" s="1"/>
  <c r="S59" i="61"/>
  <c r="R59" i="61"/>
  <c r="Q59" i="61"/>
  <c r="P59" i="61"/>
  <c r="Q58" i="61"/>
  <c r="S58" i="61" s="1"/>
  <c r="P58" i="61"/>
  <c r="R58" i="61" s="1"/>
  <c r="S57" i="61"/>
  <c r="R57" i="61"/>
  <c r="Q57" i="61"/>
  <c r="P57" i="61"/>
  <c r="Q56" i="61"/>
  <c r="S56" i="61" s="1"/>
  <c r="P56" i="61"/>
  <c r="R56" i="61" s="1"/>
  <c r="S55" i="61"/>
  <c r="R55" i="61"/>
  <c r="Q55" i="61"/>
  <c r="P55" i="61"/>
  <c r="Q54" i="61"/>
  <c r="S54" i="61" s="1"/>
  <c r="P54" i="61"/>
  <c r="R54" i="61" s="1"/>
  <c r="S53" i="61"/>
  <c r="R53" i="61"/>
  <c r="Q53" i="61"/>
  <c r="P53" i="61"/>
  <c r="Q52" i="61"/>
  <c r="S52" i="61" s="1"/>
  <c r="P52" i="61"/>
  <c r="R52" i="61" s="1"/>
  <c r="S51" i="61"/>
  <c r="R51" i="61"/>
  <c r="Q51" i="61"/>
  <c r="P51" i="61"/>
  <c r="Q50" i="61"/>
  <c r="S50" i="61" s="1"/>
  <c r="P50" i="61"/>
  <c r="R50" i="61" s="1"/>
  <c r="S49" i="61"/>
  <c r="R49" i="61"/>
  <c r="Q49" i="61"/>
  <c r="P49" i="61"/>
  <c r="Q48" i="61"/>
  <c r="S48" i="61" s="1"/>
  <c r="P48" i="61"/>
  <c r="R48" i="61" s="1"/>
  <c r="S47" i="61"/>
  <c r="R47" i="61"/>
  <c r="Q47" i="61"/>
  <c r="P47" i="61"/>
  <c r="Q46" i="61"/>
  <c r="S46" i="61" s="1"/>
  <c r="P46" i="61"/>
  <c r="R46" i="61" s="1"/>
  <c r="R45" i="61"/>
  <c r="Q45" i="61"/>
  <c r="S45" i="61" s="1"/>
  <c r="P45" i="61"/>
  <c r="Q44" i="61"/>
  <c r="S44" i="61" s="1"/>
  <c r="P44" i="61"/>
  <c r="R44" i="61" s="1"/>
  <c r="R43" i="61"/>
  <c r="Q43" i="61"/>
  <c r="S43" i="61" s="1"/>
  <c r="P43" i="61"/>
  <c r="Q42" i="61"/>
  <c r="S42" i="61" s="1"/>
  <c r="P42" i="61"/>
  <c r="R42" i="61" s="1"/>
  <c r="S41" i="61"/>
  <c r="R41" i="61"/>
  <c r="Q41" i="61"/>
  <c r="P41" i="61"/>
  <c r="Q40" i="61"/>
  <c r="S40" i="61" s="1"/>
  <c r="P40" i="61"/>
  <c r="R40" i="61" s="1"/>
  <c r="S39" i="61"/>
  <c r="R39" i="61"/>
  <c r="Q39" i="61"/>
  <c r="P39" i="61"/>
  <c r="Q38" i="61"/>
  <c r="S38" i="61" s="1"/>
  <c r="P38" i="61"/>
  <c r="R38" i="61" s="1"/>
  <c r="R37" i="61"/>
  <c r="Q37" i="61"/>
  <c r="S37" i="61" s="1"/>
  <c r="P37" i="61"/>
  <c r="Q36" i="61"/>
  <c r="S36" i="61" s="1"/>
  <c r="P36" i="61"/>
  <c r="R36" i="61" s="1"/>
  <c r="R35" i="61"/>
  <c r="Q35" i="61"/>
  <c r="S35" i="61" s="1"/>
  <c r="P35" i="61"/>
  <c r="Q34" i="61"/>
  <c r="S34" i="61" s="1"/>
  <c r="P34" i="61"/>
  <c r="R34" i="61" s="1"/>
  <c r="S33" i="61"/>
  <c r="R33" i="61"/>
  <c r="Q33" i="61"/>
  <c r="P33" i="61"/>
  <c r="Q32" i="61"/>
  <c r="S32" i="61" s="1"/>
  <c r="P32" i="61"/>
  <c r="R32" i="61" s="1"/>
  <c r="S31" i="61"/>
  <c r="R31" i="61"/>
  <c r="Q31" i="61"/>
  <c r="P31" i="61"/>
  <c r="Q30" i="61"/>
  <c r="S30" i="61" s="1"/>
  <c r="P30" i="61"/>
  <c r="R30" i="61" s="1"/>
  <c r="R29" i="61"/>
  <c r="Q29" i="61"/>
  <c r="S29" i="61" s="1"/>
  <c r="P29" i="61"/>
  <c r="Q28" i="61"/>
  <c r="S28" i="61" s="1"/>
  <c r="P28" i="61"/>
  <c r="R28" i="61" s="1"/>
  <c r="R27" i="61"/>
  <c r="Q27" i="61"/>
  <c r="S27" i="61" s="1"/>
  <c r="P27" i="61"/>
  <c r="Q26" i="61"/>
  <c r="S26" i="61" s="1"/>
  <c r="P26" i="61"/>
  <c r="R26" i="61" s="1"/>
  <c r="S25" i="61"/>
  <c r="R25" i="61"/>
  <c r="Q25" i="61"/>
  <c r="P25" i="61"/>
  <c r="Q24" i="61"/>
  <c r="S24" i="61" s="1"/>
  <c r="P24" i="61"/>
  <c r="R24" i="61" s="1"/>
  <c r="S23" i="61"/>
  <c r="R23" i="61"/>
  <c r="Q23" i="61"/>
  <c r="P23" i="61"/>
  <c r="Q22" i="61"/>
  <c r="S22" i="61" s="1"/>
  <c r="P22" i="61"/>
  <c r="R22" i="61" s="1"/>
  <c r="R21" i="61"/>
  <c r="Q21" i="61"/>
  <c r="S21" i="61" s="1"/>
  <c r="P21" i="61"/>
  <c r="Q20" i="61"/>
  <c r="S20" i="61" s="1"/>
  <c r="P20" i="61"/>
  <c r="R20" i="61" s="1"/>
  <c r="R19" i="61"/>
  <c r="Q19" i="61"/>
  <c r="S19" i="61" s="1"/>
  <c r="P19" i="61"/>
  <c r="Q18" i="61"/>
  <c r="S18" i="61" s="1"/>
  <c r="P18" i="61"/>
  <c r="R18" i="61" s="1"/>
  <c r="S17" i="61"/>
  <c r="R17" i="61"/>
  <c r="Q17" i="61"/>
  <c r="P17" i="61"/>
  <c r="Q16" i="61"/>
  <c r="S16" i="61" s="1"/>
  <c r="P16" i="61"/>
  <c r="R16" i="61" s="1"/>
  <c r="CF515" i="56"/>
  <c r="CF514" i="56"/>
  <c r="CF513" i="56"/>
  <c r="CF512" i="56"/>
  <c r="CF511" i="56"/>
  <c r="CF510" i="56"/>
  <c r="CF509" i="56"/>
  <c r="CF508" i="56"/>
  <c r="CF507" i="56"/>
  <c r="CF506" i="56"/>
  <c r="CF505" i="56"/>
  <c r="CF504" i="56"/>
  <c r="CF503" i="56"/>
  <c r="CF502" i="56"/>
  <c r="CF501" i="56"/>
  <c r="CF500" i="56"/>
  <c r="CF499" i="56"/>
  <c r="CF498" i="56"/>
  <c r="CF497" i="56"/>
  <c r="CF496" i="56"/>
  <c r="CF495" i="56"/>
  <c r="CF494" i="56"/>
  <c r="CF493" i="56"/>
  <c r="CF492" i="56"/>
  <c r="CF491" i="56"/>
  <c r="CF490" i="56"/>
  <c r="CF489" i="56"/>
  <c r="CF488" i="56"/>
  <c r="CF487" i="56"/>
  <c r="CF486" i="56"/>
  <c r="CF485" i="56"/>
  <c r="CF484" i="56"/>
  <c r="CF483" i="56"/>
  <c r="CF482" i="56"/>
  <c r="CF481" i="56"/>
  <c r="CF480" i="56"/>
  <c r="CF479" i="56"/>
  <c r="CF478" i="56"/>
  <c r="CF477" i="56"/>
  <c r="CF476" i="56"/>
  <c r="CF475" i="56"/>
  <c r="CF474" i="56"/>
  <c r="CF473" i="56"/>
  <c r="CF472" i="56"/>
  <c r="CF471" i="56"/>
  <c r="CF470" i="56"/>
  <c r="CF469" i="56"/>
  <c r="CF468" i="56"/>
  <c r="CF467" i="56"/>
  <c r="CF466" i="56"/>
  <c r="CF465" i="56"/>
  <c r="CF464" i="56"/>
  <c r="CF463" i="56"/>
  <c r="CF462" i="56"/>
  <c r="CF461" i="56"/>
  <c r="CF460" i="56"/>
  <c r="CF459" i="56"/>
  <c r="CF458" i="56"/>
  <c r="CF457" i="56"/>
  <c r="CF456" i="56"/>
  <c r="CF455" i="56"/>
  <c r="CF454" i="56"/>
  <c r="CF453" i="56"/>
  <c r="CF452" i="56"/>
  <c r="CF451" i="56"/>
  <c r="CF450" i="56"/>
  <c r="CF449" i="56"/>
  <c r="CF448" i="56"/>
  <c r="CF447" i="56"/>
  <c r="CF446" i="56"/>
  <c r="CF445" i="56"/>
  <c r="CF444" i="56"/>
  <c r="CF443" i="56"/>
  <c r="CF442" i="56"/>
  <c r="CF441" i="56"/>
  <c r="CF440" i="56"/>
  <c r="CF439" i="56"/>
  <c r="CF438" i="56"/>
  <c r="CF437" i="56"/>
  <c r="CF436" i="56"/>
  <c r="CF435" i="56"/>
  <c r="CF434" i="56"/>
  <c r="CF433" i="56"/>
  <c r="CF432" i="56"/>
  <c r="CF431" i="56"/>
  <c r="CF430" i="56"/>
  <c r="CF429" i="56"/>
  <c r="CF428" i="56"/>
  <c r="CF427" i="56"/>
  <c r="CF426" i="56"/>
  <c r="CF425" i="56"/>
  <c r="CF424" i="56"/>
  <c r="CF423" i="56"/>
  <c r="CF422" i="56"/>
  <c r="CF421" i="56"/>
  <c r="CF420" i="56"/>
  <c r="CF419" i="56"/>
  <c r="CF418" i="56"/>
  <c r="CF417" i="56"/>
  <c r="CF416" i="56"/>
  <c r="CF415" i="56"/>
  <c r="CF414" i="56"/>
  <c r="CF413" i="56"/>
  <c r="CF412" i="56"/>
  <c r="CF411" i="56"/>
  <c r="CF410" i="56"/>
  <c r="CF409" i="56"/>
  <c r="CF408" i="56"/>
  <c r="CF407" i="56"/>
  <c r="CF406" i="56"/>
  <c r="CF405" i="56"/>
  <c r="CF404" i="56"/>
  <c r="CF403" i="56"/>
  <c r="CF402" i="56"/>
  <c r="CF401" i="56"/>
  <c r="CF400" i="56"/>
  <c r="CF399" i="56"/>
  <c r="CF398" i="56"/>
  <c r="CF397" i="56"/>
  <c r="CF396" i="56"/>
  <c r="CF395" i="56"/>
  <c r="CF394" i="56"/>
  <c r="CF393" i="56"/>
  <c r="CF392" i="56"/>
  <c r="CF391" i="56"/>
  <c r="CF390" i="56"/>
  <c r="CF389" i="56"/>
  <c r="CF388" i="56"/>
  <c r="CF387" i="56"/>
  <c r="CF386" i="56"/>
  <c r="CF385" i="56"/>
  <c r="CF384" i="56"/>
  <c r="CF383" i="56"/>
  <c r="CF382" i="56"/>
  <c r="CF381" i="56"/>
  <c r="CF380" i="56"/>
  <c r="CF379" i="56"/>
  <c r="CF378" i="56"/>
  <c r="CF377" i="56"/>
  <c r="CF376" i="56"/>
  <c r="CF375" i="56"/>
  <c r="CF374" i="56"/>
  <c r="CF373" i="56"/>
  <c r="CF372" i="56"/>
  <c r="CF371" i="56"/>
  <c r="CF370" i="56"/>
  <c r="CF369" i="56"/>
  <c r="CF368" i="56"/>
  <c r="CF367" i="56"/>
  <c r="CF366" i="56"/>
  <c r="CF365" i="56"/>
  <c r="CF364" i="56"/>
  <c r="CF363" i="56"/>
  <c r="CF362" i="56"/>
  <c r="CF361" i="56"/>
  <c r="CF360" i="56"/>
  <c r="CF359" i="56"/>
  <c r="CF358" i="56"/>
  <c r="CF357" i="56"/>
  <c r="CF356" i="56"/>
  <c r="CF355" i="56"/>
  <c r="CF354" i="56"/>
  <c r="CF353" i="56"/>
  <c r="CF352" i="56"/>
  <c r="CF351" i="56"/>
  <c r="CF350" i="56"/>
  <c r="CF349" i="56"/>
  <c r="CF348" i="56"/>
  <c r="CF347" i="56"/>
  <c r="CF346" i="56"/>
  <c r="CF345" i="56"/>
  <c r="CF344" i="56"/>
  <c r="CF343" i="56"/>
  <c r="CF342" i="56"/>
  <c r="CF341" i="56"/>
  <c r="CF340" i="56"/>
  <c r="CF339" i="56"/>
  <c r="CF338" i="56"/>
  <c r="CF337" i="56"/>
  <c r="CF336" i="56"/>
  <c r="CF335" i="56"/>
  <c r="CF334" i="56"/>
  <c r="CF333" i="56"/>
  <c r="CF332" i="56"/>
  <c r="CF331" i="56"/>
  <c r="CF330" i="56"/>
  <c r="CF329" i="56"/>
  <c r="CF328" i="56"/>
  <c r="CF327" i="56"/>
  <c r="CF326" i="56"/>
  <c r="CF325" i="56"/>
  <c r="CF324" i="56"/>
  <c r="CF323" i="56"/>
  <c r="CF322" i="56"/>
  <c r="CF321" i="56"/>
  <c r="CF320" i="56"/>
  <c r="CF319" i="56"/>
  <c r="CF318" i="56"/>
  <c r="CF317" i="56"/>
  <c r="CF316" i="56"/>
  <c r="CF315" i="56"/>
  <c r="CF314" i="56"/>
  <c r="CF313" i="56"/>
  <c r="CF312" i="56"/>
  <c r="CF311" i="56"/>
  <c r="CF310" i="56"/>
  <c r="CF309" i="56"/>
  <c r="CF308" i="56"/>
  <c r="CF307" i="56"/>
  <c r="CF306" i="56"/>
  <c r="CF305" i="56"/>
  <c r="CF304" i="56"/>
  <c r="CF303" i="56"/>
  <c r="CF302" i="56"/>
  <c r="CF301" i="56"/>
  <c r="CF300" i="56"/>
  <c r="CF299" i="56"/>
  <c r="CF298" i="56"/>
  <c r="CF297" i="56"/>
  <c r="CF296" i="56"/>
  <c r="CF295" i="56"/>
  <c r="CF294" i="56"/>
  <c r="CF293" i="56"/>
  <c r="CF292" i="56"/>
  <c r="CF291" i="56"/>
  <c r="CF290" i="56"/>
  <c r="CF289" i="56"/>
  <c r="CF288" i="56"/>
  <c r="CF287" i="56"/>
  <c r="CF286" i="56"/>
  <c r="CF285" i="56"/>
  <c r="CF284" i="56"/>
  <c r="CF283" i="56"/>
  <c r="CF282" i="56"/>
  <c r="CF281" i="56"/>
  <c r="CF280" i="56"/>
  <c r="CF279" i="56"/>
  <c r="CF278" i="56"/>
  <c r="CF277" i="56"/>
  <c r="CF276" i="56"/>
  <c r="CF275" i="56"/>
  <c r="CF274" i="56"/>
  <c r="CF273" i="56"/>
  <c r="CF272" i="56"/>
  <c r="CF271" i="56"/>
  <c r="CF270" i="56"/>
  <c r="CF269" i="56"/>
  <c r="CF268" i="56"/>
  <c r="CF267" i="56"/>
  <c r="CF266" i="56"/>
  <c r="CF265" i="56"/>
  <c r="CF264" i="56"/>
  <c r="CF263" i="56"/>
  <c r="CF262" i="56"/>
  <c r="CF261" i="56"/>
  <c r="CF260" i="56"/>
  <c r="CF259" i="56"/>
  <c r="CF258" i="56"/>
  <c r="CF257" i="56"/>
  <c r="CF256" i="56"/>
  <c r="CF255" i="56"/>
  <c r="CF254" i="56"/>
  <c r="CF253" i="56"/>
  <c r="CF252" i="56"/>
  <c r="CF251" i="56"/>
  <c r="CF250" i="56"/>
  <c r="CF249" i="56"/>
  <c r="CF248" i="56"/>
  <c r="CF247" i="56"/>
  <c r="CF246" i="56"/>
  <c r="CF245" i="56"/>
  <c r="CF244" i="56"/>
  <c r="CF243" i="56"/>
  <c r="CF242" i="56"/>
  <c r="CF241" i="56"/>
  <c r="CF240" i="56"/>
  <c r="CF239" i="56"/>
  <c r="CF238" i="56"/>
  <c r="CF237" i="56"/>
  <c r="CF236" i="56"/>
  <c r="CF235" i="56"/>
  <c r="CF234" i="56"/>
  <c r="CF233" i="56"/>
  <c r="CF232" i="56"/>
  <c r="CF231" i="56"/>
  <c r="CF230" i="56"/>
  <c r="CF229" i="56"/>
  <c r="CF228" i="56"/>
  <c r="CF227" i="56"/>
  <c r="CF226" i="56"/>
  <c r="CF225" i="56"/>
  <c r="CF224" i="56"/>
  <c r="CF223" i="56"/>
  <c r="CF222" i="56"/>
  <c r="CF221" i="56"/>
  <c r="CF220" i="56"/>
  <c r="CF219" i="56"/>
  <c r="CF218" i="56"/>
  <c r="CF217" i="56"/>
  <c r="CF216" i="56"/>
  <c r="CF215" i="56"/>
  <c r="CF214" i="56"/>
  <c r="CF213" i="56"/>
  <c r="CF212" i="56"/>
  <c r="CF211" i="56"/>
  <c r="CF210" i="56"/>
  <c r="CF209" i="56"/>
  <c r="CF208" i="56"/>
  <c r="CF207" i="56"/>
  <c r="CF206" i="56"/>
  <c r="CF205" i="56"/>
  <c r="CF204" i="56"/>
  <c r="CF203" i="56"/>
  <c r="CF202" i="56"/>
  <c r="CF201" i="56"/>
  <c r="CF200" i="56"/>
  <c r="CF199" i="56"/>
  <c r="CF198" i="56"/>
  <c r="CF197" i="56"/>
  <c r="CF196" i="56"/>
  <c r="CF195" i="56"/>
  <c r="CF194" i="56"/>
  <c r="CF193" i="56"/>
  <c r="CF192" i="56"/>
  <c r="CF191" i="56"/>
  <c r="CF190" i="56"/>
  <c r="CF189" i="56"/>
  <c r="CF188" i="56"/>
  <c r="CF187" i="56"/>
  <c r="CF186" i="56"/>
  <c r="CF185" i="56"/>
  <c r="CF184" i="56"/>
  <c r="CF183" i="56"/>
  <c r="CF182" i="56"/>
  <c r="CF181" i="56"/>
  <c r="CF180" i="56"/>
  <c r="CF179" i="56"/>
  <c r="CF178" i="56"/>
  <c r="CF177" i="56"/>
  <c r="CF176" i="56"/>
  <c r="CF175" i="56"/>
  <c r="CF174" i="56"/>
  <c r="CF173" i="56"/>
  <c r="CF172" i="56"/>
  <c r="CF171" i="56"/>
  <c r="CF170" i="56"/>
  <c r="CF169" i="56"/>
  <c r="CF168" i="56"/>
  <c r="CF167" i="56"/>
  <c r="CF166" i="56"/>
  <c r="CF165" i="56"/>
  <c r="CF164" i="56"/>
  <c r="CF163" i="56"/>
  <c r="CF162" i="56"/>
  <c r="CF161" i="56"/>
  <c r="CF160" i="56"/>
  <c r="CF159" i="56"/>
  <c r="CF158" i="56"/>
  <c r="CF157" i="56"/>
  <c r="CF156" i="56"/>
  <c r="CF155" i="56"/>
  <c r="CF154" i="56"/>
  <c r="CF153" i="56"/>
  <c r="CF152" i="56"/>
  <c r="CF151" i="56"/>
  <c r="CF150" i="56"/>
  <c r="CF149" i="56"/>
  <c r="CF148" i="56"/>
  <c r="CF147" i="56"/>
  <c r="CF146" i="56"/>
  <c r="CF145" i="56"/>
  <c r="CF144" i="56"/>
  <c r="CF143" i="56"/>
  <c r="CF142" i="56"/>
  <c r="CF141" i="56"/>
  <c r="CF140" i="56"/>
  <c r="CF139" i="56"/>
  <c r="CF138" i="56"/>
  <c r="CF137" i="56"/>
  <c r="CF136" i="56"/>
  <c r="CF135" i="56"/>
  <c r="CF134" i="56"/>
  <c r="CF133" i="56"/>
  <c r="CF132" i="56"/>
  <c r="CF131" i="56"/>
  <c r="CF130" i="56"/>
  <c r="CF129" i="56"/>
  <c r="CF128" i="56"/>
  <c r="CF127" i="56"/>
  <c r="CF126" i="56"/>
  <c r="CF125" i="56"/>
  <c r="CF124" i="56"/>
  <c r="CF123" i="56"/>
  <c r="CF122" i="56"/>
  <c r="CF121" i="56"/>
  <c r="CF120" i="56"/>
  <c r="CF119" i="56"/>
  <c r="CF118" i="56"/>
  <c r="CF117" i="56"/>
  <c r="CF116" i="56"/>
  <c r="CF115" i="56"/>
  <c r="CF114" i="56"/>
  <c r="CF113" i="56"/>
  <c r="CF112" i="56"/>
  <c r="CF111" i="56"/>
  <c r="CF110" i="56"/>
  <c r="CF109" i="56"/>
  <c r="CF108" i="56"/>
  <c r="CF107" i="56"/>
  <c r="CF106" i="56"/>
  <c r="CF105" i="56"/>
  <c r="CF104" i="56"/>
  <c r="CF103" i="56"/>
  <c r="CF102" i="56"/>
  <c r="CF101" i="56"/>
  <c r="CF100" i="56"/>
  <c r="CF99" i="56"/>
  <c r="CF98" i="56"/>
  <c r="CF97" i="56"/>
  <c r="CF96" i="56"/>
  <c r="CF95" i="56"/>
  <c r="CF94" i="56"/>
  <c r="CF93" i="56"/>
  <c r="CF92" i="56"/>
  <c r="CF91" i="56"/>
  <c r="CF90" i="56"/>
  <c r="CF89" i="56"/>
  <c r="CF88" i="56"/>
  <c r="CF87" i="56"/>
  <c r="CF86" i="56"/>
  <c r="CF85" i="56"/>
  <c r="CF84" i="56"/>
  <c r="CF83" i="56"/>
  <c r="CF82" i="56"/>
  <c r="CF81" i="56"/>
  <c r="CF80" i="56"/>
  <c r="CF79" i="56"/>
  <c r="CF78" i="56"/>
  <c r="CF77" i="56"/>
  <c r="CF76" i="56"/>
  <c r="CF75" i="56"/>
  <c r="CF74" i="56"/>
  <c r="CF73" i="56"/>
  <c r="CF72" i="56"/>
  <c r="CF71" i="56"/>
  <c r="CF70" i="56"/>
  <c r="CF69" i="56"/>
  <c r="CF68" i="56"/>
  <c r="CF67" i="56"/>
  <c r="CF66" i="56"/>
  <c r="CF65" i="56"/>
  <c r="CF64" i="56"/>
  <c r="CF63" i="56"/>
  <c r="CF62" i="56"/>
  <c r="CF61" i="56"/>
  <c r="CF60" i="56"/>
  <c r="CF59" i="56"/>
  <c r="CF58" i="56"/>
  <c r="CF57" i="56"/>
  <c r="CF56" i="56"/>
  <c r="CF55" i="56"/>
  <c r="CF54" i="56"/>
  <c r="CF53" i="56"/>
  <c r="CF52" i="56"/>
  <c r="CF51" i="56"/>
  <c r="CF50" i="56"/>
  <c r="CF49" i="56"/>
  <c r="CF48" i="56"/>
  <c r="CF47" i="56"/>
  <c r="CF46" i="56"/>
  <c r="CF45" i="56"/>
  <c r="CF44" i="56"/>
  <c r="CF43" i="56"/>
  <c r="CF42" i="56"/>
  <c r="CF41" i="56"/>
  <c r="CF40" i="56"/>
  <c r="CF39" i="56"/>
  <c r="CF38" i="56"/>
  <c r="CF37" i="56"/>
  <c r="CF36" i="56"/>
  <c r="CF35" i="56"/>
  <c r="CF34" i="56"/>
  <c r="CF33" i="56"/>
  <c r="CF32" i="56"/>
  <c r="CF31" i="56"/>
  <c r="CF30" i="56"/>
  <c r="CF29" i="56"/>
  <c r="CF28" i="56"/>
  <c r="CF27" i="56"/>
  <c r="CF26" i="56"/>
  <c r="CF25" i="56"/>
  <c r="CF24" i="56"/>
  <c r="CF23" i="56"/>
  <c r="CF22" i="56"/>
  <c r="CF21" i="56"/>
  <c r="CF20" i="56"/>
  <c r="CF19" i="56"/>
  <c r="CF18" i="56"/>
  <c r="CF17" i="56"/>
  <c r="CF16" i="56"/>
  <c r="I11" i="56"/>
  <c r="I10" i="56"/>
  <c r="P515" i="56"/>
  <c r="R515" i="56" s="1"/>
  <c r="O515" i="56"/>
  <c r="Q515" i="56" s="1"/>
  <c r="P514" i="56"/>
  <c r="R514" i="56" s="1"/>
  <c r="O514" i="56"/>
  <c r="Q514" i="56" s="1"/>
  <c r="P513" i="56"/>
  <c r="R513" i="56" s="1"/>
  <c r="O513" i="56"/>
  <c r="Q513" i="56" s="1"/>
  <c r="P512" i="56"/>
  <c r="R512" i="56" s="1"/>
  <c r="O512" i="56"/>
  <c r="Q512" i="56" s="1"/>
  <c r="P511" i="56"/>
  <c r="R511" i="56" s="1"/>
  <c r="O511" i="56"/>
  <c r="Q511" i="56" s="1"/>
  <c r="P510" i="56"/>
  <c r="R510" i="56" s="1"/>
  <c r="O510" i="56"/>
  <c r="Q510" i="56" s="1"/>
  <c r="P509" i="56"/>
  <c r="R509" i="56" s="1"/>
  <c r="O509" i="56"/>
  <c r="Q509" i="56" s="1"/>
  <c r="P508" i="56"/>
  <c r="R508" i="56" s="1"/>
  <c r="O508" i="56"/>
  <c r="Q508" i="56" s="1"/>
  <c r="P507" i="56"/>
  <c r="R507" i="56" s="1"/>
  <c r="O507" i="56"/>
  <c r="Q507" i="56" s="1"/>
  <c r="P506" i="56"/>
  <c r="R506" i="56" s="1"/>
  <c r="O506" i="56"/>
  <c r="Q506" i="56" s="1"/>
  <c r="P505" i="56"/>
  <c r="R505" i="56" s="1"/>
  <c r="O505" i="56"/>
  <c r="Q505" i="56" s="1"/>
  <c r="P504" i="56"/>
  <c r="R504" i="56" s="1"/>
  <c r="O504" i="56"/>
  <c r="Q504" i="56" s="1"/>
  <c r="P503" i="56"/>
  <c r="R503" i="56" s="1"/>
  <c r="O503" i="56"/>
  <c r="Q503" i="56" s="1"/>
  <c r="P502" i="56"/>
  <c r="R502" i="56" s="1"/>
  <c r="O502" i="56"/>
  <c r="Q502" i="56" s="1"/>
  <c r="P501" i="56"/>
  <c r="R501" i="56" s="1"/>
  <c r="O501" i="56"/>
  <c r="Q501" i="56" s="1"/>
  <c r="P500" i="56"/>
  <c r="R500" i="56" s="1"/>
  <c r="O500" i="56"/>
  <c r="Q500" i="56" s="1"/>
  <c r="P499" i="56"/>
  <c r="R499" i="56" s="1"/>
  <c r="O499" i="56"/>
  <c r="Q499" i="56" s="1"/>
  <c r="P498" i="56"/>
  <c r="R498" i="56" s="1"/>
  <c r="O498" i="56"/>
  <c r="Q498" i="56" s="1"/>
  <c r="P497" i="56"/>
  <c r="R497" i="56" s="1"/>
  <c r="O497" i="56"/>
  <c r="Q497" i="56" s="1"/>
  <c r="P496" i="56"/>
  <c r="R496" i="56" s="1"/>
  <c r="O496" i="56"/>
  <c r="Q496" i="56" s="1"/>
  <c r="P495" i="56"/>
  <c r="R495" i="56" s="1"/>
  <c r="O495" i="56"/>
  <c r="Q495" i="56" s="1"/>
  <c r="P494" i="56"/>
  <c r="R494" i="56" s="1"/>
  <c r="O494" i="56"/>
  <c r="Q494" i="56" s="1"/>
  <c r="P493" i="56"/>
  <c r="R493" i="56" s="1"/>
  <c r="O493" i="56"/>
  <c r="Q493" i="56" s="1"/>
  <c r="P492" i="56"/>
  <c r="R492" i="56" s="1"/>
  <c r="O492" i="56"/>
  <c r="Q492" i="56" s="1"/>
  <c r="P491" i="56"/>
  <c r="R491" i="56" s="1"/>
  <c r="O491" i="56"/>
  <c r="Q491" i="56" s="1"/>
  <c r="P490" i="56"/>
  <c r="R490" i="56" s="1"/>
  <c r="O490" i="56"/>
  <c r="Q490" i="56" s="1"/>
  <c r="P489" i="56"/>
  <c r="R489" i="56" s="1"/>
  <c r="O489" i="56"/>
  <c r="Q489" i="56" s="1"/>
  <c r="P488" i="56"/>
  <c r="R488" i="56" s="1"/>
  <c r="O488" i="56"/>
  <c r="Q488" i="56" s="1"/>
  <c r="P487" i="56"/>
  <c r="R487" i="56" s="1"/>
  <c r="O487" i="56"/>
  <c r="Q487" i="56" s="1"/>
  <c r="P486" i="56"/>
  <c r="R486" i="56" s="1"/>
  <c r="O486" i="56"/>
  <c r="Q486" i="56" s="1"/>
  <c r="P485" i="56"/>
  <c r="R485" i="56" s="1"/>
  <c r="O485" i="56"/>
  <c r="Q485" i="56" s="1"/>
  <c r="P484" i="56"/>
  <c r="R484" i="56" s="1"/>
  <c r="O484" i="56"/>
  <c r="Q484" i="56" s="1"/>
  <c r="P483" i="56"/>
  <c r="R483" i="56" s="1"/>
  <c r="O483" i="56"/>
  <c r="Q483" i="56" s="1"/>
  <c r="P482" i="56"/>
  <c r="R482" i="56" s="1"/>
  <c r="O482" i="56"/>
  <c r="Q482" i="56" s="1"/>
  <c r="P481" i="56"/>
  <c r="R481" i="56" s="1"/>
  <c r="O481" i="56"/>
  <c r="Q481" i="56" s="1"/>
  <c r="P480" i="56"/>
  <c r="R480" i="56" s="1"/>
  <c r="O480" i="56"/>
  <c r="Q480" i="56" s="1"/>
  <c r="P479" i="56"/>
  <c r="R479" i="56" s="1"/>
  <c r="O479" i="56"/>
  <c r="Q479" i="56" s="1"/>
  <c r="P478" i="56"/>
  <c r="R478" i="56" s="1"/>
  <c r="O478" i="56"/>
  <c r="Q478" i="56" s="1"/>
  <c r="P477" i="56"/>
  <c r="R477" i="56" s="1"/>
  <c r="O477" i="56"/>
  <c r="Q477" i="56" s="1"/>
  <c r="P476" i="56"/>
  <c r="R476" i="56" s="1"/>
  <c r="O476" i="56"/>
  <c r="Q476" i="56" s="1"/>
  <c r="P475" i="56"/>
  <c r="R475" i="56" s="1"/>
  <c r="O475" i="56"/>
  <c r="Q475" i="56" s="1"/>
  <c r="P474" i="56"/>
  <c r="R474" i="56" s="1"/>
  <c r="O474" i="56"/>
  <c r="Q474" i="56" s="1"/>
  <c r="P473" i="56"/>
  <c r="R473" i="56" s="1"/>
  <c r="O473" i="56"/>
  <c r="Q473" i="56" s="1"/>
  <c r="P472" i="56"/>
  <c r="R472" i="56" s="1"/>
  <c r="O472" i="56"/>
  <c r="Q472" i="56" s="1"/>
  <c r="P471" i="56"/>
  <c r="R471" i="56" s="1"/>
  <c r="O471" i="56"/>
  <c r="Q471" i="56" s="1"/>
  <c r="P470" i="56"/>
  <c r="R470" i="56" s="1"/>
  <c r="O470" i="56"/>
  <c r="Q470" i="56" s="1"/>
  <c r="P469" i="56"/>
  <c r="R469" i="56" s="1"/>
  <c r="O469" i="56"/>
  <c r="Q469" i="56" s="1"/>
  <c r="P468" i="56"/>
  <c r="R468" i="56" s="1"/>
  <c r="O468" i="56"/>
  <c r="Q468" i="56" s="1"/>
  <c r="P467" i="56"/>
  <c r="R467" i="56" s="1"/>
  <c r="O467" i="56"/>
  <c r="Q467" i="56" s="1"/>
  <c r="P466" i="56"/>
  <c r="R466" i="56" s="1"/>
  <c r="O466" i="56"/>
  <c r="Q466" i="56" s="1"/>
  <c r="P465" i="56"/>
  <c r="R465" i="56" s="1"/>
  <c r="O465" i="56"/>
  <c r="Q465" i="56" s="1"/>
  <c r="P464" i="56"/>
  <c r="R464" i="56" s="1"/>
  <c r="O464" i="56"/>
  <c r="Q464" i="56" s="1"/>
  <c r="P463" i="56"/>
  <c r="R463" i="56" s="1"/>
  <c r="O463" i="56"/>
  <c r="Q463" i="56" s="1"/>
  <c r="P462" i="56"/>
  <c r="R462" i="56" s="1"/>
  <c r="O462" i="56"/>
  <c r="Q462" i="56" s="1"/>
  <c r="P461" i="56"/>
  <c r="R461" i="56" s="1"/>
  <c r="O461" i="56"/>
  <c r="Q461" i="56" s="1"/>
  <c r="P460" i="56"/>
  <c r="R460" i="56" s="1"/>
  <c r="O460" i="56"/>
  <c r="Q460" i="56" s="1"/>
  <c r="P459" i="56"/>
  <c r="R459" i="56" s="1"/>
  <c r="O459" i="56"/>
  <c r="Q459" i="56" s="1"/>
  <c r="P458" i="56"/>
  <c r="R458" i="56" s="1"/>
  <c r="O458" i="56"/>
  <c r="Q458" i="56" s="1"/>
  <c r="P457" i="56"/>
  <c r="R457" i="56" s="1"/>
  <c r="O457" i="56"/>
  <c r="Q457" i="56" s="1"/>
  <c r="P456" i="56"/>
  <c r="R456" i="56" s="1"/>
  <c r="O456" i="56"/>
  <c r="Q456" i="56" s="1"/>
  <c r="P455" i="56"/>
  <c r="R455" i="56" s="1"/>
  <c r="O455" i="56"/>
  <c r="Q455" i="56" s="1"/>
  <c r="P454" i="56"/>
  <c r="R454" i="56" s="1"/>
  <c r="O454" i="56"/>
  <c r="Q454" i="56" s="1"/>
  <c r="P453" i="56"/>
  <c r="R453" i="56" s="1"/>
  <c r="O453" i="56"/>
  <c r="Q453" i="56" s="1"/>
  <c r="P452" i="56"/>
  <c r="R452" i="56" s="1"/>
  <c r="O452" i="56"/>
  <c r="Q452" i="56" s="1"/>
  <c r="P451" i="56"/>
  <c r="R451" i="56" s="1"/>
  <c r="O451" i="56"/>
  <c r="Q451" i="56" s="1"/>
  <c r="P450" i="56"/>
  <c r="R450" i="56" s="1"/>
  <c r="O450" i="56"/>
  <c r="Q450" i="56" s="1"/>
  <c r="P449" i="56"/>
  <c r="R449" i="56" s="1"/>
  <c r="O449" i="56"/>
  <c r="Q449" i="56" s="1"/>
  <c r="P448" i="56"/>
  <c r="R448" i="56" s="1"/>
  <c r="O448" i="56"/>
  <c r="Q448" i="56" s="1"/>
  <c r="P447" i="56"/>
  <c r="R447" i="56" s="1"/>
  <c r="O447" i="56"/>
  <c r="Q447" i="56" s="1"/>
  <c r="P446" i="56"/>
  <c r="R446" i="56" s="1"/>
  <c r="O446" i="56"/>
  <c r="Q446" i="56" s="1"/>
  <c r="P445" i="56"/>
  <c r="R445" i="56" s="1"/>
  <c r="O445" i="56"/>
  <c r="Q445" i="56" s="1"/>
  <c r="P444" i="56"/>
  <c r="R444" i="56" s="1"/>
  <c r="O444" i="56"/>
  <c r="Q444" i="56" s="1"/>
  <c r="P443" i="56"/>
  <c r="R443" i="56" s="1"/>
  <c r="O443" i="56"/>
  <c r="Q443" i="56" s="1"/>
  <c r="P442" i="56"/>
  <c r="R442" i="56" s="1"/>
  <c r="O442" i="56"/>
  <c r="Q442" i="56" s="1"/>
  <c r="P441" i="56"/>
  <c r="R441" i="56" s="1"/>
  <c r="O441" i="56"/>
  <c r="Q441" i="56" s="1"/>
  <c r="P440" i="56"/>
  <c r="R440" i="56" s="1"/>
  <c r="O440" i="56"/>
  <c r="Q440" i="56" s="1"/>
  <c r="P439" i="56"/>
  <c r="R439" i="56" s="1"/>
  <c r="O439" i="56"/>
  <c r="Q439" i="56" s="1"/>
  <c r="P438" i="56"/>
  <c r="R438" i="56" s="1"/>
  <c r="O438" i="56"/>
  <c r="Q438" i="56" s="1"/>
  <c r="P437" i="56"/>
  <c r="R437" i="56" s="1"/>
  <c r="O437" i="56"/>
  <c r="Q437" i="56" s="1"/>
  <c r="P436" i="56"/>
  <c r="R436" i="56" s="1"/>
  <c r="O436" i="56"/>
  <c r="Q436" i="56" s="1"/>
  <c r="P435" i="56"/>
  <c r="R435" i="56" s="1"/>
  <c r="O435" i="56"/>
  <c r="Q435" i="56" s="1"/>
  <c r="P434" i="56"/>
  <c r="R434" i="56" s="1"/>
  <c r="O434" i="56"/>
  <c r="Q434" i="56" s="1"/>
  <c r="P433" i="56"/>
  <c r="R433" i="56" s="1"/>
  <c r="O433" i="56"/>
  <c r="Q433" i="56" s="1"/>
  <c r="P432" i="56"/>
  <c r="R432" i="56" s="1"/>
  <c r="O432" i="56"/>
  <c r="Q432" i="56" s="1"/>
  <c r="P431" i="56"/>
  <c r="R431" i="56" s="1"/>
  <c r="O431" i="56"/>
  <c r="Q431" i="56" s="1"/>
  <c r="P430" i="56"/>
  <c r="R430" i="56" s="1"/>
  <c r="O430" i="56"/>
  <c r="Q430" i="56" s="1"/>
  <c r="P429" i="56"/>
  <c r="R429" i="56" s="1"/>
  <c r="O429" i="56"/>
  <c r="Q429" i="56" s="1"/>
  <c r="P428" i="56"/>
  <c r="R428" i="56" s="1"/>
  <c r="O428" i="56"/>
  <c r="Q428" i="56" s="1"/>
  <c r="P427" i="56"/>
  <c r="R427" i="56" s="1"/>
  <c r="O427" i="56"/>
  <c r="Q427" i="56" s="1"/>
  <c r="P426" i="56"/>
  <c r="R426" i="56" s="1"/>
  <c r="O426" i="56"/>
  <c r="Q426" i="56" s="1"/>
  <c r="P425" i="56"/>
  <c r="R425" i="56" s="1"/>
  <c r="O425" i="56"/>
  <c r="Q425" i="56" s="1"/>
  <c r="P424" i="56"/>
  <c r="R424" i="56" s="1"/>
  <c r="O424" i="56"/>
  <c r="Q424" i="56" s="1"/>
  <c r="P423" i="56"/>
  <c r="R423" i="56" s="1"/>
  <c r="O423" i="56"/>
  <c r="Q423" i="56" s="1"/>
  <c r="P422" i="56"/>
  <c r="R422" i="56" s="1"/>
  <c r="O422" i="56"/>
  <c r="Q422" i="56" s="1"/>
  <c r="P421" i="56"/>
  <c r="R421" i="56" s="1"/>
  <c r="O421" i="56"/>
  <c r="Q421" i="56" s="1"/>
  <c r="P420" i="56"/>
  <c r="R420" i="56" s="1"/>
  <c r="O420" i="56"/>
  <c r="Q420" i="56" s="1"/>
  <c r="P419" i="56"/>
  <c r="R419" i="56" s="1"/>
  <c r="O419" i="56"/>
  <c r="Q419" i="56" s="1"/>
  <c r="P418" i="56"/>
  <c r="R418" i="56" s="1"/>
  <c r="O418" i="56"/>
  <c r="Q418" i="56" s="1"/>
  <c r="P417" i="56"/>
  <c r="R417" i="56" s="1"/>
  <c r="O417" i="56"/>
  <c r="Q417" i="56" s="1"/>
  <c r="P416" i="56"/>
  <c r="R416" i="56" s="1"/>
  <c r="O416" i="56"/>
  <c r="Q416" i="56" s="1"/>
  <c r="P415" i="56"/>
  <c r="R415" i="56" s="1"/>
  <c r="O415" i="56"/>
  <c r="Q415" i="56" s="1"/>
  <c r="P414" i="56"/>
  <c r="R414" i="56" s="1"/>
  <c r="O414" i="56"/>
  <c r="Q414" i="56" s="1"/>
  <c r="P413" i="56"/>
  <c r="R413" i="56" s="1"/>
  <c r="O413" i="56"/>
  <c r="Q413" i="56" s="1"/>
  <c r="P412" i="56"/>
  <c r="R412" i="56" s="1"/>
  <c r="O412" i="56"/>
  <c r="Q412" i="56" s="1"/>
  <c r="P411" i="56"/>
  <c r="R411" i="56" s="1"/>
  <c r="O411" i="56"/>
  <c r="Q411" i="56" s="1"/>
  <c r="P410" i="56"/>
  <c r="R410" i="56" s="1"/>
  <c r="O410" i="56"/>
  <c r="Q410" i="56" s="1"/>
  <c r="P409" i="56"/>
  <c r="R409" i="56" s="1"/>
  <c r="O409" i="56"/>
  <c r="Q409" i="56" s="1"/>
  <c r="P408" i="56"/>
  <c r="R408" i="56" s="1"/>
  <c r="O408" i="56"/>
  <c r="Q408" i="56" s="1"/>
  <c r="P407" i="56"/>
  <c r="R407" i="56" s="1"/>
  <c r="O407" i="56"/>
  <c r="Q407" i="56" s="1"/>
  <c r="P406" i="56"/>
  <c r="R406" i="56" s="1"/>
  <c r="O406" i="56"/>
  <c r="Q406" i="56" s="1"/>
  <c r="P405" i="56"/>
  <c r="R405" i="56" s="1"/>
  <c r="O405" i="56"/>
  <c r="Q405" i="56" s="1"/>
  <c r="P404" i="56"/>
  <c r="R404" i="56" s="1"/>
  <c r="O404" i="56"/>
  <c r="Q404" i="56" s="1"/>
  <c r="P403" i="56"/>
  <c r="R403" i="56" s="1"/>
  <c r="O403" i="56"/>
  <c r="Q403" i="56" s="1"/>
  <c r="P402" i="56"/>
  <c r="R402" i="56" s="1"/>
  <c r="O402" i="56"/>
  <c r="Q402" i="56" s="1"/>
  <c r="P401" i="56"/>
  <c r="R401" i="56" s="1"/>
  <c r="O401" i="56"/>
  <c r="Q401" i="56" s="1"/>
  <c r="P400" i="56"/>
  <c r="R400" i="56" s="1"/>
  <c r="O400" i="56"/>
  <c r="Q400" i="56" s="1"/>
  <c r="P399" i="56"/>
  <c r="R399" i="56" s="1"/>
  <c r="O399" i="56"/>
  <c r="Q399" i="56" s="1"/>
  <c r="P398" i="56"/>
  <c r="R398" i="56" s="1"/>
  <c r="O398" i="56"/>
  <c r="Q398" i="56" s="1"/>
  <c r="P397" i="56"/>
  <c r="R397" i="56" s="1"/>
  <c r="O397" i="56"/>
  <c r="Q397" i="56" s="1"/>
  <c r="P396" i="56"/>
  <c r="R396" i="56" s="1"/>
  <c r="O396" i="56"/>
  <c r="Q396" i="56" s="1"/>
  <c r="P395" i="56"/>
  <c r="R395" i="56" s="1"/>
  <c r="O395" i="56"/>
  <c r="Q395" i="56" s="1"/>
  <c r="P394" i="56"/>
  <c r="R394" i="56" s="1"/>
  <c r="O394" i="56"/>
  <c r="Q394" i="56" s="1"/>
  <c r="P393" i="56"/>
  <c r="R393" i="56" s="1"/>
  <c r="O393" i="56"/>
  <c r="Q393" i="56" s="1"/>
  <c r="P392" i="56"/>
  <c r="R392" i="56" s="1"/>
  <c r="O392" i="56"/>
  <c r="Q392" i="56" s="1"/>
  <c r="P391" i="56"/>
  <c r="R391" i="56" s="1"/>
  <c r="O391" i="56"/>
  <c r="Q391" i="56" s="1"/>
  <c r="P390" i="56"/>
  <c r="R390" i="56" s="1"/>
  <c r="O390" i="56"/>
  <c r="Q390" i="56" s="1"/>
  <c r="P389" i="56"/>
  <c r="R389" i="56" s="1"/>
  <c r="O389" i="56"/>
  <c r="Q389" i="56" s="1"/>
  <c r="P388" i="56"/>
  <c r="R388" i="56" s="1"/>
  <c r="O388" i="56"/>
  <c r="Q388" i="56" s="1"/>
  <c r="P387" i="56"/>
  <c r="R387" i="56" s="1"/>
  <c r="O387" i="56"/>
  <c r="Q387" i="56" s="1"/>
  <c r="P386" i="56"/>
  <c r="R386" i="56" s="1"/>
  <c r="O386" i="56"/>
  <c r="Q386" i="56" s="1"/>
  <c r="P385" i="56"/>
  <c r="R385" i="56" s="1"/>
  <c r="O385" i="56"/>
  <c r="Q385" i="56" s="1"/>
  <c r="P384" i="56"/>
  <c r="R384" i="56" s="1"/>
  <c r="O384" i="56"/>
  <c r="Q384" i="56" s="1"/>
  <c r="P383" i="56"/>
  <c r="R383" i="56" s="1"/>
  <c r="O383" i="56"/>
  <c r="Q383" i="56" s="1"/>
  <c r="P382" i="56"/>
  <c r="R382" i="56" s="1"/>
  <c r="O382" i="56"/>
  <c r="Q382" i="56" s="1"/>
  <c r="P381" i="56"/>
  <c r="R381" i="56" s="1"/>
  <c r="O381" i="56"/>
  <c r="Q381" i="56" s="1"/>
  <c r="P380" i="56"/>
  <c r="R380" i="56" s="1"/>
  <c r="O380" i="56"/>
  <c r="Q380" i="56" s="1"/>
  <c r="P379" i="56"/>
  <c r="R379" i="56" s="1"/>
  <c r="O379" i="56"/>
  <c r="Q379" i="56" s="1"/>
  <c r="P378" i="56"/>
  <c r="R378" i="56" s="1"/>
  <c r="O378" i="56"/>
  <c r="Q378" i="56" s="1"/>
  <c r="P377" i="56"/>
  <c r="R377" i="56" s="1"/>
  <c r="O377" i="56"/>
  <c r="Q377" i="56" s="1"/>
  <c r="P376" i="56"/>
  <c r="R376" i="56" s="1"/>
  <c r="O376" i="56"/>
  <c r="Q376" i="56" s="1"/>
  <c r="P375" i="56"/>
  <c r="R375" i="56" s="1"/>
  <c r="O375" i="56"/>
  <c r="Q375" i="56" s="1"/>
  <c r="P374" i="56"/>
  <c r="R374" i="56" s="1"/>
  <c r="O374" i="56"/>
  <c r="Q374" i="56" s="1"/>
  <c r="P373" i="56"/>
  <c r="R373" i="56" s="1"/>
  <c r="O373" i="56"/>
  <c r="Q373" i="56" s="1"/>
  <c r="P372" i="56"/>
  <c r="R372" i="56" s="1"/>
  <c r="O372" i="56"/>
  <c r="Q372" i="56" s="1"/>
  <c r="P371" i="56"/>
  <c r="R371" i="56" s="1"/>
  <c r="O371" i="56"/>
  <c r="Q371" i="56" s="1"/>
  <c r="P370" i="56"/>
  <c r="R370" i="56" s="1"/>
  <c r="O370" i="56"/>
  <c r="Q370" i="56" s="1"/>
  <c r="P369" i="56"/>
  <c r="R369" i="56" s="1"/>
  <c r="O369" i="56"/>
  <c r="Q369" i="56" s="1"/>
  <c r="P368" i="56"/>
  <c r="R368" i="56" s="1"/>
  <c r="O368" i="56"/>
  <c r="Q368" i="56" s="1"/>
  <c r="P367" i="56"/>
  <c r="R367" i="56" s="1"/>
  <c r="O367" i="56"/>
  <c r="Q367" i="56" s="1"/>
  <c r="P366" i="56"/>
  <c r="R366" i="56" s="1"/>
  <c r="O366" i="56"/>
  <c r="Q366" i="56" s="1"/>
  <c r="P365" i="56"/>
  <c r="R365" i="56" s="1"/>
  <c r="O365" i="56"/>
  <c r="Q365" i="56" s="1"/>
  <c r="P364" i="56"/>
  <c r="R364" i="56" s="1"/>
  <c r="O364" i="56"/>
  <c r="Q364" i="56" s="1"/>
  <c r="P363" i="56"/>
  <c r="R363" i="56" s="1"/>
  <c r="O363" i="56"/>
  <c r="Q363" i="56" s="1"/>
  <c r="P362" i="56"/>
  <c r="R362" i="56" s="1"/>
  <c r="O362" i="56"/>
  <c r="Q362" i="56" s="1"/>
  <c r="P361" i="56"/>
  <c r="R361" i="56" s="1"/>
  <c r="O361" i="56"/>
  <c r="Q361" i="56" s="1"/>
  <c r="P360" i="56"/>
  <c r="R360" i="56" s="1"/>
  <c r="O360" i="56"/>
  <c r="Q360" i="56" s="1"/>
  <c r="P359" i="56"/>
  <c r="R359" i="56" s="1"/>
  <c r="O359" i="56"/>
  <c r="Q359" i="56" s="1"/>
  <c r="P358" i="56"/>
  <c r="R358" i="56" s="1"/>
  <c r="O358" i="56"/>
  <c r="Q358" i="56" s="1"/>
  <c r="P357" i="56"/>
  <c r="R357" i="56" s="1"/>
  <c r="O357" i="56"/>
  <c r="Q357" i="56" s="1"/>
  <c r="P356" i="56"/>
  <c r="R356" i="56" s="1"/>
  <c r="O356" i="56"/>
  <c r="Q356" i="56" s="1"/>
  <c r="P355" i="56"/>
  <c r="R355" i="56" s="1"/>
  <c r="O355" i="56"/>
  <c r="Q355" i="56" s="1"/>
  <c r="P354" i="56"/>
  <c r="R354" i="56" s="1"/>
  <c r="O354" i="56"/>
  <c r="Q354" i="56" s="1"/>
  <c r="P353" i="56"/>
  <c r="R353" i="56" s="1"/>
  <c r="O353" i="56"/>
  <c r="Q353" i="56" s="1"/>
  <c r="P352" i="56"/>
  <c r="R352" i="56" s="1"/>
  <c r="O352" i="56"/>
  <c r="Q352" i="56" s="1"/>
  <c r="P351" i="56"/>
  <c r="R351" i="56" s="1"/>
  <c r="O351" i="56"/>
  <c r="Q351" i="56" s="1"/>
  <c r="P350" i="56"/>
  <c r="R350" i="56" s="1"/>
  <c r="O350" i="56"/>
  <c r="Q350" i="56" s="1"/>
  <c r="P349" i="56"/>
  <c r="R349" i="56" s="1"/>
  <c r="O349" i="56"/>
  <c r="Q349" i="56" s="1"/>
  <c r="P348" i="56"/>
  <c r="R348" i="56" s="1"/>
  <c r="O348" i="56"/>
  <c r="Q348" i="56" s="1"/>
  <c r="P347" i="56"/>
  <c r="R347" i="56" s="1"/>
  <c r="O347" i="56"/>
  <c r="Q347" i="56" s="1"/>
  <c r="P346" i="56"/>
  <c r="R346" i="56" s="1"/>
  <c r="O346" i="56"/>
  <c r="Q346" i="56" s="1"/>
  <c r="P345" i="56"/>
  <c r="R345" i="56" s="1"/>
  <c r="O345" i="56"/>
  <c r="Q345" i="56" s="1"/>
  <c r="P344" i="56"/>
  <c r="R344" i="56" s="1"/>
  <c r="O344" i="56"/>
  <c r="Q344" i="56" s="1"/>
  <c r="P343" i="56"/>
  <c r="R343" i="56" s="1"/>
  <c r="O343" i="56"/>
  <c r="Q343" i="56" s="1"/>
  <c r="P342" i="56"/>
  <c r="R342" i="56" s="1"/>
  <c r="O342" i="56"/>
  <c r="Q342" i="56" s="1"/>
  <c r="P341" i="56"/>
  <c r="R341" i="56" s="1"/>
  <c r="O341" i="56"/>
  <c r="Q341" i="56" s="1"/>
  <c r="P340" i="56"/>
  <c r="R340" i="56" s="1"/>
  <c r="O340" i="56"/>
  <c r="Q340" i="56" s="1"/>
  <c r="P339" i="56"/>
  <c r="R339" i="56" s="1"/>
  <c r="O339" i="56"/>
  <c r="Q339" i="56" s="1"/>
  <c r="P338" i="56"/>
  <c r="R338" i="56" s="1"/>
  <c r="O338" i="56"/>
  <c r="Q338" i="56" s="1"/>
  <c r="P337" i="56"/>
  <c r="R337" i="56" s="1"/>
  <c r="O337" i="56"/>
  <c r="Q337" i="56" s="1"/>
  <c r="P336" i="56"/>
  <c r="R336" i="56" s="1"/>
  <c r="O336" i="56"/>
  <c r="Q336" i="56" s="1"/>
  <c r="P335" i="56"/>
  <c r="R335" i="56" s="1"/>
  <c r="O335" i="56"/>
  <c r="Q335" i="56" s="1"/>
  <c r="P334" i="56"/>
  <c r="R334" i="56" s="1"/>
  <c r="O334" i="56"/>
  <c r="Q334" i="56" s="1"/>
  <c r="P333" i="56"/>
  <c r="R333" i="56" s="1"/>
  <c r="O333" i="56"/>
  <c r="Q333" i="56" s="1"/>
  <c r="P332" i="56"/>
  <c r="R332" i="56" s="1"/>
  <c r="O332" i="56"/>
  <c r="Q332" i="56" s="1"/>
  <c r="P331" i="56"/>
  <c r="R331" i="56" s="1"/>
  <c r="O331" i="56"/>
  <c r="Q331" i="56" s="1"/>
  <c r="P330" i="56"/>
  <c r="R330" i="56" s="1"/>
  <c r="O330" i="56"/>
  <c r="Q330" i="56" s="1"/>
  <c r="P329" i="56"/>
  <c r="R329" i="56" s="1"/>
  <c r="O329" i="56"/>
  <c r="Q329" i="56" s="1"/>
  <c r="P328" i="56"/>
  <c r="R328" i="56" s="1"/>
  <c r="O328" i="56"/>
  <c r="Q328" i="56" s="1"/>
  <c r="P327" i="56"/>
  <c r="R327" i="56" s="1"/>
  <c r="O327" i="56"/>
  <c r="Q327" i="56" s="1"/>
  <c r="P326" i="56"/>
  <c r="R326" i="56" s="1"/>
  <c r="O326" i="56"/>
  <c r="Q326" i="56" s="1"/>
  <c r="P325" i="56"/>
  <c r="R325" i="56" s="1"/>
  <c r="O325" i="56"/>
  <c r="Q325" i="56" s="1"/>
  <c r="P324" i="56"/>
  <c r="R324" i="56" s="1"/>
  <c r="O324" i="56"/>
  <c r="Q324" i="56" s="1"/>
  <c r="P323" i="56"/>
  <c r="R323" i="56" s="1"/>
  <c r="O323" i="56"/>
  <c r="Q323" i="56" s="1"/>
  <c r="P322" i="56"/>
  <c r="R322" i="56" s="1"/>
  <c r="O322" i="56"/>
  <c r="Q322" i="56" s="1"/>
  <c r="P321" i="56"/>
  <c r="R321" i="56" s="1"/>
  <c r="O321" i="56"/>
  <c r="Q321" i="56" s="1"/>
  <c r="P320" i="56"/>
  <c r="R320" i="56" s="1"/>
  <c r="O320" i="56"/>
  <c r="Q320" i="56" s="1"/>
  <c r="P319" i="56"/>
  <c r="R319" i="56" s="1"/>
  <c r="O319" i="56"/>
  <c r="Q319" i="56" s="1"/>
  <c r="P318" i="56"/>
  <c r="R318" i="56" s="1"/>
  <c r="O318" i="56"/>
  <c r="Q318" i="56" s="1"/>
  <c r="P317" i="56"/>
  <c r="R317" i="56" s="1"/>
  <c r="O317" i="56"/>
  <c r="Q317" i="56" s="1"/>
  <c r="P316" i="56"/>
  <c r="R316" i="56" s="1"/>
  <c r="O316" i="56"/>
  <c r="Q316" i="56" s="1"/>
  <c r="P315" i="56"/>
  <c r="R315" i="56" s="1"/>
  <c r="O315" i="56"/>
  <c r="Q315" i="56" s="1"/>
  <c r="P314" i="56"/>
  <c r="R314" i="56" s="1"/>
  <c r="O314" i="56"/>
  <c r="Q314" i="56" s="1"/>
  <c r="P313" i="56"/>
  <c r="R313" i="56" s="1"/>
  <c r="O313" i="56"/>
  <c r="Q313" i="56" s="1"/>
  <c r="P312" i="56"/>
  <c r="R312" i="56" s="1"/>
  <c r="O312" i="56"/>
  <c r="Q312" i="56" s="1"/>
  <c r="Q311" i="56"/>
  <c r="P311" i="56"/>
  <c r="R311" i="56" s="1"/>
  <c r="O311" i="56"/>
  <c r="P310" i="56"/>
  <c r="R310" i="56" s="1"/>
  <c r="O310" i="56"/>
  <c r="Q310" i="56" s="1"/>
  <c r="P309" i="56"/>
  <c r="R309" i="56" s="1"/>
  <c r="O309" i="56"/>
  <c r="Q309" i="56" s="1"/>
  <c r="Q308" i="56"/>
  <c r="P308" i="56"/>
  <c r="R308" i="56" s="1"/>
  <c r="O308" i="56"/>
  <c r="P307" i="56"/>
  <c r="R307" i="56" s="1"/>
  <c r="O307" i="56"/>
  <c r="Q307" i="56" s="1"/>
  <c r="Q306" i="56"/>
  <c r="P306" i="56"/>
  <c r="R306" i="56" s="1"/>
  <c r="O306" i="56"/>
  <c r="P305" i="56"/>
  <c r="R305" i="56" s="1"/>
  <c r="O305" i="56"/>
  <c r="Q305" i="56" s="1"/>
  <c r="P304" i="56"/>
  <c r="R304" i="56" s="1"/>
  <c r="O304" i="56"/>
  <c r="Q304" i="56" s="1"/>
  <c r="Q303" i="56"/>
  <c r="P303" i="56"/>
  <c r="R303" i="56" s="1"/>
  <c r="O303" i="56"/>
  <c r="P302" i="56"/>
  <c r="R302" i="56" s="1"/>
  <c r="O302" i="56"/>
  <c r="Q302" i="56" s="1"/>
  <c r="P301" i="56"/>
  <c r="R301" i="56" s="1"/>
  <c r="O301" i="56"/>
  <c r="Q301" i="56" s="1"/>
  <c r="Q300" i="56"/>
  <c r="P300" i="56"/>
  <c r="R300" i="56" s="1"/>
  <c r="O300" i="56"/>
  <c r="P299" i="56"/>
  <c r="R299" i="56" s="1"/>
  <c r="O299" i="56"/>
  <c r="Q299" i="56" s="1"/>
  <c r="Q298" i="56"/>
  <c r="P298" i="56"/>
  <c r="R298" i="56" s="1"/>
  <c r="O298" i="56"/>
  <c r="P297" i="56"/>
  <c r="R297" i="56" s="1"/>
  <c r="O297" i="56"/>
  <c r="Q297" i="56" s="1"/>
  <c r="P296" i="56"/>
  <c r="R296" i="56" s="1"/>
  <c r="O296" i="56"/>
  <c r="Q296" i="56" s="1"/>
  <c r="Q295" i="56"/>
  <c r="P295" i="56"/>
  <c r="R295" i="56" s="1"/>
  <c r="O295" i="56"/>
  <c r="P294" i="56"/>
  <c r="R294" i="56" s="1"/>
  <c r="O294" i="56"/>
  <c r="Q294" i="56" s="1"/>
  <c r="P293" i="56"/>
  <c r="R293" i="56" s="1"/>
  <c r="O293" i="56"/>
  <c r="Q293" i="56" s="1"/>
  <c r="Q292" i="56"/>
  <c r="P292" i="56"/>
  <c r="R292" i="56" s="1"/>
  <c r="O292" i="56"/>
  <c r="P291" i="56"/>
  <c r="R291" i="56" s="1"/>
  <c r="O291" i="56"/>
  <c r="Q291" i="56" s="1"/>
  <c r="Q290" i="56"/>
  <c r="P290" i="56"/>
  <c r="R290" i="56" s="1"/>
  <c r="O290" i="56"/>
  <c r="P289" i="56"/>
  <c r="R289" i="56" s="1"/>
  <c r="O289" i="56"/>
  <c r="Q289" i="56" s="1"/>
  <c r="P288" i="56"/>
  <c r="R288" i="56" s="1"/>
  <c r="O288" i="56"/>
  <c r="Q288" i="56" s="1"/>
  <c r="Q287" i="56"/>
  <c r="P287" i="56"/>
  <c r="R287" i="56" s="1"/>
  <c r="O287" i="56"/>
  <c r="P286" i="56"/>
  <c r="R286" i="56" s="1"/>
  <c r="O286" i="56"/>
  <c r="Q286" i="56" s="1"/>
  <c r="P285" i="56"/>
  <c r="R285" i="56" s="1"/>
  <c r="O285" i="56"/>
  <c r="Q285" i="56" s="1"/>
  <c r="Q284" i="56"/>
  <c r="P284" i="56"/>
  <c r="R284" i="56" s="1"/>
  <c r="O284" i="56"/>
  <c r="P283" i="56"/>
  <c r="R283" i="56" s="1"/>
  <c r="O283" i="56"/>
  <c r="Q283" i="56" s="1"/>
  <c r="Q282" i="56"/>
  <c r="P282" i="56"/>
  <c r="R282" i="56" s="1"/>
  <c r="O282" i="56"/>
  <c r="P281" i="56"/>
  <c r="R281" i="56" s="1"/>
  <c r="O281" i="56"/>
  <c r="Q281" i="56" s="1"/>
  <c r="P280" i="56"/>
  <c r="R280" i="56" s="1"/>
  <c r="O280" i="56"/>
  <c r="Q280" i="56" s="1"/>
  <c r="Q279" i="56"/>
  <c r="P279" i="56"/>
  <c r="R279" i="56" s="1"/>
  <c r="O279" i="56"/>
  <c r="P278" i="56"/>
  <c r="R278" i="56" s="1"/>
  <c r="O278" i="56"/>
  <c r="Q278" i="56" s="1"/>
  <c r="P277" i="56"/>
  <c r="R277" i="56" s="1"/>
  <c r="O277" i="56"/>
  <c r="Q277" i="56" s="1"/>
  <c r="Q276" i="56"/>
  <c r="P276" i="56"/>
  <c r="R276" i="56" s="1"/>
  <c r="O276" i="56"/>
  <c r="P275" i="56"/>
  <c r="R275" i="56" s="1"/>
  <c r="O275" i="56"/>
  <c r="Q275" i="56" s="1"/>
  <c r="Q274" i="56"/>
  <c r="P274" i="56"/>
  <c r="R274" i="56" s="1"/>
  <c r="O274" i="56"/>
  <c r="P273" i="56"/>
  <c r="R273" i="56" s="1"/>
  <c r="O273" i="56"/>
  <c r="Q273" i="56" s="1"/>
  <c r="P272" i="56"/>
  <c r="R272" i="56" s="1"/>
  <c r="O272" i="56"/>
  <c r="Q272" i="56" s="1"/>
  <c r="Q271" i="56"/>
  <c r="P271" i="56"/>
  <c r="R271" i="56" s="1"/>
  <c r="O271" i="56"/>
  <c r="P270" i="56"/>
  <c r="R270" i="56" s="1"/>
  <c r="O270" i="56"/>
  <c r="Q270" i="56" s="1"/>
  <c r="P269" i="56"/>
  <c r="R269" i="56" s="1"/>
  <c r="O269" i="56"/>
  <c r="Q269" i="56" s="1"/>
  <c r="Q268" i="56"/>
  <c r="P268" i="56"/>
  <c r="R268" i="56" s="1"/>
  <c r="O268" i="56"/>
  <c r="P267" i="56"/>
  <c r="R267" i="56" s="1"/>
  <c r="O267" i="56"/>
  <c r="Q267" i="56" s="1"/>
  <c r="Q266" i="56"/>
  <c r="P266" i="56"/>
  <c r="R266" i="56" s="1"/>
  <c r="O266" i="56"/>
  <c r="P265" i="56"/>
  <c r="R265" i="56" s="1"/>
  <c r="O265" i="56"/>
  <c r="Q265" i="56" s="1"/>
  <c r="P264" i="56"/>
  <c r="R264" i="56" s="1"/>
  <c r="O264" i="56"/>
  <c r="Q264" i="56" s="1"/>
  <c r="Q263" i="56"/>
  <c r="P263" i="56"/>
  <c r="R263" i="56" s="1"/>
  <c r="O263" i="56"/>
  <c r="P262" i="56"/>
  <c r="R262" i="56" s="1"/>
  <c r="O262" i="56"/>
  <c r="Q262" i="56" s="1"/>
  <c r="P261" i="56"/>
  <c r="R261" i="56" s="1"/>
  <c r="O261" i="56"/>
  <c r="Q261" i="56" s="1"/>
  <c r="Q260" i="56"/>
  <c r="P260" i="56"/>
  <c r="R260" i="56" s="1"/>
  <c r="O260" i="56"/>
  <c r="P259" i="56"/>
  <c r="R259" i="56" s="1"/>
  <c r="O259" i="56"/>
  <c r="Q259" i="56" s="1"/>
  <c r="Q258" i="56"/>
  <c r="P258" i="56"/>
  <c r="R258" i="56" s="1"/>
  <c r="O258" i="56"/>
  <c r="P257" i="56"/>
  <c r="R257" i="56" s="1"/>
  <c r="O257" i="56"/>
  <c r="Q257" i="56" s="1"/>
  <c r="P256" i="56"/>
  <c r="R256" i="56" s="1"/>
  <c r="O256" i="56"/>
  <c r="Q256" i="56" s="1"/>
  <c r="Q255" i="56"/>
  <c r="P255" i="56"/>
  <c r="R255" i="56" s="1"/>
  <c r="O255" i="56"/>
  <c r="P254" i="56"/>
  <c r="R254" i="56" s="1"/>
  <c r="O254" i="56"/>
  <c r="Q254" i="56" s="1"/>
  <c r="P253" i="56"/>
  <c r="R253" i="56" s="1"/>
  <c r="O253" i="56"/>
  <c r="Q253" i="56" s="1"/>
  <c r="Q252" i="56"/>
  <c r="P252" i="56"/>
  <c r="R252" i="56" s="1"/>
  <c r="O252" i="56"/>
  <c r="P251" i="56"/>
  <c r="R251" i="56" s="1"/>
  <c r="O251" i="56"/>
  <c r="Q251" i="56" s="1"/>
  <c r="Q250" i="56"/>
  <c r="P250" i="56"/>
  <c r="R250" i="56" s="1"/>
  <c r="O250" i="56"/>
  <c r="Q249" i="56"/>
  <c r="P249" i="56"/>
  <c r="R249" i="56" s="1"/>
  <c r="O249" i="56"/>
  <c r="P248" i="56"/>
  <c r="R248" i="56" s="1"/>
  <c r="O248" i="56"/>
  <c r="Q248" i="56" s="1"/>
  <c r="Q247" i="56"/>
  <c r="P247" i="56"/>
  <c r="R247" i="56" s="1"/>
  <c r="O247" i="56"/>
  <c r="P246" i="56"/>
  <c r="R246" i="56" s="1"/>
  <c r="O246" i="56"/>
  <c r="Q246" i="56" s="1"/>
  <c r="P245" i="56"/>
  <c r="R245" i="56" s="1"/>
  <c r="O245" i="56"/>
  <c r="Q245" i="56" s="1"/>
  <c r="Q244" i="56"/>
  <c r="P244" i="56"/>
  <c r="R244" i="56" s="1"/>
  <c r="O244" i="56"/>
  <c r="P243" i="56"/>
  <c r="R243" i="56" s="1"/>
  <c r="O243" i="56"/>
  <c r="Q243" i="56" s="1"/>
  <c r="Q242" i="56"/>
  <c r="P242" i="56"/>
  <c r="R242" i="56" s="1"/>
  <c r="O242" i="56"/>
  <c r="Q241" i="56"/>
  <c r="P241" i="56"/>
  <c r="R241" i="56" s="1"/>
  <c r="O241" i="56"/>
  <c r="P240" i="56"/>
  <c r="R240" i="56" s="1"/>
  <c r="O240" i="56"/>
  <c r="Q240" i="56" s="1"/>
  <c r="Q239" i="56"/>
  <c r="P239" i="56"/>
  <c r="R239" i="56" s="1"/>
  <c r="O239" i="56"/>
  <c r="P238" i="56"/>
  <c r="R238" i="56" s="1"/>
  <c r="O238" i="56"/>
  <c r="Q238" i="56" s="1"/>
  <c r="P237" i="56"/>
  <c r="R237" i="56" s="1"/>
  <c r="O237" i="56"/>
  <c r="Q237" i="56" s="1"/>
  <c r="Q236" i="56"/>
  <c r="P236" i="56"/>
  <c r="R236" i="56" s="1"/>
  <c r="O236" i="56"/>
  <c r="P235" i="56"/>
  <c r="R235" i="56" s="1"/>
  <c r="O235" i="56"/>
  <c r="Q235" i="56" s="1"/>
  <c r="Q234" i="56"/>
  <c r="P234" i="56"/>
  <c r="R234" i="56" s="1"/>
  <c r="O234" i="56"/>
  <c r="Q233" i="56"/>
  <c r="P233" i="56"/>
  <c r="R233" i="56" s="1"/>
  <c r="O233" i="56"/>
  <c r="P232" i="56"/>
  <c r="R232" i="56" s="1"/>
  <c r="O232" i="56"/>
  <c r="Q232" i="56" s="1"/>
  <c r="Q231" i="56"/>
  <c r="P231" i="56"/>
  <c r="R231" i="56" s="1"/>
  <c r="O231" i="56"/>
  <c r="P230" i="56"/>
  <c r="R230" i="56" s="1"/>
  <c r="O230" i="56"/>
  <c r="Q230" i="56" s="1"/>
  <c r="P229" i="56"/>
  <c r="R229" i="56" s="1"/>
  <c r="O229" i="56"/>
  <c r="Q229" i="56" s="1"/>
  <c r="Q228" i="56"/>
  <c r="P228" i="56"/>
  <c r="R228" i="56" s="1"/>
  <c r="O228" i="56"/>
  <c r="P227" i="56"/>
  <c r="R227" i="56" s="1"/>
  <c r="O227" i="56"/>
  <c r="Q227" i="56" s="1"/>
  <c r="Q226" i="56"/>
  <c r="P226" i="56"/>
  <c r="R226" i="56" s="1"/>
  <c r="O226" i="56"/>
  <c r="Q225" i="56"/>
  <c r="P225" i="56"/>
  <c r="R225" i="56" s="1"/>
  <c r="O225" i="56"/>
  <c r="P224" i="56"/>
  <c r="R224" i="56" s="1"/>
  <c r="O224" i="56"/>
  <c r="Q224" i="56" s="1"/>
  <c r="Q223" i="56"/>
  <c r="P223" i="56"/>
  <c r="R223" i="56" s="1"/>
  <c r="O223" i="56"/>
  <c r="P222" i="56"/>
  <c r="R222" i="56" s="1"/>
  <c r="O222" i="56"/>
  <c r="Q222" i="56" s="1"/>
  <c r="P221" i="56"/>
  <c r="R221" i="56" s="1"/>
  <c r="O221" i="56"/>
  <c r="Q221" i="56" s="1"/>
  <c r="P220" i="56"/>
  <c r="R220" i="56" s="1"/>
  <c r="O220" i="56"/>
  <c r="Q220" i="56" s="1"/>
  <c r="P219" i="56"/>
  <c r="R219" i="56" s="1"/>
  <c r="O219" i="56"/>
  <c r="Q219" i="56" s="1"/>
  <c r="P218" i="56"/>
  <c r="R218" i="56" s="1"/>
  <c r="O218" i="56"/>
  <c r="Q218" i="56" s="1"/>
  <c r="Q217" i="56"/>
  <c r="P217" i="56"/>
  <c r="R217" i="56" s="1"/>
  <c r="O217" i="56"/>
  <c r="P216" i="56"/>
  <c r="R216" i="56" s="1"/>
  <c r="O216" i="56"/>
  <c r="Q216" i="56" s="1"/>
  <c r="P215" i="56"/>
  <c r="R215" i="56" s="1"/>
  <c r="O215" i="56"/>
  <c r="Q215" i="56" s="1"/>
  <c r="Q214" i="56"/>
  <c r="P214" i="56"/>
  <c r="R214" i="56" s="1"/>
  <c r="O214" i="56"/>
  <c r="Q213" i="56"/>
  <c r="P213" i="56"/>
  <c r="R213" i="56" s="1"/>
  <c r="O213" i="56"/>
  <c r="P212" i="56"/>
  <c r="R212" i="56" s="1"/>
  <c r="O212" i="56"/>
  <c r="Q212" i="56" s="1"/>
  <c r="P211" i="56"/>
  <c r="R211" i="56" s="1"/>
  <c r="O211" i="56"/>
  <c r="Q211" i="56" s="1"/>
  <c r="Q210" i="56"/>
  <c r="P210" i="56"/>
  <c r="R210" i="56" s="1"/>
  <c r="O210" i="56"/>
  <c r="P209" i="56"/>
  <c r="R209" i="56" s="1"/>
  <c r="O209" i="56"/>
  <c r="Q209" i="56" s="1"/>
  <c r="P208" i="56"/>
  <c r="R208" i="56" s="1"/>
  <c r="O208" i="56"/>
  <c r="Q208" i="56" s="1"/>
  <c r="P207" i="56"/>
  <c r="R207" i="56" s="1"/>
  <c r="O207" i="56"/>
  <c r="Q207" i="56" s="1"/>
  <c r="P206" i="56"/>
  <c r="R206" i="56" s="1"/>
  <c r="O206" i="56"/>
  <c r="Q206" i="56" s="1"/>
  <c r="P205" i="56"/>
  <c r="R205" i="56" s="1"/>
  <c r="O205" i="56"/>
  <c r="Q205" i="56" s="1"/>
  <c r="P204" i="56"/>
  <c r="R204" i="56" s="1"/>
  <c r="O204" i="56"/>
  <c r="Q204" i="56" s="1"/>
  <c r="P203" i="56"/>
  <c r="R203" i="56" s="1"/>
  <c r="O203" i="56"/>
  <c r="Q203" i="56" s="1"/>
  <c r="P202" i="56"/>
  <c r="R202" i="56" s="1"/>
  <c r="O202" i="56"/>
  <c r="Q202" i="56" s="1"/>
  <c r="Q201" i="56"/>
  <c r="P201" i="56"/>
  <c r="R201" i="56" s="1"/>
  <c r="O201" i="56"/>
  <c r="P200" i="56"/>
  <c r="R200" i="56" s="1"/>
  <c r="O200" i="56"/>
  <c r="Q200" i="56" s="1"/>
  <c r="P199" i="56"/>
  <c r="R199" i="56" s="1"/>
  <c r="O199" i="56"/>
  <c r="Q199" i="56" s="1"/>
  <c r="Q198" i="56"/>
  <c r="P198" i="56"/>
  <c r="R198" i="56" s="1"/>
  <c r="O198" i="56"/>
  <c r="Q197" i="56"/>
  <c r="P197" i="56"/>
  <c r="R197" i="56" s="1"/>
  <c r="O197" i="56"/>
  <c r="P196" i="56"/>
  <c r="R196" i="56" s="1"/>
  <c r="O196" i="56"/>
  <c r="Q196" i="56" s="1"/>
  <c r="P195" i="56"/>
  <c r="R195" i="56" s="1"/>
  <c r="O195" i="56"/>
  <c r="Q195" i="56" s="1"/>
  <c r="Q194" i="56"/>
  <c r="P194" i="56"/>
  <c r="R194" i="56" s="1"/>
  <c r="O194" i="56"/>
  <c r="P193" i="56"/>
  <c r="R193" i="56" s="1"/>
  <c r="O193" i="56"/>
  <c r="Q193" i="56" s="1"/>
  <c r="P192" i="56"/>
  <c r="R192" i="56" s="1"/>
  <c r="O192" i="56"/>
  <c r="Q192" i="56" s="1"/>
  <c r="P191" i="56"/>
  <c r="R191" i="56" s="1"/>
  <c r="O191" i="56"/>
  <c r="Q191" i="56" s="1"/>
  <c r="P190" i="56"/>
  <c r="R190" i="56" s="1"/>
  <c r="O190" i="56"/>
  <c r="Q190" i="56" s="1"/>
  <c r="P189" i="56"/>
  <c r="R189" i="56" s="1"/>
  <c r="O189" i="56"/>
  <c r="Q189" i="56" s="1"/>
  <c r="P188" i="56"/>
  <c r="R188" i="56" s="1"/>
  <c r="O188" i="56"/>
  <c r="Q188" i="56" s="1"/>
  <c r="P187" i="56"/>
  <c r="R187" i="56" s="1"/>
  <c r="O187" i="56"/>
  <c r="Q187" i="56" s="1"/>
  <c r="P186" i="56"/>
  <c r="R186" i="56" s="1"/>
  <c r="O186" i="56"/>
  <c r="Q186" i="56" s="1"/>
  <c r="Q185" i="56"/>
  <c r="P185" i="56"/>
  <c r="R185" i="56" s="1"/>
  <c r="O185" i="56"/>
  <c r="P184" i="56"/>
  <c r="R184" i="56" s="1"/>
  <c r="O184" i="56"/>
  <c r="Q184" i="56" s="1"/>
  <c r="P183" i="56"/>
  <c r="R183" i="56" s="1"/>
  <c r="O183" i="56"/>
  <c r="Q183" i="56" s="1"/>
  <c r="Q182" i="56"/>
  <c r="P182" i="56"/>
  <c r="R182" i="56" s="1"/>
  <c r="O182" i="56"/>
  <c r="Q181" i="56"/>
  <c r="P181" i="56"/>
  <c r="R181" i="56" s="1"/>
  <c r="O181" i="56"/>
  <c r="P180" i="56"/>
  <c r="R180" i="56" s="1"/>
  <c r="O180" i="56"/>
  <c r="Q180" i="56" s="1"/>
  <c r="P179" i="56"/>
  <c r="R179" i="56" s="1"/>
  <c r="O179" i="56"/>
  <c r="Q179" i="56" s="1"/>
  <c r="Q178" i="56"/>
  <c r="P178" i="56"/>
  <c r="R178" i="56" s="1"/>
  <c r="O178" i="56"/>
  <c r="P177" i="56"/>
  <c r="R177" i="56" s="1"/>
  <c r="O177" i="56"/>
  <c r="Q177" i="56" s="1"/>
  <c r="P176" i="56"/>
  <c r="R176" i="56" s="1"/>
  <c r="O176" i="56"/>
  <c r="Q176" i="56" s="1"/>
  <c r="P175" i="56"/>
  <c r="R175" i="56" s="1"/>
  <c r="O175" i="56"/>
  <c r="Q175" i="56" s="1"/>
  <c r="P174" i="56"/>
  <c r="R174" i="56" s="1"/>
  <c r="O174" i="56"/>
  <c r="Q174" i="56" s="1"/>
  <c r="P173" i="56"/>
  <c r="R173" i="56" s="1"/>
  <c r="O173" i="56"/>
  <c r="Q173" i="56" s="1"/>
  <c r="P172" i="56"/>
  <c r="R172" i="56" s="1"/>
  <c r="O172" i="56"/>
  <c r="Q172" i="56" s="1"/>
  <c r="P171" i="56"/>
  <c r="R171" i="56" s="1"/>
  <c r="O171" i="56"/>
  <c r="Q171" i="56" s="1"/>
  <c r="P170" i="56"/>
  <c r="R170" i="56" s="1"/>
  <c r="O170" i="56"/>
  <c r="Q170" i="56" s="1"/>
  <c r="P169" i="56"/>
  <c r="R169" i="56" s="1"/>
  <c r="O169" i="56"/>
  <c r="Q169" i="56" s="1"/>
  <c r="P168" i="56"/>
  <c r="R168" i="56" s="1"/>
  <c r="O168" i="56"/>
  <c r="Q168" i="56" s="1"/>
  <c r="P167" i="56"/>
  <c r="R167" i="56" s="1"/>
  <c r="O167" i="56"/>
  <c r="Q167" i="56" s="1"/>
  <c r="P166" i="56"/>
  <c r="R166" i="56" s="1"/>
  <c r="O166" i="56"/>
  <c r="Q166" i="56" s="1"/>
  <c r="P165" i="56"/>
  <c r="R165" i="56" s="1"/>
  <c r="O165" i="56"/>
  <c r="Q165" i="56" s="1"/>
  <c r="P164" i="56"/>
  <c r="R164" i="56" s="1"/>
  <c r="O164" i="56"/>
  <c r="Q164" i="56" s="1"/>
  <c r="P163" i="56"/>
  <c r="R163" i="56" s="1"/>
  <c r="O163" i="56"/>
  <c r="Q163" i="56" s="1"/>
  <c r="P162" i="56"/>
  <c r="R162" i="56" s="1"/>
  <c r="O162" i="56"/>
  <c r="Q162" i="56" s="1"/>
  <c r="P161" i="56"/>
  <c r="R161" i="56" s="1"/>
  <c r="O161" i="56"/>
  <c r="Q161" i="56" s="1"/>
  <c r="P160" i="56"/>
  <c r="R160" i="56" s="1"/>
  <c r="O160" i="56"/>
  <c r="Q160" i="56" s="1"/>
  <c r="P159" i="56"/>
  <c r="R159" i="56" s="1"/>
  <c r="O159" i="56"/>
  <c r="Q159" i="56" s="1"/>
  <c r="P158" i="56"/>
  <c r="R158" i="56" s="1"/>
  <c r="O158" i="56"/>
  <c r="Q158" i="56" s="1"/>
  <c r="P157" i="56"/>
  <c r="R157" i="56" s="1"/>
  <c r="O157" i="56"/>
  <c r="Q157" i="56" s="1"/>
  <c r="P156" i="56"/>
  <c r="R156" i="56" s="1"/>
  <c r="O156" i="56"/>
  <c r="Q156" i="56" s="1"/>
  <c r="P155" i="56"/>
  <c r="R155" i="56" s="1"/>
  <c r="O155" i="56"/>
  <c r="Q155" i="56" s="1"/>
  <c r="P154" i="56"/>
  <c r="R154" i="56" s="1"/>
  <c r="O154" i="56"/>
  <c r="Q154" i="56" s="1"/>
  <c r="P153" i="56"/>
  <c r="R153" i="56" s="1"/>
  <c r="O153" i="56"/>
  <c r="Q153" i="56" s="1"/>
  <c r="P152" i="56"/>
  <c r="R152" i="56" s="1"/>
  <c r="O152" i="56"/>
  <c r="Q152" i="56" s="1"/>
  <c r="P151" i="56"/>
  <c r="R151" i="56" s="1"/>
  <c r="O151" i="56"/>
  <c r="Q151" i="56" s="1"/>
  <c r="P150" i="56"/>
  <c r="R150" i="56" s="1"/>
  <c r="O150" i="56"/>
  <c r="Q150" i="56" s="1"/>
  <c r="P149" i="56"/>
  <c r="R149" i="56" s="1"/>
  <c r="O149" i="56"/>
  <c r="Q149" i="56" s="1"/>
  <c r="P148" i="56"/>
  <c r="R148" i="56" s="1"/>
  <c r="O148" i="56"/>
  <c r="Q148" i="56" s="1"/>
  <c r="P147" i="56"/>
  <c r="R147" i="56" s="1"/>
  <c r="O147" i="56"/>
  <c r="Q147" i="56" s="1"/>
  <c r="P146" i="56"/>
  <c r="R146" i="56" s="1"/>
  <c r="O146" i="56"/>
  <c r="Q146" i="56" s="1"/>
  <c r="P145" i="56"/>
  <c r="R145" i="56" s="1"/>
  <c r="O145" i="56"/>
  <c r="Q145" i="56" s="1"/>
  <c r="P144" i="56"/>
  <c r="R144" i="56" s="1"/>
  <c r="O144" i="56"/>
  <c r="Q144" i="56" s="1"/>
  <c r="P143" i="56"/>
  <c r="R143" i="56" s="1"/>
  <c r="O143" i="56"/>
  <c r="Q143" i="56" s="1"/>
  <c r="P142" i="56"/>
  <c r="R142" i="56" s="1"/>
  <c r="O142" i="56"/>
  <c r="Q142" i="56" s="1"/>
  <c r="P141" i="56"/>
  <c r="R141" i="56" s="1"/>
  <c r="O141" i="56"/>
  <c r="Q141" i="56" s="1"/>
  <c r="P140" i="56"/>
  <c r="R140" i="56" s="1"/>
  <c r="O140" i="56"/>
  <c r="Q140" i="56" s="1"/>
  <c r="P139" i="56"/>
  <c r="R139" i="56" s="1"/>
  <c r="O139" i="56"/>
  <c r="Q139" i="56" s="1"/>
  <c r="P138" i="56"/>
  <c r="R138" i="56" s="1"/>
  <c r="O138" i="56"/>
  <c r="Q138" i="56" s="1"/>
  <c r="P137" i="56"/>
  <c r="R137" i="56" s="1"/>
  <c r="O137" i="56"/>
  <c r="Q137" i="56" s="1"/>
  <c r="P136" i="56"/>
  <c r="R136" i="56" s="1"/>
  <c r="O136" i="56"/>
  <c r="Q136" i="56" s="1"/>
  <c r="P135" i="56"/>
  <c r="R135" i="56" s="1"/>
  <c r="O135" i="56"/>
  <c r="Q135" i="56" s="1"/>
  <c r="P134" i="56"/>
  <c r="R134" i="56" s="1"/>
  <c r="O134" i="56"/>
  <c r="Q134" i="56" s="1"/>
  <c r="P133" i="56"/>
  <c r="R133" i="56" s="1"/>
  <c r="O133" i="56"/>
  <c r="Q133" i="56" s="1"/>
  <c r="P132" i="56"/>
  <c r="R132" i="56" s="1"/>
  <c r="O132" i="56"/>
  <c r="Q132" i="56" s="1"/>
  <c r="P131" i="56"/>
  <c r="R131" i="56" s="1"/>
  <c r="O131" i="56"/>
  <c r="Q131" i="56" s="1"/>
  <c r="P130" i="56"/>
  <c r="R130" i="56" s="1"/>
  <c r="O130" i="56"/>
  <c r="Q130" i="56" s="1"/>
  <c r="P129" i="56"/>
  <c r="R129" i="56" s="1"/>
  <c r="O129" i="56"/>
  <c r="Q129" i="56" s="1"/>
  <c r="P128" i="56"/>
  <c r="R128" i="56" s="1"/>
  <c r="O128" i="56"/>
  <c r="Q128" i="56" s="1"/>
  <c r="P127" i="56"/>
  <c r="R127" i="56" s="1"/>
  <c r="O127" i="56"/>
  <c r="Q127" i="56" s="1"/>
  <c r="P126" i="56"/>
  <c r="R126" i="56" s="1"/>
  <c r="O126" i="56"/>
  <c r="Q126" i="56" s="1"/>
  <c r="P125" i="56"/>
  <c r="R125" i="56" s="1"/>
  <c r="O125" i="56"/>
  <c r="Q125" i="56" s="1"/>
  <c r="P124" i="56"/>
  <c r="R124" i="56" s="1"/>
  <c r="O124" i="56"/>
  <c r="Q124" i="56" s="1"/>
  <c r="P123" i="56"/>
  <c r="R123" i="56" s="1"/>
  <c r="O123" i="56"/>
  <c r="Q123" i="56" s="1"/>
  <c r="P122" i="56"/>
  <c r="R122" i="56" s="1"/>
  <c r="O122" i="56"/>
  <c r="Q122" i="56" s="1"/>
  <c r="P121" i="56"/>
  <c r="R121" i="56" s="1"/>
  <c r="O121" i="56"/>
  <c r="Q121" i="56" s="1"/>
  <c r="P120" i="56"/>
  <c r="R120" i="56" s="1"/>
  <c r="O120" i="56"/>
  <c r="Q120" i="56" s="1"/>
  <c r="P119" i="56"/>
  <c r="R119" i="56" s="1"/>
  <c r="O119" i="56"/>
  <c r="Q119" i="56" s="1"/>
  <c r="P118" i="56"/>
  <c r="R118" i="56" s="1"/>
  <c r="O118" i="56"/>
  <c r="Q118" i="56" s="1"/>
  <c r="P117" i="56"/>
  <c r="R117" i="56" s="1"/>
  <c r="O117" i="56"/>
  <c r="Q117" i="56" s="1"/>
  <c r="P116" i="56"/>
  <c r="R116" i="56" s="1"/>
  <c r="O116" i="56"/>
  <c r="Q116" i="56" s="1"/>
  <c r="P115" i="56"/>
  <c r="R115" i="56" s="1"/>
  <c r="O115" i="56"/>
  <c r="Q115" i="56" s="1"/>
  <c r="P114" i="56"/>
  <c r="R114" i="56" s="1"/>
  <c r="O114" i="56"/>
  <c r="Q114" i="56" s="1"/>
  <c r="P113" i="56"/>
  <c r="R113" i="56" s="1"/>
  <c r="O113" i="56"/>
  <c r="Q113" i="56" s="1"/>
  <c r="P112" i="56"/>
  <c r="R112" i="56" s="1"/>
  <c r="O112" i="56"/>
  <c r="Q112" i="56" s="1"/>
  <c r="P111" i="56"/>
  <c r="R111" i="56" s="1"/>
  <c r="O111" i="56"/>
  <c r="Q111" i="56" s="1"/>
  <c r="P110" i="56"/>
  <c r="R110" i="56" s="1"/>
  <c r="O110" i="56"/>
  <c r="Q110" i="56" s="1"/>
  <c r="P109" i="56"/>
  <c r="R109" i="56" s="1"/>
  <c r="O109" i="56"/>
  <c r="Q109" i="56" s="1"/>
  <c r="P108" i="56"/>
  <c r="R108" i="56" s="1"/>
  <c r="O108" i="56"/>
  <c r="Q108" i="56" s="1"/>
  <c r="P107" i="56"/>
  <c r="R107" i="56" s="1"/>
  <c r="O107" i="56"/>
  <c r="Q107" i="56" s="1"/>
  <c r="P106" i="56"/>
  <c r="R106" i="56" s="1"/>
  <c r="O106" i="56"/>
  <c r="Q106" i="56" s="1"/>
  <c r="P105" i="56"/>
  <c r="R105" i="56" s="1"/>
  <c r="O105" i="56"/>
  <c r="Q105" i="56" s="1"/>
  <c r="P104" i="56"/>
  <c r="R104" i="56" s="1"/>
  <c r="O104" i="56"/>
  <c r="Q104" i="56" s="1"/>
  <c r="P103" i="56"/>
  <c r="R103" i="56" s="1"/>
  <c r="O103" i="56"/>
  <c r="Q103" i="56" s="1"/>
  <c r="P102" i="56"/>
  <c r="R102" i="56" s="1"/>
  <c r="O102" i="56"/>
  <c r="Q102" i="56" s="1"/>
  <c r="P101" i="56"/>
  <c r="R101" i="56" s="1"/>
  <c r="O101" i="56"/>
  <c r="Q101" i="56" s="1"/>
  <c r="Q100" i="56"/>
  <c r="P100" i="56"/>
  <c r="R100" i="56" s="1"/>
  <c r="O100" i="56"/>
  <c r="P99" i="56"/>
  <c r="R99" i="56" s="1"/>
  <c r="O99" i="56"/>
  <c r="Q99" i="56" s="1"/>
  <c r="P98" i="56"/>
  <c r="R98" i="56" s="1"/>
  <c r="O98" i="56"/>
  <c r="Q98" i="56" s="1"/>
  <c r="Q97" i="56"/>
  <c r="P97" i="56"/>
  <c r="R97" i="56" s="1"/>
  <c r="O97" i="56"/>
  <c r="P96" i="56"/>
  <c r="R96" i="56" s="1"/>
  <c r="O96" i="56"/>
  <c r="Q96" i="56" s="1"/>
  <c r="Q95" i="56"/>
  <c r="P95" i="56"/>
  <c r="R95" i="56" s="1"/>
  <c r="O95" i="56"/>
  <c r="Q94" i="56"/>
  <c r="P94" i="56"/>
  <c r="R94" i="56" s="1"/>
  <c r="O94" i="56"/>
  <c r="P93" i="56"/>
  <c r="R93" i="56" s="1"/>
  <c r="O93" i="56"/>
  <c r="Q93" i="56" s="1"/>
  <c r="Q92" i="56"/>
  <c r="P92" i="56"/>
  <c r="R92" i="56" s="1"/>
  <c r="O92" i="56"/>
  <c r="P91" i="56"/>
  <c r="R91" i="56" s="1"/>
  <c r="O91" i="56"/>
  <c r="Q91" i="56" s="1"/>
  <c r="P90" i="56"/>
  <c r="R90" i="56" s="1"/>
  <c r="O90" i="56"/>
  <c r="Q90" i="56" s="1"/>
  <c r="Q89" i="56"/>
  <c r="P89" i="56"/>
  <c r="R89" i="56" s="1"/>
  <c r="O89" i="56"/>
  <c r="P88" i="56"/>
  <c r="R88" i="56" s="1"/>
  <c r="O88" i="56"/>
  <c r="Q88" i="56" s="1"/>
  <c r="Q87" i="56"/>
  <c r="P87" i="56"/>
  <c r="R87" i="56" s="1"/>
  <c r="O87" i="56"/>
  <c r="Q86" i="56"/>
  <c r="P86" i="56"/>
  <c r="R86" i="56" s="1"/>
  <c r="O86" i="56"/>
  <c r="P85" i="56"/>
  <c r="R85" i="56" s="1"/>
  <c r="O85" i="56"/>
  <c r="Q85" i="56" s="1"/>
  <c r="Q84" i="56"/>
  <c r="P84" i="56"/>
  <c r="R84" i="56" s="1"/>
  <c r="O84" i="56"/>
  <c r="P83" i="56"/>
  <c r="R83" i="56" s="1"/>
  <c r="O83" i="56"/>
  <c r="Q83" i="56" s="1"/>
  <c r="P82" i="56"/>
  <c r="R82" i="56" s="1"/>
  <c r="O82" i="56"/>
  <c r="Q82" i="56" s="1"/>
  <c r="Q81" i="56"/>
  <c r="P81" i="56"/>
  <c r="R81" i="56" s="1"/>
  <c r="O81" i="56"/>
  <c r="P80" i="56"/>
  <c r="R80" i="56" s="1"/>
  <c r="O80" i="56"/>
  <c r="Q80" i="56" s="1"/>
  <c r="Q79" i="56"/>
  <c r="P79" i="56"/>
  <c r="R79" i="56" s="1"/>
  <c r="O79" i="56"/>
  <c r="Q78" i="56"/>
  <c r="P78" i="56"/>
  <c r="R78" i="56" s="1"/>
  <c r="O78" i="56"/>
  <c r="P77" i="56"/>
  <c r="R77" i="56" s="1"/>
  <c r="O77" i="56"/>
  <c r="Q77" i="56" s="1"/>
  <c r="Q76" i="56"/>
  <c r="P76" i="56"/>
  <c r="R76" i="56" s="1"/>
  <c r="O76" i="56"/>
  <c r="P75" i="56"/>
  <c r="R75" i="56" s="1"/>
  <c r="O75" i="56"/>
  <c r="Q75" i="56" s="1"/>
  <c r="P74" i="56"/>
  <c r="R74" i="56" s="1"/>
  <c r="O74" i="56"/>
  <c r="Q74" i="56" s="1"/>
  <c r="Q73" i="56"/>
  <c r="P73" i="56"/>
  <c r="R73" i="56" s="1"/>
  <c r="O73" i="56"/>
  <c r="P72" i="56"/>
  <c r="R72" i="56" s="1"/>
  <c r="O72" i="56"/>
  <c r="Q72" i="56" s="1"/>
  <c r="Q71" i="56"/>
  <c r="P71" i="56"/>
  <c r="R71" i="56" s="1"/>
  <c r="O71" i="56"/>
  <c r="Q70" i="56"/>
  <c r="P70" i="56"/>
  <c r="R70" i="56" s="1"/>
  <c r="O70" i="56"/>
  <c r="P69" i="56"/>
  <c r="R69" i="56" s="1"/>
  <c r="O69" i="56"/>
  <c r="Q69" i="56" s="1"/>
  <c r="Q68" i="56"/>
  <c r="P68" i="56"/>
  <c r="R68" i="56" s="1"/>
  <c r="O68" i="56"/>
  <c r="P67" i="56"/>
  <c r="R67" i="56" s="1"/>
  <c r="O67" i="56"/>
  <c r="Q67" i="56" s="1"/>
  <c r="P66" i="56"/>
  <c r="R66" i="56" s="1"/>
  <c r="O66" i="56"/>
  <c r="Q66" i="56" s="1"/>
  <c r="Q65" i="56"/>
  <c r="P65" i="56"/>
  <c r="R65" i="56" s="1"/>
  <c r="O65" i="56"/>
  <c r="P64" i="56"/>
  <c r="R64" i="56" s="1"/>
  <c r="O64" i="56"/>
  <c r="Q64" i="56" s="1"/>
  <c r="Q63" i="56"/>
  <c r="P63" i="56"/>
  <c r="R63" i="56" s="1"/>
  <c r="O63" i="56"/>
  <c r="Q62" i="56"/>
  <c r="P62" i="56"/>
  <c r="R62" i="56" s="1"/>
  <c r="O62" i="56"/>
  <c r="P61" i="56"/>
  <c r="R61" i="56" s="1"/>
  <c r="O61" i="56"/>
  <c r="Q61" i="56" s="1"/>
  <c r="Q60" i="56"/>
  <c r="P60" i="56"/>
  <c r="R60" i="56" s="1"/>
  <c r="O60" i="56"/>
  <c r="P59" i="56"/>
  <c r="R59" i="56" s="1"/>
  <c r="O59" i="56"/>
  <c r="Q59" i="56" s="1"/>
  <c r="P58" i="56"/>
  <c r="R58" i="56" s="1"/>
  <c r="O58" i="56"/>
  <c r="Q58" i="56" s="1"/>
  <c r="Q57" i="56"/>
  <c r="P57" i="56"/>
  <c r="R57" i="56" s="1"/>
  <c r="O57" i="56"/>
  <c r="P56" i="56"/>
  <c r="R56" i="56" s="1"/>
  <c r="O56" i="56"/>
  <c r="Q56" i="56" s="1"/>
  <c r="Q55" i="56"/>
  <c r="P55" i="56"/>
  <c r="R55" i="56" s="1"/>
  <c r="O55" i="56"/>
  <c r="Q54" i="56"/>
  <c r="P54" i="56"/>
  <c r="R54" i="56" s="1"/>
  <c r="O54" i="56"/>
  <c r="P53" i="56"/>
  <c r="R53" i="56" s="1"/>
  <c r="O53" i="56"/>
  <c r="Q53" i="56" s="1"/>
  <c r="Q52" i="56"/>
  <c r="P52" i="56"/>
  <c r="R52" i="56" s="1"/>
  <c r="O52" i="56"/>
  <c r="P51" i="56"/>
  <c r="R51" i="56" s="1"/>
  <c r="O51" i="56"/>
  <c r="Q51" i="56" s="1"/>
  <c r="P50" i="56"/>
  <c r="R50" i="56" s="1"/>
  <c r="O50" i="56"/>
  <c r="Q50" i="56" s="1"/>
  <c r="Q49" i="56"/>
  <c r="P49" i="56"/>
  <c r="R49" i="56" s="1"/>
  <c r="O49" i="56"/>
  <c r="P48" i="56"/>
  <c r="R48" i="56" s="1"/>
  <c r="O48" i="56"/>
  <c r="Q48" i="56" s="1"/>
  <c r="Q47" i="56"/>
  <c r="P47" i="56"/>
  <c r="R47" i="56" s="1"/>
  <c r="O47" i="56"/>
  <c r="Q46" i="56"/>
  <c r="P46" i="56"/>
  <c r="R46" i="56" s="1"/>
  <c r="O46" i="56"/>
  <c r="P45" i="56"/>
  <c r="R45" i="56" s="1"/>
  <c r="O45" i="56"/>
  <c r="Q45" i="56" s="1"/>
  <c r="Q44" i="56"/>
  <c r="P44" i="56"/>
  <c r="R44" i="56" s="1"/>
  <c r="O44" i="56"/>
  <c r="P43" i="56"/>
  <c r="R43" i="56" s="1"/>
  <c r="O43" i="56"/>
  <c r="Q43" i="56" s="1"/>
  <c r="P42" i="56"/>
  <c r="R42" i="56" s="1"/>
  <c r="O42" i="56"/>
  <c r="Q42" i="56" s="1"/>
  <c r="Q41" i="56"/>
  <c r="P41" i="56"/>
  <c r="R41" i="56" s="1"/>
  <c r="O41" i="56"/>
  <c r="P40" i="56"/>
  <c r="R40" i="56" s="1"/>
  <c r="O40" i="56"/>
  <c r="Q40" i="56" s="1"/>
  <c r="Q39" i="56"/>
  <c r="P39" i="56"/>
  <c r="R39" i="56" s="1"/>
  <c r="O39" i="56"/>
  <c r="Q38" i="56"/>
  <c r="P38" i="56"/>
  <c r="R38" i="56" s="1"/>
  <c r="O38" i="56"/>
  <c r="P37" i="56"/>
  <c r="R37" i="56" s="1"/>
  <c r="O37" i="56"/>
  <c r="Q37" i="56" s="1"/>
  <c r="Q36" i="56"/>
  <c r="P36" i="56"/>
  <c r="R36" i="56" s="1"/>
  <c r="O36" i="56"/>
  <c r="P35" i="56"/>
  <c r="R35" i="56" s="1"/>
  <c r="O35" i="56"/>
  <c r="Q35" i="56" s="1"/>
  <c r="P34" i="56"/>
  <c r="R34" i="56" s="1"/>
  <c r="O34" i="56"/>
  <c r="Q34" i="56" s="1"/>
  <c r="Q33" i="56"/>
  <c r="P33" i="56"/>
  <c r="R33" i="56" s="1"/>
  <c r="O33" i="56"/>
  <c r="P32" i="56"/>
  <c r="R32" i="56" s="1"/>
  <c r="O32" i="56"/>
  <c r="Q32" i="56" s="1"/>
  <c r="Q31" i="56"/>
  <c r="P31" i="56"/>
  <c r="R31" i="56" s="1"/>
  <c r="O31" i="56"/>
  <c r="Q30" i="56"/>
  <c r="P30" i="56"/>
  <c r="R30" i="56" s="1"/>
  <c r="O30" i="56"/>
  <c r="P29" i="56"/>
  <c r="R29" i="56" s="1"/>
  <c r="O29" i="56"/>
  <c r="Q29" i="56" s="1"/>
  <c r="Q28" i="56"/>
  <c r="P28" i="56"/>
  <c r="R28" i="56" s="1"/>
  <c r="O28" i="56"/>
  <c r="P27" i="56"/>
  <c r="R27" i="56" s="1"/>
  <c r="O27" i="56"/>
  <c r="Q27" i="56" s="1"/>
  <c r="P26" i="56"/>
  <c r="R26" i="56" s="1"/>
  <c r="O26" i="56"/>
  <c r="Q26" i="56" s="1"/>
  <c r="Q25" i="56"/>
  <c r="P25" i="56"/>
  <c r="R25" i="56" s="1"/>
  <c r="O25" i="56"/>
  <c r="P24" i="56"/>
  <c r="R24" i="56" s="1"/>
  <c r="O24" i="56"/>
  <c r="Q24" i="56" s="1"/>
  <c r="Q23" i="56"/>
  <c r="P23" i="56"/>
  <c r="R23" i="56" s="1"/>
  <c r="O23" i="56"/>
  <c r="Q22" i="56"/>
  <c r="P22" i="56"/>
  <c r="R22" i="56" s="1"/>
  <c r="O22" i="56"/>
  <c r="P21" i="56"/>
  <c r="R21" i="56" s="1"/>
  <c r="O21" i="56"/>
  <c r="Q21" i="56" s="1"/>
  <c r="P20" i="56"/>
  <c r="R20" i="56" s="1"/>
  <c r="O20" i="56"/>
  <c r="Q20" i="56" s="1"/>
  <c r="P19" i="56"/>
  <c r="R19" i="56" s="1"/>
  <c r="O19" i="56"/>
  <c r="Q19" i="56" s="1"/>
  <c r="P18" i="56"/>
  <c r="R18" i="56" s="1"/>
  <c r="O18" i="56"/>
  <c r="Q18" i="56" s="1"/>
  <c r="P17" i="56"/>
  <c r="R17" i="56" s="1"/>
  <c r="O17" i="56"/>
  <c r="Q17" i="56" s="1"/>
  <c r="R16" i="56"/>
  <c r="Q16" i="56"/>
  <c r="P16" i="56"/>
  <c r="O16" i="56"/>
  <c r="Y14" i="63" l="1"/>
  <c r="X14" i="63"/>
  <c r="CL17" i="61"/>
  <c r="CL18" i="61"/>
  <c r="CL19" i="61"/>
  <c r="CL20" i="61"/>
  <c r="CL21" i="61"/>
  <c r="CL22" i="61"/>
  <c r="CL23" i="61"/>
  <c r="CL24" i="61"/>
  <c r="CL25" i="61"/>
  <c r="CL26" i="61"/>
  <c r="CL27" i="61"/>
  <c r="CL28" i="61"/>
  <c r="CL29" i="61"/>
  <c r="CL30" i="61"/>
  <c r="CL31" i="61"/>
  <c r="CL32" i="61"/>
  <c r="CL33" i="61"/>
  <c r="CL34" i="61"/>
  <c r="CL35" i="61"/>
  <c r="CL36" i="61"/>
  <c r="CL37" i="61"/>
  <c r="CL38" i="61"/>
  <c r="CL39" i="61"/>
  <c r="CL40" i="61"/>
  <c r="CL41" i="61"/>
  <c r="CL42" i="61"/>
  <c r="CL43" i="61"/>
  <c r="CL44" i="61"/>
  <c r="CL45" i="61"/>
  <c r="CL46" i="61"/>
  <c r="CL47" i="61"/>
  <c r="CL48" i="61"/>
  <c r="CL49" i="61"/>
  <c r="CL50" i="61"/>
  <c r="CL51" i="61"/>
  <c r="CL52" i="61"/>
  <c r="CL53" i="61"/>
  <c r="CL54" i="61"/>
  <c r="CL55" i="61"/>
  <c r="CL56" i="61"/>
  <c r="CL57" i="61"/>
  <c r="CL58" i="61"/>
  <c r="CL59" i="61"/>
  <c r="CL60" i="61"/>
  <c r="CL61" i="61"/>
  <c r="CL62" i="61"/>
  <c r="CL63" i="61"/>
  <c r="CL64" i="61"/>
  <c r="CL65" i="61"/>
  <c r="CL66" i="61"/>
  <c r="CL67" i="61"/>
  <c r="CL68" i="61"/>
  <c r="CL69" i="61"/>
  <c r="CL70" i="61"/>
  <c r="CL71" i="61"/>
  <c r="CL72" i="61"/>
  <c r="CL73" i="61"/>
  <c r="CL74" i="61"/>
  <c r="CL75" i="61"/>
  <c r="CL76" i="61"/>
  <c r="CL77" i="61"/>
  <c r="CL78" i="61"/>
  <c r="CL79" i="61"/>
  <c r="CL80" i="61"/>
  <c r="CL81" i="61"/>
  <c r="CL82" i="61"/>
  <c r="CL83" i="61"/>
  <c r="CL84" i="61"/>
  <c r="CL85" i="61"/>
  <c r="CL86" i="61"/>
  <c r="CL87" i="61"/>
  <c r="CL88" i="61"/>
  <c r="CL89" i="61"/>
  <c r="CL90" i="61"/>
  <c r="CL91" i="61"/>
  <c r="CL92" i="61"/>
  <c r="CL93" i="61"/>
  <c r="CL94" i="61"/>
  <c r="CL95" i="61"/>
  <c r="CL96" i="61"/>
  <c r="CL97" i="61"/>
  <c r="CL98" i="61"/>
  <c r="CL99" i="61"/>
  <c r="CL100" i="61"/>
  <c r="CL101" i="61"/>
  <c r="CL102" i="61"/>
  <c r="CL103" i="61"/>
  <c r="CL104" i="61"/>
  <c r="CL105" i="61"/>
  <c r="CL106" i="61"/>
  <c r="CL107" i="61"/>
  <c r="CL108" i="61"/>
  <c r="CL109" i="61"/>
  <c r="CL110" i="61"/>
  <c r="CL111" i="61"/>
  <c r="CL112" i="61"/>
  <c r="CL113" i="61"/>
  <c r="CL114" i="61"/>
  <c r="CL115" i="61"/>
  <c r="CL116" i="61"/>
  <c r="CL117" i="61"/>
  <c r="CL118" i="61"/>
  <c r="CL119" i="61"/>
  <c r="CL120" i="61"/>
  <c r="CL121" i="61"/>
  <c r="CL122" i="61"/>
  <c r="CL123" i="61"/>
  <c r="CL124" i="61"/>
  <c r="CL125" i="61"/>
  <c r="CL126" i="61"/>
  <c r="CL127" i="61"/>
  <c r="CL128" i="61"/>
  <c r="CL129" i="61"/>
  <c r="CL130" i="61"/>
  <c r="CL131" i="61"/>
  <c r="CL132" i="61"/>
  <c r="CL133" i="61"/>
  <c r="CL134" i="61"/>
  <c r="CL135" i="61"/>
  <c r="CL136" i="61"/>
  <c r="CL137" i="61"/>
  <c r="CL138" i="61"/>
  <c r="CL139" i="61"/>
  <c r="CL140" i="61"/>
  <c r="CL141" i="61"/>
  <c r="CL142" i="61"/>
  <c r="CL143" i="61"/>
  <c r="CL144" i="61"/>
  <c r="CL145" i="61"/>
  <c r="CL146" i="61"/>
  <c r="CL147" i="61"/>
  <c r="CL148" i="61"/>
  <c r="CL149" i="61"/>
  <c r="CL150" i="61"/>
  <c r="CL151" i="61"/>
  <c r="CL152" i="61"/>
  <c r="CL153" i="61"/>
  <c r="CL154" i="61"/>
  <c r="CL155" i="61"/>
  <c r="CL156" i="61"/>
  <c r="CL157" i="61"/>
  <c r="CL158" i="61"/>
  <c r="CL159" i="61"/>
  <c r="CL160" i="61"/>
  <c r="CL161" i="61"/>
  <c r="CL162" i="61"/>
  <c r="CL163" i="61"/>
  <c r="CL164" i="61"/>
  <c r="CL165" i="61"/>
  <c r="CL166" i="61"/>
  <c r="CL167" i="61"/>
  <c r="CL168" i="61"/>
  <c r="CL169" i="61"/>
  <c r="CL170" i="61"/>
  <c r="CL171" i="61"/>
  <c r="CL172" i="61"/>
  <c r="CL173" i="61"/>
  <c r="CL174" i="61"/>
  <c r="CL175" i="61"/>
  <c r="CL176" i="61"/>
  <c r="CL177" i="61"/>
  <c r="CL178" i="61"/>
  <c r="CL179" i="61"/>
  <c r="CL180" i="61"/>
  <c r="CL181" i="61"/>
  <c r="CL182" i="61"/>
  <c r="CL183" i="61"/>
  <c r="CL184" i="61"/>
  <c r="CL185" i="61"/>
  <c r="CL186" i="61"/>
  <c r="CL187" i="61"/>
  <c r="CL188" i="61"/>
  <c r="CL189" i="61"/>
  <c r="CL190" i="61"/>
  <c r="CL191" i="61"/>
  <c r="CL192" i="61"/>
  <c r="CL193" i="61"/>
  <c r="CL194" i="61"/>
  <c r="CL195" i="61"/>
  <c r="CL196" i="61"/>
  <c r="CL197" i="61"/>
  <c r="CL198" i="61"/>
  <c r="CL199" i="61"/>
  <c r="CL200" i="61"/>
  <c r="CL201" i="61"/>
  <c r="CL202" i="61"/>
  <c r="CL203" i="61"/>
  <c r="CL204" i="61"/>
  <c r="CL205" i="61"/>
  <c r="CL206" i="61"/>
  <c r="CL207" i="61"/>
  <c r="CL208" i="61"/>
  <c r="CL209" i="61"/>
  <c r="CL210" i="61"/>
  <c r="CL211" i="61"/>
  <c r="CL212" i="61"/>
  <c r="CL213" i="61"/>
  <c r="CL214" i="61"/>
  <c r="CL215" i="61"/>
  <c r="CL216" i="61"/>
  <c r="CL217" i="61"/>
  <c r="CL218" i="61"/>
  <c r="CL219" i="61"/>
  <c r="CL220" i="61"/>
  <c r="CL221" i="61"/>
  <c r="CL222" i="61"/>
  <c r="CL223" i="61"/>
  <c r="CL224" i="61"/>
  <c r="CL225" i="61"/>
  <c r="CL226" i="61"/>
  <c r="CL227" i="61"/>
  <c r="CL228" i="61"/>
  <c r="CL229" i="61"/>
  <c r="CL230" i="61"/>
  <c r="CL231" i="61"/>
  <c r="CL232" i="61"/>
  <c r="CL233" i="61"/>
  <c r="CL234" i="61"/>
  <c r="CL235" i="61"/>
  <c r="CL236" i="61"/>
  <c r="CL237" i="61"/>
  <c r="CL238" i="61"/>
  <c r="CL239" i="61"/>
  <c r="CL240" i="61"/>
  <c r="CL241" i="61"/>
  <c r="CL242" i="61"/>
  <c r="CL243" i="61"/>
  <c r="CL244" i="61"/>
  <c r="CL245" i="61"/>
  <c r="CL246" i="61"/>
  <c r="CL247" i="61"/>
  <c r="CL248" i="61"/>
  <c r="CL249" i="61"/>
  <c r="CL250" i="61"/>
  <c r="CL251" i="61"/>
  <c r="CL252" i="61"/>
  <c r="CL253" i="61"/>
  <c r="CL254" i="61"/>
  <c r="CL255" i="61"/>
  <c r="CL256" i="61"/>
  <c r="CL257" i="61"/>
  <c r="CL258" i="61"/>
  <c r="CL259" i="61"/>
  <c r="CL260" i="61"/>
  <c r="CL261" i="61"/>
  <c r="CL262" i="61"/>
  <c r="CL263" i="61"/>
  <c r="CL264" i="61"/>
  <c r="CL265" i="61"/>
  <c r="CL266" i="61"/>
  <c r="CL267" i="61"/>
  <c r="CL268" i="61"/>
  <c r="CL269" i="61"/>
  <c r="CL270" i="61"/>
  <c r="CL271" i="61"/>
  <c r="CL272" i="61"/>
  <c r="CL273" i="61"/>
  <c r="CL274" i="61"/>
  <c r="CL275" i="61"/>
  <c r="CL276" i="61"/>
  <c r="CL277" i="61"/>
  <c r="CL278" i="61"/>
  <c r="CL279" i="61"/>
  <c r="CL280" i="61"/>
  <c r="CL281" i="61"/>
  <c r="CL282" i="61"/>
  <c r="CL283" i="61"/>
  <c r="CL284" i="61"/>
  <c r="CL285" i="61"/>
  <c r="CL286" i="61"/>
  <c r="CL287" i="61"/>
  <c r="CL288" i="61"/>
  <c r="CL289" i="61"/>
  <c r="CL290" i="61"/>
  <c r="CL291" i="61"/>
  <c r="CL292" i="61"/>
  <c r="CL293" i="61"/>
  <c r="CL294" i="61"/>
  <c r="CL295" i="61"/>
  <c r="CL296" i="61"/>
  <c r="CL297" i="61"/>
  <c r="CL298" i="61"/>
  <c r="CL299" i="61"/>
  <c r="CL300" i="61"/>
  <c r="CL301" i="61"/>
  <c r="CL302" i="61"/>
  <c r="CL303" i="61"/>
  <c r="CL304" i="61"/>
  <c r="CL305" i="61"/>
  <c r="CL306" i="61"/>
  <c r="CL307" i="61"/>
  <c r="CL308" i="61"/>
  <c r="CL309" i="61"/>
  <c r="CL310" i="61"/>
  <c r="CL311" i="61"/>
  <c r="CL312" i="61"/>
  <c r="CL313" i="61"/>
  <c r="CL314" i="61"/>
  <c r="CL315" i="61"/>
  <c r="CL316" i="61"/>
  <c r="CL317" i="61"/>
  <c r="CL318" i="61"/>
  <c r="CL319" i="61"/>
  <c r="CL320" i="61"/>
  <c r="CL321" i="61"/>
  <c r="CL322" i="61"/>
  <c r="CL323" i="61"/>
  <c r="CL324" i="61"/>
  <c r="CL325" i="61"/>
  <c r="CL326" i="61"/>
  <c r="CL327" i="61"/>
  <c r="CL328" i="61"/>
  <c r="CL329" i="61"/>
  <c r="CL330" i="61"/>
  <c r="CL331" i="61"/>
  <c r="CL332" i="61"/>
  <c r="CL333" i="61"/>
  <c r="CL334" i="61"/>
  <c r="CL335" i="61"/>
  <c r="CL336" i="61"/>
  <c r="CL337" i="61"/>
  <c r="CL338" i="61"/>
  <c r="CL339" i="61"/>
  <c r="CL340" i="61"/>
  <c r="CL341" i="61"/>
  <c r="CL342" i="61"/>
  <c r="CL343" i="61"/>
  <c r="CL344" i="61"/>
  <c r="CL345" i="61"/>
  <c r="CL346" i="61"/>
  <c r="CL347" i="61"/>
  <c r="CL348" i="61"/>
  <c r="CL349" i="61"/>
  <c r="CL350" i="61"/>
  <c r="CL351" i="61"/>
  <c r="CL352" i="61"/>
  <c r="CL353" i="61"/>
  <c r="CL354" i="61"/>
  <c r="CL355" i="61"/>
  <c r="CL356" i="61"/>
  <c r="CL357" i="61"/>
  <c r="CL358" i="61"/>
  <c r="CL359" i="61"/>
  <c r="CL360" i="61"/>
  <c r="CL361" i="61"/>
  <c r="CL362" i="61"/>
  <c r="CL363" i="61"/>
  <c r="CL364" i="61"/>
  <c r="CL365" i="61"/>
  <c r="CL366" i="61"/>
  <c r="CL367" i="61"/>
  <c r="CL368" i="61"/>
  <c r="CL369" i="61"/>
  <c r="CL370" i="61"/>
  <c r="CL371" i="61"/>
  <c r="CL372" i="61"/>
  <c r="CL373" i="61"/>
  <c r="CL374" i="61"/>
  <c r="CL375" i="61"/>
  <c r="CL376" i="61"/>
  <c r="CL377" i="61"/>
  <c r="CL378" i="61"/>
  <c r="CL379" i="61"/>
  <c r="CL380" i="61"/>
  <c r="CL381" i="61"/>
  <c r="CL382" i="61"/>
  <c r="CL383" i="61"/>
  <c r="CL384" i="61"/>
  <c r="CL385" i="61"/>
  <c r="CL386" i="61"/>
  <c r="CL387" i="61"/>
  <c r="CL388" i="61"/>
  <c r="CL389" i="61"/>
  <c r="CL390" i="61"/>
  <c r="CL391" i="61"/>
  <c r="CL392" i="61"/>
  <c r="CL393" i="61"/>
  <c r="CL394" i="61"/>
  <c r="CL395" i="61"/>
  <c r="CL396" i="61"/>
  <c r="CL397" i="61"/>
  <c r="CL398" i="61"/>
  <c r="CL399" i="61"/>
  <c r="CL400" i="61"/>
  <c r="CL401" i="61"/>
  <c r="CL402" i="61"/>
  <c r="CL403" i="61"/>
  <c r="CL404" i="61"/>
  <c r="CL405" i="61"/>
  <c r="CL406" i="61"/>
  <c r="CL407" i="61"/>
  <c r="CL408" i="61"/>
  <c r="CL409" i="61"/>
  <c r="CL410" i="61"/>
  <c r="CL411" i="61"/>
  <c r="CL412" i="61"/>
  <c r="CL413" i="61"/>
  <c r="CL414" i="61"/>
  <c r="CL415" i="61"/>
  <c r="CL416" i="61"/>
  <c r="CL417" i="61"/>
  <c r="CL418" i="61"/>
  <c r="CL419" i="61"/>
  <c r="CL420" i="61"/>
  <c r="CL421" i="61"/>
  <c r="CL422" i="61"/>
  <c r="CL423" i="61"/>
  <c r="CL424" i="61"/>
  <c r="CL425" i="61"/>
  <c r="CL426" i="61"/>
  <c r="CL427" i="61"/>
  <c r="CL428" i="61"/>
  <c r="CL429" i="61"/>
  <c r="CL430" i="61"/>
  <c r="CL431" i="61"/>
  <c r="CL432" i="61"/>
  <c r="CL433" i="61"/>
  <c r="CL434" i="61"/>
  <c r="CL435" i="61"/>
  <c r="CL436" i="61"/>
  <c r="CL437" i="61"/>
  <c r="CL438" i="61"/>
  <c r="CL439" i="61"/>
  <c r="CL440" i="61"/>
  <c r="CL441" i="61"/>
  <c r="CL442" i="61"/>
  <c r="CL443" i="61"/>
  <c r="CL444" i="61"/>
  <c r="CL445" i="61"/>
  <c r="CL446" i="61"/>
  <c r="CL447" i="61"/>
  <c r="CL448" i="61"/>
  <c r="CL449" i="61"/>
  <c r="CL450" i="61"/>
  <c r="CL451" i="61"/>
  <c r="CL452" i="61"/>
  <c r="CL453" i="61"/>
  <c r="CL454" i="61"/>
  <c r="CL455" i="61"/>
  <c r="CL456" i="61"/>
  <c r="CL457" i="61"/>
  <c r="CL458" i="61"/>
  <c r="CL459" i="61"/>
  <c r="CL460" i="61"/>
  <c r="CL461" i="61"/>
  <c r="CL462" i="61"/>
  <c r="CL463" i="61"/>
  <c r="CL464" i="61"/>
  <c r="CL465" i="61"/>
  <c r="CL466" i="61"/>
  <c r="CL467" i="61"/>
  <c r="CL468" i="61"/>
  <c r="CL469" i="61"/>
  <c r="CL470" i="61"/>
  <c r="CL471" i="61"/>
  <c r="CL472" i="61"/>
  <c r="CL473" i="61"/>
  <c r="CL474" i="61"/>
  <c r="CL475" i="61"/>
  <c r="CL476" i="61"/>
  <c r="CL477" i="61"/>
  <c r="CL478" i="61"/>
  <c r="CL479" i="61"/>
  <c r="CL480" i="61"/>
  <c r="CL481" i="61"/>
  <c r="CL482" i="61"/>
  <c r="CL483" i="61"/>
  <c r="CL484" i="61"/>
  <c r="CL485" i="61"/>
  <c r="CL486" i="61"/>
  <c r="CL487" i="61"/>
  <c r="CL488" i="61"/>
  <c r="CL489" i="61"/>
  <c r="CL490" i="61"/>
  <c r="CL491" i="61"/>
  <c r="CL492" i="61"/>
  <c r="CL493" i="61"/>
  <c r="CL494" i="61"/>
  <c r="CL495" i="61"/>
  <c r="CL496" i="61"/>
  <c r="CL497" i="61"/>
  <c r="CL498" i="61"/>
  <c r="CL499" i="61"/>
  <c r="CL500" i="61"/>
  <c r="CL501" i="61"/>
  <c r="CL502" i="61"/>
  <c r="CL503" i="61"/>
  <c r="CL504" i="61"/>
  <c r="CL505" i="61"/>
  <c r="CL506" i="61"/>
  <c r="CL507" i="61"/>
  <c r="CL508" i="61"/>
  <c r="CL509" i="61"/>
  <c r="CL510" i="61"/>
  <c r="CL511" i="61"/>
  <c r="CL512" i="61"/>
  <c r="CL513" i="61"/>
  <c r="CL514" i="61"/>
  <c r="CL515" i="61"/>
  <c r="CL16" i="61"/>
  <c r="A1149" i="67" l="1"/>
  <c r="A1148" i="67"/>
  <c r="A1147" i="67"/>
  <c r="A1146" i="67"/>
  <c r="A1145" i="67"/>
  <c r="A1144" i="67"/>
  <c r="A1143" i="67"/>
  <c r="A1142" i="67"/>
  <c r="A1141" i="67"/>
  <c r="A1140" i="67"/>
  <c r="A1139" i="67"/>
  <c r="A1138" i="67"/>
  <c r="A1137" i="67"/>
  <c r="A1136" i="67"/>
  <c r="A1135" i="67"/>
  <c r="A1134" i="67"/>
  <c r="A1133" i="67"/>
  <c r="A1132" i="67"/>
  <c r="A1131" i="67"/>
  <c r="A1130" i="67"/>
  <c r="A1129" i="67"/>
  <c r="A1128" i="67"/>
  <c r="A1127" i="67"/>
  <c r="AB1126" i="67"/>
  <c r="AA1126" i="67"/>
  <c r="Z1126" i="67"/>
  <c r="X1126" i="67"/>
  <c r="W1126" i="67"/>
  <c r="V1126" i="67"/>
  <c r="U1126" i="67"/>
  <c r="T1126" i="67"/>
  <c r="A1126" i="67"/>
  <c r="AB1125" i="67"/>
  <c r="AA1125" i="67"/>
  <c r="Z1125" i="67"/>
  <c r="X1125" i="67"/>
  <c r="W1125" i="67"/>
  <c r="V1125" i="67"/>
  <c r="U1125" i="67"/>
  <c r="T1125" i="67"/>
  <c r="A1125" i="67"/>
  <c r="AB1124" i="67"/>
  <c r="AA1124" i="67"/>
  <c r="Z1124" i="67"/>
  <c r="X1124" i="67"/>
  <c r="W1124" i="67"/>
  <c r="V1124" i="67"/>
  <c r="U1124" i="67"/>
  <c r="T1124" i="67"/>
  <c r="A1124" i="67"/>
  <c r="AB1123" i="67"/>
  <c r="AA1123" i="67"/>
  <c r="Z1123" i="67"/>
  <c r="X1123" i="67"/>
  <c r="W1123" i="67"/>
  <c r="V1123" i="67"/>
  <c r="U1123" i="67"/>
  <c r="T1123" i="67"/>
  <c r="A1123" i="67"/>
  <c r="AB1122" i="67"/>
  <c r="AA1122" i="67"/>
  <c r="Z1122" i="67"/>
  <c r="X1122" i="67"/>
  <c r="W1122" i="67"/>
  <c r="V1122" i="67"/>
  <c r="U1122" i="67"/>
  <c r="T1122" i="67"/>
  <c r="A1122" i="67"/>
  <c r="AB1121" i="67"/>
  <c r="AA1121" i="67"/>
  <c r="Z1121" i="67"/>
  <c r="X1121" i="67"/>
  <c r="W1121" i="67"/>
  <c r="V1121" i="67"/>
  <c r="U1121" i="67"/>
  <c r="T1121" i="67"/>
  <c r="A1121" i="67"/>
  <c r="AB1120" i="67"/>
  <c r="AA1120" i="67"/>
  <c r="Z1120" i="67"/>
  <c r="X1120" i="67"/>
  <c r="W1120" i="67"/>
  <c r="V1120" i="67"/>
  <c r="U1120" i="67"/>
  <c r="T1120" i="67"/>
  <c r="A1120" i="67"/>
  <c r="AB1119" i="67"/>
  <c r="AA1119" i="67"/>
  <c r="Z1119" i="67"/>
  <c r="X1119" i="67"/>
  <c r="W1119" i="67"/>
  <c r="V1119" i="67"/>
  <c r="U1119" i="67"/>
  <c r="T1119" i="67"/>
  <c r="A1119" i="67"/>
  <c r="AB1118" i="67"/>
  <c r="AA1118" i="67"/>
  <c r="Z1118" i="67"/>
  <c r="X1118" i="67"/>
  <c r="W1118" i="67"/>
  <c r="V1118" i="67"/>
  <c r="U1118" i="67"/>
  <c r="T1118" i="67"/>
  <c r="A1118" i="67"/>
  <c r="AB1117" i="67"/>
  <c r="AA1117" i="67"/>
  <c r="Z1117" i="67"/>
  <c r="X1117" i="67"/>
  <c r="W1117" i="67"/>
  <c r="V1117" i="67"/>
  <c r="U1117" i="67"/>
  <c r="T1117" i="67"/>
  <c r="A1117" i="67"/>
  <c r="AB1116" i="67"/>
  <c r="AA1116" i="67"/>
  <c r="Z1116" i="67"/>
  <c r="X1116" i="67"/>
  <c r="W1116" i="67"/>
  <c r="V1116" i="67"/>
  <c r="U1116" i="67"/>
  <c r="T1116" i="67"/>
  <c r="A1116" i="67"/>
  <c r="AB1115" i="67"/>
  <c r="AA1115" i="67"/>
  <c r="Z1115" i="67"/>
  <c r="X1115" i="67"/>
  <c r="W1115" i="67"/>
  <c r="V1115" i="67"/>
  <c r="U1115" i="67"/>
  <c r="T1115" i="67"/>
  <c r="A1115" i="67"/>
  <c r="AB1114" i="67"/>
  <c r="AA1114" i="67"/>
  <c r="Z1114" i="67"/>
  <c r="X1114" i="67"/>
  <c r="W1114" i="67"/>
  <c r="V1114" i="67"/>
  <c r="U1114" i="67"/>
  <c r="T1114" i="67"/>
  <c r="A1114" i="67"/>
  <c r="AB1113" i="67"/>
  <c r="AA1113" i="67"/>
  <c r="Z1113" i="67"/>
  <c r="X1113" i="67"/>
  <c r="W1113" i="67"/>
  <c r="V1113" i="67"/>
  <c r="U1113" i="67"/>
  <c r="T1113" i="67"/>
  <c r="A1113" i="67"/>
  <c r="AB1112" i="67"/>
  <c r="AA1112" i="67"/>
  <c r="Z1112" i="67"/>
  <c r="X1112" i="67"/>
  <c r="W1112" i="67"/>
  <c r="V1112" i="67"/>
  <c r="U1112" i="67"/>
  <c r="T1112" i="67"/>
  <c r="A1112" i="67"/>
  <c r="AB1111" i="67"/>
  <c r="AA1111" i="67"/>
  <c r="Z1111" i="67"/>
  <c r="X1111" i="67"/>
  <c r="W1111" i="67"/>
  <c r="V1111" i="67"/>
  <c r="U1111" i="67"/>
  <c r="T1111" i="67"/>
  <c r="A1111" i="67"/>
  <c r="AB1110" i="67"/>
  <c r="AA1110" i="67"/>
  <c r="Z1110" i="67"/>
  <c r="X1110" i="67"/>
  <c r="W1110" i="67"/>
  <c r="V1110" i="67"/>
  <c r="U1110" i="67"/>
  <c r="T1110" i="67"/>
  <c r="A1110" i="67"/>
  <c r="AB1109" i="67"/>
  <c r="AA1109" i="67"/>
  <c r="Z1109" i="67"/>
  <c r="X1109" i="67"/>
  <c r="W1109" i="67"/>
  <c r="V1109" i="67"/>
  <c r="U1109" i="67"/>
  <c r="T1109" i="67"/>
  <c r="A1109" i="67"/>
  <c r="AB1108" i="67"/>
  <c r="AA1108" i="67"/>
  <c r="Z1108" i="67"/>
  <c r="X1108" i="67"/>
  <c r="W1108" i="67"/>
  <c r="V1108" i="67"/>
  <c r="U1108" i="67"/>
  <c r="T1108" i="67"/>
  <c r="A1108" i="67"/>
  <c r="AB1107" i="67"/>
  <c r="AA1107" i="67"/>
  <c r="Z1107" i="67"/>
  <c r="X1107" i="67"/>
  <c r="W1107" i="67"/>
  <c r="V1107" i="67"/>
  <c r="U1107" i="67"/>
  <c r="T1107" i="67"/>
  <c r="A1107" i="67"/>
  <c r="AB1106" i="67"/>
  <c r="AA1106" i="67"/>
  <c r="Z1106" i="67"/>
  <c r="X1106" i="67"/>
  <c r="W1106" i="67"/>
  <c r="V1106" i="67"/>
  <c r="U1106" i="67"/>
  <c r="T1106" i="67"/>
  <c r="A1106" i="67"/>
  <c r="AB1105" i="67"/>
  <c r="AA1105" i="67"/>
  <c r="Z1105" i="67"/>
  <c r="X1105" i="67"/>
  <c r="W1105" i="67"/>
  <c r="V1105" i="67"/>
  <c r="U1105" i="67"/>
  <c r="T1105" i="67"/>
  <c r="A1105" i="67"/>
  <c r="AB1104" i="67"/>
  <c r="AA1104" i="67"/>
  <c r="Z1104" i="67"/>
  <c r="X1104" i="67"/>
  <c r="W1104" i="67"/>
  <c r="V1104" i="67"/>
  <c r="U1104" i="67"/>
  <c r="T1104" i="67"/>
  <c r="A1104" i="67"/>
  <c r="AB1103" i="67"/>
  <c r="AA1103" i="67"/>
  <c r="Z1103" i="67"/>
  <c r="X1103" i="67"/>
  <c r="W1103" i="67"/>
  <c r="V1103" i="67"/>
  <c r="U1103" i="67"/>
  <c r="T1103" i="67"/>
  <c r="A1103" i="67"/>
  <c r="AB1102" i="67"/>
  <c r="AA1102" i="67"/>
  <c r="Z1102" i="67"/>
  <c r="X1102" i="67"/>
  <c r="W1102" i="67"/>
  <c r="V1102" i="67"/>
  <c r="U1102" i="67"/>
  <c r="T1102" i="67"/>
  <c r="A1102" i="67"/>
  <c r="AB1101" i="67"/>
  <c r="AA1101" i="67"/>
  <c r="Z1101" i="67"/>
  <c r="X1101" i="67"/>
  <c r="W1101" i="67"/>
  <c r="V1101" i="67"/>
  <c r="U1101" i="67"/>
  <c r="T1101" i="67"/>
  <c r="A1101" i="67"/>
  <c r="AB1100" i="67"/>
  <c r="AA1100" i="67"/>
  <c r="Z1100" i="67"/>
  <c r="X1100" i="67"/>
  <c r="W1100" i="67"/>
  <c r="V1100" i="67"/>
  <c r="U1100" i="67"/>
  <c r="T1100" i="67"/>
  <c r="A1100" i="67"/>
  <c r="AB1099" i="67"/>
  <c r="AA1099" i="67"/>
  <c r="Z1099" i="67"/>
  <c r="X1099" i="67"/>
  <c r="W1099" i="67"/>
  <c r="V1099" i="67"/>
  <c r="U1099" i="67"/>
  <c r="T1099" i="67"/>
  <c r="A1099" i="67"/>
  <c r="AB1098" i="67"/>
  <c r="AA1098" i="67"/>
  <c r="Z1098" i="67"/>
  <c r="X1098" i="67"/>
  <c r="W1098" i="67"/>
  <c r="V1098" i="67"/>
  <c r="U1098" i="67"/>
  <c r="T1098" i="67"/>
  <c r="A1098" i="67"/>
  <c r="AB1097" i="67"/>
  <c r="AA1097" i="67"/>
  <c r="Z1097" i="67"/>
  <c r="X1097" i="67"/>
  <c r="W1097" i="67"/>
  <c r="V1097" i="67"/>
  <c r="U1097" i="67"/>
  <c r="T1097" i="67"/>
  <c r="A1097" i="67"/>
  <c r="AB1096" i="67"/>
  <c r="AA1096" i="67"/>
  <c r="Z1096" i="67"/>
  <c r="X1096" i="67"/>
  <c r="W1096" i="67"/>
  <c r="V1096" i="67"/>
  <c r="U1096" i="67"/>
  <c r="T1096" i="67"/>
  <c r="A1096" i="67"/>
  <c r="AB1095" i="67"/>
  <c r="AA1095" i="67"/>
  <c r="Z1095" i="67"/>
  <c r="X1095" i="67"/>
  <c r="W1095" i="67"/>
  <c r="V1095" i="67"/>
  <c r="U1095" i="67"/>
  <c r="T1095" i="67"/>
  <c r="A1095" i="67"/>
  <c r="AB1094" i="67"/>
  <c r="AA1094" i="67"/>
  <c r="Z1094" i="67"/>
  <c r="X1094" i="67"/>
  <c r="W1094" i="67"/>
  <c r="V1094" i="67"/>
  <c r="U1094" i="67"/>
  <c r="T1094" i="67"/>
  <c r="A1094" i="67"/>
  <c r="AB1093" i="67"/>
  <c r="AA1093" i="67"/>
  <c r="Z1093" i="67"/>
  <c r="X1093" i="67"/>
  <c r="W1093" i="67"/>
  <c r="V1093" i="67"/>
  <c r="U1093" i="67"/>
  <c r="T1093" i="67"/>
  <c r="A1093" i="67"/>
  <c r="AB1092" i="67"/>
  <c r="AA1092" i="67"/>
  <c r="Z1092" i="67"/>
  <c r="X1092" i="67"/>
  <c r="W1092" i="67"/>
  <c r="V1092" i="67"/>
  <c r="U1092" i="67"/>
  <c r="T1092" i="67"/>
  <c r="A1092" i="67"/>
  <c r="AB1091" i="67"/>
  <c r="AA1091" i="67"/>
  <c r="Z1091" i="67"/>
  <c r="X1091" i="67"/>
  <c r="W1091" i="67"/>
  <c r="V1091" i="67"/>
  <c r="U1091" i="67"/>
  <c r="T1091" i="67"/>
  <c r="A1091" i="67"/>
  <c r="AB1090" i="67"/>
  <c r="AA1090" i="67"/>
  <c r="Z1090" i="67"/>
  <c r="X1090" i="67"/>
  <c r="W1090" i="67"/>
  <c r="V1090" i="67"/>
  <c r="U1090" i="67"/>
  <c r="T1090" i="67"/>
  <c r="A1090" i="67"/>
  <c r="AB1089" i="67"/>
  <c r="AA1089" i="67"/>
  <c r="Z1089" i="67"/>
  <c r="X1089" i="67"/>
  <c r="W1089" i="67"/>
  <c r="V1089" i="67"/>
  <c r="U1089" i="67"/>
  <c r="T1089" i="67"/>
  <c r="A1089" i="67"/>
  <c r="AB1088" i="67"/>
  <c r="AA1088" i="67"/>
  <c r="Z1088" i="67"/>
  <c r="X1088" i="67"/>
  <c r="W1088" i="67"/>
  <c r="V1088" i="67"/>
  <c r="U1088" i="67"/>
  <c r="T1088" i="67"/>
  <c r="A1088" i="67"/>
  <c r="AB1087" i="67"/>
  <c r="AA1087" i="67"/>
  <c r="Z1087" i="67"/>
  <c r="X1087" i="67"/>
  <c r="W1087" i="67"/>
  <c r="V1087" i="67"/>
  <c r="U1087" i="67"/>
  <c r="T1087" i="67"/>
  <c r="A1087" i="67"/>
  <c r="AB1086" i="67"/>
  <c r="AA1086" i="67"/>
  <c r="Z1086" i="67"/>
  <c r="X1086" i="67"/>
  <c r="W1086" i="67"/>
  <c r="V1086" i="67"/>
  <c r="U1086" i="67"/>
  <c r="T1086" i="67"/>
  <c r="A1086" i="67"/>
  <c r="AB1085" i="67"/>
  <c r="AA1085" i="67"/>
  <c r="Z1085" i="67"/>
  <c r="X1085" i="67"/>
  <c r="W1085" i="67"/>
  <c r="V1085" i="67"/>
  <c r="U1085" i="67"/>
  <c r="T1085" i="67"/>
  <c r="A1085" i="67"/>
  <c r="AB1084" i="67"/>
  <c r="AA1084" i="67"/>
  <c r="Z1084" i="67"/>
  <c r="X1084" i="67"/>
  <c r="W1084" i="67"/>
  <c r="V1084" i="67"/>
  <c r="U1084" i="67"/>
  <c r="T1084" i="67"/>
  <c r="A1084" i="67"/>
  <c r="AB1083" i="67"/>
  <c r="AA1083" i="67"/>
  <c r="Z1083" i="67"/>
  <c r="X1083" i="67"/>
  <c r="W1083" i="67"/>
  <c r="V1083" i="67"/>
  <c r="U1083" i="67"/>
  <c r="T1083" i="67"/>
  <c r="A1083" i="67"/>
  <c r="AB1082" i="67"/>
  <c r="AA1082" i="67"/>
  <c r="Z1082" i="67"/>
  <c r="X1082" i="67"/>
  <c r="W1082" i="67"/>
  <c r="V1082" i="67"/>
  <c r="U1082" i="67"/>
  <c r="T1082" i="67"/>
  <c r="A1082" i="67"/>
  <c r="AB1081" i="67"/>
  <c r="AA1081" i="67"/>
  <c r="Z1081" i="67"/>
  <c r="X1081" i="67"/>
  <c r="W1081" i="67"/>
  <c r="V1081" i="67"/>
  <c r="U1081" i="67"/>
  <c r="T1081" i="67"/>
  <c r="A1081" i="67"/>
  <c r="AB1080" i="67"/>
  <c r="AA1080" i="67"/>
  <c r="Z1080" i="67"/>
  <c r="X1080" i="67"/>
  <c r="W1080" i="67"/>
  <c r="V1080" i="67"/>
  <c r="U1080" i="67"/>
  <c r="T1080" i="67"/>
  <c r="A1080" i="67"/>
  <c r="AB1079" i="67"/>
  <c r="AA1079" i="67"/>
  <c r="Z1079" i="67"/>
  <c r="X1079" i="67"/>
  <c r="W1079" i="67"/>
  <c r="V1079" i="67"/>
  <c r="U1079" i="67"/>
  <c r="T1079" i="67"/>
  <c r="A1079" i="67"/>
  <c r="AB1078" i="67"/>
  <c r="AA1078" i="67"/>
  <c r="Z1078" i="67"/>
  <c r="X1078" i="67"/>
  <c r="W1078" i="67"/>
  <c r="V1078" i="67"/>
  <c r="U1078" i="67"/>
  <c r="T1078" i="67"/>
  <c r="A1078" i="67"/>
  <c r="AB1077" i="67"/>
  <c r="AA1077" i="67"/>
  <c r="Z1077" i="67"/>
  <c r="X1077" i="67"/>
  <c r="W1077" i="67"/>
  <c r="V1077" i="67"/>
  <c r="U1077" i="67"/>
  <c r="T1077" i="67"/>
  <c r="A1077" i="67"/>
  <c r="AB1076" i="67"/>
  <c r="AA1076" i="67"/>
  <c r="Z1076" i="67"/>
  <c r="X1076" i="67"/>
  <c r="W1076" i="67"/>
  <c r="V1076" i="67"/>
  <c r="U1076" i="67"/>
  <c r="T1076" i="67"/>
  <c r="A1076" i="67"/>
  <c r="AB1075" i="67"/>
  <c r="AA1075" i="67"/>
  <c r="Z1075" i="67"/>
  <c r="X1075" i="67"/>
  <c r="W1075" i="67"/>
  <c r="V1075" i="67"/>
  <c r="U1075" i="67"/>
  <c r="T1075" i="67"/>
  <c r="A1075" i="67"/>
  <c r="AB1074" i="67"/>
  <c r="AA1074" i="67"/>
  <c r="Z1074" i="67"/>
  <c r="X1074" i="67"/>
  <c r="W1074" i="67"/>
  <c r="V1074" i="67"/>
  <c r="U1074" i="67"/>
  <c r="T1074" i="67"/>
  <c r="A1074" i="67"/>
  <c r="AB1073" i="67"/>
  <c r="AA1073" i="67"/>
  <c r="Z1073" i="67"/>
  <c r="X1073" i="67"/>
  <c r="W1073" i="67"/>
  <c r="V1073" i="67"/>
  <c r="U1073" i="67"/>
  <c r="T1073" i="67"/>
  <c r="A1073" i="67"/>
  <c r="AB1072" i="67"/>
  <c r="AA1072" i="67"/>
  <c r="Z1072" i="67"/>
  <c r="X1072" i="67"/>
  <c r="W1072" i="67"/>
  <c r="V1072" i="67"/>
  <c r="U1072" i="67"/>
  <c r="T1072" i="67"/>
  <c r="A1072" i="67"/>
  <c r="AB1071" i="67"/>
  <c r="AA1071" i="67"/>
  <c r="Z1071" i="67"/>
  <c r="X1071" i="67"/>
  <c r="W1071" i="67"/>
  <c r="V1071" i="67"/>
  <c r="U1071" i="67"/>
  <c r="T1071" i="67"/>
  <c r="A1071" i="67"/>
  <c r="AB1070" i="67"/>
  <c r="AA1070" i="67"/>
  <c r="Z1070" i="67"/>
  <c r="X1070" i="67"/>
  <c r="W1070" i="67"/>
  <c r="V1070" i="67"/>
  <c r="U1070" i="67"/>
  <c r="T1070" i="67"/>
  <c r="A1070" i="67"/>
  <c r="AB1069" i="67"/>
  <c r="AA1069" i="67"/>
  <c r="Z1069" i="67"/>
  <c r="X1069" i="67"/>
  <c r="W1069" i="67"/>
  <c r="V1069" i="67"/>
  <c r="U1069" i="67"/>
  <c r="T1069" i="67"/>
  <c r="A1069" i="67"/>
  <c r="AB1068" i="67"/>
  <c r="AA1068" i="67"/>
  <c r="Z1068" i="67"/>
  <c r="X1068" i="67"/>
  <c r="W1068" i="67"/>
  <c r="V1068" i="67"/>
  <c r="U1068" i="67"/>
  <c r="T1068" i="67"/>
  <c r="A1068" i="67"/>
  <c r="AB1067" i="67"/>
  <c r="AA1067" i="67"/>
  <c r="Z1067" i="67"/>
  <c r="X1067" i="67"/>
  <c r="W1067" i="67"/>
  <c r="V1067" i="67"/>
  <c r="U1067" i="67"/>
  <c r="T1067" i="67"/>
  <c r="A1067" i="67"/>
  <c r="AB1066" i="67"/>
  <c r="AA1066" i="67"/>
  <c r="Z1066" i="67"/>
  <c r="X1066" i="67"/>
  <c r="W1066" i="67"/>
  <c r="V1066" i="67"/>
  <c r="U1066" i="67"/>
  <c r="T1066" i="67"/>
  <c r="A1066" i="67"/>
  <c r="AB1065" i="67"/>
  <c r="AA1065" i="67"/>
  <c r="Z1065" i="67"/>
  <c r="X1065" i="67"/>
  <c r="W1065" i="67"/>
  <c r="V1065" i="67"/>
  <c r="U1065" i="67"/>
  <c r="T1065" i="67"/>
  <c r="A1065" i="67"/>
  <c r="AB1064" i="67"/>
  <c r="AA1064" i="67"/>
  <c r="Z1064" i="67"/>
  <c r="X1064" i="67"/>
  <c r="W1064" i="67"/>
  <c r="V1064" i="67"/>
  <c r="U1064" i="67"/>
  <c r="T1064" i="67"/>
  <c r="A1064" i="67"/>
  <c r="AB1063" i="67"/>
  <c r="AA1063" i="67"/>
  <c r="Z1063" i="67"/>
  <c r="X1063" i="67"/>
  <c r="W1063" i="67"/>
  <c r="V1063" i="67"/>
  <c r="U1063" i="67"/>
  <c r="T1063" i="67"/>
  <c r="A1063" i="67"/>
  <c r="AB1062" i="67"/>
  <c r="AA1062" i="67"/>
  <c r="Z1062" i="67"/>
  <c r="X1062" i="67"/>
  <c r="W1062" i="67"/>
  <c r="V1062" i="67"/>
  <c r="U1062" i="67"/>
  <c r="T1062" i="67"/>
  <c r="A1062" i="67"/>
  <c r="AB1061" i="67"/>
  <c r="AA1061" i="67"/>
  <c r="Z1061" i="67"/>
  <c r="X1061" i="67"/>
  <c r="W1061" i="67"/>
  <c r="V1061" i="67"/>
  <c r="U1061" i="67"/>
  <c r="T1061" i="67"/>
  <c r="A1061" i="67"/>
  <c r="AB1060" i="67"/>
  <c r="AA1060" i="67"/>
  <c r="Z1060" i="67"/>
  <c r="X1060" i="67"/>
  <c r="W1060" i="67"/>
  <c r="V1060" i="67"/>
  <c r="U1060" i="67"/>
  <c r="T1060" i="67"/>
  <c r="A1060" i="67"/>
  <c r="AB1059" i="67"/>
  <c r="AA1059" i="67"/>
  <c r="Z1059" i="67"/>
  <c r="X1059" i="67"/>
  <c r="W1059" i="67"/>
  <c r="V1059" i="67"/>
  <c r="U1059" i="67"/>
  <c r="T1059" i="67"/>
  <c r="A1059" i="67"/>
  <c r="AB1058" i="67"/>
  <c r="AA1058" i="67"/>
  <c r="Z1058" i="67"/>
  <c r="X1058" i="67"/>
  <c r="W1058" i="67"/>
  <c r="V1058" i="67"/>
  <c r="U1058" i="67"/>
  <c r="T1058" i="67"/>
  <c r="A1058" i="67"/>
  <c r="AB1057" i="67"/>
  <c r="AA1057" i="67"/>
  <c r="Z1057" i="67"/>
  <c r="X1057" i="67"/>
  <c r="W1057" i="67"/>
  <c r="V1057" i="67"/>
  <c r="U1057" i="67"/>
  <c r="T1057" i="67"/>
  <c r="A1057" i="67"/>
  <c r="AB1056" i="67"/>
  <c r="AA1056" i="67"/>
  <c r="Z1056" i="67"/>
  <c r="X1056" i="67"/>
  <c r="W1056" i="67"/>
  <c r="V1056" i="67"/>
  <c r="U1056" i="67"/>
  <c r="T1056" i="67"/>
  <c r="A1056" i="67"/>
  <c r="AB1055" i="67"/>
  <c r="AA1055" i="67"/>
  <c r="Z1055" i="67"/>
  <c r="X1055" i="67"/>
  <c r="W1055" i="67"/>
  <c r="V1055" i="67"/>
  <c r="U1055" i="67"/>
  <c r="T1055" i="67"/>
  <c r="A1055" i="67"/>
  <c r="AB1054" i="67"/>
  <c r="AA1054" i="67"/>
  <c r="Z1054" i="67"/>
  <c r="X1054" i="67"/>
  <c r="W1054" i="67"/>
  <c r="V1054" i="67"/>
  <c r="U1054" i="67"/>
  <c r="T1054" i="67"/>
  <c r="A1054" i="67"/>
  <c r="AB1053" i="67"/>
  <c r="AA1053" i="67"/>
  <c r="Z1053" i="67"/>
  <c r="X1053" i="67"/>
  <c r="W1053" i="67"/>
  <c r="V1053" i="67"/>
  <c r="U1053" i="67"/>
  <c r="T1053" i="67"/>
  <c r="A1053" i="67"/>
  <c r="AB1052" i="67"/>
  <c r="AA1052" i="67"/>
  <c r="Z1052" i="67"/>
  <c r="X1052" i="67"/>
  <c r="W1052" i="67"/>
  <c r="V1052" i="67"/>
  <c r="U1052" i="67"/>
  <c r="T1052" i="67"/>
  <c r="A1052" i="67"/>
  <c r="AB1051" i="67"/>
  <c r="AA1051" i="67"/>
  <c r="Z1051" i="67"/>
  <c r="X1051" i="67"/>
  <c r="W1051" i="67"/>
  <c r="V1051" i="67"/>
  <c r="U1051" i="67"/>
  <c r="T1051" i="67"/>
  <c r="A1051" i="67"/>
  <c r="AB1050" i="67"/>
  <c r="AA1050" i="67"/>
  <c r="Z1050" i="67"/>
  <c r="X1050" i="67"/>
  <c r="W1050" i="67"/>
  <c r="V1050" i="67"/>
  <c r="U1050" i="67"/>
  <c r="T1050" i="67"/>
  <c r="A1050" i="67"/>
  <c r="AB1049" i="67"/>
  <c r="AA1049" i="67"/>
  <c r="Z1049" i="67"/>
  <c r="X1049" i="67"/>
  <c r="W1049" i="67"/>
  <c r="V1049" i="67"/>
  <c r="U1049" i="67"/>
  <c r="T1049" i="67"/>
  <c r="A1049" i="67"/>
  <c r="AB1048" i="67"/>
  <c r="AA1048" i="67"/>
  <c r="Z1048" i="67"/>
  <c r="X1048" i="67"/>
  <c r="W1048" i="67"/>
  <c r="V1048" i="67"/>
  <c r="U1048" i="67"/>
  <c r="T1048" i="67"/>
  <c r="A1048" i="67"/>
  <c r="AB1047" i="67"/>
  <c r="AA1047" i="67"/>
  <c r="Z1047" i="67"/>
  <c r="X1047" i="67"/>
  <c r="W1047" i="67"/>
  <c r="V1047" i="67"/>
  <c r="U1047" i="67"/>
  <c r="T1047" i="67"/>
  <c r="A1047" i="67"/>
  <c r="AB1046" i="67"/>
  <c r="AA1046" i="67"/>
  <c r="Z1046" i="67"/>
  <c r="X1046" i="67"/>
  <c r="W1046" i="67"/>
  <c r="V1046" i="67"/>
  <c r="U1046" i="67"/>
  <c r="T1046" i="67"/>
  <c r="A1046" i="67"/>
  <c r="AB1045" i="67"/>
  <c r="AA1045" i="67"/>
  <c r="Z1045" i="67"/>
  <c r="X1045" i="67"/>
  <c r="W1045" i="67"/>
  <c r="V1045" i="67"/>
  <c r="U1045" i="67"/>
  <c r="T1045" i="67"/>
  <c r="A1045" i="67"/>
  <c r="AB1044" i="67"/>
  <c r="AA1044" i="67"/>
  <c r="Z1044" i="67"/>
  <c r="X1044" i="67"/>
  <c r="W1044" i="67"/>
  <c r="V1044" i="67"/>
  <c r="U1044" i="67"/>
  <c r="T1044" i="67"/>
  <c r="A1044" i="67"/>
  <c r="AB1043" i="67"/>
  <c r="AA1043" i="67"/>
  <c r="Z1043" i="67"/>
  <c r="X1043" i="67"/>
  <c r="W1043" i="67"/>
  <c r="V1043" i="67"/>
  <c r="U1043" i="67"/>
  <c r="T1043" i="67"/>
  <c r="A1043" i="67"/>
  <c r="AB1042" i="67"/>
  <c r="AA1042" i="67"/>
  <c r="Z1042" i="67"/>
  <c r="X1042" i="67"/>
  <c r="W1042" i="67"/>
  <c r="V1042" i="67"/>
  <c r="U1042" i="67"/>
  <c r="T1042" i="67"/>
  <c r="A1042" i="67"/>
  <c r="AB1041" i="67"/>
  <c r="AA1041" i="67"/>
  <c r="Z1041" i="67"/>
  <c r="X1041" i="67"/>
  <c r="W1041" i="67"/>
  <c r="V1041" i="67"/>
  <c r="U1041" i="67"/>
  <c r="T1041" i="67"/>
  <c r="A1041" i="67"/>
  <c r="AB1040" i="67"/>
  <c r="AA1040" i="67"/>
  <c r="Z1040" i="67"/>
  <c r="X1040" i="67"/>
  <c r="W1040" i="67"/>
  <c r="V1040" i="67"/>
  <c r="U1040" i="67"/>
  <c r="T1040" i="67"/>
  <c r="A1040" i="67"/>
  <c r="AB1039" i="67"/>
  <c r="AA1039" i="67"/>
  <c r="Z1039" i="67"/>
  <c r="X1039" i="67"/>
  <c r="W1039" i="67"/>
  <c r="V1039" i="67"/>
  <c r="U1039" i="67"/>
  <c r="T1039" i="67"/>
  <c r="A1039" i="67"/>
  <c r="AB1038" i="67"/>
  <c r="AA1038" i="67"/>
  <c r="Z1038" i="67"/>
  <c r="X1038" i="67"/>
  <c r="W1038" i="67"/>
  <c r="V1038" i="67"/>
  <c r="U1038" i="67"/>
  <c r="T1038" i="67"/>
  <c r="A1038" i="67"/>
  <c r="AB1037" i="67"/>
  <c r="AA1037" i="67"/>
  <c r="Z1037" i="67"/>
  <c r="X1037" i="67"/>
  <c r="W1037" i="67"/>
  <c r="V1037" i="67"/>
  <c r="U1037" i="67"/>
  <c r="T1037" i="67"/>
  <c r="A1037" i="67"/>
  <c r="AB1036" i="67"/>
  <c r="AA1036" i="67"/>
  <c r="Z1036" i="67"/>
  <c r="X1036" i="67"/>
  <c r="W1036" i="67"/>
  <c r="V1036" i="67"/>
  <c r="U1036" i="67"/>
  <c r="T1036" i="67"/>
  <c r="A1036" i="67"/>
  <c r="AB1035" i="67"/>
  <c r="AA1035" i="67"/>
  <c r="Z1035" i="67"/>
  <c r="X1035" i="67"/>
  <c r="W1035" i="67"/>
  <c r="V1035" i="67"/>
  <c r="U1035" i="67"/>
  <c r="T1035" i="67"/>
  <c r="A1035" i="67"/>
  <c r="AB1034" i="67"/>
  <c r="AA1034" i="67"/>
  <c r="Z1034" i="67"/>
  <c r="X1034" i="67"/>
  <c r="W1034" i="67"/>
  <c r="V1034" i="67"/>
  <c r="U1034" i="67"/>
  <c r="T1034" i="67"/>
  <c r="A1034" i="67"/>
  <c r="AB1033" i="67"/>
  <c r="AA1033" i="67"/>
  <c r="Z1033" i="67"/>
  <c r="X1033" i="67"/>
  <c r="W1033" i="67"/>
  <c r="V1033" i="67"/>
  <c r="U1033" i="67"/>
  <c r="T1033" i="67"/>
  <c r="A1033" i="67"/>
  <c r="AB1032" i="67"/>
  <c r="AA1032" i="67"/>
  <c r="Z1032" i="67"/>
  <c r="X1032" i="67"/>
  <c r="W1032" i="67"/>
  <c r="V1032" i="67"/>
  <c r="U1032" i="67"/>
  <c r="T1032" i="67"/>
  <c r="A1032" i="67"/>
  <c r="AB1031" i="67"/>
  <c r="AA1031" i="67"/>
  <c r="Z1031" i="67"/>
  <c r="X1031" i="67"/>
  <c r="W1031" i="67"/>
  <c r="V1031" i="67"/>
  <c r="U1031" i="67"/>
  <c r="T1031" i="67"/>
  <c r="A1031" i="67"/>
  <c r="AB1030" i="67"/>
  <c r="AA1030" i="67"/>
  <c r="Z1030" i="67"/>
  <c r="X1030" i="67"/>
  <c r="W1030" i="67"/>
  <c r="V1030" i="67"/>
  <c r="U1030" i="67"/>
  <c r="T1030" i="67"/>
  <c r="A1030" i="67"/>
  <c r="AB1029" i="67"/>
  <c r="AA1029" i="67"/>
  <c r="Z1029" i="67"/>
  <c r="X1029" i="67"/>
  <c r="W1029" i="67"/>
  <c r="V1029" i="67"/>
  <c r="U1029" i="67"/>
  <c r="T1029" i="67"/>
  <c r="A1029" i="67"/>
  <c r="AB1028" i="67"/>
  <c r="AA1028" i="67"/>
  <c r="Z1028" i="67"/>
  <c r="X1028" i="67"/>
  <c r="W1028" i="67"/>
  <c r="V1028" i="67"/>
  <c r="U1028" i="67"/>
  <c r="T1028" i="67"/>
  <c r="A1028" i="67"/>
  <c r="AB1027" i="67"/>
  <c r="AA1027" i="67"/>
  <c r="Z1027" i="67"/>
  <c r="X1027" i="67"/>
  <c r="W1027" i="67"/>
  <c r="V1027" i="67"/>
  <c r="U1027" i="67"/>
  <c r="T1027" i="67"/>
  <c r="A1027" i="67"/>
  <c r="AB1026" i="67"/>
  <c r="AA1026" i="67"/>
  <c r="Z1026" i="67"/>
  <c r="X1026" i="67"/>
  <c r="W1026" i="67"/>
  <c r="V1026" i="67"/>
  <c r="U1026" i="67"/>
  <c r="T1026" i="67"/>
  <c r="A1026" i="67"/>
  <c r="AB1025" i="67"/>
  <c r="AA1025" i="67"/>
  <c r="Z1025" i="67"/>
  <c r="X1025" i="67"/>
  <c r="W1025" i="67"/>
  <c r="V1025" i="67"/>
  <c r="U1025" i="67"/>
  <c r="T1025" i="67"/>
  <c r="A1025" i="67"/>
  <c r="AB1024" i="67"/>
  <c r="AA1024" i="67"/>
  <c r="Z1024" i="67"/>
  <c r="X1024" i="67"/>
  <c r="W1024" i="67"/>
  <c r="V1024" i="67"/>
  <c r="U1024" i="67"/>
  <c r="T1024" i="67"/>
  <c r="A1024" i="67"/>
  <c r="AB1023" i="67"/>
  <c r="AA1023" i="67"/>
  <c r="Z1023" i="67"/>
  <c r="X1023" i="67"/>
  <c r="W1023" i="67"/>
  <c r="V1023" i="67"/>
  <c r="U1023" i="67"/>
  <c r="T1023" i="67"/>
  <c r="A1023" i="67"/>
  <c r="AB1022" i="67"/>
  <c r="AA1022" i="67"/>
  <c r="Z1022" i="67"/>
  <c r="X1022" i="67"/>
  <c r="W1022" i="67"/>
  <c r="V1022" i="67"/>
  <c r="U1022" i="67"/>
  <c r="T1022" i="67"/>
  <c r="A1022" i="67"/>
  <c r="AB1021" i="67"/>
  <c r="AA1021" i="67"/>
  <c r="Z1021" i="67"/>
  <c r="X1021" i="67"/>
  <c r="W1021" i="67"/>
  <c r="V1021" i="67"/>
  <c r="U1021" i="67"/>
  <c r="T1021" i="67"/>
  <c r="A1021" i="67"/>
  <c r="AB1020" i="67"/>
  <c r="AA1020" i="67"/>
  <c r="Z1020" i="67"/>
  <c r="X1020" i="67"/>
  <c r="W1020" i="67"/>
  <c r="V1020" i="67"/>
  <c r="U1020" i="67"/>
  <c r="T1020" i="67"/>
  <c r="A1020" i="67"/>
  <c r="AB1019" i="67"/>
  <c r="AA1019" i="67"/>
  <c r="Z1019" i="67"/>
  <c r="X1019" i="67"/>
  <c r="W1019" i="67"/>
  <c r="V1019" i="67"/>
  <c r="U1019" i="67"/>
  <c r="T1019" i="67"/>
  <c r="A1019" i="67"/>
  <c r="AB1018" i="67"/>
  <c r="AA1018" i="67"/>
  <c r="Z1018" i="67"/>
  <c r="X1018" i="67"/>
  <c r="W1018" i="67"/>
  <c r="V1018" i="67"/>
  <c r="U1018" i="67"/>
  <c r="T1018" i="67"/>
  <c r="A1018" i="67"/>
  <c r="AB1017" i="67"/>
  <c r="AA1017" i="67"/>
  <c r="Z1017" i="67"/>
  <c r="X1017" i="67"/>
  <c r="W1017" i="67"/>
  <c r="V1017" i="67"/>
  <c r="U1017" i="67"/>
  <c r="T1017" i="67"/>
  <c r="A1017" i="67"/>
  <c r="AB1016" i="67"/>
  <c r="AA1016" i="67"/>
  <c r="Z1016" i="67"/>
  <c r="X1016" i="67"/>
  <c r="W1016" i="67"/>
  <c r="V1016" i="67"/>
  <c r="U1016" i="67"/>
  <c r="T1016" i="67"/>
  <c r="A1016" i="67"/>
  <c r="AB1015" i="67"/>
  <c r="AA1015" i="67"/>
  <c r="Z1015" i="67"/>
  <c r="X1015" i="67"/>
  <c r="W1015" i="67"/>
  <c r="V1015" i="67"/>
  <c r="U1015" i="67"/>
  <c r="T1015" i="67"/>
  <c r="A1015" i="67"/>
  <c r="AB1014" i="67"/>
  <c r="AA1014" i="67"/>
  <c r="Z1014" i="67"/>
  <c r="X1014" i="67"/>
  <c r="W1014" i="67"/>
  <c r="V1014" i="67"/>
  <c r="U1014" i="67"/>
  <c r="T1014" i="67"/>
  <c r="A1014" i="67"/>
  <c r="AB1013" i="67"/>
  <c r="AA1013" i="67"/>
  <c r="Z1013" i="67"/>
  <c r="X1013" i="67"/>
  <c r="W1013" i="67"/>
  <c r="V1013" i="67"/>
  <c r="U1013" i="67"/>
  <c r="T1013" i="67"/>
  <c r="A1013" i="67"/>
  <c r="AB1012" i="67"/>
  <c r="AA1012" i="67"/>
  <c r="Z1012" i="67"/>
  <c r="X1012" i="67"/>
  <c r="W1012" i="67"/>
  <c r="V1012" i="67"/>
  <c r="U1012" i="67"/>
  <c r="T1012" i="67"/>
  <c r="A1012" i="67"/>
  <c r="AB1011" i="67"/>
  <c r="AA1011" i="67"/>
  <c r="Z1011" i="67"/>
  <c r="X1011" i="67"/>
  <c r="W1011" i="67"/>
  <c r="V1011" i="67"/>
  <c r="U1011" i="67"/>
  <c r="T1011" i="67"/>
  <c r="A1011" i="67"/>
  <c r="AB1010" i="67"/>
  <c r="AA1010" i="67"/>
  <c r="Z1010" i="67"/>
  <c r="X1010" i="67"/>
  <c r="W1010" i="67"/>
  <c r="V1010" i="67"/>
  <c r="U1010" i="67"/>
  <c r="T1010" i="67"/>
  <c r="A1010" i="67"/>
  <c r="AB1009" i="67"/>
  <c r="AA1009" i="67"/>
  <c r="Z1009" i="67"/>
  <c r="X1009" i="67"/>
  <c r="W1009" i="67"/>
  <c r="V1009" i="67"/>
  <c r="U1009" i="67"/>
  <c r="T1009" i="67"/>
  <c r="A1009" i="67"/>
  <c r="AB1008" i="67"/>
  <c r="AA1008" i="67"/>
  <c r="Z1008" i="67"/>
  <c r="X1008" i="67"/>
  <c r="W1008" i="67"/>
  <c r="V1008" i="67"/>
  <c r="U1008" i="67"/>
  <c r="T1008" i="67"/>
  <c r="A1008" i="67"/>
  <c r="AB1007" i="67"/>
  <c r="AA1007" i="67"/>
  <c r="Z1007" i="67"/>
  <c r="X1007" i="67"/>
  <c r="W1007" i="67"/>
  <c r="V1007" i="67"/>
  <c r="U1007" i="67"/>
  <c r="T1007" i="67"/>
  <c r="A1007" i="67"/>
  <c r="AB1006" i="67"/>
  <c r="AA1006" i="67"/>
  <c r="Z1006" i="67"/>
  <c r="X1006" i="67"/>
  <c r="W1006" i="67"/>
  <c r="V1006" i="67"/>
  <c r="U1006" i="67"/>
  <c r="T1006" i="67"/>
  <c r="A1006" i="67"/>
  <c r="AB1005" i="67"/>
  <c r="AA1005" i="67"/>
  <c r="Z1005" i="67"/>
  <c r="X1005" i="67"/>
  <c r="W1005" i="67"/>
  <c r="V1005" i="67"/>
  <c r="U1005" i="67"/>
  <c r="T1005" i="67"/>
  <c r="A1005" i="67"/>
  <c r="AB1004" i="67"/>
  <c r="AA1004" i="67"/>
  <c r="Z1004" i="67"/>
  <c r="X1004" i="67"/>
  <c r="W1004" i="67"/>
  <c r="V1004" i="67"/>
  <c r="U1004" i="67"/>
  <c r="T1004" i="67"/>
  <c r="A1004" i="67"/>
  <c r="AB1003" i="67"/>
  <c r="AA1003" i="67"/>
  <c r="Z1003" i="67"/>
  <c r="X1003" i="67"/>
  <c r="W1003" i="67"/>
  <c r="V1003" i="67"/>
  <c r="U1003" i="67"/>
  <c r="T1003" i="67"/>
  <c r="A1003" i="67"/>
  <c r="AB1002" i="67"/>
  <c r="AA1002" i="67"/>
  <c r="Z1002" i="67"/>
  <c r="X1002" i="67"/>
  <c r="W1002" i="67"/>
  <c r="V1002" i="67"/>
  <c r="U1002" i="67"/>
  <c r="T1002" i="67"/>
  <c r="A1002" i="67"/>
  <c r="AB1001" i="67"/>
  <c r="AA1001" i="67"/>
  <c r="Z1001" i="67"/>
  <c r="X1001" i="67"/>
  <c r="W1001" i="67"/>
  <c r="V1001" i="67"/>
  <c r="U1001" i="67"/>
  <c r="T1001" i="67"/>
  <c r="A1001" i="67"/>
  <c r="AB1000" i="67"/>
  <c r="AA1000" i="67"/>
  <c r="Z1000" i="67"/>
  <c r="X1000" i="67"/>
  <c r="W1000" i="67"/>
  <c r="V1000" i="67"/>
  <c r="U1000" i="67"/>
  <c r="T1000" i="67"/>
  <c r="A1000" i="67"/>
  <c r="AB999" i="67"/>
  <c r="AA999" i="67"/>
  <c r="Z999" i="67"/>
  <c r="X999" i="67"/>
  <c r="W999" i="67"/>
  <c r="V999" i="67"/>
  <c r="U999" i="67"/>
  <c r="T999" i="67"/>
  <c r="A999" i="67"/>
  <c r="AB998" i="67"/>
  <c r="AA998" i="67"/>
  <c r="Z998" i="67"/>
  <c r="X998" i="67"/>
  <c r="W998" i="67"/>
  <c r="V998" i="67"/>
  <c r="U998" i="67"/>
  <c r="T998" i="67"/>
  <c r="A998" i="67"/>
  <c r="AB997" i="67"/>
  <c r="AA997" i="67"/>
  <c r="Z997" i="67"/>
  <c r="X997" i="67"/>
  <c r="W997" i="67"/>
  <c r="V997" i="67"/>
  <c r="U997" i="67"/>
  <c r="T997" i="67"/>
  <c r="A997" i="67"/>
  <c r="AB996" i="67"/>
  <c r="AA996" i="67"/>
  <c r="Z996" i="67"/>
  <c r="X996" i="67"/>
  <c r="W996" i="67"/>
  <c r="V996" i="67"/>
  <c r="U996" i="67"/>
  <c r="T996" i="67"/>
  <c r="A996" i="67"/>
  <c r="AB995" i="67"/>
  <c r="AA995" i="67"/>
  <c r="Z995" i="67"/>
  <c r="X995" i="67"/>
  <c r="W995" i="67"/>
  <c r="V995" i="67"/>
  <c r="U995" i="67"/>
  <c r="T995" i="67"/>
  <c r="A995" i="67"/>
  <c r="AB994" i="67"/>
  <c r="AA994" i="67"/>
  <c r="Z994" i="67"/>
  <c r="X994" i="67"/>
  <c r="W994" i="67"/>
  <c r="V994" i="67"/>
  <c r="U994" i="67"/>
  <c r="T994" i="67"/>
  <c r="A994" i="67"/>
  <c r="AB993" i="67"/>
  <c r="AA993" i="67"/>
  <c r="Z993" i="67"/>
  <c r="X993" i="67"/>
  <c r="W993" i="67"/>
  <c r="V993" i="67"/>
  <c r="U993" i="67"/>
  <c r="T993" i="67"/>
  <c r="A993" i="67"/>
  <c r="AB992" i="67"/>
  <c r="AA992" i="67"/>
  <c r="Z992" i="67"/>
  <c r="X992" i="67"/>
  <c r="W992" i="67"/>
  <c r="V992" i="67"/>
  <c r="U992" i="67"/>
  <c r="T992" i="67"/>
  <c r="A992" i="67"/>
  <c r="AB991" i="67"/>
  <c r="AA991" i="67"/>
  <c r="Z991" i="67"/>
  <c r="X991" i="67"/>
  <c r="W991" i="67"/>
  <c r="V991" i="67"/>
  <c r="U991" i="67"/>
  <c r="T991" i="67"/>
  <c r="A991" i="67"/>
  <c r="AB990" i="67"/>
  <c r="AA990" i="67"/>
  <c r="Z990" i="67"/>
  <c r="X990" i="67"/>
  <c r="W990" i="67"/>
  <c r="V990" i="67"/>
  <c r="U990" i="67"/>
  <c r="T990" i="67"/>
  <c r="A990" i="67"/>
  <c r="AB989" i="67"/>
  <c r="AA989" i="67"/>
  <c r="Z989" i="67"/>
  <c r="X989" i="67"/>
  <c r="W989" i="67"/>
  <c r="V989" i="67"/>
  <c r="U989" i="67"/>
  <c r="T989" i="67"/>
  <c r="A989" i="67"/>
  <c r="AB988" i="67"/>
  <c r="AA988" i="67"/>
  <c r="Z988" i="67"/>
  <c r="X988" i="67"/>
  <c r="W988" i="67"/>
  <c r="V988" i="67"/>
  <c r="U988" i="67"/>
  <c r="T988" i="67"/>
  <c r="A988" i="67"/>
  <c r="AB987" i="67"/>
  <c r="AA987" i="67"/>
  <c r="Z987" i="67"/>
  <c r="X987" i="67"/>
  <c r="W987" i="67"/>
  <c r="V987" i="67"/>
  <c r="U987" i="67"/>
  <c r="T987" i="67"/>
  <c r="A987" i="67"/>
  <c r="AB986" i="67"/>
  <c r="AA986" i="67"/>
  <c r="Z986" i="67"/>
  <c r="X986" i="67"/>
  <c r="W986" i="67"/>
  <c r="V986" i="67"/>
  <c r="U986" i="67"/>
  <c r="T986" i="67"/>
  <c r="A986" i="67"/>
  <c r="AB985" i="67"/>
  <c r="AA985" i="67"/>
  <c r="Z985" i="67"/>
  <c r="X985" i="67"/>
  <c r="W985" i="67"/>
  <c r="V985" i="67"/>
  <c r="U985" i="67"/>
  <c r="T985" i="67"/>
  <c r="A985" i="67"/>
  <c r="AB984" i="67"/>
  <c r="AA984" i="67"/>
  <c r="Z984" i="67"/>
  <c r="X984" i="67"/>
  <c r="W984" i="67"/>
  <c r="V984" i="67"/>
  <c r="U984" i="67"/>
  <c r="T984" i="67"/>
  <c r="A984" i="67"/>
  <c r="AB983" i="67"/>
  <c r="AA983" i="67"/>
  <c r="Z983" i="67"/>
  <c r="X983" i="67"/>
  <c r="W983" i="67"/>
  <c r="V983" i="67"/>
  <c r="U983" i="67"/>
  <c r="T983" i="67"/>
  <c r="A983" i="67"/>
  <c r="AB982" i="67"/>
  <c r="AA982" i="67"/>
  <c r="Z982" i="67"/>
  <c r="X982" i="67"/>
  <c r="W982" i="67"/>
  <c r="V982" i="67"/>
  <c r="U982" i="67"/>
  <c r="T982" i="67"/>
  <c r="A982" i="67"/>
  <c r="AB981" i="67"/>
  <c r="AA981" i="67"/>
  <c r="Z981" i="67"/>
  <c r="X981" i="67"/>
  <c r="W981" i="67"/>
  <c r="V981" i="67"/>
  <c r="U981" i="67"/>
  <c r="T981" i="67"/>
  <c r="A981" i="67"/>
  <c r="AB980" i="67"/>
  <c r="AA980" i="67"/>
  <c r="Z980" i="67"/>
  <c r="X980" i="67"/>
  <c r="W980" i="67"/>
  <c r="V980" i="67"/>
  <c r="U980" i="67"/>
  <c r="T980" i="67"/>
  <c r="A980" i="67"/>
  <c r="AB979" i="67"/>
  <c r="AA979" i="67"/>
  <c r="Z979" i="67"/>
  <c r="X979" i="67"/>
  <c r="W979" i="67"/>
  <c r="V979" i="67"/>
  <c r="U979" i="67"/>
  <c r="T979" i="67"/>
  <c r="A979" i="67"/>
  <c r="AB978" i="67"/>
  <c r="AA978" i="67"/>
  <c r="Z978" i="67"/>
  <c r="X978" i="67"/>
  <c r="W978" i="67"/>
  <c r="V978" i="67"/>
  <c r="U978" i="67"/>
  <c r="T978" i="67"/>
  <c r="A978" i="67"/>
  <c r="AB977" i="67"/>
  <c r="AA977" i="67"/>
  <c r="Z977" i="67"/>
  <c r="X977" i="67"/>
  <c r="W977" i="67"/>
  <c r="V977" i="67"/>
  <c r="U977" i="67"/>
  <c r="T977" i="67"/>
  <c r="A977" i="67"/>
  <c r="AB976" i="67"/>
  <c r="AA976" i="67"/>
  <c r="Z976" i="67"/>
  <c r="X976" i="67"/>
  <c r="W976" i="67"/>
  <c r="V976" i="67"/>
  <c r="U976" i="67"/>
  <c r="T976" i="67"/>
  <c r="A976" i="67"/>
  <c r="AB975" i="67"/>
  <c r="AA975" i="67"/>
  <c r="Z975" i="67"/>
  <c r="X975" i="67"/>
  <c r="W975" i="67"/>
  <c r="V975" i="67"/>
  <c r="U975" i="67"/>
  <c r="T975" i="67"/>
  <c r="A975" i="67"/>
  <c r="AB974" i="67"/>
  <c r="AA974" i="67"/>
  <c r="Z974" i="67"/>
  <c r="X974" i="67"/>
  <c r="W974" i="67"/>
  <c r="V974" i="67"/>
  <c r="U974" i="67"/>
  <c r="T974" i="67"/>
  <c r="A974" i="67"/>
  <c r="AB973" i="67"/>
  <c r="AA973" i="67"/>
  <c r="Z973" i="67"/>
  <c r="X973" i="67"/>
  <c r="W973" i="67"/>
  <c r="V973" i="67"/>
  <c r="U973" i="67"/>
  <c r="T973" i="67"/>
  <c r="A973" i="67"/>
  <c r="AB972" i="67"/>
  <c r="AA972" i="67"/>
  <c r="Z972" i="67"/>
  <c r="X972" i="67"/>
  <c r="W972" i="67"/>
  <c r="V972" i="67"/>
  <c r="U972" i="67"/>
  <c r="T972" i="67"/>
  <c r="A972" i="67"/>
  <c r="AB971" i="67"/>
  <c r="AA971" i="67"/>
  <c r="Z971" i="67"/>
  <c r="X971" i="67"/>
  <c r="W971" i="67"/>
  <c r="V971" i="67"/>
  <c r="U971" i="67"/>
  <c r="T971" i="67"/>
  <c r="A971" i="67"/>
  <c r="AB970" i="67"/>
  <c r="AA970" i="67"/>
  <c r="Z970" i="67"/>
  <c r="X970" i="67"/>
  <c r="W970" i="67"/>
  <c r="V970" i="67"/>
  <c r="U970" i="67"/>
  <c r="T970" i="67"/>
  <c r="A970" i="67"/>
  <c r="AB969" i="67"/>
  <c r="AA969" i="67"/>
  <c r="Z969" i="67"/>
  <c r="X969" i="67"/>
  <c r="W969" i="67"/>
  <c r="V969" i="67"/>
  <c r="U969" i="67"/>
  <c r="T969" i="67"/>
  <c r="A969" i="67"/>
  <c r="AB968" i="67"/>
  <c r="AA968" i="67"/>
  <c r="Z968" i="67"/>
  <c r="X968" i="67"/>
  <c r="W968" i="67"/>
  <c r="V968" i="67"/>
  <c r="U968" i="67"/>
  <c r="T968" i="67"/>
  <c r="A968" i="67"/>
  <c r="AB967" i="67"/>
  <c r="AA967" i="67"/>
  <c r="Z967" i="67"/>
  <c r="X967" i="67"/>
  <c r="W967" i="67"/>
  <c r="V967" i="67"/>
  <c r="U967" i="67"/>
  <c r="T967" i="67"/>
  <c r="A967" i="67"/>
  <c r="AB966" i="67"/>
  <c r="AA966" i="67"/>
  <c r="Z966" i="67"/>
  <c r="X966" i="67"/>
  <c r="W966" i="67"/>
  <c r="V966" i="67"/>
  <c r="U966" i="67"/>
  <c r="T966" i="67"/>
  <c r="A966" i="67"/>
  <c r="AB965" i="67"/>
  <c r="AA965" i="67"/>
  <c r="Z965" i="67"/>
  <c r="X965" i="67"/>
  <c r="W965" i="67"/>
  <c r="V965" i="67"/>
  <c r="U965" i="67"/>
  <c r="T965" i="67"/>
  <c r="A965" i="67"/>
  <c r="AB964" i="67"/>
  <c r="AA964" i="67"/>
  <c r="Z964" i="67"/>
  <c r="X964" i="67"/>
  <c r="W964" i="67"/>
  <c r="V964" i="67"/>
  <c r="U964" i="67"/>
  <c r="T964" i="67"/>
  <c r="A964" i="67"/>
  <c r="AB963" i="67"/>
  <c r="AA963" i="67"/>
  <c r="Z963" i="67"/>
  <c r="X963" i="67"/>
  <c r="W963" i="67"/>
  <c r="V963" i="67"/>
  <c r="U963" i="67"/>
  <c r="T963" i="67"/>
  <c r="A963" i="67"/>
  <c r="AB962" i="67"/>
  <c r="AA962" i="67"/>
  <c r="Z962" i="67"/>
  <c r="X962" i="67"/>
  <c r="W962" i="67"/>
  <c r="V962" i="67"/>
  <c r="U962" i="67"/>
  <c r="T962" i="67"/>
  <c r="A962" i="67"/>
  <c r="AB961" i="67"/>
  <c r="AA961" i="67"/>
  <c r="Z961" i="67"/>
  <c r="X961" i="67"/>
  <c r="W961" i="67"/>
  <c r="V961" i="67"/>
  <c r="U961" i="67"/>
  <c r="T961" i="67"/>
  <c r="A961" i="67"/>
  <c r="AB960" i="67"/>
  <c r="AA960" i="67"/>
  <c r="Z960" i="67"/>
  <c r="X960" i="67"/>
  <c r="W960" i="67"/>
  <c r="V960" i="67"/>
  <c r="U960" i="67"/>
  <c r="T960" i="67"/>
  <c r="A960" i="67"/>
  <c r="AB959" i="67"/>
  <c r="AA959" i="67"/>
  <c r="Z959" i="67"/>
  <c r="X959" i="67"/>
  <c r="W959" i="67"/>
  <c r="V959" i="67"/>
  <c r="U959" i="67"/>
  <c r="T959" i="67"/>
  <c r="A959" i="67"/>
  <c r="AB958" i="67"/>
  <c r="AA958" i="67"/>
  <c r="Z958" i="67"/>
  <c r="X958" i="67"/>
  <c r="W958" i="67"/>
  <c r="V958" i="67"/>
  <c r="U958" i="67"/>
  <c r="T958" i="67"/>
  <c r="A958" i="67"/>
  <c r="AB957" i="67"/>
  <c r="AA957" i="67"/>
  <c r="Z957" i="67"/>
  <c r="X957" i="67"/>
  <c r="W957" i="67"/>
  <c r="V957" i="67"/>
  <c r="U957" i="67"/>
  <c r="T957" i="67"/>
  <c r="A957" i="67"/>
  <c r="AB956" i="67"/>
  <c r="AA956" i="67"/>
  <c r="Z956" i="67"/>
  <c r="X956" i="67"/>
  <c r="W956" i="67"/>
  <c r="V956" i="67"/>
  <c r="U956" i="67"/>
  <c r="T956" i="67"/>
  <c r="A956" i="67"/>
  <c r="AB955" i="67"/>
  <c r="AA955" i="67"/>
  <c r="Z955" i="67"/>
  <c r="X955" i="67"/>
  <c r="W955" i="67"/>
  <c r="V955" i="67"/>
  <c r="U955" i="67"/>
  <c r="T955" i="67"/>
  <c r="A955" i="67"/>
  <c r="AB954" i="67"/>
  <c r="AA954" i="67"/>
  <c r="Z954" i="67"/>
  <c r="X954" i="67"/>
  <c r="W954" i="67"/>
  <c r="V954" i="67"/>
  <c r="U954" i="67"/>
  <c r="T954" i="67"/>
  <c r="A954" i="67"/>
  <c r="AB953" i="67"/>
  <c r="AA953" i="67"/>
  <c r="Z953" i="67"/>
  <c r="X953" i="67"/>
  <c r="W953" i="67"/>
  <c r="V953" i="67"/>
  <c r="U953" i="67"/>
  <c r="T953" i="67"/>
  <c r="A953" i="67"/>
  <c r="AB952" i="67"/>
  <c r="AA952" i="67"/>
  <c r="Z952" i="67"/>
  <c r="X952" i="67"/>
  <c r="W952" i="67"/>
  <c r="V952" i="67"/>
  <c r="U952" i="67"/>
  <c r="T952" i="67"/>
  <c r="A952" i="67"/>
  <c r="AB951" i="67"/>
  <c r="AA951" i="67"/>
  <c r="Z951" i="67"/>
  <c r="X951" i="67"/>
  <c r="W951" i="67"/>
  <c r="V951" i="67"/>
  <c r="U951" i="67"/>
  <c r="T951" i="67"/>
  <c r="A951" i="67"/>
  <c r="AB950" i="67"/>
  <c r="AA950" i="67"/>
  <c r="Z950" i="67"/>
  <c r="X950" i="67"/>
  <c r="W950" i="67"/>
  <c r="V950" i="67"/>
  <c r="U950" i="67"/>
  <c r="T950" i="67"/>
  <c r="A950" i="67"/>
  <c r="AB949" i="67"/>
  <c r="AA949" i="67"/>
  <c r="Z949" i="67"/>
  <c r="X949" i="67"/>
  <c r="W949" i="67"/>
  <c r="V949" i="67"/>
  <c r="U949" i="67"/>
  <c r="T949" i="67"/>
  <c r="A949" i="67"/>
  <c r="AB948" i="67"/>
  <c r="AA948" i="67"/>
  <c r="Z948" i="67"/>
  <c r="X948" i="67"/>
  <c r="W948" i="67"/>
  <c r="V948" i="67"/>
  <c r="U948" i="67"/>
  <c r="T948" i="67"/>
  <c r="A948" i="67"/>
  <c r="AB947" i="67"/>
  <c r="AA947" i="67"/>
  <c r="Z947" i="67"/>
  <c r="X947" i="67"/>
  <c r="W947" i="67"/>
  <c r="V947" i="67"/>
  <c r="U947" i="67"/>
  <c r="T947" i="67"/>
  <c r="A947" i="67"/>
  <c r="AB946" i="67"/>
  <c r="AA946" i="67"/>
  <c r="Z946" i="67"/>
  <c r="X946" i="67"/>
  <c r="W946" i="67"/>
  <c r="V946" i="67"/>
  <c r="U946" i="67"/>
  <c r="T946" i="67"/>
  <c r="A946" i="67"/>
  <c r="AB945" i="67"/>
  <c r="AA945" i="67"/>
  <c r="Z945" i="67"/>
  <c r="X945" i="67"/>
  <c r="W945" i="67"/>
  <c r="V945" i="67"/>
  <c r="U945" i="67"/>
  <c r="T945" i="67"/>
  <c r="A945" i="67"/>
  <c r="AB944" i="67"/>
  <c r="AA944" i="67"/>
  <c r="Z944" i="67"/>
  <c r="X944" i="67"/>
  <c r="W944" i="67"/>
  <c r="V944" i="67"/>
  <c r="U944" i="67"/>
  <c r="T944" i="67"/>
  <c r="A944" i="67"/>
  <c r="AB943" i="67"/>
  <c r="AA943" i="67"/>
  <c r="Z943" i="67"/>
  <c r="X943" i="67"/>
  <c r="W943" i="67"/>
  <c r="V943" i="67"/>
  <c r="U943" i="67"/>
  <c r="T943" i="67"/>
  <c r="A943" i="67"/>
  <c r="AB942" i="67"/>
  <c r="AA942" i="67"/>
  <c r="Z942" i="67"/>
  <c r="X942" i="67"/>
  <c r="W942" i="67"/>
  <c r="V942" i="67"/>
  <c r="U942" i="67"/>
  <c r="T942" i="67"/>
  <c r="A942" i="67"/>
  <c r="AB941" i="67"/>
  <c r="AA941" i="67"/>
  <c r="Z941" i="67"/>
  <c r="X941" i="67"/>
  <c r="W941" i="67"/>
  <c r="V941" i="67"/>
  <c r="U941" i="67"/>
  <c r="T941" i="67"/>
  <c r="A941" i="67"/>
  <c r="AB940" i="67"/>
  <c r="AA940" i="67"/>
  <c r="Z940" i="67"/>
  <c r="X940" i="67"/>
  <c r="W940" i="67"/>
  <c r="V940" i="67"/>
  <c r="U940" i="67"/>
  <c r="T940" i="67"/>
  <c r="A940" i="67"/>
  <c r="AB939" i="67"/>
  <c r="AA939" i="67"/>
  <c r="Z939" i="67"/>
  <c r="X939" i="67"/>
  <c r="W939" i="67"/>
  <c r="V939" i="67"/>
  <c r="U939" i="67"/>
  <c r="T939" i="67"/>
  <c r="A939" i="67"/>
  <c r="AB938" i="67"/>
  <c r="AA938" i="67"/>
  <c r="Z938" i="67"/>
  <c r="X938" i="67"/>
  <c r="W938" i="67"/>
  <c r="V938" i="67"/>
  <c r="U938" i="67"/>
  <c r="T938" i="67"/>
  <c r="A938" i="67"/>
  <c r="AB937" i="67"/>
  <c r="AA937" i="67"/>
  <c r="Z937" i="67"/>
  <c r="X937" i="67"/>
  <c r="W937" i="67"/>
  <c r="V937" i="67"/>
  <c r="U937" i="67"/>
  <c r="T937" i="67"/>
  <c r="A937" i="67"/>
  <c r="AB936" i="67"/>
  <c r="AA936" i="67"/>
  <c r="Z936" i="67"/>
  <c r="X936" i="67"/>
  <c r="W936" i="67"/>
  <c r="V936" i="67"/>
  <c r="U936" i="67"/>
  <c r="T936" i="67"/>
  <c r="A936" i="67"/>
  <c r="AB935" i="67"/>
  <c r="AA935" i="67"/>
  <c r="Z935" i="67"/>
  <c r="X935" i="67"/>
  <c r="W935" i="67"/>
  <c r="V935" i="67"/>
  <c r="U935" i="67"/>
  <c r="T935" i="67"/>
  <c r="A935" i="67"/>
  <c r="AB934" i="67"/>
  <c r="AA934" i="67"/>
  <c r="Z934" i="67"/>
  <c r="X934" i="67"/>
  <c r="W934" i="67"/>
  <c r="V934" i="67"/>
  <c r="U934" i="67"/>
  <c r="T934" i="67"/>
  <c r="A934" i="67"/>
  <c r="AB933" i="67"/>
  <c r="AA933" i="67"/>
  <c r="Z933" i="67"/>
  <c r="X933" i="67"/>
  <c r="W933" i="67"/>
  <c r="V933" i="67"/>
  <c r="U933" i="67"/>
  <c r="T933" i="67"/>
  <c r="A933" i="67"/>
  <c r="AB932" i="67"/>
  <c r="AA932" i="67"/>
  <c r="Z932" i="67"/>
  <c r="X932" i="67"/>
  <c r="W932" i="67"/>
  <c r="V932" i="67"/>
  <c r="U932" i="67"/>
  <c r="T932" i="67"/>
  <c r="A932" i="67"/>
  <c r="AB931" i="67"/>
  <c r="AA931" i="67"/>
  <c r="Z931" i="67"/>
  <c r="X931" i="67"/>
  <c r="W931" i="67"/>
  <c r="V931" i="67"/>
  <c r="U931" i="67"/>
  <c r="T931" i="67"/>
  <c r="A931" i="67"/>
  <c r="AB930" i="67"/>
  <c r="AA930" i="67"/>
  <c r="Z930" i="67"/>
  <c r="X930" i="67"/>
  <c r="W930" i="67"/>
  <c r="V930" i="67"/>
  <c r="U930" i="67"/>
  <c r="T930" i="67"/>
  <c r="A930" i="67"/>
  <c r="AB929" i="67"/>
  <c r="AA929" i="67"/>
  <c r="Z929" i="67"/>
  <c r="X929" i="67"/>
  <c r="W929" i="67"/>
  <c r="V929" i="67"/>
  <c r="U929" i="67"/>
  <c r="T929" i="67"/>
  <c r="A929" i="67"/>
  <c r="AB928" i="67"/>
  <c r="AA928" i="67"/>
  <c r="Z928" i="67"/>
  <c r="X928" i="67"/>
  <c r="W928" i="67"/>
  <c r="V928" i="67"/>
  <c r="U928" i="67"/>
  <c r="T928" i="67"/>
  <c r="A928" i="67"/>
  <c r="AB927" i="67"/>
  <c r="AA927" i="67"/>
  <c r="Z927" i="67"/>
  <c r="X927" i="67"/>
  <c r="W927" i="67"/>
  <c r="V927" i="67"/>
  <c r="U927" i="67"/>
  <c r="T927" i="67"/>
  <c r="A927" i="67"/>
  <c r="AB926" i="67"/>
  <c r="AA926" i="67"/>
  <c r="Z926" i="67"/>
  <c r="X926" i="67"/>
  <c r="W926" i="67"/>
  <c r="V926" i="67"/>
  <c r="U926" i="67"/>
  <c r="T926" i="67"/>
  <c r="A926" i="67"/>
  <c r="AB925" i="67"/>
  <c r="AA925" i="67"/>
  <c r="Z925" i="67"/>
  <c r="X925" i="67"/>
  <c r="W925" i="67"/>
  <c r="V925" i="67"/>
  <c r="U925" i="67"/>
  <c r="T925" i="67"/>
  <c r="A925" i="67"/>
  <c r="AB924" i="67"/>
  <c r="AA924" i="67"/>
  <c r="Z924" i="67"/>
  <c r="X924" i="67"/>
  <c r="W924" i="67"/>
  <c r="V924" i="67"/>
  <c r="U924" i="67"/>
  <c r="T924" i="67"/>
  <c r="A924" i="67"/>
  <c r="AB923" i="67"/>
  <c r="AA923" i="67"/>
  <c r="Z923" i="67"/>
  <c r="X923" i="67"/>
  <c r="W923" i="67"/>
  <c r="V923" i="67"/>
  <c r="U923" i="67"/>
  <c r="T923" i="67"/>
  <c r="A923" i="67"/>
  <c r="AB922" i="67"/>
  <c r="AA922" i="67"/>
  <c r="Z922" i="67"/>
  <c r="X922" i="67"/>
  <c r="W922" i="67"/>
  <c r="V922" i="67"/>
  <c r="U922" i="67"/>
  <c r="T922" i="67"/>
  <c r="A922" i="67"/>
  <c r="AB921" i="67"/>
  <c r="AA921" i="67"/>
  <c r="Z921" i="67"/>
  <c r="X921" i="67"/>
  <c r="W921" i="67"/>
  <c r="V921" i="67"/>
  <c r="U921" i="67"/>
  <c r="T921" i="67"/>
  <c r="A921" i="67"/>
  <c r="AB920" i="67"/>
  <c r="AA920" i="67"/>
  <c r="Z920" i="67"/>
  <c r="X920" i="67"/>
  <c r="W920" i="67"/>
  <c r="V920" i="67"/>
  <c r="U920" i="67"/>
  <c r="T920" i="67"/>
  <c r="A920" i="67"/>
  <c r="AB919" i="67"/>
  <c r="AA919" i="67"/>
  <c r="Z919" i="67"/>
  <c r="X919" i="67"/>
  <c r="W919" i="67"/>
  <c r="V919" i="67"/>
  <c r="U919" i="67"/>
  <c r="T919" i="67"/>
  <c r="A919" i="67"/>
  <c r="AB918" i="67"/>
  <c r="AA918" i="67"/>
  <c r="Z918" i="67"/>
  <c r="X918" i="67"/>
  <c r="W918" i="67"/>
  <c r="V918" i="67"/>
  <c r="U918" i="67"/>
  <c r="T918" i="67"/>
  <c r="A918" i="67"/>
  <c r="AB917" i="67"/>
  <c r="AA917" i="67"/>
  <c r="Z917" i="67"/>
  <c r="X917" i="67"/>
  <c r="W917" i="67"/>
  <c r="V917" i="67"/>
  <c r="U917" i="67"/>
  <c r="T917" i="67"/>
  <c r="A917" i="67"/>
  <c r="AB916" i="67"/>
  <c r="AA916" i="67"/>
  <c r="Z916" i="67"/>
  <c r="X916" i="67"/>
  <c r="W916" i="67"/>
  <c r="V916" i="67"/>
  <c r="U916" i="67"/>
  <c r="T916" i="67"/>
  <c r="A916" i="67"/>
  <c r="AB915" i="67"/>
  <c r="AA915" i="67"/>
  <c r="Z915" i="67"/>
  <c r="X915" i="67"/>
  <c r="W915" i="67"/>
  <c r="V915" i="67"/>
  <c r="U915" i="67"/>
  <c r="T915" i="67"/>
  <c r="A915" i="67"/>
  <c r="AB914" i="67"/>
  <c r="AA914" i="67"/>
  <c r="Z914" i="67"/>
  <c r="X914" i="67"/>
  <c r="W914" i="67"/>
  <c r="V914" i="67"/>
  <c r="U914" i="67"/>
  <c r="T914" i="67"/>
  <c r="A914" i="67"/>
  <c r="AB913" i="67"/>
  <c r="AA913" i="67"/>
  <c r="Z913" i="67"/>
  <c r="X913" i="67"/>
  <c r="W913" i="67"/>
  <c r="V913" i="67"/>
  <c r="U913" i="67"/>
  <c r="T913" i="67"/>
  <c r="A913" i="67"/>
  <c r="AB912" i="67"/>
  <c r="AA912" i="67"/>
  <c r="Z912" i="67"/>
  <c r="X912" i="67"/>
  <c r="W912" i="67"/>
  <c r="V912" i="67"/>
  <c r="U912" i="67"/>
  <c r="T912" i="67"/>
  <c r="A912" i="67"/>
  <c r="AB911" i="67"/>
  <c r="AA911" i="67"/>
  <c r="Z911" i="67"/>
  <c r="X911" i="67"/>
  <c r="W911" i="67"/>
  <c r="V911" i="67"/>
  <c r="U911" i="67"/>
  <c r="T911" i="67"/>
  <c r="A911" i="67"/>
  <c r="AB910" i="67"/>
  <c r="AA910" i="67"/>
  <c r="Z910" i="67"/>
  <c r="X910" i="67"/>
  <c r="W910" i="67"/>
  <c r="V910" i="67"/>
  <c r="U910" i="67"/>
  <c r="T910" i="67"/>
  <c r="A910" i="67"/>
  <c r="AB909" i="67"/>
  <c r="AA909" i="67"/>
  <c r="Z909" i="67"/>
  <c r="X909" i="67"/>
  <c r="W909" i="67"/>
  <c r="V909" i="67"/>
  <c r="U909" i="67"/>
  <c r="T909" i="67"/>
  <c r="A909" i="67"/>
  <c r="AB908" i="67"/>
  <c r="AA908" i="67"/>
  <c r="Z908" i="67"/>
  <c r="X908" i="67"/>
  <c r="W908" i="67"/>
  <c r="V908" i="67"/>
  <c r="U908" i="67"/>
  <c r="T908" i="67"/>
  <c r="A908" i="67"/>
  <c r="AB907" i="67"/>
  <c r="AA907" i="67"/>
  <c r="Z907" i="67"/>
  <c r="X907" i="67"/>
  <c r="W907" i="67"/>
  <c r="V907" i="67"/>
  <c r="U907" i="67"/>
  <c r="T907" i="67"/>
  <c r="A907" i="67"/>
  <c r="AB906" i="67"/>
  <c r="AA906" i="67"/>
  <c r="Z906" i="67"/>
  <c r="X906" i="67"/>
  <c r="W906" i="67"/>
  <c r="V906" i="67"/>
  <c r="U906" i="67"/>
  <c r="T906" i="67"/>
  <c r="A906" i="67"/>
  <c r="AB905" i="67"/>
  <c r="AA905" i="67"/>
  <c r="Z905" i="67"/>
  <c r="X905" i="67"/>
  <c r="W905" i="67"/>
  <c r="V905" i="67"/>
  <c r="U905" i="67"/>
  <c r="T905" i="67"/>
  <c r="A905" i="67"/>
  <c r="AB904" i="67"/>
  <c r="AA904" i="67"/>
  <c r="Z904" i="67"/>
  <c r="X904" i="67"/>
  <c r="W904" i="67"/>
  <c r="V904" i="67"/>
  <c r="U904" i="67"/>
  <c r="T904" i="67"/>
  <c r="A904" i="67"/>
  <c r="AB903" i="67"/>
  <c r="AA903" i="67"/>
  <c r="Z903" i="67"/>
  <c r="X903" i="67"/>
  <c r="W903" i="67"/>
  <c r="V903" i="67"/>
  <c r="U903" i="67"/>
  <c r="T903" i="67"/>
  <c r="A903" i="67"/>
  <c r="AB902" i="67"/>
  <c r="AA902" i="67"/>
  <c r="Z902" i="67"/>
  <c r="X902" i="67"/>
  <c r="W902" i="67"/>
  <c r="V902" i="67"/>
  <c r="U902" i="67"/>
  <c r="T902" i="67"/>
  <c r="A902" i="67"/>
  <c r="AB901" i="67"/>
  <c r="AA901" i="67"/>
  <c r="Z901" i="67"/>
  <c r="X901" i="67"/>
  <c r="W901" i="67"/>
  <c r="V901" i="67"/>
  <c r="U901" i="67"/>
  <c r="T901" i="67"/>
  <c r="A901" i="67"/>
  <c r="AB900" i="67"/>
  <c r="AA900" i="67"/>
  <c r="Z900" i="67"/>
  <c r="X900" i="67"/>
  <c r="W900" i="67"/>
  <c r="V900" i="67"/>
  <c r="U900" i="67"/>
  <c r="T900" i="67"/>
  <c r="A900" i="67"/>
  <c r="AB899" i="67"/>
  <c r="AA899" i="67"/>
  <c r="Z899" i="67"/>
  <c r="X899" i="67"/>
  <c r="W899" i="67"/>
  <c r="V899" i="67"/>
  <c r="U899" i="67"/>
  <c r="T899" i="67"/>
  <c r="A899" i="67"/>
  <c r="AB898" i="67"/>
  <c r="AA898" i="67"/>
  <c r="Z898" i="67"/>
  <c r="X898" i="67"/>
  <c r="W898" i="67"/>
  <c r="V898" i="67"/>
  <c r="U898" i="67"/>
  <c r="T898" i="67"/>
  <c r="A898" i="67"/>
  <c r="AB897" i="67"/>
  <c r="AA897" i="67"/>
  <c r="Z897" i="67"/>
  <c r="X897" i="67"/>
  <c r="W897" i="67"/>
  <c r="V897" i="67"/>
  <c r="U897" i="67"/>
  <c r="T897" i="67"/>
  <c r="A897" i="67"/>
  <c r="AB896" i="67"/>
  <c r="AA896" i="67"/>
  <c r="Z896" i="67"/>
  <c r="X896" i="67"/>
  <c r="W896" i="67"/>
  <c r="V896" i="67"/>
  <c r="U896" i="67"/>
  <c r="T896" i="67"/>
  <c r="A896" i="67"/>
  <c r="AB895" i="67"/>
  <c r="AA895" i="67"/>
  <c r="Z895" i="67"/>
  <c r="X895" i="67"/>
  <c r="W895" i="67"/>
  <c r="V895" i="67"/>
  <c r="U895" i="67"/>
  <c r="T895" i="67"/>
  <c r="A895" i="67"/>
  <c r="AB894" i="67"/>
  <c r="AA894" i="67"/>
  <c r="Z894" i="67"/>
  <c r="X894" i="67"/>
  <c r="W894" i="67"/>
  <c r="V894" i="67"/>
  <c r="U894" i="67"/>
  <c r="T894" i="67"/>
  <c r="A894" i="67"/>
  <c r="AB893" i="67"/>
  <c r="AA893" i="67"/>
  <c r="Z893" i="67"/>
  <c r="X893" i="67"/>
  <c r="W893" i="67"/>
  <c r="V893" i="67"/>
  <c r="U893" i="67"/>
  <c r="T893" i="67"/>
  <c r="A893" i="67"/>
  <c r="AB892" i="67"/>
  <c r="AA892" i="67"/>
  <c r="Z892" i="67"/>
  <c r="X892" i="67"/>
  <c r="W892" i="67"/>
  <c r="V892" i="67"/>
  <c r="U892" i="67"/>
  <c r="T892" i="67"/>
  <c r="A892" i="67"/>
  <c r="AB891" i="67"/>
  <c r="AA891" i="67"/>
  <c r="Z891" i="67"/>
  <c r="X891" i="67"/>
  <c r="W891" i="67"/>
  <c r="V891" i="67"/>
  <c r="U891" i="67"/>
  <c r="T891" i="67"/>
  <c r="A891" i="67"/>
  <c r="AB890" i="67"/>
  <c r="AA890" i="67"/>
  <c r="Z890" i="67"/>
  <c r="X890" i="67"/>
  <c r="W890" i="67"/>
  <c r="V890" i="67"/>
  <c r="U890" i="67"/>
  <c r="T890" i="67"/>
  <c r="A890" i="67"/>
  <c r="AB889" i="67"/>
  <c r="AA889" i="67"/>
  <c r="Z889" i="67"/>
  <c r="X889" i="67"/>
  <c r="W889" i="67"/>
  <c r="V889" i="67"/>
  <c r="U889" i="67"/>
  <c r="T889" i="67"/>
  <c r="A889" i="67"/>
  <c r="AB888" i="67"/>
  <c r="AA888" i="67"/>
  <c r="Z888" i="67"/>
  <c r="X888" i="67"/>
  <c r="W888" i="67"/>
  <c r="V888" i="67"/>
  <c r="U888" i="67"/>
  <c r="T888" i="67"/>
  <c r="A888" i="67"/>
  <c r="AB887" i="67"/>
  <c r="AA887" i="67"/>
  <c r="Z887" i="67"/>
  <c r="X887" i="67"/>
  <c r="W887" i="67"/>
  <c r="V887" i="67"/>
  <c r="U887" i="67"/>
  <c r="T887" i="67"/>
  <c r="A887" i="67"/>
  <c r="AB886" i="67"/>
  <c r="AA886" i="67"/>
  <c r="Z886" i="67"/>
  <c r="X886" i="67"/>
  <c r="W886" i="67"/>
  <c r="V886" i="67"/>
  <c r="U886" i="67"/>
  <c r="T886" i="67"/>
  <c r="A886" i="67"/>
  <c r="AB885" i="67"/>
  <c r="AA885" i="67"/>
  <c r="Z885" i="67"/>
  <c r="X885" i="67"/>
  <c r="W885" i="67"/>
  <c r="V885" i="67"/>
  <c r="U885" i="67"/>
  <c r="T885" i="67"/>
  <c r="A885" i="67"/>
  <c r="AB884" i="67"/>
  <c r="AA884" i="67"/>
  <c r="Z884" i="67"/>
  <c r="X884" i="67"/>
  <c r="W884" i="67"/>
  <c r="V884" i="67"/>
  <c r="U884" i="67"/>
  <c r="T884" i="67"/>
  <c r="A884" i="67"/>
  <c r="AB883" i="67"/>
  <c r="AA883" i="67"/>
  <c r="Z883" i="67"/>
  <c r="X883" i="67"/>
  <c r="W883" i="67"/>
  <c r="V883" i="67"/>
  <c r="U883" i="67"/>
  <c r="T883" i="67"/>
  <c r="A883" i="67"/>
  <c r="AB882" i="67"/>
  <c r="AA882" i="67"/>
  <c r="Z882" i="67"/>
  <c r="X882" i="67"/>
  <c r="W882" i="67"/>
  <c r="V882" i="67"/>
  <c r="U882" i="67"/>
  <c r="T882" i="67"/>
  <c r="A882" i="67"/>
  <c r="AB881" i="67"/>
  <c r="AA881" i="67"/>
  <c r="Z881" i="67"/>
  <c r="X881" i="67"/>
  <c r="W881" i="67"/>
  <c r="V881" i="67"/>
  <c r="U881" i="67"/>
  <c r="T881" i="67"/>
  <c r="A881" i="67"/>
  <c r="AB880" i="67"/>
  <c r="AA880" i="67"/>
  <c r="Z880" i="67"/>
  <c r="X880" i="67"/>
  <c r="W880" i="67"/>
  <c r="V880" i="67"/>
  <c r="U880" i="67"/>
  <c r="T880" i="67"/>
  <c r="A880" i="67"/>
  <c r="AB879" i="67"/>
  <c r="AA879" i="67"/>
  <c r="Z879" i="67"/>
  <c r="X879" i="67"/>
  <c r="W879" i="67"/>
  <c r="V879" i="67"/>
  <c r="U879" i="67"/>
  <c r="T879" i="67"/>
  <c r="A879" i="67"/>
  <c r="AB878" i="67"/>
  <c r="AA878" i="67"/>
  <c r="Z878" i="67"/>
  <c r="X878" i="67"/>
  <c r="W878" i="67"/>
  <c r="V878" i="67"/>
  <c r="U878" i="67"/>
  <c r="T878" i="67"/>
  <c r="A878" i="67"/>
  <c r="AB877" i="67"/>
  <c r="AA877" i="67"/>
  <c r="Z877" i="67"/>
  <c r="X877" i="67"/>
  <c r="W877" i="67"/>
  <c r="V877" i="67"/>
  <c r="U877" i="67"/>
  <c r="T877" i="67"/>
  <c r="A877" i="67"/>
  <c r="AB876" i="67"/>
  <c r="AA876" i="67"/>
  <c r="Z876" i="67"/>
  <c r="X876" i="67"/>
  <c r="W876" i="67"/>
  <c r="V876" i="67"/>
  <c r="U876" i="67"/>
  <c r="T876" i="67"/>
  <c r="A876" i="67"/>
  <c r="AB875" i="67"/>
  <c r="AA875" i="67"/>
  <c r="Z875" i="67"/>
  <c r="X875" i="67"/>
  <c r="W875" i="67"/>
  <c r="V875" i="67"/>
  <c r="U875" i="67"/>
  <c r="T875" i="67"/>
  <c r="A875" i="67"/>
  <c r="AB874" i="67"/>
  <c r="AA874" i="67"/>
  <c r="Z874" i="67"/>
  <c r="X874" i="67"/>
  <c r="W874" i="67"/>
  <c r="V874" i="67"/>
  <c r="U874" i="67"/>
  <c r="T874" i="67"/>
  <c r="A874" i="67"/>
  <c r="AB873" i="67"/>
  <c r="AA873" i="67"/>
  <c r="Z873" i="67"/>
  <c r="X873" i="67"/>
  <c r="W873" i="67"/>
  <c r="V873" i="67"/>
  <c r="U873" i="67"/>
  <c r="T873" i="67"/>
  <c r="A873" i="67"/>
  <c r="AB872" i="67"/>
  <c r="AA872" i="67"/>
  <c r="Z872" i="67"/>
  <c r="X872" i="67"/>
  <c r="W872" i="67"/>
  <c r="V872" i="67"/>
  <c r="U872" i="67"/>
  <c r="T872" i="67"/>
  <c r="A872" i="67"/>
  <c r="AB871" i="67"/>
  <c r="AA871" i="67"/>
  <c r="Z871" i="67"/>
  <c r="X871" i="67"/>
  <c r="W871" i="67"/>
  <c r="V871" i="67"/>
  <c r="U871" i="67"/>
  <c r="T871" i="67"/>
  <c r="A871" i="67"/>
  <c r="AB870" i="67"/>
  <c r="AA870" i="67"/>
  <c r="Z870" i="67"/>
  <c r="X870" i="67"/>
  <c r="W870" i="67"/>
  <c r="V870" i="67"/>
  <c r="U870" i="67"/>
  <c r="T870" i="67"/>
  <c r="A870" i="67"/>
  <c r="AB869" i="67"/>
  <c r="AA869" i="67"/>
  <c r="Z869" i="67"/>
  <c r="X869" i="67"/>
  <c r="W869" i="67"/>
  <c r="V869" i="67"/>
  <c r="U869" i="67"/>
  <c r="T869" i="67"/>
  <c r="A869" i="67"/>
  <c r="AB868" i="67"/>
  <c r="AA868" i="67"/>
  <c r="Z868" i="67"/>
  <c r="X868" i="67"/>
  <c r="W868" i="67"/>
  <c r="V868" i="67"/>
  <c r="U868" i="67"/>
  <c r="T868" i="67"/>
  <c r="A868" i="67"/>
  <c r="AB867" i="67"/>
  <c r="AA867" i="67"/>
  <c r="Z867" i="67"/>
  <c r="X867" i="67"/>
  <c r="W867" i="67"/>
  <c r="V867" i="67"/>
  <c r="U867" i="67"/>
  <c r="T867" i="67"/>
  <c r="A867" i="67"/>
  <c r="AB866" i="67"/>
  <c r="AA866" i="67"/>
  <c r="Z866" i="67"/>
  <c r="X866" i="67"/>
  <c r="W866" i="67"/>
  <c r="V866" i="67"/>
  <c r="U866" i="67"/>
  <c r="T866" i="67"/>
  <c r="A866" i="67"/>
  <c r="AB865" i="67"/>
  <c r="AA865" i="67"/>
  <c r="Z865" i="67"/>
  <c r="X865" i="67"/>
  <c r="W865" i="67"/>
  <c r="V865" i="67"/>
  <c r="U865" i="67"/>
  <c r="T865" i="67"/>
  <c r="A865" i="67"/>
  <c r="AB864" i="67"/>
  <c r="AA864" i="67"/>
  <c r="Z864" i="67"/>
  <c r="X864" i="67"/>
  <c r="W864" i="67"/>
  <c r="V864" i="67"/>
  <c r="U864" i="67"/>
  <c r="T864" i="67"/>
  <c r="A864" i="67"/>
  <c r="AB863" i="67"/>
  <c r="AA863" i="67"/>
  <c r="Z863" i="67"/>
  <c r="X863" i="67"/>
  <c r="W863" i="67"/>
  <c r="V863" i="67"/>
  <c r="U863" i="67"/>
  <c r="T863" i="67"/>
  <c r="A863" i="67"/>
  <c r="AB862" i="67"/>
  <c r="AA862" i="67"/>
  <c r="Z862" i="67"/>
  <c r="X862" i="67"/>
  <c r="W862" i="67"/>
  <c r="V862" i="67"/>
  <c r="U862" i="67"/>
  <c r="T862" i="67"/>
  <c r="A862" i="67"/>
  <c r="AB861" i="67"/>
  <c r="AA861" i="67"/>
  <c r="Z861" i="67"/>
  <c r="X861" i="67"/>
  <c r="W861" i="67"/>
  <c r="V861" i="67"/>
  <c r="U861" i="67"/>
  <c r="T861" i="67"/>
  <c r="A861" i="67"/>
  <c r="AB860" i="67"/>
  <c r="AA860" i="67"/>
  <c r="Z860" i="67"/>
  <c r="X860" i="67"/>
  <c r="W860" i="67"/>
  <c r="V860" i="67"/>
  <c r="U860" i="67"/>
  <c r="T860" i="67"/>
  <c r="A860" i="67"/>
  <c r="AB859" i="67"/>
  <c r="AA859" i="67"/>
  <c r="Z859" i="67"/>
  <c r="X859" i="67"/>
  <c r="W859" i="67"/>
  <c r="V859" i="67"/>
  <c r="U859" i="67"/>
  <c r="T859" i="67"/>
  <c r="A859" i="67"/>
  <c r="AB858" i="67"/>
  <c r="AA858" i="67"/>
  <c r="Z858" i="67"/>
  <c r="X858" i="67"/>
  <c r="W858" i="67"/>
  <c r="V858" i="67"/>
  <c r="U858" i="67"/>
  <c r="T858" i="67"/>
  <c r="A858" i="67"/>
  <c r="AB857" i="67"/>
  <c r="AA857" i="67"/>
  <c r="Z857" i="67"/>
  <c r="X857" i="67"/>
  <c r="W857" i="67"/>
  <c r="V857" i="67"/>
  <c r="U857" i="67"/>
  <c r="T857" i="67"/>
  <c r="A857" i="67"/>
  <c r="AB856" i="67"/>
  <c r="AA856" i="67"/>
  <c r="Z856" i="67"/>
  <c r="X856" i="67"/>
  <c r="W856" i="67"/>
  <c r="V856" i="67"/>
  <c r="U856" i="67"/>
  <c r="T856" i="67"/>
  <c r="A856" i="67"/>
  <c r="AB855" i="67"/>
  <c r="AA855" i="67"/>
  <c r="Z855" i="67"/>
  <c r="X855" i="67"/>
  <c r="W855" i="67"/>
  <c r="V855" i="67"/>
  <c r="U855" i="67"/>
  <c r="T855" i="67"/>
  <c r="A855" i="67"/>
  <c r="AB854" i="67"/>
  <c r="AA854" i="67"/>
  <c r="Z854" i="67"/>
  <c r="X854" i="67"/>
  <c r="W854" i="67"/>
  <c r="V854" i="67"/>
  <c r="U854" i="67"/>
  <c r="T854" i="67"/>
  <c r="A854" i="67"/>
  <c r="AB853" i="67"/>
  <c r="AA853" i="67"/>
  <c r="Z853" i="67"/>
  <c r="X853" i="67"/>
  <c r="W853" i="67"/>
  <c r="V853" i="67"/>
  <c r="U853" i="67"/>
  <c r="T853" i="67"/>
  <c r="A853" i="67"/>
  <c r="AB852" i="67"/>
  <c r="AA852" i="67"/>
  <c r="Z852" i="67"/>
  <c r="X852" i="67"/>
  <c r="W852" i="67"/>
  <c r="V852" i="67"/>
  <c r="U852" i="67"/>
  <c r="T852" i="67"/>
  <c r="A852" i="67"/>
  <c r="AB851" i="67"/>
  <c r="AA851" i="67"/>
  <c r="Z851" i="67"/>
  <c r="X851" i="67"/>
  <c r="W851" i="67"/>
  <c r="V851" i="67"/>
  <c r="U851" i="67"/>
  <c r="T851" i="67"/>
  <c r="A851" i="67"/>
  <c r="AB850" i="67"/>
  <c r="AA850" i="67"/>
  <c r="Z850" i="67"/>
  <c r="X850" i="67"/>
  <c r="W850" i="67"/>
  <c r="V850" i="67"/>
  <c r="U850" i="67"/>
  <c r="T850" i="67"/>
  <c r="A850" i="67"/>
  <c r="AB849" i="67"/>
  <c r="AA849" i="67"/>
  <c r="Z849" i="67"/>
  <c r="X849" i="67"/>
  <c r="W849" i="67"/>
  <c r="V849" i="67"/>
  <c r="U849" i="67"/>
  <c r="T849" i="67"/>
  <c r="A849" i="67"/>
  <c r="AB848" i="67"/>
  <c r="AA848" i="67"/>
  <c r="Z848" i="67"/>
  <c r="X848" i="67"/>
  <c r="W848" i="67"/>
  <c r="V848" i="67"/>
  <c r="U848" i="67"/>
  <c r="T848" i="67"/>
  <c r="A848" i="67"/>
  <c r="AB847" i="67"/>
  <c r="AA847" i="67"/>
  <c r="Z847" i="67"/>
  <c r="X847" i="67"/>
  <c r="W847" i="67"/>
  <c r="V847" i="67"/>
  <c r="U847" i="67"/>
  <c r="T847" i="67"/>
  <c r="A847" i="67"/>
  <c r="AB846" i="67"/>
  <c r="AA846" i="67"/>
  <c r="Z846" i="67"/>
  <c r="X846" i="67"/>
  <c r="W846" i="67"/>
  <c r="V846" i="67"/>
  <c r="U846" i="67"/>
  <c r="T846" i="67"/>
  <c r="A846" i="67"/>
  <c r="AB845" i="67"/>
  <c r="AA845" i="67"/>
  <c r="Z845" i="67"/>
  <c r="X845" i="67"/>
  <c r="W845" i="67"/>
  <c r="V845" i="67"/>
  <c r="U845" i="67"/>
  <c r="T845" i="67"/>
  <c r="A845" i="67"/>
  <c r="AB844" i="67"/>
  <c r="AA844" i="67"/>
  <c r="Z844" i="67"/>
  <c r="X844" i="67"/>
  <c r="W844" i="67"/>
  <c r="V844" i="67"/>
  <c r="U844" i="67"/>
  <c r="T844" i="67"/>
  <c r="A844" i="67"/>
  <c r="AB843" i="67"/>
  <c r="AA843" i="67"/>
  <c r="Z843" i="67"/>
  <c r="X843" i="67"/>
  <c r="W843" i="67"/>
  <c r="V843" i="67"/>
  <c r="U843" i="67"/>
  <c r="T843" i="67"/>
  <c r="A843" i="67"/>
  <c r="AB842" i="67"/>
  <c r="AA842" i="67"/>
  <c r="Z842" i="67"/>
  <c r="X842" i="67"/>
  <c r="W842" i="67"/>
  <c r="V842" i="67"/>
  <c r="U842" i="67"/>
  <c r="T842" i="67"/>
  <c r="A842" i="67"/>
  <c r="AB841" i="67"/>
  <c r="AA841" i="67"/>
  <c r="Z841" i="67"/>
  <c r="X841" i="67"/>
  <c r="W841" i="67"/>
  <c r="V841" i="67"/>
  <c r="U841" i="67"/>
  <c r="T841" i="67"/>
  <c r="A841" i="67"/>
  <c r="AB840" i="67"/>
  <c r="AA840" i="67"/>
  <c r="Z840" i="67"/>
  <c r="X840" i="67"/>
  <c r="W840" i="67"/>
  <c r="V840" i="67"/>
  <c r="U840" i="67"/>
  <c r="T840" i="67"/>
  <c r="A840" i="67"/>
  <c r="AB839" i="67"/>
  <c r="AA839" i="67"/>
  <c r="Z839" i="67"/>
  <c r="X839" i="67"/>
  <c r="W839" i="67"/>
  <c r="V839" i="67"/>
  <c r="U839" i="67"/>
  <c r="T839" i="67"/>
  <c r="A839" i="67"/>
  <c r="AB838" i="67"/>
  <c r="AA838" i="67"/>
  <c r="Z838" i="67"/>
  <c r="X838" i="67"/>
  <c r="W838" i="67"/>
  <c r="V838" i="67"/>
  <c r="U838" i="67"/>
  <c r="T838" i="67"/>
  <c r="A838" i="67"/>
  <c r="AB837" i="67"/>
  <c r="AA837" i="67"/>
  <c r="Z837" i="67"/>
  <c r="X837" i="67"/>
  <c r="W837" i="67"/>
  <c r="V837" i="67"/>
  <c r="U837" i="67"/>
  <c r="T837" i="67"/>
  <c r="A837" i="67"/>
  <c r="AB836" i="67"/>
  <c r="AA836" i="67"/>
  <c r="Z836" i="67"/>
  <c r="X836" i="67"/>
  <c r="W836" i="67"/>
  <c r="V836" i="67"/>
  <c r="U836" i="67"/>
  <c r="T836" i="67"/>
  <c r="A836" i="67"/>
  <c r="AB835" i="67"/>
  <c r="AA835" i="67"/>
  <c r="Z835" i="67"/>
  <c r="X835" i="67"/>
  <c r="W835" i="67"/>
  <c r="V835" i="67"/>
  <c r="U835" i="67"/>
  <c r="T835" i="67"/>
  <c r="A835" i="67"/>
  <c r="AB834" i="67"/>
  <c r="AA834" i="67"/>
  <c r="Z834" i="67"/>
  <c r="X834" i="67"/>
  <c r="W834" i="67"/>
  <c r="V834" i="67"/>
  <c r="U834" i="67"/>
  <c r="T834" i="67"/>
  <c r="A834" i="67"/>
  <c r="AB833" i="67"/>
  <c r="AA833" i="67"/>
  <c r="Z833" i="67"/>
  <c r="X833" i="67"/>
  <c r="W833" i="67"/>
  <c r="V833" i="67"/>
  <c r="U833" i="67"/>
  <c r="T833" i="67"/>
  <c r="A833" i="67"/>
  <c r="AB832" i="67"/>
  <c r="AA832" i="67"/>
  <c r="Z832" i="67"/>
  <c r="X832" i="67"/>
  <c r="W832" i="67"/>
  <c r="V832" i="67"/>
  <c r="U832" i="67"/>
  <c r="T832" i="67"/>
  <c r="A832" i="67"/>
  <c r="AB831" i="67"/>
  <c r="AA831" i="67"/>
  <c r="Z831" i="67"/>
  <c r="X831" i="67"/>
  <c r="W831" i="67"/>
  <c r="V831" i="67"/>
  <c r="U831" i="67"/>
  <c r="T831" i="67"/>
  <c r="A831" i="67"/>
  <c r="AB830" i="67"/>
  <c r="AA830" i="67"/>
  <c r="Z830" i="67"/>
  <c r="X830" i="67"/>
  <c r="W830" i="67"/>
  <c r="V830" i="67"/>
  <c r="U830" i="67"/>
  <c r="T830" i="67"/>
  <c r="A830" i="67"/>
  <c r="AB829" i="67"/>
  <c r="AA829" i="67"/>
  <c r="Z829" i="67"/>
  <c r="X829" i="67"/>
  <c r="W829" i="67"/>
  <c r="V829" i="67"/>
  <c r="U829" i="67"/>
  <c r="T829" i="67"/>
  <c r="A829" i="67"/>
  <c r="AB828" i="67"/>
  <c r="AA828" i="67"/>
  <c r="Z828" i="67"/>
  <c r="X828" i="67"/>
  <c r="W828" i="67"/>
  <c r="V828" i="67"/>
  <c r="U828" i="67"/>
  <c r="T828" i="67"/>
  <c r="A828" i="67"/>
  <c r="AB827" i="67"/>
  <c r="AA827" i="67"/>
  <c r="Z827" i="67"/>
  <c r="X827" i="67"/>
  <c r="W827" i="67"/>
  <c r="V827" i="67"/>
  <c r="U827" i="67"/>
  <c r="T827" i="67"/>
  <c r="A827" i="67"/>
  <c r="AB826" i="67"/>
  <c r="AA826" i="67"/>
  <c r="Z826" i="67"/>
  <c r="X826" i="67"/>
  <c r="W826" i="67"/>
  <c r="V826" i="67"/>
  <c r="U826" i="67"/>
  <c r="T826" i="67"/>
  <c r="A826" i="67"/>
  <c r="AB825" i="67"/>
  <c r="AA825" i="67"/>
  <c r="Z825" i="67"/>
  <c r="X825" i="67"/>
  <c r="W825" i="67"/>
  <c r="V825" i="67"/>
  <c r="U825" i="67"/>
  <c r="T825" i="67"/>
  <c r="A825" i="67"/>
  <c r="AB824" i="67"/>
  <c r="AA824" i="67"/>
  <c r="Z824" i="67"/>
  <c r="X824" i="67"/>
  <c r="W824" i="67"/>
  <c r="V824" i="67"/>
  <c r="U824" i="67"/>
  <c r="T824" i="67"/>
  <c r="A824" i="67"/>
  <c r="AB823" i="67"/>
  <c r="AA823" i="67"/>
  <c r="Z823" i="67"/>
  <c r="X823" i="67"/>
  <c r="W823" i="67"/>
  <c r="V823" i="67"/>
  <c r="U823" i="67"/>
  <c r="T823" i="67"/>
  <c r="A823" i="67"/>
  <c r="AB822" i="67"/>
  <c r="AA822" i="67"/>
  <c r="Z822" i="67"/>
  <c r="X822" i="67"/>
  <c r="W822" i="67"/>
  <c r="V822" i="67"/>
  <c r="U822" i="67"/>
  <c r="T822" i="67"/>
  <c r="A822" i="67"/>
  <c r="AB821" i="67"/>
  <c r="AA821" i="67"/>
  <c r="Z821" i="67"/>
  <c r="X821" i="67"/>
  <c r="W821" i="67"/>
  <c r="V821" i="67"/>
  <c r="U821" i="67"/>
  <c r="T821" i="67"/>
  <c r="A821" i="67"/>
  <c r="AB820" i="67"/>
  <c r="AA820" i="67"/>
  <c r="Z820" i="67"/>
  <c r="X820" i="67"/>
  <c r="W820" i="67"/>
  <c r="V820" i="67"/>
  <c r="U820" i="67"/>
  <c r="T820" i="67"/>
  <c r="A820" i="67"/>
  <c r="AB819" i="67"/>
  <c r="AA819" i="67"/>
  <c r="Z819" i="67"/>
  <c r="X819" i="67"/>
  <c r="W819" i="67"/>
  <c r="V819" i="67"/>
  <c r="U819" i="67"/>
  <c r="T819" i="67"/>
  <c r="A819" i="67"/>
  <c r="AB818" i="67"/>
  <c r="AA818" i="67"/>
  <c r="Z818" i="67"/>
  <c r="X818" i="67"/>
  <c r="W818" i="67"/>
  <c r="V818" i="67"/>
  <c r="U818" i="67"/>
  <c r="T818" i="67"/>
  <c r="A818" i="67"/>
  <c r="AB817" i="67"/>
  <c r="AA817" i="67"/>
  <c r="Z817" i="67"/>
  <c r="X817" i="67"/>
  <c r="W817" i="67"/>
  <c r="V817" i="67"/>
  <c r="U817" i="67"/>
  <c r="T817" i="67"/>
  <c r="A817" i="67"/>
  <c r="AB816" i="67"/>
  <c r="AA816" i="67"/>
  <c r="Z816" i="67"/>
  <c r="X816" i="67"/>
  <c r="W816" i="67"/>
  <c r="V816" i="67"/>
  <c r="U816" i="67"/>
  <c r="T816" i="67"/>
  <c r="A816" i="67"/>
  <c r="AB815" i="67"/>
  <c r="AA815" i="67"/>
  <c r="Z815" i="67"/>
  <c r="X815" i="67"/>
  <c r="W815" i="67"/>
  <c r="V815" i="67"/>
  <c r="U815" i="67"/>
  <c r="T815" i="67"/>
  <c r="A815" i="67"/>
  <c r="AB814" i="67"/>
  <c r="AA814" i="67"/>
  <c r="Z814" i="67"/>
  <c r="X814" i="67"/>
  <c r="W814" i="67"/>
  <c r="V814" i="67"/>
  <c r="U814" i="67"/>
  <c r="T814" i="67"/>
  <c r="A814" i="67"/>
  <c r="AB813" i="67"/>
  <c r="AA813" i="67"/>
  <c r="Z813" i="67"/>
  <c r="X813" i="67"/>
  <c r="W813" i="67"/>
  <c r="V813" i="67"/>
  <c r="U813" i="67"/>
  <c r="T813" i="67"/>
  <c r="A813" i="67"/>
  <c r="AB812" i="67"/>
  <c r="AA812" i="67"/>
  <c r="Z812" i="67"/>
  <c r="X812" i="67"/>
  <c r="W812" i="67"/>
  <c r="V812" i="67"/>
  <c r="U812" i="67"/>
  <c r="T812" i="67"/>
  <c r="A812" i="67"/>
  <c r="AB811" i="67"/>
  <c r="AA811" i="67"/>
  <c r="Z811" i="67"/>
  <c r="X811" i="67"/>
  <c r="W811" i="67"/>
  <c r="V811" i="67"/>
  <c r="U811" i="67"/>
  <c r="T811" i="67"/>
  <c r="A811" i="67"/>
  <c r="AB810" i="67"/>
  <c r="AA810" i="67"/>
  <c r="Z810" i="67"/>
  <c r="X810" i="67"/>
  <c r="W810" i="67"/>
  <c r="V810" i="67"/>
  <c r="U810" i="67"/>
  <c r="T810" i="67"/>
  <c r="A810" i="67"/>
  <c r="AB809" i="67"/>
  <c r="AA809" i="67"/>
  <c r="Z809" i="67"/>
  <c r="X809" i="67"/>
  <c r="W809" i="67"/>
  <c r="V809" i="67"/>
  <c r="U809" i="67"/>
  <c r="T809" i="67"/>
  <c r="A809" i="67"/>
  <c r="AB808" i="67"/>
  <c r="AA808" i="67"/>
  <c r="Z808" i="67"/>
  <c r="X808" i="67"/>
  <c r="W808" i="67"/>
  <c r="V808" i="67"/>
  <c r="U808" i="67"/>
  <c r="T808" i="67"/>
  <c r="A808" i="67"/>
  <c r="AB807" i="67"/>
  <c r="AA807" i="67"/>
  <c r="Z807" i="67"/>
  <c r="X807" i="67"/>
  <c r="W807" i="67"/>
  <c r="V807" i="67"/>
  <c r="U807" i="67"/>
  <c r="T807" i="67"/>
  <c r="A807" i="67"/>
  <c r="AB806" i="67"/>
  <c r="AA806" i="67"/>
  <c r="Z806" i="67"/>
  <c r="X806" i="67"/>
  <c r="W806" i="67"/>
  <c r="V806" i="67"/>
  <c r="U806" i="67"/>
  <c r="T806" i="67"/>
  <c r="A806" i="67"/>
  <c r="AB805" i="67"/>
  <c r="AA805" i="67"/>
  <c r="Z805" i="67"/>
  <c r="X805" i="67"/>
  <c r="W805" i="67"/>
  <c r="V805" i="67"/>
  <c r="U805" i="67"/>
  <c r="T805" i="67"/>
  <c r="A805" i="67"/>
  <c r="AB804" i="67"/>
  <c r="AA804" i="67"/>
  <c r="Z804" i="67"/>
  <c r="X804" i="67"/>
  <c r="W804" i="67"/>
  <c r="V804" i="67"/>
  <c r="U804" i="67"/>
  <c r="T804" i="67"/>
  <c r="A804" i="67"/>
  <c r="AB803" i="67"/>
  <c r="AA803" i="67"/>
  <c r="Z803" i="67"/>
  <c r="X803" i="67"/>
  <c r="W803" i="67"/>
  <c r="V803" i="67"/>
  <c r="U803" i="67"/>
  <c r="T803" i="67"/>
  <c r="A803" i="67"/>
  <c r="AB802" i="67"/>
  <c r="AA802" i="67"/>
  <c r="Z802" i="67"/>
  <c r="X802" i="67"/>
  <c r="W802" i="67"/>
  <c r="V802" i="67"/>
  <c r="U802" i="67"/>
  <c r="T802" i="67"/>
  <c r="A802" i="67"/>
  <c r="AB801" i="67"/>
  <c r="AA801" i="67"/>
  <c r="Z801" i="67"/>
  <c r="X801" i="67"/>
  <c r="W801" i="67"/>
  <c r="V801" i="67"/>
  <c r="U801" i="67"/>
  <c r="T801" i="67"/>
  <c r="A801" i="67"/>
  <c r="AB800" i="67"/>
  <c r="AA800" i="67"/>
  <c r="Z800" i="67"/>
  <c r="X800" i="67"/>
  <c r="W800" i="67"/>
  <c r="V800" i="67"/>
  <c r="U800" i="67"/>
  <c r="T800" i="67"/>
  <c r="A800" i="67"/>
  <c r="AB799" i="67"/>
  <c r="AA799" i="67"/>
  <c r="Z799" i="67"/>
  <c r="X799" i="67"/>
  <c r="W799" i="67"/>
  <c r="V799" i="67"/>
  <c r="U799" i="67"/>
  <c r="T799" i="67"/>
  <c r="A799" i="67"/>
  <c r="AB798" i="67"/>
  <c r="AA798" i="67"/>
  <c r="Z798" i="67"/>
  <c r="X798" i="67"/>
  <c r="W798" i="67"/>
  <c r="V798" i="67"/>
  <c r="U798" i="67"/>
  <c r="T798" i="67"/>
  <c r="A798" i="67"/>
  <c r="AB797" i="67"/>
  <c r="AA797" i="67"/>
  <c r="Z797" i="67"/>
  <c r="X797" i="67"/>
  <c r="W797" i="67"/>
  <c r="V797" i="67"/>
  <c r="U797" i="67"/>
  <c r="T797" i="67"/>
  <c r="A797" i="67"/>
  <c r="AB796" i="67"/>
  <c r="AA796" i="67"/>
  <c r="Z796" i="67"/>
  <c r="X796" i="67"/>
  <c r="W796" i="67"/>
  <c r="V796" i="67"/>
  <c r="U796" i="67"/>
  <c r="T796" i="67"/>
  <c r="A796" i="67"/>
  <c r="AB795" i="67"/>
  <c r="AA795" i="67"/>
  <c r="Z795" i="67"/>
  <c r="X795" i="67"/>
  <c r="W795" i="67"/>
  <c r="V795" i="67"/>
  <c r="U795" i="67"/>
  <c r="T795" i="67"/>
  <c r="A795" i="67"/>
  <c r="AB794" i="67"/>
  <c r="AA794" i="67"/>
  <c r="Z794" i="67"/>
  <c r="X794" i="67"/>
  <c r="W794" i="67"/>
  <c r="V794" i="67"/>
  <c r="U794" i="67"/>
  <c r="T794" i="67"/>
  <c r="A794" i="67"/>
  <c r="AB793" i="67"/>
  <c r="AA793" i="67"/>
  <c r="Z793" i="67"/>
  <c r="X793" i="67"/>
  <c r="W793" i="67"/>
  <c r="V793" i="67"/>
  <c r="U793" i="67"/>
  <c r="T793" i="67"/>
  <c r="A793" i="67"/>
  <c r="AB792" i="67"/>
  <c r="AA792" i="67"/>
  <c r="Z792" i="67"/>
  <c r="X792" i="67"/>
  <c r="W792" i="67"/>
  <c r="V792" i="67"/>
  <c r="U792" i="67"/>
  <c r="T792" i="67"/>
  <c r="A792" i="67"/>
  <c r="AB791" i="67"/>
  <c r="AA791" i="67"/>
  <c r="Z791" i="67"/>
  <c r="X791" i="67"/>
  <c r="W791" i="67"/>
  <c r="V791" i="67"/>
  <c r="U791" i="67"/>
  <c r="T791" i="67"/>
  <c r="A791" i="67"/>
  <c r="AB790" i="67"/>
  <c r="AA790" i="67"/>
  <c r="Z790" i="67"/>
  <c r="X790" i="67"/>
  <c r="W790" i="67"/>
  <c r="V790" i="67"/>
  <c r="U790" i="67"/>
  <c r="T790" i="67"/>
  <c r="A790" i="67"/>
  <c r="AB789" i="67"/>
  <c r="AA789" i="67"/>
  <c r="Z789" i="67"/>
  <c r="X789" i="67"/>
  <c r="W789" i="67"/>
  <c r="V789" i="67"/>
  <c r="U789" i="67"/>
  <c r="T789" i="67"/>
  <c r="A789" i="67"/>
  <c r="AB788" i="67"/>
  <c r="AA788" i="67"/>
  <c r="Z788" i="67"/>
  <c r="X788" i="67"/>
  <c r="W788" i="67"/>
  <c r="V788" i="67"/>
  <c r="U788" i="67"/>
  <c r="T788" i="67"/>
  <c r="A788" i="67"/>
  <c r="AB787" i="67"/>
  <c r="AA787" i="67"/>
  <c r="Z787" i="67"/>
  <c r="X787" i="67"/>
  <c r="W787" i="67"/>
  <c r="V787" i="67"/>
  <c r="U787" i="67"/>
  <c r="T787" i="67"/>
  <c r="A787" i="67"/>
  <c r="AB786" i="67"/>
  <c r="AA786" i="67"/>
  <c r="Z786" i="67"/>
  <c r="X786" i="67"/>
  <c r="W786" i="67"/>
  <c r="V786" i="67"/>
  <c r="U786" i="67"/>
  <c r="T786" i="67"/>
  <c r="A786" i="67"/>
  <c r="AB785" i="67"/>
  <c r="AA785" i="67"/>
  <c r="Z785" i="67"/>
  <c r="X785" i="67"/>
  <c r="W785" i="67"/>
  <c r="V785" i="67"/>
  <c r="U785" i="67"/>
  <c r="T785" i="67"/>
  <c r="A785" i="67"/>
  <c r="AB784" i="67"/>
  <c r="AA784" i="67"/>
  <c r="Z784" i="67"/>
  <c r="X784" i="67"/>
  <c r="W784" i="67"/>
  <c r="V784" i="67"/>
  <c r="U784" i="67"/>
  <c r="T784" i="67"/>
  <c r="A784" i="67"/>
  <c r="AB783" i="67"/>
  <c r="AA783" i="67"/>
  <c r="Z783" i="67"/>
  <c r="X783" i="67"/>
  <c r="W783" i="67"/>
  <c r="V783" i="67"/>
  <c r="U783" i="67"/>
  <c r="T783" i="67"/>
  <c r="A783" i="67"/>
  <c r="AB782" i="67"/>
  <c r="AA782" i="67"/>
  <c r="Z782" i="67"/>
  <c r="X782" i="67"/>
  <c r="W782" i="67"/>
  <c r="V782" i="67"/>
  <c r="U782" i="67"/>
  <c r="T782" i="67"/>
  <c r="A782" i="67"/>
  <c r="AB781" i="67"/>
  <c r="AA781" i="67"/>
  <c r="Z781" i="67"/>
  <c r="X781" i="67"/>
  <c r="W781" i="67"/>
  <c r="V781" i="67"/>
  <c r="U781" i="67"/>
  <c r="T781" i="67"/>
  <c r="A781" i="67"/>
  <c r="AB780" i="67"/>
  <c r="AA780" i="67"/>
  <c r="Z780" i="67"/>
  <c r="X780" i="67"/>
  <c r="W780" i="67"/>
  <c r="V780" i="67"/>
  <c r="U780" i="67"/>
  <c r="T780" i="67"/>
  <c r="A780" i="67"/>
  <c r="AB779" i="67"/>
  <c r="AA779" i="67"/>
  <c r="Z779" i="67"/>
  <c r="X779" i="67"/>
  <c r="W779" i="67"/>
  <c r="V779" i="67"/>
  <c r="U779" i="67"/>
  <c r="T779" i="67"/>
  <c r="A779" i="67"/>
  <c r="AB778" i="67"/>
  <c r="AA778" i="67"/>
  <c r="Z778" i="67"/>
  <c r="X778" i="67"/>
  <c r="W778" i="67"/>
  <c r="V778" i="67"/>
  <c r="U778" i="67"/>
  <c r="T778" i="67"/>
  <c r="A778" i="67"/>
  <c r="AB777" i="67"/>
  <c r="AA777" i="67"/>
  <c r="Z777" i="67"/>
  <c r="X777" i="67"/>
  <c r="W777" i="67"/>
  <c r="V777" i="67"/>
  <c r="U777" i="67"/>
  <c r="T777" i="67"/>
  <c r="A777" i="67"/>
  <c r="AB776" i="67"/>
  <c r="AA776" i="67"/>
  <c r="Z776" i="67"/>
  <c r="X776" i="67"/>
  <c r="W776" i="67"/>
  <c r="V776" i="67"/>
  <c r="U776" i="67"/>
  <c r="T776" i="67"/>
  <c r="A776" i="67"/>
  <c r="AB775" i="67"/>
  <c r="AA775" i="67"/>
  <c r="Z775" i="67"/>
  <c r="X775" i="67"/>
  <c r="W775" i="67"/>
  <c r="V775" i="67"/>
  <c r="U775" i="67"/>
  <c r="T775" i="67"/>
  <c r="A775" i="67"/>
  <c r="AB774" i="67"/>
  <c r="AA774" i="67"/>
  <c r="Z774" i="67"/>
  <c r="X774" i="67"/>
  <c r="W774" i="67"/>
  <c r="V774" i="67"/>
  <c r="U774" i="67"/>
  <c r="T774" i="67"/>
  <c r="A774" i="67"/>
  <c r="AB773" i="67"/>
  <c r="AA773" i="67"/>
  <c r="Z773" i="67"/>
  <c r="X773" i="67"/>
  <c r="W773" i="67"/>
  <c r="V773" i="67"/>
  <c r="U773" i="67"/>
  <c r="T773" i="67"/>
  <c r="A773" i="67"/>
  <c r="AB772" i="67"/>
  <c r="AA772" i="67"/>
  <c r="Z772" i="67"/>
  <c r="X772" i="67"/>
  <c r="W772" i="67"/>
  <c r="V772" i="67"/>
  <c r="U772" i="67"/>
  <c r="T772" i="67"/>
  <c r="A772" i="67"/>
  <c r="AB771" i="67"/>
  <c r="AA771" i="67"/>
  <c r="Z771" i="67"/>
  <c r="X771" i="67"/>
  <c r="W771" i="67"/>
  <c r="V771" i="67"/>
  <c r="U771" i="67"/>
  <c r="T771" i="67"/>
  <c r="A771" i="67"/>
  <c r="AB770" i="67"/>
  <c r="AA770" i="67"/>
  <c r="Z770" i="67"/>
  <c r="X770" i="67"/>
  <c r="W770" i="67"/>
  <c r="V770" i="67"/>
  <c r="U770" i="67"/>
  <c r="T770" i="67"/>
  <c r="A770" i="67"/>
  <c r="AB769" i="67"/>
  <c r="AA769" i="67"/>
  <c r="Z769" i="67"/>
  <c r="X769" i="67"/>
  <c r="W769" i="67"/>
  <c r="V769" i="67"/>
  <c r="U769" i="67"/>
  <c r="T769" i="67"/>
  <c r="A769" i="67"/>
  <c r="AB768" i="67"/>
  <c r="AA768" i="67"/>
  <c r="Z768" i="67"/>
  <c r="X768" i="67"/>
  <c r="W768" i="67"/>
  <c r="V768" i="67"/>
  <c r="U768" i="67"/>
  <c r="T768" i="67"/>
  <c r="A768" i="67"/>
  <c r="AB767" i="67"/>
  <c r="AA767" i="67"/>
  <c r="Z767" i="67"/>
  <c r="X767" i="67"/>
  <c r="W767" i="67"/>
  <c r="V767" i="67"/>
  <c r="U767" i="67"/>
  <c r="T767" i="67"/>
  <c r="A767" i="67"/>
  <c r="AB766" i="67"/>
  <c r="AA766" i="67"/>
  <c r="Z766" i="67"/>
  <c r="X766" i="67"/>
  <c r="W766" i="67"/>
  <c r="V766" i="67"/>
  <c r="U766" i="67"/>
  <c r="T766" i="67"/>
  <c r="A766" i="67"/>
  <c r="AB765" i="67"/>
  <c r="AA765" i="67"/>
  <c r="Z765" i="67"/>
  <c r="X765" i="67"/>
  <c r="W765" i="67"/>
  <c r="V765" i="67"/>
  <c r="U765" i="67"/>
  <c r="T765" i="67"/>
  <c r="A765" i="67"/>
  <c r="AB764" i="67"/>
  <c r="AA764" i="67"/>
  <c r="Z764" i="67"/>
  <c r="X764" i="67"/>
  <c r="W764" i="67"/>
  <c r="V764" i="67"/>
  <c r="U764" i="67"/>
  <c r="T764" i="67"/>
  <c r="A764" i="67"/>
  <c r="AB763" i="67"/>
  <c r="AA763" i="67"/>
  <c r="Z763" i="67"/>
  <c r="X763" i="67"/>
  <c r="W763" i="67"/>
  <c r="V763" i="67"/>
  <c r="U763" i="67"/>
  <c r="T763" i="67"/>
  <c r="A763" i="67"/>
  <c r="AB762" i="67"/>
  <c r="AA762" i="67"/>
  <c r="Z762" i="67"/>
  <c r="X762" i="67"/>
  <c r="W762" i="67"/>
  <c r="V762" i="67"/>
  <c r="U762" i="67"/>
  <c r="T762" i="67"/>
  <c r="A762" i="67"/>
  <c r="AB761" i="67"/>
  <c r="AA761" i="67"/>
  <c r="Z761" i="67"/>
  <c r="X761" i="67"/>
  <c r="W761" i="67"/>
  <c r="V761" i="67"/>
  <c r="U761" i="67"/>
  <c r="T761" i="67"/>
  <c r="A761" i="67"/>
  <c r="AB760" i="67"/>
  <c r="AA760" i="67"/>
  <c r="Z760" i="67"/>
  <c r="X760" i="67"/>
  <c r="W760" i="67"/>
  <c r="V760" i="67"/>
  <c r="U760" i="67"/>
  <c r="T760" i="67"/>
  <c r="A760" i="67"/>
  <c r="AB759" i="67"/>
  <c r="AA759" i="67"/>
  <c r="Z759" i="67"/>
  <c r="X759" i="67"/>
  <c r="W759" i="67"/>
  <c r="V759" i="67"/>
  <c r="U759" i="67"/>
  <c r="T759" i="67"/>
  <c r="A759" i="67"/>
  <c r="AB758" i="67"/>
  <c r="AA758" i="67"/>
  <c r="Z758" i="67"/>
  <c r="X758" i="67"/>
  <c r="W758" i="67"/>
  <c r="V758" i="67"/>
  <c r="U758" i="67"/>
  <c r="T758" i="67"/>
  <c r="A758" i="67"/>
  <c r="AB757" i="67"/>
  <c r="AA757" i="67"/>
  <c r="Z757" i="67"/>
  <c r="X757" i="67"/>
  <c r="W757" i="67"/>
  <c r="V757" i="67"/>
  <c r="U757" i="67"/>
  <c r="T757" i="67"/>
  <c r="A757" i="67"/>
  <c r="AB756" i="67"/>
  <c r="AA756" i="67"/>
  <c r="Z756" i="67"/>
  <c r="X756" i="67"/>
  <c r="W756" i="67"/>
  <c r="V756" i="67"/>
  <c r="U756" i="67"/>
  <c r="T756" i="67"/>
  <c r="A756" i="67"/>
  <c r="AB755" i="67"/>
  <c r="AA755" i="67"/>
  <c r="Z755" i="67"/>
  <c r="X755" i="67"/>
  <c r="W755" i="67"/>
  <c r="V755" i="67"/>
  <c r="U755" i="67"/>
  <c r="T755" i="67"/>
  <c r="A755" i="67"/>
  <c r="AB754" i="67"/>
  <c r="AA754" i="67"/>
  <c r="Z754" i="67"/>
  <c r="X754" i="67"/>
  <c r="W754" i="67"/>
  <c r="V754" i="67"/>
  <c r="U754" i="67"/>
  <c r="T754" i="67"/>
  <c r="A754" i="67"/>
  <c r="AB753" i="67"/>
  <c r="AA753" i="67"/>
  <c r="Z753" i="67"/>
  <c r="X753" i="67"/>
  <c r="W753" i="67"/>
  <c r="V753" i="67"/>
  <c r="U753" i="67"/>
  <c r="T753" i="67"/>
  <c r="A753" i="67"/>
  <c r="AB752" i="67"/>
  <c r="AA752" i="67"/>
  <c r="Z752" i="67"/>
  <c r="X752" i="67"/>
  <c r="W752" i="67"/>
  <c r="V752" i="67"/>
  <c r="U752" i="67"/>
  <c r="T752" i="67"/>
  <c r="A752" i="67"/>
  <c r="AB751" i="67"/>
  <c r="AA751" i="67"/>
  <c r="Z751" i="67"/>
  <c r="X751" i="67"/>
  <c r="W751" i="67"/>
  <c r="V751" i="67"/>
  <c r="U751" i="67"/>
  <c r="T751" i="67"/>
  <c r="A751" i="67"/>
  <c r="AB750" i="67"/>
  <c r="AA750" i="67"/>
  <c r="Z750" i="67"/>
  <c r="X750" i="67"/>
  <c r="W750" i="67"/>
  <c r="V750" i="67"/>
  <c r="U750" i="67"/>
  <c r="T750" i="67"/>
  <c r="A750" i="67"/>
  <c r="AB749" i="67"/>
  <c r="AA749" i="67"/>
  <c r="Z749" i="67"/>
  <c r="X749" i="67"/>
  <c r="W749" i="67"/>
  <c r="V749" i="67"/>
  <c r="U749" i="67"/>
  <c r="T749" i="67"/>
  <c r="A749" i="67"/>
  <c r="AB748" i="67"/>
  <c r="AA748" i="67"/>
  <c r="Z748" i="67"/>
  <c r="X748" i="67"/>
  <c r="W748" i="67"/>
  <c r="V748" i="67"/>
  <c r="U748" i="67"/>
  <c r="T748" i="67"/>
  <c r="A748" i="67"/>
  <c r="AB747" i="67"/>
  <c r="AA747" i="67"/>
  <c r="Z747" i="67"/>
  <c r="X747" i="67"/>
  <c r="W747" i="67"/>
  <c r="V747" i="67"/>
  <c r="U747" i="67"/>
  <c r="T747" i="67"/>
  <c r="A747" i="67"/>
  <c r="AB746" i="67"/>
  <c r="AA746" i="67"/>
  <c r="Z746" i="67"/>
  <c r="X746" i="67"/>
  <c r="W746" i="67"/>
  <c r="V746" i="67"/>
  <c r="U746" i="67"/>
  <c r="T746" i="67"/>
  <c r="A746" i="67"/>
  <c r="AB745" i="67"/>
  <c r="AA745" i="67"/>
  <c r="Z745" i="67"/>
  <c r="X745" i="67"/>
  <c r="W745" i="67"/>
  <c r="V745" i="67"/>
  <c r="U745" i="67"/>
  <c r="T745" i="67"/>
  <c r="A745" i="67"/>
  <c r="AB744" i="67"/>
  <c r="AA744" i="67"/>
  <c r="Z744" i="67"/>
  <c r="X744" i="67"/>
  <c r="W744" i="67"/>
  <c r="V744" i="67"/>
  <c r="U744" i="67"/>
  <c r="T744" i="67"/>
  <c r="A744" i="67"/>
  <c r="AB743" i="67"/>
  <c r="AA743" i="67"/>
  <c r="Z743" i="67"/>
  <c r="X743" i="67"/>
  <c r="W743" i="67"/>
  <c r="V743" i="67"/>
  <c r="U743" i="67"/>
  <c r="T743" i="67"/>
  <c r="A743" i="67"/>
  <c r="AB742" i="67"/>
  <c r="AA742" i="67"/>
  <c r="Z742" i="67"/>
  <c r="X742" i="67"/>
  <c r="W742" i="67"/>
  <c r="V742" i="67"/>
  <c r="U742" i="67"/>
  <c r="T742" i="67"/>
  <c r="A742" i="67"/>
  <c r="AB741" i="67"/>
  <c r="AA741" i="67"/>
  <c r="Z741" i="67"/>
  <c r="X741" i="67"/>
  <c r="W741" i="67"/>
  <c r="V741" i="67"/>
  <c r="U741" i="67"/>
  <c r="T741" i="67"/>
  <c r="A741" i="67"/>
  <c r="AB740" i="67"/>
  <c r="AA740" i="67"/>
  <c r="Z740" i="67"/>
  <c r="X740" i="67"/>
  <c r="W740" i="67"/>
  <c r="V740" i="67"/>
  <c r="U740" i="67"/>
  <c r="T740" i="67"/>
  <c r="A740" i="67"/>
  <c r="AB739" i="67"/>
  <c r="AA739" i="67"/>
  <c r="Z739" i="67"/>
  <c r="X739" i="67"/>
  <c r="W739" i="67"/>
  <c r="V739" i="67"/>
  <c r="U739" i="67"/>
  <c r="T739" i="67"/>
  <c r="A739" i="67"/>
  <c r="AB738" i="67"/>
  <c r="AA738" i="67"/>
  <c r="Z738" i="67"/>
  <c r="X738" i="67"/>
  <c r="W738" i="67"/>
  <c r="V738" i="67"/>
  <c r="U738" i="67"/>
  <c r="T738" i="67"/>
  <c r="A738" i="67"/>
  <c r="AB737" i="67"/>
  <c r="AA737" i="67"/>
  <c r="Z737" i="67"/>
  <c r="X737" i="67"/>
  <c r="W737" i="67"/>
  <c r="V737" i="67"/>
  <c r="U737" i="67"/>
  <c r="T737" i="67"/>
  <c r="A737" i="67"/>
  <c r="AB736" i="67"/>
  <c r="AA736" i="67"/>
  <c r="Z736" i="67"/>
  <c r="X736" i="67"/>
  <c r="W736" i="67"/>
  <c r="V736" i="67"/>
  <c r="U736" i="67"/>
  <c r="T736" i="67"/>
  <c r="A736" i="67"/>
  <c r="AB735" i="67"/>
  <c r="AA735" i="67"/>
  <c r="Z735" i="67"/>
  <c r="X735" i="67"/>
  <c r="W735" i="67"/>
  <c r="V735" i="67"/>
  <c r="U735" i="67"/>
  <c r="T735" i="67"/>
  <c r="A735" i="67"/>
  <c r="AB734" i="67"/>
  <c r="AA734" i="67"/>
  <c r="Z734" i="67"/>
  <c r="X734" i="67"/>
  <c r="W734" i="67"/>
  <c r="V734" i="67"/>
  <c r="U734" i="67"/>
  <c r="T734" i="67"/>
  <c r="A734" i="67"/>
  <c r="AB733" i="67"/>
  <c r="AA733" i="67"/>
  <c r="Z733" i="67"/>
  <c r="X733" i="67"/>
  <c r="W733" i="67"/>
  <c r="V733" i="67"/>
  <c r="U733" i="67"/>
  <c r="T733" i="67"/>
  <c r="A733" i="67"/>
  <c r="AB732" i="67"/>
  <c r="AA732" i="67"/>
  <c r="Z732" i="67"/>
  <c r="X732" i="67"/>
  <c r="W732" i="67"/>
  <c r="V732" i="67"/>
  <c r="U732" i="67"/>
  <c r="T732" i="67"/>
  <c r="A732" i="67"/>
  <c r="AB731" i="67"/>
  <c r="AA731" i="67"/>
  <c r="Z731" i="67"/>
  <c r="X731" i="67"/>
  <c r="W731" i="67"/>
  <c r="V731" i="67"/>
  <c r="U731" i="67"/>
  <c r="T731" i="67"/>
  <c r="A731" i="67"/>
  <c r="AB730" i="67"/>
  <c r="AA730" i="67"/>
  <c r="Z730" i="67"/>
  <c r="X730" i="67"/>
  <c r="W730" i="67"/>
  <c r="V730" i="67"/>
  <c r="U730" i="67"/>
  <c r="T730" i="67"/>
  <c r="A730" i="67"/>
  <c r="AB729" i="67"/>
  <c r="AA729" i="67"/>
  <c r="Z729" i="67"/>
  <c r="X729" i="67"/>
  <c r="W729" i="67"/>
  <c r="V729" i="67"/>
  <c r="U729" i="67"/>
  <c r="T729" i="67"/>
  <c r="A729" i="67"/>
  <c r="AB728" i="67"/>
  <c r="AA728" i="67"/>
  <c r="Z728" i="67"/>
  <c r="X728" i="67"/>
  <c r="W728" i="67"/>
  <c r="V728" i="67"/>
  <c r="U728" i="67"/>
  <c r="T728" i="67"/>
  <c r="A728" i="67"/>
  <c r="AB727" i="67"/>
  <c r="AA727" i="67"/>
  <c r="Z727" i="67"/>
  <c r="X727" i="67"/>
  <c r="W727" i="67"/>
  <c r="V727" i="67"/>
  <c r="U727" i="67"/>
  <c r="T727" i="67"/>
  <c r="A727" i="67"/>
  <c r="AB726" i="67"/>
  <c r="AA726" i="67"/>
  <c r="Z726" i="67"/>
  <c r="X726" i="67"/>
  <c r="W726" i="67"/>
  <c r="V726" i="67"/>
  <c r="U726" i="67"/>
  <c r="T726" i="67"/>
  <c r="A726" i="67"/>
  <c r="AB725" i="67"/>
  <c r="AA725" i="67"/>
  <c r="Z725" i="67"/>
  <c r="X725" i="67"/>
  <c r="W725" i="67"/>
  <c r="V725" i="67"/>
  <c r="U725" i="67"/>
  <c r="T725" i="67"/>
  <c r="A725" i="67"/>
  <c r="AB724" i="67"/>
  <c r="AA724" i="67"/>
  <c r="Z724" i="67"/>
  <c r="X724" i="67"/>
  <c r="W724" i="67"/>
  <c r="V724" i="67"/>
  <c r="U724" i="67"/>
  <c r="T724" i="67"/>
  <c r="A724" i="67"/>
  <c r="AB723" i="67"/>
  <c r="AA723" i="67"/>
  <c r="Z723" i="67"/>
  <c r="X723" i="67"/>
  <c r="W723" i="67"/>
  <c r="V723" i="67"/>
  <c r="U723" i="67"/>
  <c r="T723" i="67"/>
  <c r="A723" i="67"/>
  <c r="AB722" i="67"/>
  <c r="AA722" i="67"/>
  <c r="Z722" i="67"/>
  <c r="X722" i="67"/>
  <c r="W722" i="67"/>
  <c r="V722" i="67"/>
  <c r="U722" i="67"/>
  <c r="T722" i="67"/>
  <c r="A722" i="67"/>
  <c r="AB721" i="67"/>
  <c r="AA721" i="67"/>
  <c r="Z721" i="67"/>
  <c r="X721" i="67"/>
  <c r="W721" i="67"/>
  <c r="V721" i="67"/>
  <c r="U721" i="67"/>
  <c r="T721" i="67"/>
  <c r="A721" i="67"/>
  <c r="AB720" i="67"/>
  <c r="AA720" i="67"/>
  <c r="Z720" i="67"/>
  <c r="X720" i="67"/>
  <c r="W720" i="67"/>
  <c r="V720" i="67"/>
  <c r="U720" i="67"/>
  <c r="T720" i="67"/>
  <c r="A720" i="67"/>
  <c r="AB719" i="67"/>
  <c r="AA719" i="67"/>
  <c r="Z719" i="67"/>
  <c r="X719" i="67"/>
  <c r="W719" i="67"/>
  <c r="V719" i="67"/>
  <c r="U719" i="67"/>
  <c r="T719" i="67"/>
  <c r="A719" i="67"/>
  <c r="AB718" i="67"/>
  <c r="AA718" i="67"/>
  <c r="Z718" i="67"/>
  <c r="X718" i="67"/>
  <c r="W718" i="67"/>
  <c r="V718" i="67"/>
  <c r="U718" i="67"/>
  <c r="T718" i="67"/>
  <c r="A718" i="67"/>
  <c r="AB717" i="67"/>
  <c r="AA717" i="67"/>
  <c r="Z717" i="67"/>
  <c r="X717" i="67"/>
  <c r="W717" i="67"/>
  <c r="V717" i="67"/>
  <c r="U717" i="67"/>
  <c r="T717" i="67"/>
  <c r="A717" i="67"/>
  <c r="AB716" i="67"/>
  <c r="AA716" i="67"/>
  <c r="Z716" i="67"/>
  <c r="X716" i="67"/>
  <c r="W716" i="67"/>
  <c r="V716" i="67"/>
  <c r="U716" i="67"/>
  <c r="T716" i="67"/>
  <c r="A716" i="67"/>
  <c r="AB715" i="67"/>
  <c r="AA715" i="67"/>
  <c r="Z715" i="67"/>
  <c r="X715" i="67"/>
  <c r="W715" i="67"/>
  <c r="V715" i="67"/>
  <c r="U715" i="67"/>
  <c r="T715" i="67"/>
  <c r="A715" i="67"/>
  <c r="AB714" i="67"/>
  <c r="AA714" i="67"/>
  <c r="Z714" i="67"/>
  <c r="X714" i="67"/>
  <c r="W714" i="67"/>
  <c r="V714" i="67"/>
  <c r="U714" i="67"/>
  <c r="T714" i="67"/>
  <c r="A714" i="67"/>
  <c r="AB713" i="67"/>
  <c r="AA713" i="67"/>
  <c r="Z713" i="67"/>
  <c r="X713" i="67"/>
  <c r="W713" i="67"/>
  <c r="V713" i="67"/>
  <c r="U713" i="67"/>
  <c r="T713" i="67"/>
  <c r="A713" i="67"/>
  <c r="AB712" i="67"/>
  <c r="AA712" i="67"/>
  <c r="Z712" i="67"/>
  <c r="X712" i="67"/>
  <c r="W712" i="67"/>
  <c r="V712" i="67"/>
  <c r="U712" i="67"/>
  <c r="T712" i="67"/>
  <c r="A712" i="67"/>
  <c r="AB711" i="67"/>
  <c r="AA711" i="67"/>
  <c r="Z711" i="67"/>
  <c r="X711" i="67"/>
  <c r="W711" i="67"/>
  <c r="V711" i="67"/>
  <c r="U711" i="67"/>
  <c r="T711" i="67"/>
  <c r="A711" i="67"/>
  <c r="AB710" i="67"/>
  <c r="AA710" i="67"/>
  <c r="Z710" i="67"/>
  <c r="X710" i="67"/>
  <c r="W710" i="67"/>
  <c r="V710" i="67"/>
  <c r="U710" i="67"/>
  <c r="T710" i="67"/>
  <c r="A710" i="67"/>
  <c r="AB709" i="67"/>
  <c r="AA709" i="67"/>
  <c r="Z709" i="67"/>
  <c r="X709" i="67"/>
  <c r="W709" i="67"/>
  <c r="V709" i="67"/>
  <c r="U709" i="67"/>
  <c r="T709" i="67"/>
  <c r="A709" i="67"/>
  <c r="AB708" i="67"/>
  <c r="AA708" i="67"/>
  <c r="Z708" i="67"/>
  <c r="X708" i="67"/>
  <c r="W708" i="67"/>
  <c r="V708" i="67"/>
  <c r="U708" i="67"/>
  <c r="T708" i="67"/>
  <c r="A708" i="67"/>
  <c r="AB707" i="67"/>
  <c r="AA707" i="67"/>
  <c r="Z707" i="67"/>
  <c r="X707" i="67"/>
  <c r="W707" i="67"/>
  <c r="V707" i="67"/>
  <c r="U707" i="67"/>
  <c r="T707" i="67"/>
  <c r="A707" i="67"/>
  <c r="AB706" i="67"/>
  <c r="AA706" i="67"/>
  <c r="Z706" i="67"/>
  <c r="X706" i="67"/>
  <c r="W706" i="67"/>
  <c r="V706" i="67"/>
  <c r="U706" i="67"/>
  <c r="T706" i="67"/>
  <c r="A706" i="67"/>
  <c r="AB705" i="67"/>
  <c r="AA705" i="67"/>
  <c r="Z705" i="67"/>
  <c r="X705" i="67"/>
  <c r="W705" i="67"/>
  <c r="V705" i="67"/>
  <c r="U705" i="67"/>
  <c r="T705" i="67"/>
  <c r="A705" i="67"/>
  <c r="AB704" i="67"/>
  <c r="AA704" i="67"/>
  <c r="Z704" i="67"/>
  <c r="X704" i="67"/>
  <c r="W704" i="67"/>
  <c r="V704" i="67"/>
  <c r="U704" i="67"/>
  <c r="T704" i="67"/>
  <c r="A704" i="67"/>
  <c r="AB703" i="67"/>
  <c r="AA703" i="67"/>
  <c r="Z703" i="67"/>
  <c r="X703" i="67"/>
  <c r="W703" i="67"/>
  <c r="V703" i="67"/>
  <c r="U703" i="67"/>
  <c r="T703" i="67"/>
  <c r="A703" i="67"/>
  <c r="AB702" i="67"/>
  <c r="AA702" i="67"/>
  <c r="Z702" i="67"/>
  <c r="X702" i="67"/>
  <c r="W702" i="67"/>
  <c r="V702" i="67"/>
  <c r="U702" i="67"/>
  <c r="T702" i="67"/>
  <c r="A702" i="67"/>
  <c r="AB701" i="67"/>
  <c r="AA701" i="67"/>
  <c r="Z701" i="67"/>
  <c r="X701" i="67"/>
  <c r="W701" i="67"/>
  <c r="V701" i="67"/>
  <c r="U701" i="67"/>
  <c r="T701" i="67"/>
  <c r="A701" i="67"/>
  <c r="AB700" i="67"/>
  <c r="AA700" i="67"/>
  <c r="Z700" i="67"/>
  <c r="X700" i="67"/>
  <c r="W700" i="67"/>
  <c r="V700" i="67"/>
  <c r="U700" i="67"/>
  <c r="T700" i="67"/>
  <c r="A700" i="67"/>
  <c r="AB699" i="67"/>
  <c r="AA699" i="67"/>
  <c r="Z699" i="67"/>
  <c r="X699" i="67"/>
  <c r="W699" i="67"/>
  <c r="V699" i="67"/>
  <c r="U699" i="67"/>
  <c r="T699" i="67"/>
  <c r="A699" i="67"/>
  <c r="AB698" i="67"/>
  <c r="AA698" i="67"/>
  <c r="Z698" i="67"/>
  <c r="X698" i="67"/>
  <c r="W698" i="67"/>
  <c r="V698" i="67"/>
  <c r="U698" i="67"/>
  <c r="T698" i="67"/>
  <c r="A698" i="67"/>
  <c r="AB697" i="67"/>
  <c r="AA697" i="67"/>
  <c r="Z697" i="67"/>
  <c r="X697" i="67"/>
  <c r="W697" i="67"/>
  <c r="V697" i="67"/>
  <c r="U697" i="67"/>
  <c r="T697" i="67"/>
  <c r="A697" i="67"/>
  <c r="AB696" i="67"/>
  <c r="AA696" i="67"/>
  <c r="Z696" i="67"/>
  <c r="X696" i="67"/>
  <c r="W696" i="67"/>
  <c r="V696" i="67"/>
  <c r="U696" i="67"/>
  <c r="T696" i="67"/>
  <c r="A696" i="67"/>
  <c r="AB695" i="67"/>
  <c r="AA695" i="67"/>
  <c r="Z695" i="67"/>
  <c r="X695" i="67"/>
  <c r="W695" i="67"/>
  <c r="V695" i="67"/>
  <c r="U695" i="67"/>
  <c r="T695" i="67"/>
  <c r="A695" i="67"/>
  <c r="AB694" i="67"/>
  <c r="AA694" i="67"/>
  <c r="Z694" i="67"/>
  <c r="X694" i="67"/>
  <c r="W694" i="67"/>
  <c r="V694" i="67"/>
  <c r="U694" i="67"/>
  <c r="T694" i="67"/>
  <c r="A694" i="67"/>
  <c r="AB693" i="67"/>
  <c r="AA693" i="67"/>
  <c r="Z693" i="67"/>
  <c r="X693" i="67"/>
  <c r="W693" i="67"/>
  <c r="V693" i="67"/>
  <c r="U693" i="67"/>
  <c r="T693" i="67"/>
  <c r="A693" i="67"/>
  <c r="AB692" i="67"/>
  <c r="AA692" i="67"/>
  <c r="Z692" i="67"/>
  <c r="X692" i="67"/>
  <c r="W692" i="67"/>
  <c r="V692" i="67"/>
  <c r="U692" i="67"/>
  <c r="T692" i="67"/>
  <c r="A692" i="67"/>
  <c r="AB691" i="67"/>
  <c r="AA691" i="67"/>
  <c r="Z691" i="67"/>
  <c r="X691" i="67"/>
  <c r="W691" i="67"/>
  <c r="V691" i="67"/>
  <c r="U691" i="67"/>
  <c r="T691" i="67"/>
  <c r="A691" i="67"/>
  <c r="AB690" i="67"/>
  <c r="AA690" i="67"/>
  <c r="Z690" i="67"/>
  <c r="X690" i="67"/>
  <c r="W690" i="67"/>
  <c r="V690" i="67"/>
  <c r="U690" i="67"/>
  <c r="T690" i="67"/>
  <c r="A690" i="67"/>
  <c r="AB689" i="67"/>
  <c r="AA689" i="67"/>
  <c r="Z689" i="67"/>
  <c r="X689" i="67"/>
  <c r="W689" i="67"/>
  <c r="V689" i="67"/>
  <c r="U689" i="67"/>
  <c r="T689" i="67"/>
  <c r="A689" i="67"/>
  <c r="AB688" i="67"/>
  <c r="AA688" i="67"/>
  <c r="Z688" i="67"/>
  <c r="X688" i="67"/>
  <c r="W688" i="67"/>
  <c r="V688" i="67"/>
  <c r="U688" i="67"/>
  <c r="T688" i="67"/>
  <c r="A688" i="67"/>
  <c r="AB687" i="67"/>
  <c r="AA687" i="67"/>
  <c r="Z687" i="67"/>
  <c r="X687" i="67"/>
  <c r="W687" i="67"/>
  <c r="V687" i="67"/>
  <c r="U687" i="67"/>
  <c r="T687" i="67"/>
  <c r="A687" i="67"/>
  <c r="AB686" i="67"/>
  <c r="AA686" i="67"/>
  <c r="Z686" i="67"/>
  <c r="X686" i="67"/>
  <c r="W686" i="67"/>
  <c r="V686" i="67"/>
  <c r="U686" i="67"/>
  <c r="T686" i="67"/>
  <c r="A686" i="67"/>
  <c r="AB685" i="67"/>
  <c r="AA685" i="67"/>
  <c r="Z685" i="67"/>
  <c r="X685" i="67"/>
  <c r="W685" i="67"/>
  <c r="V685" i="67"/>
  <c r="U685" i="67"/>
  <c r="T685" i="67"/>
  <c r="A685" i="67"/>
  <c r="AB684" i="67"/>
  <c r="AA684" i="67"/>
  <c r="Z684" i="67"/>
  <c r="X684" i="67"/>
  <c r="W684" i="67"/>
  <c r="V684" i="67"/>
  <c r="U684" i="67"/>
  <c r="T684" i="67"/>
  <c r="A684" i="67"/>
  <c r="AB683" i="67"/>
  <c r="AA683" i="67"/>
  <c r="Z683" i="67"/>
  <c r="X683" i="67"/>
  <c r="W683" i="67"/>
  <c r="V683" i="67"/>
  <c r="U683" i="67"/>
  <c r="T683" i="67"/>
  <c r="A683" i="67"/>
  <c r="AB682" i="67"/>
  <c r="AA682" i="67"/>
  <c r="Z682" i="67"/>
  <c r="X682" i="67"/>
  <c r="W682" i="67"/>
  <c r="V682" i="67"/>
  <c r="U682" i="67"/>
  <c r="T682" i="67"/>
  <c r="A682" i="67"/>
  <c r="AB681" i="67"/>
  <c r="AA681" i="67"/>
  <c r="Z681" i="67"/>
  <c r="X681" i="67"/>
  <c r="W681" i="67"/>
  <c r="V681" i="67"/>
  <c r="U681" i="67"/>
  <c r="T681" i="67"/>
  <c r="A681" i="67"/>
  <c r="AB680" i="67"/>
  <c r="AA680" i="67"/>
  <c r="Z680" i="67"/>
  <c r="X680" i="67"/>
  <c r="W680" i="67"/>
  <c r="V680" i="67"/>
  <c r="U680" i="67"/>
  <c r="T680" i="67"/>
  <c r="A680" i="67"/>
  <c r="AB679" i="67"/>
  <c r="AA679" i="67"/>
  <c r="Z679" i="67"/>
  <c r="X679" i="67"/>
  <c r="W679" i="67"/>
  <c r="V679" i="67"/>
  <c r="U679" i="67"/>
  <c r="T679" i="67"/>
  <c r="A679" i="67"/>
  <c r="AB678" i="67"/>
  <c r="AA678" i="67"/>
  <c r="Z678" i="67"/>
  <c r="X678" i="67"/>
  <c r="W678" i="67"/>
  <c r="V678" i="67"/>
  <c r="U678" i="67"/>
  <c r="T678" i="67"/>
  <c r="A678" i="67"/>
  <c r="AB677" i="67"/>
  <c r="AA677" i="67"/>
  <c r="Z677" i="67"/>
  <c r="X677" i="67"/>
  <c r="W677" i="67"/>
  <c r="V677" i="67"/>
  <c r="U677" i="67"/>
  <c r="T677" i="67"/>
  <c r="A677" i="67"/>
  <c r="AB676" i="67"/>
  <c r="AA676" i="67"/>
  <c r="Z676" i="67"/>
  <c r="X676" i="67"/>
  <c r="W676" i="67"/>
  <c r="V676" i="67"/>
  <c r="U676" i="67"/>
  <c r="T676" i="67"/>
  <c r="A676" i="67"/>
  <c r="AB675" i="67"/>
  <c r="AA675" i="67"/>
  <c r="Z675" i="67"/>
  <c r="X675" i="67"/>
  <c r="W675" i="67"/>
  <c r="V675" i="67"/>
  <c r="U675" i="67"/>
  <c r="T675" i="67"/>
  <c r="A675" i="67"/>
  <c r="AB674" i="67"/>
  <c r="AA674" i="67"/>
  <c r="Z674" i="67"/>
  <c r="X674" i="67"/>
  <c r="W674" i="67"/>
  <c r="V674" i="67"/>
  <c r="U674" i="67"/>
  <c r="T674" i="67"/>
  <c r="A674" i="67"/>
  <c r="AB673" i="67"/>
  <c r="AA673" i="67"/>
  <c r="Z673" i="67"/>
  <c r="X673" i="67"/>
  <c r="W673" i="67"/>
  <c r="V673" i="67"/>
  <c r="U673" i="67"/>
  <c r="T673" i="67"/>
  <c r="A673" i="67"/>
  <c r="AB672" i="67"/>
  <c r="AA672" i="67"/>
  <c r="Z672" i="67"/>
  <c r="X672" i="67"/>
  <c r="W672" i="67"/>
  <c r="V672" i="67"/>
  <c r="U672" i="67"/>
  <c r="T672" i="67"/>
  <c r="A672" i="67"/>
  <c r="AB671" i="67"/>
  <c r="AA671" i="67"/>
  <c r="Z671" i="67"/>
  <c r="X671" i="67"/>
  <c r="W671" i="67"/>
  <c r="V671" i="67"/>
  <c r="U671" i="67"/>
  <c r="T671" i="67"/>
  <c r="A671" i="67"/>
  <c r="AB670" i="67"/>
  <c r="AA670" i="67"/>
  <c r="Z670" i="67"/>
  <c r="X670" i="67"/>
  <c r="W670" i="67"/>
  <c r="V670" i="67"/>
  <c r="U670" i="67"/>
  <c r="T670" i="67"/>
  <c r="A670" i="67"/>
  <c r="AB669" i="67"/>
  <c r="AA669" i="67"/>
  <c r="Z669" i="67"/>
  <c r="X669" i="67"/>
  <c r="W669" i="67"/>
  <c r="V669" i="67"/>
  <c r="U669" i="67"/>
  <c r="T669" i="67"/>
  <c r="A669" i="67"/>
  <c r="AB668" i="67"/>
  <c r="AA668" i="67"/>
  <c r="Z668" i="67"/>
  <c r="X668" i="67"/>
  <c r="W668" i="67"/>
  <c r="V668" i="67"/>
  <c r="U668" i="67"/>
  <c r="T668" i="67"/>
  <c r="A668" i="67"/>
  <c r="AB667" i="67"/>
  <c r="AA667" i="67"/>
  <c r="Z667" i="67"/>
  <c r="X667" i="67"/>
  <c r="W667" i="67"/>
  <c r="V667" i="67"/>
  <c r="U667" i="67"/>
  <c r="T667" i="67"/>
  <c r="A667" i="67"/>
  <c r="AB666" i="67"/>
  <c r="AA666" i="67"/>
  <c r="Z666" i="67"/>
  <c r="X666" i="67"/>
  <c r="W666" i="67"/>
  <c r="V666" i="67"/>
  <c r="U666" i="67"/>
  <c r="T666" i="67"/>
  <c r="A666" i="67"/>
  <c r="AB665" i="67"/>
  <c r="AA665" i="67"/>
  <c r="Z665" i="67"/>
  <c r="X665" i="67"/>
  <c r="W665" i="67"/>
  <c r="V665" i="67"/>
  <c r="U665" i="67"/>
  <c r="T665" i="67"/>
  <c r="A665" i="67"/>
  <c r="AB664" i="67"/>
  <c r="AA664" i="67"/>
  <c r="Z664" i="67"/>
  <c r="X664" i="67"/>
  <c r="W664" i="67"/>
  <c r="V664" i="67"/>
  <c r="U664" i="67"/>
  <c r="T664" i="67"/>
  <c r="A664" i="67"/>
  <c r="AB663" i="67"/>
  <c r="AA663" i="67"/>
  <c r="Z663" i="67"/>
  <c r="X663" i="67"/>
  <c r="W663" i="67"/>
  <c r="V663" i="67"/>
  <c r="U663" i="67"/>
  <c r="T663" i="67"/>
  <c r="A663" i="67"/>
  <c r="AB662" i="67"/>
  <c r="AA662" i="67"/>
  <c r="Z662" i="67"/>
  <c r="X662" i="67"/>
  <c r="W662" i="67"/>
  <c r="V662" i="67"/>
  <c r="U662" i="67"/>
  <c r="T662" i="67"/>
  <c r="A662" i="67"/>
  <c r="AB661" i="67"/>
  <c r="AA661" i="67"/>
  <c r="Z661" i="67"/>
  <c r="X661" i="67"/>
  <c r="W661" i="67"/>
  <c r="V661" i="67"/>
  <c r="U661" i="67"/>
  <c r="T661" i="67"/>
  <c r="A661" i="67"/>
  <c r="AB660" i="67"/>
  <c r="AA660" i="67"/>
  <c r="Z660" i="67"/>
  <c r="X660" i="67"/>
  <c r="W660" i="67"/>
  <c r="V660" i="67"/>
  <c r="U660" i="67"/>
  <c r="T660" i="67"/>
  <c r="A660" i="67"/>
  <c r="AB659" i="67"/>
  <c r="AA659" i="67"/>
  <c r="Z659" i="67"/>
  <c r="X659" i="67"/>
  <c r="W659" i="67"/>
  <c r="V659" i="67"/>
  <c r="U659" i="67"/>
  <c r="T659" i="67"/>
  <c r="A659" i="67"/>
  <c r="AB658" i="67"/>
  <c r="AA658" i="67"/>
  <c r="Z658" i="67"/>
  <c r="X658" i="67"/>
  <c r="W658" i="67"/>
  <c r="V658" i="67"/>
  <c r="U658" i="67"/>
  <c r="T658" i="67"/>
  <c r="A658" i="67"/>
  <c r="AB657" i="67"/>
  <c r="AA657" i="67"/>
  <c r="Z657" i="67"/>
  <c r="X657" i="67"/>
  <c r="W657" i="67"/>
  <c r="V657" i="67"/>
  <c r="U657" i="67"/>
  <c r="T657" i="67"/>
  <c r="A657" i="67"/>
  <c r="AB656" i="67"/>
  <c r="AA656" i="67"/>
  <c r="Z656" i="67"/>
  <c r="X656" i="67"/>
  <c r="W656" i="67"/>
  <c r="V656" i="67"/>
  <c r="U656" i="67"/>
  <c r="T656" i="67"/>
  <c r="A656" i="67"/>
  <c r="AB655" i="67"/>
  <c r="AA655" i="67"/>
  <c r="Z655" i="67"/>
  <c r="X655" i="67"/>
  <c r="W655" i="67"/>
  <c r="V655" i="67"/>
  <c r="U655" i="67"/>
  <c r="T655" i="67"/>
  <c r="A655" i="67"/>
  <c r="AB654" i="67"/>
  <c r="AA654" i="67"/>
  <c r="Z654" i="67"/>
  <c r="X654" i="67"/>
  <c r="W654" i="67"/>
  <c r="V654" i="67"/>
  <c r="U654" i="67"/>
  <c r="T654" i="67"/>
  <c r="A654" i="67"/>
  <c r="AB653" i="67"/>
  <c r="AA653" i="67"/>
  <c r="Z653" i="67"/>
  <c r="X653" i="67"/>
  <c r="W653" i="67"/>
  <c r="V653" i="67"/>
  <c r="U653" i="67"/>
  <c r="T653" i="67"/>
  <c r="A653" i="67"/>
  <c r="AB652" i="67"/>
  <c r="AA652" i="67"/>
  <c r="Z652" i="67"/>
  <c r="X652" i="67"/>
  <c r="W652" i="67"/>
  <c r="V652" i="67"/>
  <c r="U652" i="67"/>
  <c r="T652" i="67"/>
  <c r="A652" i="67"/>
  <c r="AB651" i="67"/>
  <c r="AA651" i="67"/>
  <c r="Z651" i="67"/>
  <c r="X651" i="67"/>
  <c r="W651" i="67"/>
  <c r="V651" i="67"/>
  <c r="U651" i="67"/>
  <c r="T651" i="67"/>
  <c r="A651" i="67"/>
  <c r="AB650" i="67"/>
  <c r="AA650" i="67"/>
  <c r="Z650" i="67"/>
  <c r="X650" i="67"/>
  <c r="W650" i="67"/>
  <c r="V650" i="67"/>
  <c r="U650" i="67"/>
  <c r="T650" i="67"/>
  <c r="A650" i="67"/>
  <c r="AB649" i="67"/>
  <c r="AA649" i="67"/>
  <c r="Z649" i="67"/>
  <c r="X649" i="67"/>
  <c r="W649" i="67"/>
  <c r="V649" i="67"/>
  <c r="U649" i="67"/>
  <c r="T649" i="67"/>
  <c r="A649" i="67"/>
  <c r="AB648" i="67"/>
  <c r="AA648" i="67"/>
  <c r="Z648" i="67"/>
  <c r="X648" i="67"/>
  <c r="W648" i="67"/>
  <c r="V648" i="67"/>
  <c r="U648" i="67"/>
  <c r="T648" i="67"/>
  <c r="A648" i="67"/>
  <c r="AB647" i="67"/>
  <c r="AA647" i="67"/>
  <c r="Z647" i="67"/>
  <c r="X647" i="67"/>
  <c r="W647" i="67"/>
  <c r="V647" i="67"/>
  <c r="U647" i="67"/>
  <c r="T647" i="67"/>
  <c r="A647" i="67"/>
  <c r="AB646" i="67"/>
  <c r="AA646" i="67"/>
  <c r="Z646" i="67"/>
  <c r="X646" i="67"/>
  <c r="W646" i="67"/>
  <c r="V646" i="67"/>
  <c r="U646" i="67"/>
  <c r="T646" i="67"/>
  <c r="A646" i="67"/>
  <c r="AB645" i="67"/>
  <c r="AA645" i="67"/>
  <c r="Z645" i="67"/>
  <c r="X645" i="67"/>
  <c r="W645" i="67"/>
  <c r="V645" i="67"/>
  <c r="U645" i="67"/>
  <c r="T645" i="67"/>
  <c r="A645" i="67"/>
  <c r="AB644" i="67"/>
  <c r="AA644" i="67"/>
  <c r="Z644" i="67"/>
  <c r="X644" i="67"/>
  <c r="W644" i="67"/>
  <c r="V644" i="67"/>
  <c r="U644" i="67"/>
  <c r="T644" i="67"/>
  <c r="A644" i="67"/>
  <c r="AB643" i="67"/>
  <c r="AA643" i="67"/>
  <c r="Z643" i="67"/>
  <c r="X643" i="67"/>
  <c r="W643" i="67"/>
  <c r="V643" i="67"/>
  <c r="U643" i="67"/>
  <c r="T643" i="67"/>
  <c r="A643" i="67"/>
  <c r="AB642" i="67"/>
  <c r="AA642" i="67"/>
  <c r="Z642" i="67"/>
  <c r="X642" i="67"/>
  <c r="W642" i="67"/>
  <c r="V642" i="67"/>
  <c r="U642" i="67"/>
  <c r="T642" i="67"/>
  <c r="A642" i="67"/>
  <c r="AB641" i="67"/>
  <c r="AA641" i="67"/>
  <c r="Z641" i="67"/>
  <c r="X641" i="67"/>
  <c r="W641" i="67"/>
  <c r="V641" i="67"/>
  <c r="U641" i="67"/>
  <c r="T641" i="67"/>
  <c r="A641" i="67"/>
  <c r="AB640" i="67"/>
  <c r="AA640" i="67"/>
  <c r="Z640" i="67"/>
  <c r="X640" i="67"/>
  <c r="W640" i="67"/>
  <c r="V640" i="67"/>
  <c r="U640" i="67"/>
  <c r="T640" i="67"/>
  <c r="A640" i="67"/>
  <c r="AB639" i="67"/>
  <c r="AA639" i="67"/>
  <c r="Z639" i="67"/>
  <c r="X639" i="67"/>
  <c r="W639" i="67"/>
  <c r="V639" i="67"/>
  <c r="U639" i="67"/>
  <c r="T639" i="67"/>
  <c r="A639" i="67"/>
  <c r="AB638" i="67"/>
  <c r="AA638" i="67"/>
  <c r="Z638" i="67"/>
  <c r="X638" i="67"/>
  <c r="W638" i="67"/>
  <c r="V638" i="67"/>
  <c r="U638" i="67"/>
  <c r="T638" i="67"/>
  <c r="A638" i="67"/>
  <c r="AB637" i="67"/>
  <c r="AA637" i="67"/>
  <c r="Z637" i="67"/>
  <c r="X637" i="67"/>
  <c r="W637" i="67"/>
  <c r="V637" i="67"/>
  <c r="U637" i="67"/>
  <c r="T637" i="67"/>
  <c r="A637" i="67"/>
  <c r="AB636" i="67"/>
  <c r="AA636" i="67"/>
  <c r="Z636" i="67"/>
  <c r="X636" i="67"/>
  <c r="W636" i="67"/>
  <c r="V636" i="67"/>
  <c r="U636" i="67"/>
  <c r="T636" i="67"/>
  <c r="A636" i="67"/>
  <c r="AB635" i="67"/>
  <c r="AA635" i="67"/>
  <c r="Z635" i="67"/>
  <c r="X635" i="67"/>
  <c r="W635" i="67"/>
  <c r="V635" i="67"/>
  <c r="U635" i="67"/>
  <c r="T635" i="67"/>
  <c r="A635" i="67"/>
  <c r="AB634" i="67"/>
  <c r="AA634" i="67"/>
  <c r="Z634" i="67"/>
  <c r="X634" i="67"/>
  <c r="W634" i="67"/>
  <c r="V634" i="67"/>
  <c r="U634" i="67"/>
  <c r="T634" i="67"/>
  <c r="A634" i="67"/>
  <c r="AB633" i="67"/>
  <c r="AA633" i="67"/>
  <c r="Z633" i="67"/>
  <c r="X633" i="67"/>
  <c r="W633" i="67"/>
  <c r="V633" i="67"/>
  <c r="U633" i="67"/>
  <c r="T633" i="67"/>
  <c r="A633" i="67"/>
  <c r="AB632" i="67"/>
  <c r="AA632" i="67"/>
  <c r="Z632" i="67"/>
  <c r="X632" i="67"/>
  <c r="W632" i="67"/>
  <c r="V632" i="67"/>
  <c r="U632" i="67"/>
  <c r="T632" i="67"/>
  <c r="A632" i="67"/>
  <c r="AB631" i="67"/>
  <c r="AA631" i="67"/>
  <c r="Z631" i="67"/>
  <c r="X631" i="67"/>
  <c r="W631" i="67"/>
  <c r="V631" i="67"/>
  <c r="U631" i="67"/>
  <c r="T631" i="67"/>
  <c r="A631" i="67"/>
  <c r="AB630" i="67"/>
  <c r="AA630" i="67"/>
  <c r="Z630" i="67"/>
  <c r="X630" i="67"/>
  <c r="W630" i="67"/>
  <c r="V630" i="67"/>
  <c r="U630" i="67"/>
  <c r="T630" i="67"/>
  <c r="A630" i="67"/>
  <c r="AB629" i="67"/>
  <c r="AA629" i="67"/>
  <c r="Z629" i="67"/>
  <c r="X629" i="67"/>
  <c r="W629" i="67"/>
  <c r="V629" i="67"/>
  <c r="U629" i="67"/>
  <c r="T629" i="67"/>
  <c r="A629" i="67"/>
  <c r="AB628" i="67"/>
  <c r="AA628" i="67"/>
  <c r="Z628" i="67"/>
  <c r="X628" i="67"/>
  <c r="W628" i="67"/>
  <c r="V628" i="67"/>
  <c r="U628" i="67"/>
  <c r="T628" i="67"/>
  <c r="A628" i="67"/>
  <c r="AB627" i="67"/>
  <c r="AA627" i="67"/>
  <c r="Z627" i="67"/>
  <c r="X627" i="67"/>
  <c r="W627" i="67"/>
  <c r="V627" i="67"/>
  <c r="U627" i="67"/>
  <c r="T627" i="67"/>
  <c r="A627" i="67"/>
  <c r="AB626" i="67"/>
  <c r="AA626" i="67"/>
  <c r="Z626" i="67"/>
  <c r="X626" i="67"/>
  <c r="W626" i="67"/>
  <c r="V626" i="67"/>
  <c r="U626" i="67"/>
  <c r="T626" i="67"/>
  <c r="A626" i="67"/>
  <c r="AB625" i="67"/>
  <c r="AA625" i="67"/>
  <c r="Z625" i="67"/>
  <c r="X625" i="67"/>
  <c r="W625" i="67"/>
  <c r="V625" i="67"/>
  <c r="U625" i="67"/>
  <c r="T625" i="67"/>
  <c r="A625" i="67"/>
  <c r="AB624" i="67"/>
  <c r="AA624" i="67"/>
  <c r="Z624" i="67"/>
  <c r="X624" i="67"/>
  <c r="W624" i="67"/>
  <c r="V624" i="67"/>
  <c r="U624" i="67"/>
  <c r="T624" i="67"/>
  <c r="A624" i="67"/>
  <c r="AB623" i="67"/>
  <c r="AA623" i="67"/>
  <c r="Z623" i="67"/>
  <c r="X623" i="67"/>
  <c r="W623" i="67"/>
  <c r="V623" i="67"/>
  <c r="U623" i="67"/>
  <c r="T623" i="67"/>
  <c r="A623" i="67"/>
  <c r="AB622" i="67"/>
  <c r="AA622" i="67"/>
  <c r="Z622" i="67"/>
  <c r="X622" i="67"/>
  <c r="W622" i="67"/>
  <c r="V622" i="67"/>
  <c r="U622" i="67"/>
  <c r="T622" i="67"/>
  <c r="A622" i="67"/>
  <c r="AB621" i="67"/>
  <c r="AA621" i="67"/>
  <c r="Z621" i="67"/>
  <c r="X621" i="67"/>
  <c r="W621" i="67"/>
  <c r="V621" i="67"/>
  <c r="U621" i="67"/>
  <c r="T621" i="67"/>
  <c r="A621" i="67"/>
  <c r="AB620" i="67"/>
  <c r="AA620" i="67"/>
  <c r="Z620" i="67"/>
  <c r="X620" i="67"/>
  <c r="W620" i="67"/>
  <c r="V620" i="67"/>
  <c r="U620" i="67"/>
  <c r="T620" i="67"/>
  <c r="A620" i="67"/>
  <c r="AB619" i="67"/>
  <c r="AA619" i="67"/>
  <c r="Z619" i="67"/>
  <c r="X619" i="67"/>
  <c r="W619" i="67"/>
  <c r="V619" i="67"/>
  <c r="U619" i="67"/>
  <c r="T619" i="67"/>
  <c r="A619" i="67"/>
  <c r="AB618" i="67"/>
  <c r="AA618" i="67"/>
  <c r="Z618" i="67"/>
  <c r="X618" i="67"/>
  <c r="W618" i="67"/>
  <c r="V618" i="67"/>
  <c r="U618" i="67"/>
  <c r="T618" i="67"/>
  <c r="A618" i="67"/>
  <c r="AB617" i="67"/>
  <c r="AA617" i="67"/>
  <c r="Z617" i="67"/>
  <c r="X617" i="67"/>
  <c r="W617" i="67"/>
  <c r="V617" i="67"/>
  <c r="U617" i="67"/>
  <c r="T617" i="67"/>
  <c r="A617" i="67"/>
  <c r="AB616" i="67"/>
  <c r="AA616" i="67"/>
  <c r="Z616" i="67"/>
  <c r="X616" i="67"/>
  <c r="W616" i="67"/>
  <c r="V616" i="67"/>
  <c r="U616" i="67"/>
  <c r="T616" i="67"/>
  <c r="A616" i="67"/>
  <c r="AB615" i="67"/>
  <c r="AA615" i="67"/>
  <c r="Z615" i="67"/>
  <c r="X615" i="67"/>
  <c r="W615" i="67"/>
  <c r="V615" i="67"/>
  <c r="U615" i="67"/>
  <c r="T615" i="67"/>
  <c r="A615" i="67"/>
  <c r="AB614" i="67"/>
  <c r="AA614" i="67"/>
  <c r="Z614" i="67"/>
  <c r="X614" i="67"/>
  <c r="W614" i="67"/>
  <c r="V614" i="67"/>
  <c r="U614" i="67"/>
  <c r="T614" i="67"/>
  <c r="A614" i="67"/>
  <c r="AB613" i="67"/>
  <c r="AA613" i="67"/>
  <c r="Z613" i="67"/>
  <c r="X613" i="67"/>
  <c r="W613" i="67"/>
  <c r="V613" i="67"/>
  <c r="U613" i="67"/>
  <c r="T613" i="67"/>
  <c r="A613" i="67"/>
  <c r="AB612" i="67"/>
  <c r="AA612" i="67"/>
  <c r="Z612" i="67"/>
  <c r="X612" i="67"/>
  <c r="W612" i="67"/>
  <c r="V612" i="67"/>
  <c r="U612" i="67"/>
  <c r="T612" i="67"/>
  <c r="A612" i="67"/>
  <c r="AB611" i="67"/>
  <c r="AA611" i="67"/>
  <c r="Z611" i="67"/>
  <c r="X611" i="67"/>
  <c r="W611" i="67"/>
  <c r="V611" i="67"/>
  <c r="U611" i="67"/>
  <c r="T611" i="67"/>
  <c r="A611" i="67"/>
  <c r="AB610" i="67"/>
  <c r="AA610" i="67"/>
  <c r="Z610" i="67"/>
  <c r="X610" i="67"/>
  <c r="W610" i="67"/>
  <c r="V610" i="67"/>
  <c r="U610" i="67"/>
  <c r="T610" i="67"/>
  <c r="A610" i="67"/>
  <c r="AB609" i="67"/>
  <c r="AA609" i="67"/>
  <c r="Z609" i="67"/>
  <c r="X609" i="67"/>
  <c r="W609" i="67"/>
  <c r="V609" i="67"/>
  <c r="U609" i="67"/>
  <c r="T609" i="67"/>
  <c r="A609" i="67"/>
  <c r="AB608" i="67"/>
  <c r="AA608" i="67"/>
  <c r="Z608" i="67"/>
  <c r="X608" i="67"/>
  <c r="W608" i="67"/>
  <c r="V608" i="67"/>
  <c r="U608" i="67"/>
  <c r="T608" i="67"/>
  <c r="A608" i="67"/>
  <c r="AB607" i="67"/>
  <c r="AA607" i="67"/>
  <c r="Z607" i="67"/>
  <c r="X607" i="67"/>
  <c r="W607" i="67"/>
  <c r="V607" i="67"/>
  <c r="U607" i="67"/>
  <c r="T607" i="67"/>
  <c r="A607" i="67"/>
  <c r="AB606" i="67"/>
  <c r="AA606" i="67"/>
  <c r="Z606" i="67"/>
  <c r="X606" i="67"/>
  <c r="W606" i="67"/>
  <c r="V606" i="67"/>
  <c r="U606" i="67"/>
  <c r="T606" i="67"/>
  <c r="A606" i="67"/>
  <c r="AB605" i="67"/>
  <c r="AA605" i="67"/>
  <c r="Z605" i="67"/>
  <c r="X605" i="67"/>
  <c r="W605" i="67"/>
  <c r="V605" i="67"/>
  <c r="U605" i="67"/>
  <c r="T605" i="67"/>
  <c r="A605" i="67"/>
  <c r="AB604" i="67"/>
  <c r="AA604" i="67"/>
  <c r="Z604" i="67"/>
  <c r="X604" i="67"/>
  <c r="W604" i="67"/>
  <c r="V604" i="67"/>
  <c r="U604" i="67"/>
  <c r="T604" i="67"/>
  <c r="A604" i="67"/>
  <c r="AB603" i="67"/>
  <c r="AA603" i="67"/>
  <c r="Z603" i="67"/>
  <c r="X603" i="67"/>
  <c r="W603" i="67"/>
  <c r="V603" i="67"/>
  <c r="U603" i="67"/>
  <c r="T603" i="67"/>
  <c r="A603" i="67"/>
  <c r="AB602" i="67"/>
  <c r="AA602" i="67"/>
  <c r="Z602" i="67"/>
  <c r="X602" i="67"/>
  <c r="W602" i="67"/>
  <c r="V602" i="67"/>
  <c r="U602" i="67"/>
  <c r="T602" i="67"/>
  <c r="A602" i="67"/>
  <c r="AB601" i="67"/>
  <c r="AA601" i="67"/>
  <c r="Z601" i="67"/>
  <c r="X601" i="67"/>
  <c r="W601" i="67"/>
  <c r="V601" i="67"/>
  <c r="U601" i="67"/>
  <c r="T601" i="67"/>
  <c r="A601" i="67"/>
  <c r="AB600" i="67"/>
  <c r="AA600" i="67"/>
  <c r="Z600" i="67"/>
  <c r="X600" i="67"/>
  <c r="W600" i="67"/>
  <c r="V600" i="67"/>
  <c r="U600" i="67"/>
  <c r="T600" i="67"/>
  <c r="A600" i="67"/>
  <c r="AB599" i="67"/>
  <c r="AA599" i="67"/>
  <c r="Z599" i="67"/>
  <c r="X599" i="67"/>
  <c r="W599" i="67"/>
  <c r="V599" i="67"/>
  <c r="U599" i="67"/>
  <c r="T599" i="67"/>
  <c r="A599" i="67"/>
  <c r="AB598" i="67"/>
  <c r="AA598" i="67"/>
  <c r="Z598" i="67"/>
  <c r="X598" i="67"/>
  <c r="W598" i="67"/>
  <c r="V598" i="67"/>
  <c r="U598" i="67"/>
  <c r="T598" i="67"/>
  <c r="A598" i="67"/>
  <c r="AB597" i="67"/>
  <c r="AA597" i="67"/>
  <c r="Z597" i="67"/>
  <c r="X597" i="67"/>
  <c r="W597" i="67"/>
  <c r="V597" i="67"/>
  <c r="U597" i="67"/>
  <c r="T597" i="67"/>
  <c r="A597" i="67"/>
  <c r="AB596" i="67"/>
  <c r="AA596" i="67"/>
  <c r="Z596" i="67"/>
  <c r="X596" i="67"/>
  <c r="W596" i="67"/>
  <c r="V596" i="67"/>
  <c r="U596" i="67"/>
  <c r="T596" i="67"/>
  <c r="A596" i="67"/>
  <c r="AB595" i="67"/>
  <c r="AA595" i="67"/>
  <c r="Z595" i="67"/>
  <c r="X595" i="67"/>
  <c r="W595" i="67"/>
  <c r="V595" i="67"/>
  <c r="U595" i="67"/>
  <c r="T595" i="67"/>
  <c r="A595" i="67"/>
  <c r="AB594" i="67"/>
  <c r="AA594" i="67"/>
  <c r="Z594" i="67"/>
  <c r="X594" i="67"/>
  <c r="W594" i="67"/>
  <c r="V594" i="67"/>
  <c r="U594" i="67"/>
  <c r="T594" i="67"/>
  <c r="A594" i="67"/>
  <c r="AB593" i="67"/>
  <c r="AA593" i="67"/>
  <c r="Z593" i="67"/>
  <c r="X593" i="67"/>
  <c r="W593" i="67"/>
  <c r="V593" i="67"/>
  <c r="U593" i="67"/>
  <c r="T593" i="67"/>
  <c r="A593" i="67"/>
  <c r="AB592" i="67"/>
  <c r="AA592" i="67"/>
  <c r="Z592" i="67"/>
  <c r="X592" i="67"/>
  <c r="W592" i="67"/>
  <c r="V592" i="67"/>
  <c r="U592" i="67"/>
  <c r="T592" i="67"/>
  <c r="A592" i="67"/>
  <c r="AB591" i="67"/>
  <c r="AA591" i="67"/>
  <c r="Z591" i="67"/>
  <c r="X591" i="67"/>
  <c r="W591" i="67"/>
  <c r="V591" i="67"/>
  <c r="U591" i="67"/>
  <c r="T591" i="67"/>
  <c r="A591" i="67"/>
  <c r="AB590" i="67"/>
  <c r="AA590" i="67"/>
  <c r="Z590" i="67"/>
  <c r="X590" i="67"/>
  <c r="W590" i="67"/>
  <c r="V590" i="67"/>
  <c r="U590" i="67"/>
  <c r="T590" i="67"/>
  <c r="A590" i="67"/>
  <c r="AB589" i="67"/>
  <c r="AA589" i="67"/>
  <c r="Z589" i="67"/>
  <c r="X589" i="67"/>
  <c r="W589" i="67"/>
  <c r="V589" i="67"/>
  <c r="U589" i="67"/>
  <c r="T589" i="67"/>
  <c r="A589" i="67"/>
  <c r="AB588" i="67"/>
  <c r="AA588" i="67"/>
  <c r="Z588" i="67"/>
  <c r="X588" i="67"/>
  <c r="W588" i="67"/>
  <c r="V588" i="67"/>
  <c r="U588" i="67"/>
  <c r="T588" i="67"/>
  <c r="A588" i="67"/>
  <c r="AB587" i="67"/>
  <c r="AA587" i="67"/>
  <c r="Z587" i="67"/>
  <c r="X587" i="67"/>
  <c r="W587" i="67"/>
  <c r="V587" i="67"/>
  <c r="U587" i="67"/>
  <c r="T587" i="67"/>
  <c r="A587" i="67"/>
  <c r="AB586" i="67"/>
  <c r="AA586" i="67"/>
  <c r="Z586" i="67"/>
  <c r="X586" i="67"/>
  <c r="W586" i="67"/>
  <c r="V586" i="67"/>
  <c r="U586" i="67"/>
  <c r="T586" i="67"/>
  <c r="A586" i="67"/>
  <c r="AB585" i="67"/>
  <c r="AA585" i="67"/>
  <c r="Z585" i="67"/>
  <c r="X585" i="67"/>
  <c r="W585" i="67"/>
  <c r="V585" i="67"/>
  <c r="U585" i="67"/>
  <c r="T585" i="67"/>
  <c r="A585" i="67"/>
  <c r="AB584" i="67"/>
  <c r="AA584" i="67"/>
  <c r="Z584" i="67"/>
  <c r="X584" i="67"/>
  <c r="W584" i="67"/>
  <c r="V584" i="67"/>
  <c r="U584" i="67"/>
  <c r="T584" i="67"/>
  <c r="A584" i="67"/>
  <c r="AB583" i="67"/>
  <c r="AA583" i="67"/>
  <c r="Z583" i="67"/>
  <c r="X583" i="67"/>
  <c r="W583" i="67"/>
  <c r="V583" i="67"/>
  <c r="U583" i="67"/>
  <c r="T583" i="67"/>
  <c r="A583" i="67"/>
  <c r="AB582" i="67"/>
  <c r="AA582" i="67"/>
  <c r="Z582" i="67"/>
  <c r="X582" i="67"/>
  <c r="W582" i="67"/>
  <c r="V582" i="67"/>
  <c r="U582" i="67"/>
  <c r="T582" i="67"/>
  <c r="A582" i="67"/>
  <c r="AB581" i="67"/>
  <c r="AA581" i="67"/>
  <c r="Z581" i="67"/>
  <c r="X581" i="67"/>
  <c r="W581" i="67"/>
  <c r="V581" i="67"/>
  <c r="U581" i="67"/>
  <c r="T581" i="67"/>
  <c r="A581" i="67"/>
  <c r="AB580" i="67"/>
  <c r="AA580" i="67"/>
  <c r="Z580" i="67"/>
  <c r="X580" i="67"/>
  <c r="W580" i="67"/>
  <c r="V580" i="67"/>
  <c r="U580" i="67"/>
  <c r="T580" i="67"/>
  <c r="A580" i="67"/>
  <c r="AB579" i="67"/>
  <c r="AA579" i="67"/>
  <c r="Z579" i="67"/>
  <c r="X579" i="67"/>
  <c r="W579" i="67"/>
  <c r="V579" i="67"/>
  <c r="U579" i="67"/>
  <c r="T579" i="67"/>
  <c r="A579" i="67"/>
  <c r="AB578" i="67"/>
  <c r="AA578" i="67"/>
  <c r="Z578" i="67"/>
  <c r="X578" i="67"/>
  <c r="W578" i="67"/>
  <c r="V578" i="67"/>
  <c r="U578" i="67"/>
  <c r="T578" i="67"/>
  <c r="A578" i="67"/>
  <c r="AB577" i="67"/>
  <c r="AA577" i="67"/>
  <c r="Z577" i="67"/>
  <c r="X577" i="67"/>
  <c r="W577" i="67"/>
  <c r="V577" i="67"/>
  <c r="U577" i="67"/>
  <c r="T577" i="67"/>
  <c r="A577" i="67"/>
  <c r="AB576" i="67"/>
  <c r="AA576" i="67"/>
  <c r="Z576" i="67"/>
  <c r="X576" i="67"/>
  <c r="W576" i="67"/>
  <c r="V576" i="67"/>
  <c r="U576" i="67"/>
  <c r="T576" i="67"/>
  <c r="A576" i="67"/>
  <c r="AB575" i="67"/>
  <c r="AA575" i="67"/>
  <c r="Z575" i="67"/>
  <c r="X575" i="67"/>
  <c r="W575" i="67"/>
  <c r="V575" i="67"/>
  <c r="U575" i="67"/>
  <c r="T575" i="67"/>
  <c r="A575" i="67"/>
  <c r="AB574" i="67"/>
  <c r="AA574" i="67"/>
  <c r="Z574" i="67"/>
  <c r="X574" i="67"/>
  <c r="W574" i="67"/>
  <c r="V574" i="67"/>
  <c r="U574" i="67"/>
  <c r="T574" i="67"/>
  <c r="A574" i="67"/>
  <c r="AB573" i="67"/>
  <c r="AA573" i="67"/>
  <c r="Z573" i="67"/>
  <c r="X573" i="67"/>
  <c r="W573" i="67"/>
  <c r="V573" i="67"/>
  <c r="U573" i="67"/>
  <c r="T573" i="67"/>
  <c r="A573" i="67"/>
  <c r="AB572" i="67"/>
  <c r="AA572" i="67"/>
  <c r="Z572" i="67"/>
  <c r="X572" i="67"/>
  <c r="W572" i="67"/>
  <c r="V572" i="67"/>
  <c r="U572" i="67"/>
  <c r="T572" i="67"/>
  <c r="A572" i="67"/>
  <c r="AB571" i="67"/>
  <c r="AA571" i="67"/>
  <c r="Z571" i="67"/>
  <c r="X571" i="67"/>
  <c r="W571" i="67"/>
  <c r="V571" i="67"/>
  <c r="U571" i="67"/>
  <c r="T571" i="67"/>
  <c r="A571" i="67"/>
  <c r="AB570" i="67"/>
  <c r="AA570" i="67"/>
  <c r="Z570" i="67"/>
  <c r="X570" i="67"/>
  <c r="W570" i="67"/>
  <c r="V570" i="67"/>
  <c r="U570" i="67"/>
  <c r="T570" i="67"/>
  <c r="A570" i="67"/>
  <c r="AB569" i="67"/>
  <c r="AA569" i="67"/>
  <c r="Z569" i="67"/>
  <c r="X569" i="67"/>
  <c r="W569" i="67"/>
  <c r="V569" i="67"/>
  <c r="U569" i="67"/>
  <c r="T569" i="67"/>
  <c r="A569" i="67"/>
  <c r="AB568" i="67"/>
  <c r="AA568" i="67"/>
  <c r="Z568" i="67"/>
  <c r="X568" i="67"/>
  <c r="W568" i="67"/>
  <c r="V568" i="67"/>
  <c r="U568" i="67"/>
  <c r="T568" i="67"/>
  <c r="A568" i="67"/>
  <c r="AB567" i="67"/>
  <c r="AA567" i="67"/>
  <c r="Z567" i="67"/>
  <c r="X567" i="67"/>
  <c r="W567" i="67"/>
  <c r="V567" i="67"/>
  <c r="U567" i="67"/>
  <c r="T567" i="67"/>
  <c r="A567" i="67"/>
  <c r="AB566" i="67"/>
  <c r="AA566" i="67"/>
  <c r="Z566" i="67"/>
  <c r="X566" i="67"/>
  <c r="W566" i="67"/>
  <c r="V566" i="67"/>
  <c r="U566" i="67"/>
  <c r="T566" i="67"/>
  <c r="A566" i="67"/>
  <c r="AB565" i="67"/>
  <c r="AA565" i="67"/>
  <c r="Z565" i="67"/>
  <c r="X565" i="67"/>
  <c r="W565" i="67"/>
  <c r="V565" i="67"/>
  <c r="U565" i="67"/>
  <c r="T565" i="67"/>
  <c r="A565" i="67"/>
  <c r="AB564" i="67"/>
  <c r="AA564" i="67"/>
  <c r="Z564" i="67"/>
  <c r="X564" i="67"/>
  <c r="W564" i="67"/>
  <c r="V564" i="67"/>
  <c r="U564" i="67"/>
  <c r="T564" i="67"/>
  <c r="A564" i="67"/>
  <c r="AB563" i="67"/>
  <c r="AA563" i="67"/>
  <c r="Z563" i="67"/>
  <c r="X563" i="67"/>
  <c r="W563" i="67"/>
  <c r="V563" i="67"/>
  <c r="U563" i="67"/>
  <c r="T563" i="67"/>
  <c r="A563" i="67"/>
  <c r="AB562" i="67"/>
  <c r="AA562" i="67"/>
  <c r="Z562" i="67"/>
  <c r="X562" i="67"/>
  <c r="W562" i="67"/>
  <c r="V562" i="67"/>
  <c r="U562" i="67"/>
  <c r="T562" i="67"/>
  <c r="A562" i="67"/>
  <c r="AB561" i="67"/>
  <c r="AA561" i="67"/>
  <c r="Z561" i="67"/>
  <c r="X561" i="67"/>
  <c r="W561" i="67"/>
  <c r="V561" i="67"/>
  <c r="U561" i="67"/>
  <c r="T561" i="67"/>
  <c r="A561" i="67"/>
  <c r="AB560" i="67"/>
  <c r="AA560" i="67"/>
  <c r="Z560" i="67"/>
  <c r="X560" i="67"/>
  <c r="W560" i="67"/>
  <c r="V560" i="67"/>
  <c r="U560" i="67"/>
  <c r="T560" i="67"/>
  <c r="A560" i="67"/>
  <c r="AB559" i="67"/>
  <c r="AA559" i="67"/>
  <c r="Z559" i="67"/>
  <c r="X559" i="67"/>
  <c r="W559" i="67"/>
  <c r="V559" i="67"/>
  <c r="U559" i="67"/>
  <c r="T559" i="67"/>
  <c r="A559" i="67"/>
  <c r="AB558" i="67"/>
  <c r="AA558" i="67"/>
  <c r="Z558" i="67"/>
  <c r="X558" i="67"/>
  <c r="W558" i="67"/>
  <c r="V558" i="67"/>
  <c r="U558" i="67"/>
  <c r="T558" i="67"/>
  <c r="A558" i="67"/>
  <c r="AB557" i="67"/>
  <c r="AA557" i="67"/>
  <c r="Z557" i="67"/>
  <c r="X557" i="67"/>
  <c r="W557" i="67"/>
  <c r="V557" i="67"/>
  <c r="U557" i="67"/>
  <c r="T557" i="67"/>
  <c r="A557" i="67"/>
  <c r="AB556" i="67"/>
  <c r="AA556" i="67"/>
  <c r="Z556" i="67"/>
  <c r="X556" i="67"/>
  <c r="W556" i="67"/>
  <c r="V556" i="67"/>
  <c r="U556" i="67"/>
  <c r="T556" i="67"/>
  <c r="A556" i="67"/>
  <c r="AB555" i="67"/>
  <c r="AA555" i="67"/>
  <c r="Z555" i="67"/>
  <c r="X555" i="67"/>
  <c r="W555" i="67"/>
  <c r="V555" i="67"/>
  <c r="U555" i="67"/>
  <c r="T555" i="67"/>
  <c r="A555" i="67"/>
  <c r="AB554" i="67"/>
  <c r="AA554" i="67"/>
  <c r="Z554" i="67"/>
  <c r="X554" i="67"/>
  <c r="W554" i="67"/>
  <c r="V554" i="67"/>
  <c r="U554" i="67"/>
  <c r="T554" i="67"/>
  <c r="A554" i="67"/>
  <c r="AB553" i="67"/>
  <c r="AA553" i="67"/>
  <c r="Z553" i="67"/>
  <c r="X553" i="67"/>
  <c r="W553" i="67"/>
  <c r="V553" i="67"/>
  <c r="U553" i="67"/>
  <c r="T553" i="67"/>
  <c r="A553" i="67"/>
  <c r="AB552" i="67"/>
  <c r="AA552" i="67"/>
  <c r="Z552" i="67"/>
  <c r="X552" i="67"/>
  <c r="W552" i="67"/>
  <c r="V552" i="67"/>
  <c r="U552" i="67"/>
  <c r="T552" i="67"/>
  <c r="A552" i="67"/>
  <c r="AB551" i="67"/>
  <c r="AA551" i="67"/>
  <c r="Z551" i="67"/>
  <c r="X551" i="67"/>
  <c r="W551" i="67"/>
  <c r="V551" i="67"/>
  <c r="U551" i="67"/>
  <c r="T551" i="67"/>
  <c r="A551" i="67"/>
  <c r="AB550" i="67"/>
  <c r="AA550" i="67"/>
  <c r="Z550" i="67"/>
  <c r="X550" i="67"/>
  <c r="W550" i="67"/>
  <c r="V550" i="67"/>
  <c r="U550" i="67"/>
  <c r="T550" i="67"/>
  <c r="A550" i="67"/>
  <c r="AB549" i="67"/>
  <c r="AA549" i="67"/>
  <c r="Z549" i="67"/>
  <c r="X549" i="67"/>
  <c r="W549" i="67"/>
  <c r="V549" i="67"/>
  <c r="U549" i="67"/>
  <c r="T549" i="67"/>
  <c r="A549" i="67"/>
  <c r="AB548" i="67"/>
  <c r="AA548" i="67"/>
  <c r="Z548" i="67"/>
  <c r="X548" i="67"/>
  <c r="W548" i="67"/>
  <c r="V548" i="67"/>
  <c r="U548" i="67"/>
  <c r="T548" i="67"/>
  <c r="A548" i="67"/>
  <c r="AB547" i="67"/>
  <c r="AA547" i="67"/>
  <c r="Z547" i="67"/>
  <c r="X547" i="67"/>
  <c r="W547" i="67"/>
  <c r="V547" i="67"/>
  <c r="U547" i="67"/>
  <c r="T547" i="67"/>
  <c r="A547" i="67"/>
  <c r="AB546" i="67"/>
  <c r="AA546" i="67"/>
  <c r="Z546" i="67"/>
  <c r="X546" i="67"/>
  <c r="W546" i="67"/>
  <c r="V546" i="67"/>
  <c r="U546" i="67"/>
  <c r="T546" i="67"/>
  <c r="A546" i="67"/>
  <c r="AB545" i="67"/>
  <c r="AA545" i="67"/>
  <c r="Z545" i="67"/>
  <c r="X545" i="67"/>
  <c r="W545" i="67"/>
  <c r="V545" i="67"/>
  <c r="U545" i="67"/>
  <c r="T545" i="67"/>
  <c r="A545" i="67"/>
  <c r="AB544" i="67"/>
  <c r="AA544" i="67"/>
  <c r="Z544" i="67"/>
  <c r="X544" i="67"/>
  <c r="W544" i="67"/>
  <c r="V544" i="67"/>
  <c r="U544" i="67"/>
  <c r="T544" i="67"/>
  <c r="A544" i="67"/>
  <c r="AB543" i="67"/>
  <c r="AA543" i="67"/>
  <c r="Z543" i="67"/>
  <c r="X543" i="67"/>
  <c r="W543" i="67"/>
  <c r="V543" i="67"/>
  <c r="U543" i="67"/>
  <c r="T543" i="67"/>
  <c r="A543" i="67"/>
  <c r="AB542" i="67"/>
  <c r="AA542" i="67"/>
  <c r="Z542" i="67"/>
  <c r="X542" i="67"/>
  <c r="W542" i="67"/>
  <c r="V542" i="67"/>
  <c r="U542" i="67"/>
  <c r="T542" i="67"/>
  <c r="A542" i="67"/>
  <c r="AB541" i="67"/>
  <c r="AA541" i="67"/>
  <c r="Z541" i="67"/>
  <c r="X541" i="67"/>
  <c r="W541" i="67"/>
  <c r="V541" i="67"/>
  <c r="U541" i="67"/>
  <c r="T541" i="67"/>
  <c r="A541" i="67"/>
  <c r="AB540" i="67"/>
  <c r="AA540" i="67"/>
  <c r="Z540" i="67"/>
  <c r="X540" i="67"/>
  <c r="W540" i="67"/>
  <c r="V540" i="67"/>
  <c r="U540" i="67"/>
  <c r="T540" i="67"/>
  <c r="A540" i="67"/>
  <c r="AB539" i="67"/>
  <c r="AA539" i="67"/>
  <c r="Z539" i="67"/>
  <c r="X539" i="67"/>
  <c r="W539" i="67"/>
  <c r="V539" i="67"/>
  <c r="U539" i="67"/>
  <c r="T539" i="67"/>
  <c r="A539" i="67"/>
  <c r="AB538" i="67"/>
  <c r="AA538" i="67"/>
  <c r="Z538" i="67"/>
  <c r="X538" i="67"/>
  <c r="W538" i="67"/>
  <c r="V538" i="67"/>
  <c r="U538" i="67"/>
  <c r="T538" i="67"/>
  <c r="A538" i="67"/>
  <c r="AB537" i="67"/>
  <c r="AA537" i="67"/>
  <c r="Z537" i="67"/>
  <c r="X537" i="67"/>
  <c r="W537" i="67"/>
  <c r="V537" i="67"/>
  <c r="U537" i="67"/>
  <c r="T537" i="67"/>
  <c r="A537" i="67"/>
  <c r="AB536" i="67"/>
  <c r="AA536" i="67"/>
  <c r="Z536" i="67"/>
  <c r="X536" i="67"/>
  <c r="W536" i="67"/>
  <c r="V536" i="67"/>
  <c r="U536" i="67"/>
  <c r="T536" i="67"/>
  <c r="A536" i="67"/>
  <c r="AB535" i="67"/>
  <c r="AA535" i="67"/>
  <c r="Z535" i="67"/>
  <c r="X535" i="67"/>
  <c r="W535" i="67"/>
  <c r="V535" i="67"/>
  <c r="U535" i="67"/>
  <c r="T535" i="67"/>
  <c r="A535" i="67"/>
  <c r="AB534" i="67"/>
  <c r="AA534" i="67"/>
  <c r="Z534" i="67"/>
  <c r="X534" i="67"/>
  <c r="W534" i="67"/>
  <c r="V534" i="67"/>
  <c r="U534" i="67"/>
  <c r="T534" i="67"/>
  <c r="A534" i="67"/>
  <c r="AB533" i="67"/>
  <c r="AA533" i="67"/>
  <c r="Z533" i="67"/>
  <c r="X533" i="67"/>
  <c r="W533" i="67"/>
  <c r="V533" i="67"/>
  <c r="U533" i="67"/>
  <c r="T533" i="67"/>
  <c r="A533" i="67"/>
  <c r="AB532" i="67"/>
  <c r="AA532" i="67"/>
  <c r="Z532" i="67"/>
  <c r="X532" i="67"/>
  <c r="W532" i="67"/>
  <c r="V532" i="67"/>
  <c r="U532" i="67"/>
  <c r="T532" i="67"/>
  <c r="A532" i="67"/>
  <c r="AB531" i="67"/>
  <c r="AA531" i="67"/>
  <c r="Z531" i="67"/>
  <c r="X531" i="67"/>
  <c r="W531" i="67"/>
  <c r="V531" i="67"/>
  <c r="U531" i="67"/>
  <c r="T531" i="67"/>
  <c r="A531" i="67"/>
  <c r="AB530" i="67"/>
  <c r="AA530" i="67"/>
  <c r="Z530" i="67"/>
  <c r="X530" i="67"/>
  <c r="W530" i="67"/>
  <c r="V530" i="67"/>
  <c r="U530" i="67"/>
  <c r="T530" i="67"/>
  <c r="A530" i="67"/>
  <c r="AB529" i="67"/>
  <c r="AA529" i="67"/>
  <c r="Z529" i="67"/>
  <c r="X529" i="67"/>
  <c r="W529" i="67"/>
  <c r="V529" i="67"/>
  <c r="U529" i="67"/>
  <c r="T529" i="67"/>
  <c r="A529" i="67"/>
  <c r="AB528" i="67"/>
  <c r="AA528" i="67"/>
  <c r="Z528" i="67"/>
  <c r="X528" i="67"/>
  <c r="W528" i="67"/>
  <c r="V528" i="67"/>
  <c r="U528" i="67"/>
  <c r="T528" i="67"/>
  <c r="A528" i="67"/>
  <c r="AB527" i="67"/>
  <c r="AA527" i="67"/>
  <c r="Z527" i="67"/>
  <c r="X527" i="67"/>
  <c r="W527" i="67"/>
  <c r="V527" i="67"/>
  <c r="U527" i="67"/>
  <c r="T527" i="67"/>
  <c r="A527" i="67"/>
  <c r="AB526" i="67"/>
  <c r="AA526" i="67"/>
  <c r="Z526" i="67"/>
  <c r="X526" i="67"/>
  <c r="W526" i="67"/>
  <c r="V526" i="67"/>
  <c r="U526" i="67"/>
  <c r="T526" i="67"/>
  <c r="A526" i="67"/>
  <c r="AB525" i="67"/>
  <c r="AA525" i="67"/>
  <c r="Z525" i="67"/>
  <c r="X525" i="67"/>
  <c r="W525" i="67"/>
  <c r="V525" i="67"/>
  <c r="U525" i="67"/>
  <c r="T525" i="67"/>
  <c r="A525" i="67"/>
  <c r="AB524" i="67"/>
  <c r="AA524" i="67"/>
  <c r="Z524" i="67"/>
  <c r="X524" i="67"/>
  <c r="W524" i="67"/>
  <c r="V524" i="67"/>
  <c r="U524" i="67"/>
  <c r="T524" i="67"/>
  <c r="A524" i="67"/>
  <c r="AB523" i="67"/>
  <c r="AA523" i="67"/>
  <c r="Z523" i="67"/>
  <c r="X523" i="67"/>
  <c r="W523" i="67"/>
  <c r="V523" i="67"/>
  <c r="U523" i="67"/>
  <c r="T523" i="67"/>
  <c r="A523" i="67"/>
  <c r="AB522" i="67"/>
  <c r="AA522" i="67"/>
  <c r="Z522" i="67"/>
  <c r="X522" i="67"/>
  <c r="W522" i="67"/>
  <c r="V522" i="67"/>
  <c r="U522" i="67"/>
  <c r="T522" i="67"/>
  <c r="A522" i="67"/>
  <c r="AB521" i="67"/>
  <c r="AA521" i="67"/>
  <c r="Z521" i="67"/>
  <c r="X521" i="67"/>
  <c r="W521" i="67"/>
  <c r="V521" i="67"/>
  <c r="U521" i="67"/>
  <c r="T521" i="67"/>
  <c r="A521" i="67"/>
  <c r="AB520" i="67"/>
  <c r="AA520" i="67"/>
  <c r="Z520" i="67"/>
  <c r="X520" i="67"/>
  <c r="W520" i="67"/>
  <c r="V520" i="67"/>
  <c r="U520" i="67"/>
  <c r="T520" i="67"/>
  <c r="A520" i="67"/>
  <c r="AB519" i="67"/>
  <c r="AA519" i="67"/>
  <c r="Z519" i="67"/>
  <c r="X519" i="67"/>
  <c r="W519" i="67"/>
  <c r="V519" i="67"/>
  <c r="U519" i="67"/>
  <c r="T519" i="67"/>
  <c r="A519" i="67"/>
  <c r="AB518" i="67"/>
  <c r="AA518" i="67"/>
  <c r="Z518" i="67"/>
  <c r="X518" i="67"/>
  <c r="W518" i="67"/>
  <c r="V518" i="67"/>
  <c r="U518" i="67"/>
  <c r="T518" i="67"/>
  <c r="A518" i="67"/>
  <c r="AB517" i="67"/>
  <c r="AA517" i="67"/>
  <c r="Z517" i="67"/>
  <c r="X517" i="67"/>
  <c r="W517" i="67"/>
  <c r="V517" i="67"/>
  <c r="U517" i="67"/>
  <c r="T517" i="67"/>
  <c r="A517" i="67"/>
  <c r="AB516" i="67"/>
  <c r="AA516" i="67"/>
  <c r="Z516" i="67"/>
  <c r="X516" i="67"/>
  <c r="W516" i="67"/>
  <c r="V516" i="67"/>
  <c r="U516" i="67"/>
  <c r="T516" i="67"/>
  <c r="A516" i="67"/>
  <c r="AB515" i="67"/>
  <c r="AA515" i="67"/>
  <c r="Z515" i="67"/>
  <c r="X515" i="67"/>
  <c r="W515" i="67"/>
  <c r="V515" i="67"/>
  <c r="U515" i="67"/>
  <c r="T515" i="67"/>
  <c r="A515" i="67"/>
  <c r="AB514" i="67"/>
  <c r="AA514" i="67"/>
  <c r="Z514" i="67"/>
  <c r="X514" i="67"/>
  <c r="W514" i="67"/>
  <c r="V514" i="67"/>
  <c r="U514" i="67"/>
  <c r="T514" i="67"/>
  <c r="A514" i="67"/>
  <c r="AB513" i="67"/>
  <c r="AA513" i="67"/>
  <c r="Z513" i="67"/>
  <c r="X513" i="67"/>
  <c r="W513" i="67"/>
  <c r="V513" i="67"/>
  <c r="U513" i="67"/>
  <c r="T513" i="67"/>
  <c r="A513" i="67"/>
  <c r="AB512" i="67"/>
  <c r="AA512" i="67"/>
  <c r="Z512" i="67"/>
  <c r="X512" i="67"/>
  <c r="W512" i="67"/>
  <c r="V512" i="67"/>
  <c r="U512" i="67"/>
  <c r="T512" i="67"/>
  <c r="A512" i="67"/>
  <c r="AB511" i="67"/>
  <c r="AA511" i="67"/>
  <c r="Z511" i="67"/>
  <c r="X511" i="67"/>
  <c r="W511" i="67"/>
  <c r="V511" i="67"/>
  <c r="U511" i="67"/>
  <c r="T511" i="67"/>
  <c r="A511" i="67"/>
  <c r="AB510" i="67"/>
  <c r="AA510" i="67"/>
  <c r="Z510" i="67"/>
  <c r="X510" i="67"/>
  <c r="W510" i="67"/>
  <c r="V510" i="67"/>
  <c r="U510" i="67"/>
  <c r="T510" i="67"/>
  <c r="A510" i="67"/>
  <c r="AB509" i="67"/>
  <c r="AA509" i="67"/>
  <c r="Z509" i="67"/>
  <c r="X509" i="67"/>
  <c r="W509" i="67"/>
  <c r="V509" i="67"/>
  <c r="U509" i="67"/>
  <c r="T509" i="67"/>
  <c r="A509" i="67"/>
  <c r="AB508" i="67"/>
  <c r="AA508" i="67"/>
  <c r="Z508" i="67"/>
  <c r="X508" i="67"/>
  <c r="W508" i="67"/>
  <c r="V508" i="67"/>
  <c r="U508" i="67"/>
  <c r="T508" i="67"/>
  <c r="A508" i="67"/>
  <c r="AB507" i="67"/>
  <c r="AA507" i="67"/>
  <c r="Z507" i="67"/>
  <c r="X507" i="67"/>
  <c r="W507" i="67"/>
  <c r="V507" i="67"/>
  <c r="U507" i="67"/>
  <c r="T507" i="67"/>
  <c r="A507" i="67"/>
  <c r="AB506" i="67"/>
  <c r="AA506" i="67"/>
  <c r="Z506" i="67"/>
  <c r="X506" i="67"/>
  <c r="W506" i="67"/>
  <c r="V506" i="67"/>
  <c r="U506" i="67"/>
  <c r="T506" i="67"/>
  <c r="A506" i="67"/>
  <c r="AB505" i="67"/>
  <c r="AA505" i="67"/>
  <c r="Z505" i="67"/>
  <c r="X505" i="67"/>
  <c r="W505" i="67"/>
  <c r="V505" i="67"/>
  <c r="U505" i="67"/>
  <c r="T505" i="67"/>
  <c r="A505" i="67"/>
  <c r="AB504" i="67"/>
  <c r="AA504" i="67"/>
  <c r="Z504" i="67"/>
  <c r="X504" i="67"/>
  <c r="W504" i="67"/>
  <c r="V504" i="67"/>
  <c r="U504" i="67"/>
  <c r="T504" i="67"/>
  <c r="A504" i="67"/>
  <c r="AB503" i="67"/>
  <c r="AA503" i="67"/>
  <c r="Z503" i="67"/>
  <c r="X503" i="67"/>
  <c r="W503" i="67"/>
  <c r="V503" i="67"/>
  <c r="U503" i="67"/>
  <c r="T503" i="67"/>
  <c r="A503" i="67"/>
  <c r="AB502" i="67"/>
  <c r="AA502" i="67"/>
  <c r="Z502" i="67"/>
  <c r="X502" i="67"/>
  <c r="W502" i="67"/>
  <c r="V502" i="67"/>
  <c r="U502" i="67"/>
  <c r="T502" i="67"/>
  <c r="A502" i="67"/>
  <c r="AB501" i="67"/>
  <c r="AA501" i="67"/>
  <c r="Z501" i="67"/>
  <c r="X501" i="67"/>
  <c r="W501" i="67"/>
  <c r="V501" i="67"/>
  <c r="U501" i="67"/>
  <c r="T501" i="67"/>
  <c r="A501" i="67"/>
  <c r="AB500" i="67"/>
  <c r="AA500" i="67"/>
  <c r="Z500" i="67"/>
  <c r="X500" i="67"/>
  <c r="W500" i="67"/>
  <c r="V500" i="67"/>
  <c r="U500" i="67"/>
  <c r="T500" i="67"/>
  <c r="A500" i="67"/>
  <c r="AB499" i="67"/>
  <c r="AA499" i="67"/>
  <c r="Z499" i="67"/>
  <c r="X499" i="67"/>
  <c r="W499" i="67"/>
  <c r="V499" i="67"/>
  <c r="U499" i="67"/>
  <c r="T499" i="67"/>
  <c r="A499" i="67"/>
  <c r="AB498" i="67"/>
  <c r="AA498" i="67"/>
  <c r="Z498" i="67"/>
  <c r="X498" i="67"/>
  <c r="W498" i="67"/>
  <c r="V498" i="67"/>
  <c r="U498" i="67"/>
  <c r="T498" i="67"/>
  <c r="A498" i="67"/>
  <c r="AB497" i="67"/>
  <c r="AA497" i="67"/>
  <c r="Z497" i="67"/>
  <c r="X497" i="67"/>
  <c r="W497" i="67"/>
  <c r="V497" i="67"/>
  <c r="U497" i="67"/>
  <c r="T497" i="67"/>
  <c r="A497" i="67"/>
  <c r="AB496" i="67"/>
  <c r="AA496" i="67"/>
  <c r="Z496" i="67"/>
  <c r="X496" i="67"/>
  <c r="W496" i="67"/>
  <c r="V496" i="67"/>
  <c r="U496" i="67"/>
  <c r="T496" i="67"/>
  <c r="A496" i="67"/>
  <c r="AB495" i="67"/>
  <c r="AA495" i="67"/>
  <c r="Z495" i="67"/>
  <c r="X495" i="67"/>
  <c r="W495" i="67"/>
  <c r="V495" i="67"/>
  <c r="U495" i="67"/>
  <c r="T495" i="67"/>
  <c r="A495" i="67"/>
  <c r="AB494" i="67"/>
  <c r="AA494" i="67"/>
  <c r="Z494" i="67"/>
  <c r="X494" i="67"/>
  <c r="W494" i="67"/>
  <c r="V494" i="67"/>
  <c r="U494" i="67"/>
  <c r="T494" i="67"/>
  <c r="A494" i="67"/>
  <c r="AB493" i="67"/>
  <c r="AA493" i="67"/>
  <c r="Z493" i="67"/>
  <c r="X493" i="67"/>
  <c r="W493" i="67"/>
  <c r="V493" i="67"/>
  <c r="U493" i="67"/>
  <c r="T493" i="67"/>
  <c r="A493" i="67"/>
  <c r="AB492" i="67"/>
  <c r="AA492" i="67"/>
  <c r="Z492" i="67"/>
  <c r="X492" i="67"/>
  <c r="W492" i="67"/>
  <c r="V492" i="67"/>
  <c r="U492" i="67"/>
  <c r="T492" i="67"/>
  <c r="A492" i="67"/>
  <c r="AB491" i="67"/>
  <c r="AA491" i="67"/>
  <c r="Z491" i="67"/>
  <c r="X491" i="67"/>
  <c r="W491" i="67"/>
  <c r="V491" i="67"/>
  <c r="U491" i="67"/>
  <c r="T491" i="67"/>
  <c r="A491" i="67"/>
  <c r="AB490" i="67"/>
  <c r="AA490" i="67"/>
  <c r="Z490" i="67"/>
  <c r="X490" i="67"/>
  <c r="W490" i="67"/>
  <c r="V490" i="67"/>
  <c r="U490" i="67"/>
  <c r="T490" i="67"/>
  <c r="A490" i="67"/>
  <c r="AB489" i="67"/>
  <c r="AA489" i="67"/>
  <c r="Z489" i="67"/>
  <c r="X489" i="67"/>
  <c r="W489" i="67"/>
  <c r="V489" i="67"/>
  <c r="U489" i="67"/>
  <c r="T489" i="67"/>
  <c r="A489" i="67"/>
  <c r="AB488" i="67"/>
  <c r="AA488" i="67"/>
  <c r="Z488" i="67"/>
  <c r="X488" i="67"/>
  <c r="W488" i="67"/>
  <c r="V488" i="67"/>
  <c r="U488" i="67"/>
  <c r="T488" i="67"/>
  <c r="A488" i="67"/>
  <c r="AB487" i="67"/>
  <c r="AA487" i="67"/>
  <c r="Z487" i="67"/>
  <c r="X487" i="67"/>
  <c r="W487" i="67"/>
  <c r="V487" i="67"/>
  <c r="U487" i="67"/>
  <c r="T487" i="67"/>
  <c r="A487" i="67"/>
  <c r="AB486" i="67"/>
  <c r="AA486" i="67"/>
  <c r="Z486" i="67"/>
  <c r="X486" i="67"/>
  <c r="W486" i="67"/>
  <c r="V486" i="67"/>
  <c r="U486" i="67"/>
  <c r="T486" i="67"/>
  <c r="A486" i="67"/>
  <c r="AB485" i="67"/>
  <c r="AA485" i="67"/>
  <c r="Z485" i="67"/>
  <c r="X485" i="67"/>
  <c r="W485" i="67"/>
  <c r="V485" i="67"/>
  <c r="U485" i="67"/>
  <c r="T485" i="67"/>
  <c r="A485" i="67"/>
  <c r="AB484" i="67"/>
  <c r="AA484" i="67"/>
  <c r="Z484" i="67"/>
  <c r="X484" i="67"/>
  <c r="W484" i="67"/>
  <c r="V484" i="67"/>
  <c r="U484" i="67"/>
  <c r="T484" i="67"/>
  <c r="A484" i="67"/>
  <c r="AB483" i="67"/>
  <c r="AA483" i="67"/>
  <c r="Z483" i="67"/>
  <c r="X483" i="67"/>
  <c r="W483" i="67"/>
  <c r="V483" i="67"/>
  <c r="U483" i="67"/>
  <c r="T483" i="67"/>
  <c r="A483" i="67"/>
  <c r="AB482" i="67"/>
  <c r="AA482" i="67"/>
  <c r="Z482" i="67"/>
  <c r="X482" i="67"/>
  <c r="W482" i="67"/>
  <c r="V482" i="67"/>
  <c r="U482" i="67"/>
  <c r="T482" i="67"/>
  <c r="A482" i="67"/>
  <c r="AB481" i="67"/>
  <c r="AA481" i="67"/>
  <c r="Z481" i="67"/>
  <c r="X481" i="67"/>
  <c r="W481" i="67"/>
  <c r="V481" i="67"/>
  <c r="U481" i="67"/>
  <c r="T481" i="67"/>
  <c r="A481" i="67"/>
  <c r="AB480" i="67"/>
  <c r="AA480" i="67"/>
  <c r="Z480" i="67"/>
  <c r="X480" i="67"/>
  <c r="W480" i="67"/>
  <c r="V480" i="67"/>
  <c r="U480" i="67"/>
  <c r="T480" i="67"/>
  <c r="A480" i="67"/>
  <c r="AB479" i="67"/>
  <c r="AA479" i="67"/>
  <c r="Z479" i="67"/>
  <c r="X479" i="67"/>
  <c r="W479" i="67"/>
  <c r="V479" i="67"/>
  <c r="U479" i="67"/>
  <c r="T479" i="67"/>
  <c r="A479" i="67"/>
  <c r="AB478" i="67"/>
  <c r="AA478" i="67"/>
  <c r="Z478" i="67"/>
  <c r="X478" i="67"/>
  <c r="W478" i="67"/>
  <c r="V478" i="67"/>
  <c r="U478" i="67"/>
  <c r="T478" i="67"/>
  <c r="A478" i="67"/>
  <c r="AB477" i="67"/>
  <c r="AA477" i="67"/>
  <c r="Z477" i="67"/>
  <c r="X477" i="67"/>
  <c r="W477" i="67"/>
  <c r="V477" i="67"/>
  <c r="U477" i="67"/>
  <c r="T477" i="67"/>
  <c r="A477" i="67"/>
  <c r="AB476" i="67"/>
  <c r="AA476" i="67"/>
  <c r="Z476" i="67"/>
  <c r="X476" i="67"/>
  <c r="W476" i="67"/>
  <c r="V476" i="67"/>
  <c r="U476" i="67"/>
  <c r="T476" i="67"/>
  <c r="A476" i="67"/>
  <c r="AB475" i="67"/>
  <c r="AA475" i="67"/>
  <c r="Z475" i="67"/>
  <c r="X475" i="67"/>
  <c r="W475" i="67"/>
  <c r="V475" i="67"/>
  <c r="U475" i="67"/>
  <c r="T475" i="67"/>
  <c r="A475" i="67"/>
  <c r="AB474" i="67"/>
  <c r="AA474" i="67"/>
  <c r="Z474" i="67"/>
  <c r="X474" i="67"/>
  <c r="W474" i="67"/>
  <c r="V474" i="67"/>
  <c r="U474" i="67"/>
  <c r="T474" i="67"/>
  <c r="A474" i="67"/>
  <c r="AB473" i="67"/>
  <c r="AA473" i="67"/>
  <c r="Z473" i="67"/>
  <c r="X473" i="67"/>
  <c r="W473" i="67"/>
  <c r="V473" i="67"/>
  <c r="U473" i="67"/>
  <c r="T473" i="67"/>
  <c r="A473" i="67"/>
  <c r="AB472" i="67"/>
  <c r="AA472" i="67"/>
  <c r="Z472" i="67"/>
  <c r="X472" i="67"/>
  <c r="W472" i="67"/>
  <c r="V472" i="67"/>
  <c r="U472" i="67"/>
  <c r="T472" i="67"/>
  <c r="A472" i="67"/>
  <c r="AB471" i="67"/>
  <c r="AA471" i="67"/>
  <c r="Z471" i="67"/>
  <c r="X471" i="67"/>
  <c r="W471" i="67"/>
  <c r="V471" i="67"/>
  <c r="U471" i="67"/>
  <c r="T471" i="67"/>
  <c r="A471" i="67"/>
  <c r="AB470" i="67"/>
  <c r="AA470" i="67"/>
  <c r="Z470" i="67"/>
  <c r="X470" i="67"/>
  <c r="W470" i="67"/>
  <c r="V470" i="67"/>
  <c r="U470" i="67"/>
  <c r="T470" i="67"/>
  <c r="A470" i="67"/>
  <c r="AB469" i="67"/>
  <c r="AA469" i="67"/>
  <c r="Z469" i="67"/>
  <c r="X469" i="67"/>
  <c r="W469" i="67"/>
  <c r="V469" i="67"/>
  <c r="U469" i="67"/>
  <c r="T469" i="67"/>
  <c r="A469" i="67"/>
  <c r="AB468" i="67"/>
  <c r="AA468" i="67"/>
  <c r="Z468" i="67"/>
  <c r="X468" i="67"/>
  <c r="W468" i="67"/>
  <c r="V468" i="67"/>
  <c r="U468" i="67"/>
  <c r="T468" i="67"/>
  <c r="A468" i="67"/>
  <c r="AB467" i="67"/>
  <c r="AA467" i="67"/>
  <c r="Z467" i="67"/>
  <c r="X467" i="67"/>
  <c r="W467" i="67"/>
  <c r="V467" i="67"/>
  <c r="U467" i="67"/>
  <c r="T467" i="67"/>
  <c r="A467" i="67"/>
  <c r="AB466" i="67"/>
  <c r="AA466" i="67"/>
  <c r="Z466" i="67"/>
  <c r="X466" i="67"/>
  <c r="W466" i="67"/>
  <c r="V466" i="67"/>
  <c r="U466" i="67"/>
  <c r="T466" i="67"/>
  <c r="A466" i="67"/>
  <c r="AB465" i="67"/>
  <c r="AA465" i="67"/>
  <c r="Z465" i="67"/>
  <c r="X465" i="67"/>
  <c r="W465" i="67"/>
  <c r="V465" i="67"/>
  <c r="U465" i="67"/>
  <c r="T465" i="67"/>
  <c r="A465" i="67"/>
  <c r="AB464" i="67"/>
  <c r="AA464" i="67"/>
  <c r="Z464" i="67"/>
  <c r="X464" i="67"/>
  <c r="W464" i="67"/>
  <c r="V464" i="67"/>
  <c r="U464" i="67"/>
  <c r="T464" i="67"/>
  <c r="A464" i="67"/>
  <c r="AB463" i="67"/>
  <c r="AA463" i="67"/>
  <c r="Z463" i="67"/>
  <c r="X463" i="67"/>
  <c r="W463" i="67"/>
  <c r="V463" i="67"/>
  <c r="U463" i="67"/>
  <c r="T463" i="67"/>
  <c r="A463" i="67"/>
  <c r="AB462" i="67"/>
  <c r="AA462" i="67"/>
  <c r="Z462" i="67"/>
  <c r="X462" i="67"/>
  <c r="W462" i="67"/>
  <c r="V462" i="67"/>
  <c r="U462" i="67"/>
  <c r="T462" i="67"/>
  <c r="A462" i="67"/>
  <c r="AB461" i="67"/>
  <c r="AA461" i="67"/>
  <c r="Z461" i="67"/>
  <c r="X461" i="67"/>
  <c r="W461" i="67"/>
  <c r="V461" i="67"/>
  <c r="U461" i="67"/>
  <c r="T461" i="67"/>
  <c r="A461" i="67"/>
  <c r="AB460" i="67"/>
  <c r="AA460" i="67"/>
  <c r="Z460" i="67"/>
  <c r="X460" i="67"/>
  <c r="W460" i="67"/>
  <c r="V460" i="67"/>
  <c r="U460" i="67"/>
  <c r="T460" i="67"/>
  <c r="A460" i="67"/>
  <c r="AB459" i="67"/>
  <c r="AA459" i="67"/>
  <c r="Z459" i="67"/>
  <c r="X459" i="67"/>
  <c r="W459" i="67"/>
  <c r="V459" i="67"/>
  <c r="U459" i="67"/>
  <c r="T459" i="67"/>
  <c r="A459" i="67"/>
  <c r="AB458" i="67"/>
  <c r="AA458" i="67"/>
  <c r="Z458" i="67"/>
  <c r="X458" i="67"/>
  <c r="W458" i="67"/>
  <c r="V458" i="67"/>
  <c r="U458" i="67"/>
  <c r="T458" i="67"/>
  <c r="A458" i="67"/>
  <c r="AB457" i="67"/>
  <c r="AA457" i="67"/>
  <c r="Z457" i="67"/>
  <c r="X457" i="67"/>
  <c r="W457" i="67"/>
  <c r="V457" i="67"/>
  <c r="U457" i="67"/>
  <c r="T457" i="67"/>
  <c r="A457" i="67"/>
  <c r="AB456" i="67"/>
  <c r="AA456" i="67"/>
  <c r="Z456" i="67"/>
  <c r="X456" i="67"/>
  <c r="W456" i="67"/>
  <c r="V456" i="67"/>
  <c r="U456" i="67"/>
  <c r="T456" i="67"/>
  <c r="A456" i="67"/>
  <c r="AB455" i="67"/>
  <c r="AA455" i="67"/>
  <c r="Z455" i="67"/>
  <c r="X455" i="67"/>
  <c r="W455" i="67"/>
  <c r="V455" i="67"/>
  <c r="U455" i="67"/>
  <c r="T455" i="67"/>
  <c r="A455" i="67"/>
  <c r="AB454" i="67"/>
  <c r="AA454" i="67"/>
  <c r="Z454" i="67"/>
  <c r="X454" i="67"/>
  <c r="W454" i="67"/>
  <c r="V454" i="67"/>
  <c r="U454" i="67"/>
  <c r="T454" i="67"/>
  <c r="A454" i="67"/>
  <c r="AB453" i="67"/>
  <c r="AA453" i="67"/>
  <c r="Z453" i="67"/>
  <c r="X453" i="67"/>
  <c r="W453" i="67"/>
  <c r="V453" i="67"/>
  <c r="U453" i="67"/>
  <c r="T453" i="67"/>
  <c r="A453" i="67"/>
  <c r="AB452" i="67"/>
  <c r="AA452" i="67"/>
  <c r="Z452" i="67"/>
  <c r="X452" i="67"/>
  <c r="W452" i="67"/>
  <c r="V452" i="67"/>
  <c r="U452" i="67"/>
  <c r="T452" i="67"/>
  <c r="A452" i="67"/>
  <c r="AB451" i="67"/>
  <c r="AA451" i="67"/>
  <c r="Z451" i="67"/>
  <c r="X451" i="67"/>
  <c r="W451" i="67"/>
  <c r="V451" i="67"/>
  <c r="U451" i="67"/>
  <c r="T451" i="67"/>
  <c r="A451" i="67"/>
  <c r="AB450" i="67"/>
  <c r="AA450" i="67"/>
  <c r="Z450" i="67"/>
  <c r="X450" i="67"/>
  <c r="W450" i="67"/>
  <c r="V450" i="67"/>
  <c r="U450" i="67"/>
  <c r="T450" i="67"/>
  <c r="A450" i="67"/>
  <c r="AB449" i="67"/>
  <c r="AA449" i="67"/>
  <c r="Z449" i="67"/>
  <c r="X449" i="67"/>
  <c r="W449" i="67"/>
  <c r="V449" i="67"/>
  <c r="U449" i="67"/>
  <c r="T449" i="67"/>
  <c r="A449" i="67"/>
  <c r="AB448" i="67"/>
  <c r="AA448" i="67"/>
  <c r="Z448" i="67"/>
  <c r="X448" i="67"/>
  <c r="W448" i="67"/>
  <c r="V448" i="67"/>
  <c r="U448" i="67"/>
  <c r="T448" i="67"/>
  <c r="A448" i="67"/>
  <c r="AB447" i="67"/>
  <c r="AA447" i="67"/>
  <c r="Z447" i="67"/>
  <c r="X447" i="67"/>
  <c r="W447" i="67"/>
  <c r="V447" i="67"/>
  <c r="U447" i="67"/>
  <c r="T447" i="67"/>
  <c r="A447" i="67"/>
  <c r="AB446" i="67"/>
  <c r="AA446" i="67"/>
  <c r="Z446" i="67"/>
  <c r="X446" i="67"/>
  <c r="W446" i="67"/>
  <c r="V446" i="67"/>
  <c r="U446" i="67"/>
  <c r="T446" i="67"/>
  <c r="A446" i="67"/>
  <c r="AB445" i="67"/>
  <c r="AA445" i="67"/>
  <c r="Z445" i="67"/>
  <c r="X445" i="67"/>
  <c r="W445" i="67"/>
  <c r="V445" i="67"/>
  <c r="U445" i="67"/>
  <c r="T445" i="67"/>
  <c r="A445" i="67"/>
  <c r="AB444" i="67"/>
  <c r="AA444" i="67"/>
  <c r="Z444" i="67"/>
  <c r="X444" i="67"/>
  <c r="W444" i="67"/>
  <c r="V444" i="67"/>
  <c r="U444" i="67"/>
  <c r="T444" i="67"/>
  <c r="A444" i="67"/>
  <c r="AB443" i="67"/>
  <c r="AA443" i="67"/>
  <c r="Z443" i="67"/>
  <c r="X443" i="67"/>
  <c r="W443" i="67"/>
  <c r="V443" i="67"/>
  <c r="U443" i="67"/>
  <c r="T443" i="67"/>
  <c r="A443" i="67"/>
  <c r="AB442" i="67"/>
  <c r="AA442" i="67"/>
  <c r="Z442" i="67"/>
  <c r="X442" i="67"/>
  <c r="W442" i="67"/>
  <c r="V442" i="67"/>
  <c r="U442" i="67"/>
  <c r="T442" i="67"/>
  <c r="A442" i="67"/>
  <c r="AB441" i="67"/>
  <c r="AA441" i="67"/>
  <c r="Z441" i="67"/>
  <c r="X441" i="67"/>
  <c r="W441" i="67"/>
  <c r="V441" i="67"/>
  <c r="U441" i="67"/>
  <c r="T441" i="67"/>
  <c r="A441" i="67"/>
  <c r="AB440" i="67"/>
  <c r="AA440" i="67"/>
  <c r="Z440" i="67"/>
  <c r="X440" i="67"/>
  <c r="W440" i="67"/>
  <c r="V440" i="67"/>
  <c r="U440" i="67"/>
  <c r="T440" i="67"/>
  <c r="A440" i="67"/>
  <c r="AB439" i="67"/>
  <c r="AA439" i="67"/>
  <c r="Z439" i="67"/>
  <c r="X439" i="67"/>
  <c r="W439" i="67"/>
  <c r="V439" i="67"/>
  <c r="U439" i="67"/>
  <c r="T439" i="67"/>
  <c r="A439" i="67"/>
  <c r="AB438" i="67"/>
  <c r="AA438" i="67"/>
  <c r="Z438" i="67"/>
  <c r="X438" i="67"/>
  <c r="W438" i="67"/>
  <c r="V438" i="67"/>
  <c r="U438" i="67"/>
  <c r="T438" i="67"/>
  <c r="A438" i="67"/>
  <c r="AB437" i="67"/>
  <c r="AA437" i="67"/>
  <c r="Z437" i="67"/>
  <c r="X437" i="67"/>
  <c r="W437" i="67"/>
  <c r="V437" i="67"/>
  <c r="U437" i="67"/>
  <c r="T437" i="67"/>
  <c r="A437" i="67"/>
  <c r="AB436" i="67"/>
  <c r="AA436" i="67"/>
  <c r="Z436" i="67"/>
  <c r="X436" i="67"/>
  <c r="W436" i="67"/>
  <c r="V436" i="67"/>
  <c r="U436" i="67"/>
  <c r="T436" i="67"/>
  <c r="A436" i="67"/>
  <c r="AB435" i="67"/>
  <c r="AA435" i="67"/>
  <c r="Z435" i="67"/>
  <c r="X435" i="67"/>
  <c r="W435" i="67"/>
  <c r="V435" i="67"/>
  <c r="U435" i="67"/>
  <c r="T435" i="67"/>
  <c r="A435" i="67"/>
  <c r="AB434" i="67"/>
  <c r="AA434" i="67"/>
  <c r="Z434" i="67"/>
  <c r="X434" i="67"/>
  <c r="W434" i="67"/>
  <c r="V434" i="67"/>
  <c r="U434" i="67"/>
  <c r="T434" i="67"/>
  <c r="A434" i="67"/>
  <c r="AB433" i="67"/>
  <c r="AA433" i="67"/>
  <c r="Z433" i="67"/>
  <c r="X433" i="67"/>
  <c r="W433" i="67"/>
  <c r="V433" i="67"/>
  <c r="U433" i="67"/>
  <c r="T433" i="67"/>
  <c r="A433" i="67"/>
  <c r="AB432" i="67"/>
  <c r="AA432" i="67"/>
  <c r="Z432" i="67"/>
  <c r="X432" i="67"/>
  <c r="W432" i="67"/>
  <c r="V432" i="67"/>
  <c r="U432" i="67"/>
  <c r="T432" i="67"/>
  <c r="A432" i="67"/>
  <c r="AB431" i="67"/>
  <c r="AA431" i="67"/>
  <c r="Z431" i="67"/>
  <c r="X431" i="67"/>
  <c r="W431" i="67"/>
  <c r="V431" i="67"/>
  <c r="U431" i="67"/>
  <c r="T431" i="67"/>
  <c r="A431" i="67"/>
  <c r="AB430" i="67"/>
  <c r="AA430" i="67"/>
  <c r="Z430" i="67"/>
  <c r="X430" i="67"/>
  <c r="W430" i="67"/>
  <c r="V430" i="67"/>
  <c r="U430" i="67"/>
  <c r="T430" i="67"/>
  <c r="A430" i="67"/>
  <c r="AB429" i="67"/>
  <c r="AA429" i="67"/>
  <c r="Z429" i="67"/>
  <c r="X429" i="67"/>
  <c r="W429" i="67"/>
  <c r="V429" i="67"/>
  <c r="U429" i="67"/>
  <c r="T429" i="67"/>
  <c r="A429" i="67"/>
  <c r="AB428" i="67"/>
  <c r="AA428" i="67"/>
  <c r="Z428" i="67"/>
  <c r="X428" i="67"/>
  <c r="W428" i="67"/>
  <c r="V428" i="67"/>
  <c r="U428" i="67"/>
  <c r="T428" i="67"/>
  <c r="A428" i="67"/>
  <c r="AB427" i="67"/>
  <c r="AA427" i="67"/>
  <c r="Z427" i="67"/>
  <c r="X427" i="67"/>
  <c r="W427" i="67"/>
  <c r="V427" i="67"/>
  <c r="U427" i="67"/>
  <c r="T427" i="67"/>
  <c r="A427" i="67"/>
  <c r="AB426" i="67"/>
  <c r="AA426" i="67"/>
  <c r="Z426" i="67"/>
  <c r="X426" i="67"/>
  <c r="W426" i="67"/>
  <c r="V426" i="67"/>
  <c r="U426" i="67"/>
  <c r="T426" i="67"/>
  <c r="A426" i="67"/>
  <c r="AB425" i="67"/>
  <c r="AA425" i="67"/>
  <c r="Z425" i="67"/>
  <c r="X425" i="67"/>
  <c r="W425" i="67"/>
  <c r="V425" i="67"/>
  <c r="U425" i="67"/>
  <c r="T425" i="67"/>
  <c r="A425" i="67"/>
  <c r="AB424" i="67"/>
  <c r="AA424" i="67"/>
  <c r="Z424" i="67"/>
  <c r="X424" i="67"/>
  <c r="W424" i="67"/>
  <c r="V424" i="67"/>
  <c r="U424" i="67"/>
  <c r="T424" i="67"/>
  <c r="A424" i="67"/>
  <c r="AB423" i="67"/>
  <c r="AA423" i="67"/>
  <c r="Z423" i="67"/>
  <c r="X423" i="67"/>
  <c r="W423" i="67"/>
  <c r="V423" i="67"/>
  <c r="U423" i="67"/>
  <c r="T423" i="67"/>
  <c r="A423" i="67"/>
  <c r="AB422" i="67"/>
  <c r="AA422" i="67"/>
  <c r="Z422" i="67"/>
  <c r="X422" i="67"/>
  <c r="W422" i="67"/>
  <c r="V422" i="67"/>
  <c r="U422" i="67"/>
  <c r="T422" i="67"/>
  <c r="A422" i="67"/>
  <c r="AB421" i="67"/>
  <c r="AA421" i="67"/>
  <c r="Z421" i="67"/>
  <c r="X421" i="67"/>
  <c r="W421" i="67"/>
  <c r="V421" i="67"/>
  <c r="U421" i="67"/>
  <c r="T421" i="67"/>
  <c r="A421" i="67"/>
  <c r="AB420" i="67"/>
  <c r="AA420" i="67"/>
  <c r="Z420" i="67"/>
  <c r="X420" i="67"/>
  <c r="W420" i="67"/>
  <c r="V420" i="67"/>
  <c r="U420" i="67"/>
  <c r="T420" i="67"/>
  <c r="A420" i="67"/>
  <c r="AB419" i="67"/>
  <c r="AA419" i="67"/>
  <c r="Z419" i="67"/>
  <c r="X419" i="67"/>
  <c r="W419" i="67"/>
  <c r="V419" i="67"/>
  <c r="U419" i="67"/>
  <c r="T419" i="67"/>
  <c r="A419" i="67"/>
  <c r="AB418" i="67"/>
  <c r="AA418" i="67"/>
  <c r="Z418" i="67"/>
  <c r="X418" i="67"/>
  <c r="W418" i="67"/>
  <c r="V418" i="67"/>
  <c r="U418" i="67"/>
  <c r="T418" i="67"/>
  <c r="A418" i="67"/>
  <c r="AB417" i="67"/>
  <c r="AA417" i="67"/>
  <c r="Z417" i="67"/>
  <c r="X417" i="67"/>
  <c r="W417" i="67"/>
  <c r="V417" i="67"/>
  <c r="U417" i="67"/>
  <c r="T417" i="67"/>
  <c r="A417" i="67"/>
  <c r="AB416" i="67"/>
  <c r="AA416" i="67"/>
  <c r="Z416" i="67"/>
  <c r="X416" i="67"/>
  <c r="W416" i="67"/>
  <c r="V416" i="67"/>
  <c r="U416" i="67"/>
  <c r="T416" i="67"/>
  <c r="A416" i="67"/>
  <c r="AB415" i="67"/>
  <c r="AA415" i="67"/>
  <c r="Z415" i="67"/>
  <c r="X415" i="67"/>
  <c r="W415" i="67"/>
  <c r="V415" i="67"/>
  <c r="U415" i="67"/>
  <c r="T415" i="67"/>
  <c r="A415" i="67"/>
  <c r="AB414" i="67"/>
  <c r="AA414" i="67"/>
  <c r="Z414" i="67"/>
  <c r="X414" i="67"/>
  <c r="W414" i="67"/>
  <c r="V414" i="67"/>
  <c r="U414" i="67"/>
  <c r="T414" i="67"/>
  <c r="A414" i="67"/>
  <c r="AB413" i="67"/>
  <c r="AA413" i="67"/>
  <c r="Z413" i="67"/>
  <c r="X413" i="67"/>
  <c r="W413" i="67"/>
  <c r="V413" i="67"/>
  <c r="U413" i="67"/>
  <c r="T413" i="67"/>
  <c r="A413" i="67"/>
  <c r="AB412" i="67"/>
  <c r="AA412" i="67"/>
  <c r="Z412" i="67"/>
  <c r="X412" i="67"/>
  <c r="W412" i="67"/>
  <c r="V412" i="67"/>
  <c r="U412" i="67"/>
  <c r="T412" i="67"/>
  <c r="A412" i="67"/>
  <c r="AB411" i="67"/>
  <c r="AA411" i="67"/>
  <c r="Z411" i="67"/>
  <c r="X411" i="67"/>
  <c r="W411" i="67"/>
  <c r="V411" i="67"/>
  <c r="U411" i="67"/>
  <c r="T411" i="67"/>
  <c r="A411" i="67"/>
  <c r="AB410" i="67"/>
  <c r="AA410" i="67"/>
  <c r="Z410" i="67"/>
  <c r="X410" i="67"/>
  <c r="W410" i="67"/>
  <c r="V410" i="67"/>
  <c r="U410" i="67"/>
  <c r="T410" i="67"/>
  <c r="A410" i="67"/>
  <c r="AB409" i="67"/>
  <c r="AA409" i="67"/>
  <c r="Z409" i="67"/>
  <c r="X409" i="67"/>
  <c r="W409" i="67"/>
  <c r="V409" i="67"/>
  <c r="U409" i="67"/>
  <c r="T409" i="67"/>
  <c r="A409" i="67"/>
  <c r="AB408" i="67"/>
  <c r="AA408" i="67"/>
  <c r="Z408" i="67"/>
  <c r="X408" i="67"/>
  <c r="W408" i="67"/>
  <c r="V408" i="67"/>
  <c r="U408" i="67"/>
  <c r="T408" i="67"/>
  <c r="A408" i="67"/>
  <c r="AB407" i="67"/>
  <c r="AA407" i="67"/>
  <c r="Z407" i="67"/>
  <c r="X407" i="67"/>
  <c r="W407" i="67"/>
  <c r="V407" i="67"/>
  <c r="U407" i="67"/>
  <c r="T407" i="67"/>
  <c r="A407" i="67"/>
  <c r="AB406" i="67"/>
  <c r="AA406" i="67"/>
  <c r="Z406" i="67"/>
  <c r="X406" i="67"/>
  <c r="W406" i="67"/>
  <c r="V406" i="67"/>
  <c r="U406" i="67"/>
  <c r="T406" i="67"/>
  <c r="A406" i="67"/>
  <c r="AB405" i="67"/>
  <c r="AA405" i="67"/>
  <c r="Z405" i="67"/>
  <c r="X405" i="67"/>
  <c r="W405" i="67"/>
  <c r="V405" i="67"/>
  <c r="U405" i="67"/>
  <c r="T405" i="67"/>
  <c r="A405" i="67"/>
  <c r="AB404" i="67"/>
  <c r="AA404" i="67"/>
  <c r="Z404" i="67"/>
  <c r="X404" i="67"/>
  <c r="W404" i="67"/>
  <c r="V404" i="67"/>
  <c r="U404" i="67"/>
  <c r="T404" i="67"/>
  <c r="A404" i="67"/>
  <c r="AB403" i="67"/>
  <c r="AA403" i="67"/>
  <c r="Z403" i="67"/>
  <c r="X403" i="67"/>
  <c r="W403" i="67"/>
  <c r="V403" i="67"/>
  <c r="U403" i="67"/>
  <c r="T403" i="67"/>
  <c r="A403" i="67"/>
  <c r="AB402" i="67"/>
  <c r="AA402" i="67"/>
  <c r="Z402" i="67"/>
  <c r="X402" i="67"/>
  <c r="W402" i="67"/>
  <c r="V402" i="67"/>
  <c r="U402" i="67"/>
  <c r="T402" i="67"/>
  <c r="A402" i="67"/>
  <c r="AB401" i="67"/>
  <c r="AA401" i="67"/>
  <c r="Z401" i="67"/>
  <c r="X401" i="67"/>
  <c r="W401" i="67"/>
  <c r="V401" i="67"/>
  <c r="U401" i="67"/>
  <c r="T401" i="67"/>
  <c r="A401" i="67"/>
  <c r="AB400" i="67"/>
  <c r="AA400" i="67"/>
  <c r="Z400" i="67"/>
  <c r="X400" i="67"/>
  <c r="W400" i="67"/>
  <c r="V400" i="67"/>
  <c r="U400" i="67"/>
  <c r="T400" i="67"/>
  <c r="A400" i="67"/>
  <c r="AB399" i="67"/>
  <c r="AA399" i="67"/>
  <c r="Z399" i="67"/>
  <c r="X399" i="67"/>
  <c r="W399" i="67"/>
  <c r="V399" i="67"/>
  <c r="U399" i="67"/>
  <c r="T399" i="67"/>
  <c r="A399" i="67"/>
  <c r="AB398" i="67"/>
  <c r="AA398" i="67"/>
  <c r="Z398" i="67"/>
  <c r="X398" i="67"/>
  <c r="W398" i="67"/>
  <c r="V398" i="67"/>
  <c r="U398" i="67"/>
  <c r="T398" i="67"/>
  <c r="A398" i="67"/>
  <c r="AB397" i="67"/>
  <c r="AA397" i="67"/>
  <c r="Z397" i="67"/>
  <c r="X397" i="67"/>
  <c r="W397" i="67"/>
  <c r="V397" i="67"/>
  <c r="U397" i="67"/>
  <c r="T397" i="67"/>
  <c r="A397" i="67"/>
  <c r="AB396" i="67"/>
  <c r="AA396" i="67"/>
  <c r="Z396" i="67"/>
  <c r="X396" i="67"/>
  <c r="W396" i="67"/>
  <c r="V396" i="67"/>
  <c r="U396" i="67"/>
  <c r="T396" i="67"/>
  <c r="A396" i="67"/>
  <c r="AB395" i="67"/>
  <c r="AA395" i="67"/>
  <c r="Z395" i="67"/>
  <c r="X395" i="67"/>
  <c r="W395" i="67"/>
  <c r="V395" i="67"/>
  <c r="U395" i="67"/>
  <c r="T395" i="67"/>
  <c r="A395" i="67"/>
  <c r="AB394" i="67"/>
  <c r="AA394" i="67"/>
  <c r="Z394" i="67"/>
  <c r="X394" i="67"/>
  <c r="W394" i="67"/>
  <c r="V394" i="67"/>
  <c r="U394" i="67"/>
  <c r="T394" i="67"/>
  <c r="A394" i="67"/>
  <c r="AB393" i="67"/>
  <c r="AA393" i="67"/>
  <c r="Z393" i="67"/>
  <c r="X393" i="67"/>
  <c r="W393" i="67"/>
  <c r="V393" i="67"/>
  <c r="U393" i="67"/>
  <c r="T393" i="67"/>
  <c r="A393" i="67"/>
  <c r="AB392" i="67"/>
  <c r="AA392" i="67"/>
  <c r="Z392" i="67"/>
  <c r="X392" i="67"/>
  <c r="W392" i="67"/>
  <c r="V392" i="67"/>
  <c r="U392" i="67"/>
  <c r="T392" i="67"/>
  <c r="A392" i="67"/>
  <c r="AB391" i="67"/>
  <c r="AA391" i="67"/>
  <c r="Z391" i="67"/>
  <c r="X391" i="67"/>
  <c r="W391" i="67"/>
  <c r="V391" i="67"/>
  <c r="U391" i="67"/>
  <c r="T391" i="67"/>
  <c r="A391" i="67"/>
  <c r="AB390" i="67"/>
  <c r="AA390" i="67"/>
  <c r="Z390" i="67"/>
  <c r="X390" i="67"/>
  <c r="W390" i="67"/>
  <c r="V390" i="67"/>
  <c r="U390" i="67"/>
  <c r="T390" i="67"/>
  <c r="A390" i="67"/>
  <c r="AB389" i="67"/>
  <c r="AA389" i="67"/>
  <c r="Z389" i="67"/>
  <c r="X389" i="67"/>
  <c r="W389" i="67"/>
  <c r="V389" i="67"/>
  <c r="U389" i="67"/>
  <c r="T389" i="67"/>
  <c r="A389" i="67"/>
  <c r="AB388" i="67"/>
  <c r="AA388" i="67"/>
  <c r="Z388" i="67"/>
  <c r="X388" i="67"/>
  <c r="W388" i="67"/>
  <c r="V388" i="67"/>
  <c r="U388" i="67"/>
  <c r="T388" i="67"/>
  <c r="A388" i="67"/>
  <c r="AB387" i="67"/>
  <c r="AA387" i="67"/>
  <c r="Z387" i="67"/>
  <c r="X387" i="67"/>
  <c r="W387" i="67"/>
  <c r="V387" i="67"/>
  <c r="U387" i="67"/>
  <c r="T387" i="67"/>
  <c r="A387" i="67"/>
  <c r="AB386" i="67"/>
  <c r="AA386" i="67"/>
  <c r="Z386" i="67"/>
  <c r="X386" i="67"/>
  <c r="W386" i="67"/>
  <c r="V386" i="67"/>
  <c r="U386" i="67"/>
  <c r="T386" i="67"/>
  <c r="A386" i="67"/>
  <c r="AB385" i="67"/>
  <c r="AA385" i="67"/>
  <c r="Z385" i="67"/>
  <c r="X385" i="67"/>
  <c r="W385" i="67"/>
  <c r="V385" i="67"/>
  <c r="U385" i="67"/>
  <c r="T385" i="67"/>
  <c r="A385" i="67"/>
  <c r="AB384" i="67"/>
  <c r="AA384" i="67"/>
  <c r="Z384" i="67"/>
  <c r="X384" i="67"/>
  <c r="W384" i="67"/>
  <c r="V384" i="67"/>
  <c r="U384" i="67"/>
  <c r="T384" i="67"/>
  <c r="A384" i="67"/>
  <c r="AB383" i="67"/>
  <c r="AA383" i="67"/>
  <c r="Z383" i="67"/>
  <c r="X383" i="67"/>
  <c r="W383" i="67"/>
  <c r="V383" i="67"/>
  <c r="U383" i="67"/>
  <c r="T383" i="67"/>
  <c r="A383" i="67"/>
  <c r="AB382" i="67"/>
  <c r="AA382" i="67"/>
  <c r="Z382" i="67"/>
  <c r="X382" i="67"/>
  <c r="W382" i="67"/>
  <c r="V382" i="67"/>
  <c r="U382" i="67"/>
  <c r="T382" i="67"/>
  <c r="A382" i="67"/>
  <c r="AB381" i="67"/>
  <c r="AA381" i="67"/>
  <c r="Z381" i="67"/>
  <c r="X381" i="67"/>
  <c r="W381" i="67"/>
  <c r="V381" i="67"/>
  <c r="U381" i="67"/>
  <c r="T381" i="67"/>
  <c r="A381" i="67"/>
  <c r="AB380" i="67"/>
  <c r="AA380" i="67"/>
  <c r="Z380" i="67"/>
  <c r="X380" i="67"/>
  <c r="W380" i="67"/>
  <c r="V380" i="67"/>
  <c r="U380" i="67"/>
  <c r="T380" i="67"/>
  <c r="A380" i="67"/>
  <c r="AB379" i="67"/>
  <c r="AA379" i="67"/>
  <c r="Z379" i="67"/>
  <c r="X379" i="67"/>
  <c r="W379" i="67"/>
  <c r="V379" i="67"/>
  <c r="U379" i="67"/>
  <c r="T379" i="67"/>
  <c r="A379" i="67"/>
  <c r="AB378" i="67"/>
  <c r="AA378" i="67"/>
  <c r="Z378" i="67"/>
  <c r="X378" i="67"/>
  <c r="W378" i="67"/>
  <c r="V378" i="67"/>
  <c r="U378" i="67"/>
  <c r="T378" i="67"/>
  <c r="A378" i="67"/>
  <c r="AB377" i="67"/>
  <c r="AA377" i="67"/>
  <c r="Z377" i="67"/>
  <c r="X377" i="67"/>
  <c r="W377" i="67"/>
  <c r="V377" i="67"/>
  <c r="U377" i="67"/>
  <c r="T377" i="67"/>
  <c r="A377" i="67"/>
  <c r="AB376" i="67"/>
  <c r="AA376" i="67"/>
  <c r="Z376" i="67"/>
  <c r="X376" i="67"/>
  <c r="W376" i="67"/>
  <c r="V376" i="67"/>
  <c r="U376" i="67"/>
  <c r="T376" i="67"/>
  <c r="A376" i="67"/>
  <c r="AB375" i="67"/>
  <c r="AA375" i="67"/>
  <c r="Z375" i="67"/>
  <c r="X375" i="67"/>
  <c r="W375" i="67"/>
  <c r="V375" i="67"/>
  <c r="U375" i="67"/>
  <c r="T375" i="67"/>
  <c r="A375" i="67"/>
  <c r="AB374" i="67"/>
  <c r="AA374" i="67"/>
  <c r="Z374" i="67"/>
  <c r="X374" i="67"/>
  <c r="W374" i="67"/>
  <c r="V374" i="67"/>
  <c r="U374" i="67"/>
  <c r="T374" i="67"/>
  <c r="A374" i="67"/>
  <c r="AB373" i="67"/>
  <c r="AA373" i="67"/>
  <c r="Z373" i="67"/>
  <c r="X373" i="67"/>
  <c r="W373" i="67"/>
  <c r="V373" i="67"/>
  <c r="U373" i="67"/>
  <c r="T373" i="67"/>
  <c r="A373" i="67"/>
  <c r="AB372" i="67"/>
  <c r="AA372" i="67"/>
  <c r="Z372" i="67"/>
  <c r="X372" i="67"/>
  <c r="W372" i="67"/>
  <c r="V372" i="67"/>
  <c r="U372" i="67"/>
  <c r="T372" i="67"/>
  <c r="A372" i="67"/>
  <c r="AB371" i="67"/>
  <c r="AA371" i="67"/>
  <c r="Z371" i="67"/>
  <c r="X371" i="67"/>
  <c r="W371" i="67"/>
  <c r="V371" i="67"/>
  <c r="U371" i="67"/>
  <c r="T371" i="67"/>
  <c r="A371" i="67"/>
  <c r="AB370" i="67"/>
  <c r="AA370" i="67"/>
  <c r="Z370" i="67"/>
  <c r="X370" i="67"/>
  <c r="W370" i="67"/>
  <c r="V370" i="67"/>
  <c r="U370" i="67"/>
  <c r="T370" i="67"/>
  <c r="A370" i="67"/>
  <c r="AB369" i="67"/>
  <c r="AA369" i="67"/>
  <c r="Z369" i="67"/>
  <c r="X369" i="67"/>
  <c r="W369" i="67"/>
  <c r="V369" i="67"/>
  <c r="U369" i="67"/>
  <c r="T369" i="67"/>
  <c r="A369" i="67"/>
  <c r="AB368" i="67"/>
  <c r="AA368" i="67"/>
  <c r="Z368" i="67"/>
  <c r="X368" i="67"/>
  <c r="W368" i="67"/>
  <c r="V368" i="67"/>
  <c r="U368" i="67"/>
  <c r="T368" i="67"/>
  <c r="A368" i="67"/>
  <c r="AB367" i="67"/>
  <c r="AA367" i="67"/>
  <c r="Z367" i="67"/>
  <c r="X367" i="67"/>
  <c r="W367" i="67"/>
  <c r="V367" i="67"/>
  <c r="U367" i="67"/>
  <c r="T367" i="67"/>
  <c r="A367" i="67"/>
  <c r="AB366" i="67"/>
  <c r="AA366" i="67"/>
  <c r="Z366" i="67"/>
  <c r="X366" i="67"/>
  <c r="W366" i="67"/>
  <c r="V366" i="67"/>
  <c r="U366" i="67"/>
  <c r="T366" i="67"/>
  <c r="A366" i="67"/>
  <c r="AB365" i="67"/>
  <c r="AA365" i="67"/>
  <c r="Z365" i="67"/>
  <c r="X365" i="67"/>
  <c r="W365" i="67"/>
  <c r="V365" i="67"/>
  <c r="U365" i="67"/>
  <c r="T365" i="67"/>
  <c r="A365" i="67"/>
  <c r="AB364" i="67"/>
  <c r="AA364" i="67"/>
  <c r="Z364" i="67"/>
  <c r="X364" i="67"/>
  <c r="W364" i="67"/>
  <c r="V364" i="67"/>
  <c r="U364" i="67"/>
  <c r="T364" i="67"/>
  <c r="A364" i="67"/>
  <c r="AB363" i="67"/>
  <c r="AA363" i="67"/>
  <c r="Z363" i="67"/>
  <c r="X363" i="67"/>
  <c r="W363" i="67"/>
  <c r="V363" i="67"/>
  <c r="U363" i="67"/>
  <c r="T363" i="67"/>
  <c r="A363" i="67"/>
  <c r="AB362" i="67"/>
  <c r="AA362" i="67"/>
  <c r="Z362" i="67"/>
  <c r="X362" i="67"/>
  <c r="W362" i="67"/>
  <c r="V362" i="67"/>
  <c r="U362" i="67"/>
  <c r="T362" i="67"/>
  <c r="A362" i="67"/>
  <c r="AB361" i="67"/>
  <c r="AA361" i="67"/>
  <c r="Z361" i="67"/>
  <c r="X361" i="67"/>
  <c r="W361" i="67"/>
  <c r="V361" i="67"/>
  <c r="U361" i="67"/>
  <c r="T361" i="67"/>
  <c r="A361" i="67"/>
  <c r="AB360" i="67"/>
  <c r="AA360" i="67"/>
  <c r="Z360" i="67"/>
  <c r="X360" i="67"/>
  <c r="W360" i="67"/>
  <c r="V360" i="67"/>
  <c r="U360" i="67"/>
  <c r="T360" i="67"/>
  <c r="A360" i="67"/>
  <c r="AB359" i="67"/>
  <c r="AA359" i="67"/>
  <c r="Z359" i="67"/>
  <c r="X359" i="67"/>
  <c r="W359" i="67"/>
  <c r="V359" i="67"/>
  <c r="U359" i="67"/>
  <c r="T359" i="67"/>
  <c r="A359" i="67"/>
  <c r="AB358" i="67"/>
  <c r="AA358" i="67"/>
  <c r="Z358" i="67"/>
  <c r="X358" i="67"/>
  <c r="W358" i="67"/>
  <c r="V358" i="67"/>
  <c r="U358" i="67"/>
  <c r="T358" i="67"/>
  <c r="A358" i="67"/>
  <c r="AB357" i="67"/>
  <c r="AA357" i="67"/>
  <c r="Z357" i="67"/>
  <c r="X357" i="67"/>
  <c r="W357" i="67"/>
  <c r="V357" i="67"/>
  <c r="U357" i="67"/>
  <c r="T357" i="67"/>
  <c r="A357" i="67"/>
  <c r="AB356" i="67"/>
  <c r="AA356" i="67"/>
  <c r="Z356" i="67"/>
  <c r="X356" i="67"/>
  <c r="W356" i="67"/>
  <c r="V356" i="67"/>
  <c r="U356" i="67"/>
  <c r="T356" i="67"/>
  <c r="A356" i="67"/>
  <c r="AB355" i="67"/>
  <c r="AA355" i="67"/>
  <c r="Z355" i="67"/>
  <c r="X355" i="67"/>
  <c r="W355" i="67"/>
  <c r="V355" i="67"/>
  <c r="U355" i="67"/>
  <c r="T355" i="67"/>
  <c r="A355" i="67"/>
  <c r="AB354" i="67"/>
  <c r="AA354" i="67"/>
  <c r="Z354" i="67"/>
  <c r="X354" i="67"/>
  <c r="W354" i="67"/>
  <c r="V354" i="67"/>
  <c r="U354" i="67"/>
  <c r="T354" i="67"/>
  <c r="A354" i="67"/>
  <c r="AB353" i="67"/>
  <c r="AA353" i="67"/>
  <c r="Z353" i="67"/>
  <c r="X353" i="67"/>
  <c r="W353" i="67"/>
  <c r="V353" i="67"/>
  <c r="U353" i="67"/>
  <c r="T353" i="67"/>
  <c r="A353" i="67"/>
  <c r="AB352" i="67"/>
  <c r="AA352" i="67"/>
  <c r="Z352" i="67"/>
  <c r="X352" i="67"/>
  <c r="W352" i="67"/>
  <c r="V352" i="67"/>
  <c r="U352" i="67"/>
  <c r="T352" i="67"/>
  <c r="A352" i="67"/>
  <c r="AB351" i="67"/>
  <c r="AA351" i="67"/>
  <c r="Z351" i="67"/>
  <c r="X351" i="67"/>
  <c r="W351" i="67"/>
  <c r="V351" i="67"/>
  <c r="U351" i="67"/>
  <c r="T351" i="67"/>
  <c r="A351" i="67"/>
  <c r="AB350" i="67"/>
  <c r="AA350" i="67"/>
  <c r="Z350" i="67"/>
  <c r="X350" i="67"/>
  <c r="W350" i="67"/>
  <c r="V350" i="67"/>
  <c r="U350" i="67"/>
  <c r="T350" i="67"/>
  <c r="A350" i="67"/>
  <c r="AB349" i="67"/>
  <c r="AA349" i="67"/>
  <c r="Z349" i="67"/>
  <c r="X349" i="67"/>
  <c r="W349" i="67"/>
  <c r="V349" i="67"/>
  <c r="U349" i="67"/>
  <c r="T349" i="67"/>
  <c r="A349" i="67"/>
  <c r="AB348" i="67"/>
  <c r="AA348" i="67"/>
  <c r="Z348" i="67"/>
  <c r="X348" i="67"/>
  <c r="W348" i="67"/>
  <c r="V348" i="67"/>
  <c r="U348" i="67"/>
  <c r="T348" i="67"/>
  <c r="A348" i="67"/>
  <c r="AB347" i="67"/>
  <c r="AA347" i="67"/>
  <c r="Z347" i="67"/>
  <c r="X347" i="67"/>
  <c r="W347" i="67"/>
  <c r="V347" i="67"/>
  <c r="U347" i="67"/>
  <c r="T347" i="67"/>
  <c r="A347" i="67"/>
  <c r="AB346" i="67"/>
  <c r="AA346" i="67"/>
  <c r="Z346" i="67"/>
  <c r="X346" i="67"/>
  <c r="W346" i="67"/>
  <c r="V346" i="67"/>
  <c r="U346" i="67"/>
  <c r="T346" i="67"/>
  <c r="A346" i="67"/>
  <c r="AB345" i="67"/>
  <c r="AA345" i="67"/>
  <c r="Z345" i="67"/>
  <c r="X345" i="67"/>
  <c r="W345" i="67"/>
  <c r="V345" i="67"/>
  <c r="U345" i="67"/>
  <c r="T345" i="67"/>
  <c r="A345" i="67"/>
  <c r="AB344" i="67"/>
  <c r="AA344" i="67"/>
  <c r="Z344" i="67"/>
  <c r="X344" i="67"/>
  <c r="W344" i="67"/>
  <c r="V344" i="67"/>
  <c r="U344" i="67"/>
  <c r="T344" i="67"/>
  <c r="A344" i="67"/>
  <c r="AB343" i="67"/>
  <c r="AA343" i="67"/>
  <c r="Z343" i="67"/>
  <c r="X343" i="67"/>
  <c r="W343" i="67"/>
  <c r="V343" i="67"/>
  <c r="U343" i="67"/>
  <c r="T343" i="67"/>
  <c r="A343" i="67"/>
  <c r="AB342" i="67"/>
  <c r="AA342" i="67"/>
  <c r="Z342" i="67"/>
  <c r="X342" i="67"/>
  <c r="W342" i="67"/>
  <c r="V342" i="67"/>
  <c r="U342" i="67"/>
  <c r="T342" i="67"/>
  <c r="A342" i="67"/>
  <c r="AB341" i="67"/>
  <c r="AA341" i="67"/>
  <c r="Z341" i="67"/>
  <c r="X341" i="67"/>
  <c r="W341" i="67"/>
  <c r="V341" i="67"/>
  <c r="U341" i="67"/>
  <c r="T341" i="67"/>
  <c r="A341" i="67"/>
  <c r="AB340" i="67"/>
  <c r="AA340" i="67"/>
  <c r="Z340" i="67"/>
  <c r="X340" i="67"/>
  <c r="W340" i="67"/>
  <c r="V340" i="67"/>
  <c r="U340" i="67"/>
  <c r="T340" i="67"/>
  <c r="A340" i="67"/>
  <c r="AB339" i="67"/>
  <c r="AA339" i="67"/>
  <c r="Z339" i="67"/>
  <c r="X339" i="67"/>
  <c r="W339" i="67"/>
  <c r="V339" i="67"/>
  <c r="U339" i="67"/>
  <c r="T339" i="67"/>
  <c r="A339" i="67"/>
  <c r="AB338" i="67"/>
  <c r="AA338" i="67"/>
  <c r="Z338" i="67"/>
  <c r="X338" i="67"/>
  <c r="W338" i="67"/>
  <c r="V338" i="67"/>
  <c r="U338" i="67"/>
  <c r="T338" i="67"/>
  <c r="A338" i="67"/>
  <c r="AB337" i="67"/>
  <c r="AA337" i="67"/>
  <c r="Z337" i="67"/>
  <c r="X337" i="67"/>
  <c r="W337" i="67"/>
  <c r="V337" i="67"/>
  <c r="U337" i="67"/>
  <c r="T337" i="67"/>
  <c r="A337" i="67"/>
  <c r="AB336" i="67"/>
  <c r="AA336" i="67"/>
  <c r="Z336" i="67"/>
  <c r="X336" i="67"/>
  <c r="W336" i="67"/>
  <c r="V336" i="67"/>
  <c r="U336" i="67"/>
  <c r="T336" i="67"/>
  <c r="A336" i="67"/>
  <c r="AB335" i="67"/>
  <c r="AA335" i="67"/>
  <c r="Z335" i="67"/>
  <c r="X335" i="67"/>
  <c r="W335" i="67"/>
  <c r="V335" i="67"/>
  <c r="U335" i="67"/>
  <c r="T335" i="67"/>
  <c r="A335" i="67"/>
  <c r="AB334" i="67"/>
  <c r="AA334" i="67"/>
  <c r="Z334" i="67"/>
  <c r="X334" i="67"/>
  <c r="W334" i="67"/>
  <c r="V334" i="67"/>
  <c r="U334" i="67"/>
  <c r="T334" i="67"/>
  <c r="A334" i="67"/>
  <c r="AB333" i="67"/>
  <c r="AA333" i="67"/>
  <c r="Z333" i="67"/>
  <c r="X333" i="67"/>
  <c r="W333" i="67"/>
  <c r="V333" i="67"/>
  <c r="U333" i="67"/>
  <c r="T333" i="67"/>
  <c r="A333" i="67"/>
  <c r="AB332" i="67"/>
  <c r="AA332" i="67"/>
  <c r="Z332" i="67"/>
  <c r="X332" i="67"/>
  <c r="W332" i="67"/>
  <c r="V332" i="67"/>
  <c r="U332" i="67"/>
  <c r="T332" i="67"/>
  <c r="A332" i="67"/>
  <c r="AB331" i="67"/>
  <c r="AA331" i="67"/>
  <c r="Z331" i="67"/>
  <c r="X331" i="67"/>
  <c r="W331" i="67"/>
  <c r="V331" i="67"/>
  <c r="U331" i="67"/>
  <c r="T331" i="67"/>
  <c r="A331" i="67"/>
  <c r="AB330" i="67"/>
  <c r="AA330" i="67"/>
  <c r="Z330" i="67"/>
  <c r="X330" i="67"/>
  <c r="W330" i="67"/>
  <c r="V330" i="67"/>
  <c r="U330" i="67"/>
  <c r="T330" i="67"/>
  <c r="A330" i="67"/>
  <c r="AB329" i="67"/>
  <c r="AA329" i="67"/>
  <c r="Z329" i="67"/>
  <c r="X329" i="67"/>
  <c r="W329" i="67"/>
  <c r="V329" i="67"/>
  <c r="U329" i="67"/>
  <c r="T329" i="67"/>
  <c r="A329" i="67"/>
  <c r="AB328" i="67"/>
  <c r="AA328" i="67"/>
  <c r="Z328" i="67"/>
  <c r="X328" i="67"/>
  <c r="W328" i="67"/>
  <c r="V328" i="67"/>
  <c r="U328" i="67"/>
  <c r="T328" i="67"/>
  <c r="A328" i="67"/>
  <c r="AB327" i="67"/>
  <c r="AA327" i="67"/>
  <c r="Z327" i="67"/>
  <c r="X327" i="67"/>
  <c r="W327" i="67"/>
  <c r="V327" i="67"/>
  <c r="U327" i="67"/>
  <c r="T327" i="67"/>
  <c r="A327" i="67"/>
  <c r="AB326" i="67"/>
  <c r="AA326" i="67"/>
  <c r="Z326" i="67"/>
  <c r="X326" i="67"/>
  <c r="W326" i="67"/>
  <c r="V326" i="67"/>
  <c r="U326" i="67"/>
  <c r="T326" i="67"/>
  <c r="A326" i="67"/>
  <c r="AB325" i="67"/>
  <c r="AA325" i="67"/>
  <c r="Z325" i="67"/>
  <c r="X325" i="67"/>
  <c r="W325" i="67"/>
  <c r="V325" i="67"/>
  <c r="U325" i="67"/>
  <c r="T325" i="67"/>
  <c r="A325" i="67"/>
  <c r="AB324" i="67"/>
  <c r="AA324" i="67"/>
  <c r="Z324" i="67"/>
  <c r="X324" i="67"/>
  <c r="W324" i="67"/>
  <c r="V324" i="67"/>
  <c r="U324" i="67"/>
  <c r="T324" i="67"/>
  <c r="A324" i="67"/>
  <c r="AB323" i="67"/>
  <c r="AA323" i="67"/>
  <c r="Z323" i="67"/>
  <c r="X323" i="67"/>
  <c r="W323" i="67"/>
  <c r="V323" i="67"/>
  <c r="U323" i="67"/>
  <c r="T323" i="67"/>
  <c r="A323" i="67"/>
  <c r="AB322" i="67"/>
  <c r="AA322" i="67"/>
  <c r="Z322" i="67"/>
  <c r="X322" i="67"/>
  <c r="W322" i="67"/>
  <c r="V322" i="67"/>
  <c r="U322" i="67"/>
  <c r="T322" i="67"/>
  <c r="A322" i="67"/>
  <c r="AB321" i="67"/>
  <c r="AA321" i="67"/>
  <c r="Z321" i="67"/>
  <c r="X321" i="67"/>
  <c r="W321" i="67"/>
  <c r="V321" i="67"/>
  <c r="U321" i="67"/>
  <c r="T321" i="67"/>
  <c r="A321" i="67"/>
  <c r="AB320" i="67"/>
  <c r="AA320" i="67"/>
  <c r="Z320" i="67"/>
  <c r="X320" i="67"/>
  <c r="W320" i="67"/>
  <c r="V320" i="67"/>
  <c r="U320" i="67"/>
  <c r="T320" i="67"/>
  <c r="A320" i="67"/>
  <c r="AB319" i="67"/>
  <c r="AA319" i="67"/>
  <c r="Z319" i="67"/>
  <c r="X319" i="67"/>
  <c r="W319" i="67"/>
  <c r="V319" i="67"/>
  <c r="U319" i="67"/>
  <c r="T319" i="67"/>
  <c r="A319" i="67"/>
  <c r="AB318" i="67"/>
  <c r="AA318" i="67"/>
  <c r="Z318" i="67"/>
  <c r="X318" i="67"/>
  <c r="W318" i="67"/>
  <c r="V318" i="67"/>
  <c r="U318" i="67"/>
  <c r="T318" i="67"/>
  <c r="A318" i="67"/>
  <c r="AB317" i="67"/>
  <c r="AA317" i="67"/>
  <c r="Z317" i="67"/>
  <c r="X317" i="67"/>
  <c r="W317" i="67"/>
  <c r="V317" i="67"/>
  <c r="U317" i="67"/>
  <c r="T317" i="67"/>
  <c r="A317" i="67"/>
  <c r="AB316" i="67"/>
  <c r="AA316" i="67"/>
  <c r="Z316" i="67"/>
  <c r="X316" i="67"/>
  <c r="W316" i="67"/>
  <c r="V316" i="67"/>
  <c r="U316" i="67"/>
  <c r="T316" i="67"/>
  <c r="A316" i="67"/>
  <c r="AB315" i="67"/>
  <c r="AA315" i="67"/>
  <c r="Z315" i="67"/>
  <c r="X315" i="67"/>
  <c r="W315" i="67"/>
  <c r="V315" i="67"/>
  <c r="U315" i="67"/>
  <c r="T315" i="67"/>
  <c r="A315" i="67"/>
  <c r="AB314" i="67"/>
  <c r="AA314" i="67"/>
  <c r="Z314" i="67"/>
  <c r="X314" i="67"/>
  <c r="W314" i="67"/>
  <c r="V314" i="67"/>
  <c r="U314" i="67"/>
  <c r="T314" i="67"/>
  <c r="A314" i="67"/>
  <c r="AB313" i="67"/>
  <c r="AA313" i="67"/>
  <c r="Z313" i="67"/>
  <c r="X313" i="67"/>
  <c r="W313" i="67"/>
  <c r="V313" i="67"/>
  <c r="U313" i="67"/>
  <c r="T313" i="67"/>
  <c r="A313" i="67"/>
  <c r="AB312" i="67"/>
  <c r="AA312" i="67"/>
  <c r="Z312" i="67"/>
  <c r="X312" i="67"/>
  <c r="W312" i="67"/>
  <c r="V312" i="67"/>
  <c r="U312" i="67"/>
  <c r="T312" i="67"/>
  <c r="A312" i="67"/>
  <c r="AB311" i="67"/>
  <c r="AA311" i="67"/>
  <c r="Z311" i="67"/>
  <c r="X311" i="67"/>
  <c r="W311" i="67"/>
  <c r="V311" i="67"/>
  <c r="U311" i="67"/>
  <c r="T311" i="67"/>
  <c r="A311" i="67"/>
  <c r="AB310" i="67"/>
  <c r="AA310" i="67"/>
  <c r="Z310" i="67"/>
  <c r="X310" i="67"/>
  <c r="W310" i="67"/>
  <c r="V310" i="67"/>
  <c r="U310" i="67"/>
  <c r="T310" i="67"/>
  <c r="A310" i="67"/>
  <c r="AB309" i="67"/>
  <c r="AA309" i="67"/>
  <c r="Z309" i="67"/>
  <c r="X309" i="67"/>
  <c r="W309" i="67"/>
  <c r="V309" i="67"/>
  <c r="U309" i="67"/>
  <c r="T309" i="67"/>
  <c r="A309" i="67"/>
  <c r="AB308" i="67"/>
  <c r="AA308" i="67"/>
  <c r="Z308" i="67"/>
  <c r="X308" i="67"/>
  <c r="W308" i="67"/>
  <c r="V308" i="67"/>
  <c r="U308" i="67"/>
  <c r="T308" i="67"/>
  <c r="A308" i="67"/>
  <c r="AB307" i="67"/>
  <c r="AA307" i="67"/>
  <c r="Z307" i="67"/>
  <c r="X307" i="67"/>
  <c r="W307" i="67"/>
  <c r="V307" i="67"/>
  <c r="U307" i="67"/>
  <c r="T307" i="67"/>
  <c r="A307" i="67"/>
  <c r="AB306" i="67"/>
  <c r="AA306" i="67"/>
  <c r="Z306" i="67"/>
  <c r="X306" i="67"/>
  <c r="W306" i="67"/>
  <c r="V306" i="67"/>
  <c r="U306" i="67"/>
  <c r="T306" i="67"/>
  <c r="A306" i="67"/>
  <c r="AB305" i="67"/>
  <c r="AA305" i="67"/>
  <c r="Z305" i="67"/>
  <c r="X305" i="67"/>
  <c r="W305" i="67"/>
  <c r="V305" i="67"/>
  <c r="U305" i="67"/>
  <c r="T305" i="67"/>
  <c r="A305" i="67"/>
  <c r="AB304" i="67"/>
  <c r="AA304" i="67"/>
  <c r="Z304" i="67"/>
  <c r="X304" i="67"/>
  <c r="W304" i="67"/>
  <c r="V304" i="67"/>
  <c r="U304" i="67"/>
  <c r="T304" i="67"/>
  <c r="A304" i="67"/>
  <c r="AB303" i="67"/>
  <c r="AA303" i="67"/>
  <c r="Z303" i="67"/>
  <c r="X303" i="67"/>
  <c r="W303" i="67"/>
  <c r="V303" i="67"/>
  <c r="U303" i="67"/>
  <c r="T303" i="67"/>
  <c r="A303" i="67"/>
  <c r="AB302" i="67"/>
  <c r="AA302" i="67"/>
  <c r="Z302" i="67"/>
  <c r="X302" i="67"/>
  <c r="W302" i="67"/>
  <c r="V302" i="67"/>
  <c r="U302" i="67"/>
  <c r="T302" i="67"/>
  <c r="A302" i="67"/>
  <c r="AB301" i="67"/>
  <c r="AA301" i="67"/>
  <c r="Z301" i="67"/>
  <c r="X301" i="67"/>
  <c r="W301" i="67"/>
  <c r="V301" i="67"/>
  <c r="U301" i="67"/>
  <c r="T301" i="67"/>
  <c r="A301" i="67"/>
  <c r="AB300" i="67"/>
  <c r="AA300" i="67"/>
  <c r="Z300" i="67"/>
  <c r="X300" i="67"/>
  <c r="W300" i="67"/>
  <c r="V300" i="67"/>
  <c r="U300" i="67"/>
  <c r="T300" i="67"/>
  <c r="A300" i="67"/>
  <c r="AB299" i="67"/>
  <c r="AA299" i="67"/>
  <c r="Z299" i="67"/>
  <c r="X299" i="67"/>
  <c r="W299" i="67"/>
  <c r="V299" i="67"/>
  <c r="U299" i="67"/>
  <c r="T299" i="67"/>
  <c r="A299" i="67"/>
  <c r="AB298" i="67"/>
  <c r="AA298" i="67"/>
  <c r="Z298" i="67"/>
  <c r="X298" i="67"/>
  <c r="W298" i="67"/>
  <c r="V298" i="67"/>
  <c r="U298" i="67"/>
  <c r="T298" i="67"/>
  <c r="A298" i="67"/>
  <c r="AB297" i="67"/>
  <c r="AA297" i="67"/>
  <c r="Z297" i="67"/>
  <c r="X297" i="67"/>
  <c r="W297" i="67"/>
  <c r="V297" i="67"/>
  <c r="U297" i="67"/>
  <c r="T297" i="67"/>
  <c r="A297" i="67"/>
  <c r="AB296" i="67"/>
  <c r="AA296" i="67"/>
  <c r="Z296" i="67"/>
  <c r="X296" i="67"/>
  <c r="W296" i="67"/>
  <c r="V296" i="67"/>
  <c r="U296" i="67"/>
  <c r="T296" i="67"/>
  <c r="A296" i="67"/>
  <c r="AB295" i="67"/>
  <c r="AA295" i="67"/>
  <c r="Z295" i="67"/>
  <c r="X295" i="67"/>
  <c r="W295" i="67"/>
  <c r="V295" i="67"/>
  <c r="U295" i="67"/>
  <c r="T295" i="67"/>
  <c r="A295" i="67"/>
  <c r="AB294" i="67"/>
  <c r="AA294" i="67"/>
  <c r="Z294" i="67"/>
  <c r="X294" i="67"/>
  <c r="W294" i="67"/>
  <c r="V294" i="67"/>
  <c r="U294" i="67"/>
  <c r="T294" i="67"/>
  <c r="A294" i="67"/>
  <c r="AB293" i="67"/>
  <c r="AA293" i="67"/>
  <c r="Z293" i="67"/>
  <c r="X293" i="67"/>
  <c r="W293" i="67"/>
  <c r="V293" i="67"/>
  <c r="U293" i="67"/>
  <c r="T293" i="67"/>
  <c r="A293" i="67"/>
  <c r="AB292" i="67"/>
  <c r="AA292" i="67"/>
  <c r="Z292" i="67"/>
  <c r="X292" i="67"/>
  <c r="W292" i="67"/>
  <c r="V292" i="67"/>
  <c r="U292" i="67"/>
  <c r="T292" i="67"/>
  <c r="A292" i="67"/>
  <c r="AB291" i="67"/>
  <c r="AA291" i="67"/>
  <c r="Z291" i="67"/>
  <c r="X291" i="67"/>
  <c r="W291" i="67"/>
  <c r="V291" i="67"/>
  <c r="U291" i="67"/>
  <c r="T291" i="67"/>
  <c r="A291" i="67"/>
  <c r="AB290" i="67"/>
  <c r="AA290" i="67"/>
  <c r="Z290" i="67"/>
  <c r="X290" i="67"/>
  <c r="W290" i="67"/>
  <c r="V290" i="67"/>
  <c r="U290" i="67"/>
  <c r="T290" i="67"/>
  <c r="A290" i="67"/>
  <c r="AB289" i="67"/>
  <c r="AA289" i="67"/>
  <c r="Z289" i="67"/>
  <c r="X289" i="67"/>
  <c r="W289" i="67"/>
  <c r="V289" i="67"/>
  <c r="U289" i="67"/>
  <c r="T289" i="67"/>
  <c r="A289" i="67"/>
  <c r="AB288" i="67"/>
  <c r="AA288" i="67"/>
  <c r="Z288" i="67"/>
  <c r="X288" i="67"/>
  <c r="W288" i="67"/>
  <c r="V288" i="67"/>
  <c r="U288" i="67"/>
  <c r="T288" i="67"/>
  <c r="A288" i="67"/>
  <c r="AB287" i="67"/>
  <c r="AA287" i="67"/>
  <c r="Z287" i="67"/>
  <c r="X287" i="67"/>
  <c r="W287" i="67"/>
  <c r="V287" i="67"/>
  <c r="U287" i="67"/>
  <c r="T287" i="67"/>
  <c r="A287" i="67"/>
  <c r="AB286" i="67"/>
  <c r="AA286" i="67"/>
  <c r="Z286" i="67"/>
  <c r="X286" i="67"/>
  <c r="W286" i="67"/>
  <c r="V286" i="67"/>
  <c r="U286" i="67"/>
  <c r="T286" i="67"/>
  <c r="A286" i="67"/>
  <c r="AB285" i="67"/>
  <c r="AA285" i="67"/>
  <c r="Z285" i="67"/>
  <c r="X285" i="67"/>
  <c r="W285" i="67"/>
  <c r="V285" i="67"/>
  <c r="U285" i="67"/>
  <c r="T285" i="67"/>
  <c r="A285" i="67"/>
  <c r="AB284" i="67"/>
  <c r="AA284" i="67"/>
  <c r="Z284" i="67"/>
  <c r="X284" i="67"/>
  <c r="W284" i="67"/>
  <c r="V284" i="67"/>
  <c r="U284" i="67"/>
  <c r="T284" i="67"/>
  <c r="A284" i="67"/>
  <c r="AB283" i="67"/>
  <c r="AA283" i="67"/>
  <c r="Z283" i="67"/>
  <c r="X283" i="67"/>
  <c r="W283" i="67"/>
  <c r="V283" i="67"/>
  <c r="U283" i="67"/>
  <c r="T283" i="67"/>
  <c r="A283" i="67"/>
  <c r="AB282" i="67"/>
  <c r="AA282" i="67"/>
  <c r="Z282" i="67"/>
  <c r="X282" i="67"/>
  <c r="W282" i="67"/>
  <c r="V282" i="67"/>
  <c r="U282" i="67"/>
  <c r="T282" i="67"/>
  <c r="A282" i="67"/>
  <c r="AB281" i="67"/>
  <c r="AA281" i="67"/>
  <c r="Z281" i="67"/>
  <c r="X281" i="67"/>
  <c r="W281" i="67"/>
  <c r="V281" i="67"/>
  <c r="U281" i="67"/>
  <c r="T281" i="67"/>
  <c r="A281" i="67"/>
  <c r="AB280" i="67"/>
  <c r="AA280" i="67"/>
  <c r="Z280" i="67"/>
  <c r="X280" i="67"/>
  <c r="W280" i="67"/>
  <c r="V280" i="67"/>
  <c r="U280" i="67"/>
  <c r="T280" i="67"/>
  <c r="A280" i="67"/>
  <c r="AB279" i="67"/>
  <c r="AA279" i="67"/>
  <c r="Z279" i="67"/>
  <c r="X279" i="67"/>
  <c r="W279" i="67"/>
  <c r="V279" i="67"/>
  <c r="U279" i="67"/>
  <c r="T279" i="67"/>
  <c r="A279" i="67"/>
  <c r="AB278" i="67"/>
  <c r="AA278" i="67"/>
  <c r="Z278" i="67"/>
  <c r="X278" i="67"/>
  <c r="W278" i="67"/>
  <c r="V278" i="67"/>
  <c r="U278" i="67"/>
  <c r="T278" i="67"/>
  <c r="A278" i="67"/>
  <c r="AB277" i="67"/>
  <c r="AA277" i="67"/>
  <c r="Z277" i="67"/>
  <c r="X277" i="67"/>
  <c r="W277" i="67"/>
  <c r="V277" i="67"/>
  <c r="U277" i="67"/>
  <c r="T277" i="67"/>
  <c r="A277" i="67"/>
  <c r="AB276" i="67"/>
  <c r="AA276" i="67"/>
  <c r="Z276" i="67"/>
  <c r="X276" i="67"/>
  <c r="W276" i="67"/>
  <c r="V276" i="67"/>
  <c r="U276" i="67"/>
  <c r="T276" i="67"/>
  <c r="A276" i="67"/>
  <c r="AB275" i="67"/>
  <c r="AA275" i="67"/>
  <c r="Z275" i="67"/>
  <c r="X275" i="67"/>
  <c r="W275" i="67"/>
  <c r="V275" i="67"/>
  <c r="U275" i="67"/>
  <c r="T275" i="67"/>
  <c r="A275" i="67"/>
  <c r="AB274" i="67"/>
  <c r="AA274" i="67"/>
  <c r="Z274" i="67"/>
  <c r="X274" i="67"/>
  <c r="W274" i="67"/>
  <c r="V274" i="67"/>
  <c r="U274" i="67"/>
  <c r="T274" i="67"/>
  <c r="A274" i="67"/>
  <c r="AB273" i="67"/>
  <c r="AA273" i="67"/>
  <c r="Z273" i="67"/>
  <c r="X273" i="67"/>
  <c r="W273" i="67"/>
  <c r="V273" i="67"/>
  <c r="U273" i="67"/>
  <c r="T273" i="67"/>
  <c r="A273" i="67"/>
  <c r="AB272" i="67"/>
  <c r="AA272" i="67"/>
  <c r="Z272" i="67"/>
  <c r="X272" i="67"/>
  <c r="W272" i="67"/>
  <c r="V272" i="67"/>
  <c r="U272" i="67"/>
  <c r="T272" i="67"/>
  <c r="A272" i="67"/>
  <c r="AB271" i="67"/>
  <c r="AA271" i="67"/>
  <c r="Z271" i="67"/>
  <c r="X271" i="67"/>
  <c r="W271" i="67"/>
  <c r="V271" i="67"/>
  <c r="U271" i="67"/>
  <c r="T271" i="67"/>
  <c r="A271" i="67"/>
  <c r="AB270" i="67"/>
  <c r="AA270" i="67"/>
  <c r="Z270" i="67"/>
  <c r="X270" i="67"/>
  <c r="W270" i="67"/>
  <c r="V270" i="67"/>
  <c r="U270" i="67"/>
  <c r="T270" i="67"/>
  <c r="A270" i="67"/>
  <c r="AB269" i="67"/>
  <c r="AA269" i="67"/>
  <c r="Z269" i="67"/>
  <c r="X269" i="67"/>
  <c r="W269" i="67"/>
  <c r="V269" i="67"/>
  <c r="U269" i="67"/>
  <c r="T269" i="67"/>
  <c r="A269" i="67"/>
  <c r="AB268" i="67"/>
  <c r="AA268" i="67"/>
  <c r="Z268" i="67"/>
  <c r="X268" i="67"/>
  <c r="W268" i="67"/>
  <c r="V268" i="67"/>
  <c r="U268" i="67"/>
  <c r="T268" i="67"/>
  <c r="A268" i="67"/>
  <c r="AB267" i="67"/>
  <c r="AA267" i="67"/>
  <c r="Z267" i="67"/>
  <c r="X267" i="67"/>
  <c r="W267" i="67"/>
  <c r="V267" i="67"/>
  <c r="U267" i="67"/>
  <c r="T267" i="67"/>
  <c r="A267" i="67"/>
  <c r="AB266" i="67"/>
  <c r="AA266" i="67"/>
  <c r="Z266" i="67"/>
  <c r="X266" i="67"/>
  <c r="W266" i="67"/>
  <c r="V266" i="67"/>
  <c r="U266" i="67"/>
  <c r="T266" i="67"/>
  <c r="A266" i="67"/>
  <c r="AB265" i="67"/>
  <c r="AA265" i="67"/>
  <c r="Z265" i="67"/>
  <c r="X265" i="67"/>
  <c r="W265" i="67"/>
  <c r="V265" i="67"/>
  <c r="U265" i="67"/>
  <c r="T265" i="67"/>
  <c r="A265" i="67"/>
  <c r="AB264" i="67"/>
  <c r="AA264" i="67"/>
  <c r="Z264" i="67"/>
  <c r="X264" i="67"/>
  <c r="W264" i="67"/>
  <c r="V264" i="67"/>
  <c r="U264" i="67"/>
  <c r="T264" i="67"/>
  <c r="A264" i="67"/>
  <c r="AB263" i="67"/>
  <c r="AA263" i="67"/>
  <c r="Z263" i="67"/>
  <c r="X263" i="67"/>
  <c r="W263" i="67"/>
  <c r="V263" i="67"/>
  <c r="U263" i="67"/>
  <c r="T263" i="67"/>
  <c r="A263" i="67"/>
  <c r="AB262" i="67"/>
  <c r="AA262" i="67"/>
  <c r="Z262" i="67"/>
  <c r="X262" i="67"/>
  <c r="W262" i="67"/>
  <c r="V262" i="67"/>
  <c r="U262" i="67"/>
  <c r="T262" i="67"/>
  <c r="A262" i="67"/>
  <c r="AB261" i="67"/>
  <c r="AA261" i="67"/>
  <c r="Z261" i="67"/>
  <c r="X261" i="67"/>
  <c r="W261" i="67"/>
  <c r="V261" i="67"/>
  <c r="U261" i="67"/>
  <c r="T261" i="67"/>
  <c r="A261" i="67"/>
  <c r="AB260" i="67"/>
  <c r="AA260" i="67"/>
  <c r="Z260" i="67"/>
  <c r="X260" i="67"/>
  <c r="W260" i="67"/>
  <c r="V260" i="67"/>
  <c r="U260" i="67"/>
  <c r="T260" i="67"/>
  <c r="A260" i="67"/>
  <c r="AB259" i="67"/>
  <c r="AA259" i="67"/>
  <c r="Z259" i="67"/>
  <c r="X259" i="67"/>
  <c r="W259" i="67"/>
  <c r="V259" i="67"/>
  <c r="U259" i="67"/>
  <c r="T259" i="67"/>
  <c r="A259" i="67"/>
  <c r="AB258" i="67"/>
  <c r="AA258" i="67"/>
  <c r="Z258" i="67"/>
  <c r="X258" i="67"/>
  <c r="W258" i="67"/>
  <c r="V258" i="67"/>
  <c r="U258" i="67"/>
  <c r="T258" i="67"/>
  <c r="A258" i="67"/>
  <c r="AB257" i="67"/>
  <c r="AA257" i="67"/>
  <c r="Z257" i="67"/>
  <c r="X257" i="67"/>
  <c r="W257" i="67"/>
  <c r="V257" i="67"/>
  <c r="U257" i="67"/>
  <c r="T257" i="67"/>
  <c r="A257" i="67"/>
  <c r="AB256" i="67"/>
  <c r="AA256" i="67"/>
  <c r="Z256" i="67"/>
  <c r="X256" i="67"/>
  <c r="W256" i="67"/>
  <c r="V256" i="67"/>
  <c r="U256" i="67"/>
  <c r="T256" i="67"/>
  <c r="A256" i="67"/>
  <c r="AB255" i="67"/>
  <c r="AA255" i="67"/>
  <c r="Z255" i="67"/>
  <c r="X255" i="67"/>
  <c r="W255" i="67"/>
  <c r="V255" i="67"/>
  <c r="U255" i="67"/>
  <c r="T255" i="67"/>
  <c r="A255" i="67"/>
  <c r="AB254" i="67"/>
  <c r="AA254" i="67"/>
  <c r="Z254" i="67"/>
  <c r="X254" i="67"/>
  <c r="W254" i="67"/>
  <c r="V254" i="67"/>
  <c r="U254" i="67"/>
  <c r="T254" i="67"/>
  <c r="A254" i="67"/>
  <c r="AB253" i="67"/>
  <c r="AA253" i="67"/>
  <c r="Z253" i="67"/>
  <c r="X253" i="67"/>
  <c r="W253" i="67"/>
  <c r="V253" i="67"/>
  <c r="U253" i="67"/>
  <c r="T253" i="67"/>
  <c r="A253" i="67"/>
  <c r="AB252" i="67"/>
  <c r="AA252" i="67"/>
  <c r="Z252" i="67"/>
  <c r="X252" i="67"/>
  <c r="W252" i="67"/>
  <c r="V252" i="67"/>
  <c r="U252" i="67"/>
  <c r="T252" i="67"/>
  <c r="A252" i="67"/>
  <c r="AB251" i="67"/>
  <c r="AA251" i="67"/>
  <c r="Z251" i="67"/>
  <c r="X251" i="67"/>
  <c r="W251" i="67"/>
  <c r="V251" i="67"/>
  <c r="U251" i="67"/>
  <c r="T251" i="67"/>
  <c r="A251" i="67"/>
  <c r="AB250" i="67"/>
  <c r="AA250" i="67"/>
  <c r="Z250" i="67"/>
  <c r="X250" i="67"/>
  <c r="W250" i="67"/>
  <c r="V250" i="67"/>
  <c r="U250" i="67"/>
  <c r="T250" i="67"/>
  <c r="A250" i="67"/>
  <c r="AB249" i="67"/>
  <c r="AA249" i="67"/>
  <c r="Z249" i="67"/>
  <c r="X249" i="67"/>
  <c r="W249" i="67"/>
  <c r="V249" i="67"/>
  <c r="U249" i="67"/>
  <c r="T249" i="67"/>
  <c r="A249" i="67"/>
  <c r="AB248" i="67"/>
  <c r="AA248" i="67"/>
  <c r="Z248" i="67"/>
  <c r="X248" i="67"/>
  <c r="W248" i="67"/>
  <c r="V248" i="67"/>
  <c r="U248" i="67"/>
  <c r="T248" i="67"/>
  <c r="A248" i="67"/>
  <c r="AB247" i="67"/>
  <c r="AA247" i="67"/>
  <c r="Z247" i="67"/>
  <c r="X247" i="67"/>
  <c r="W247" i="67"/>
  <c r="V247" i="67"/>
  <c r="U247" i="67"/>
  <c r="T247" i="67"/>
  <c r="A247" i="67"/>
  <c r="AB246" i="67"/>
  <c r="AA246" i="67"/>
  <c r="Z246" i="67"/>
  <c r="X246" i="67"/>
  <c r="W246" i="67"/>
  <c r="V246" i="67"/>
  <c r="U246" i="67"/>
  <c r="T246" i="67"/>
  <c r="A246" i="67"/>
  <c r="AB245" i="67"/>
  <c r="AA245" i="67"/>
  <c r="Z245" i="67"/>
  <c r="X245" i="67"/>
  <c r="W245" i="67"/>
  <c r="V245" i="67"/>
  <c r="U245" i="67"/>
  <c r="T245" i="67"/>
  <c r="A245" i="67"/>
  <c r="AB244" i="67"/>
  <c r="AA244" i="67"/>
  <c r="Z244" i="67"/>
  <c r="X244" i="67"/>
  <c r="W244" i="67"/>
  <c r="V244" i="67"/>
  <c r="U244" i="67"/>
  <c r="T244" i="67"/>
  <c r="A244" i="67"/>
  <c r="AB243" i="67"/>
  <c r="AA243" i="67"/>
  <c r="Z243" i="67"/>
  <c r="X243" i="67"/>
  <c r="W243" i="67"/>
  <c r="V243" i="67"/>
  <c r="U243" i="67"/>
  <c r="T243" i="67"/>
  <c r="A243" i="67"/>
  <c r="AB242" i="67"/>
  <c r="AA242" i="67"/>
  <c r="Z242" i="67"/>
  <c r="X242" i="67"/>
  <c r="W242" i="67"/>
  <c r="V242" i="67"/>
  <c r="U242" i="67"/>
  <c r="T242" i="67"/>
  <c r="A242" i="67"/>
  <c r="AB241" i="67"/>
  <c r="AA241" i="67"/>
  <c r="Z241" i="67"/>
  <c r="X241" i="67"/>
  <c r="W241" i="67"/>
  <c r="V241" i="67"/>
  <c r="U241" i="67"/>
  <c r="T241" i="67"/>
  <c r="A241" i="67"/>
  <c r="AB240" i="67"/>
  <c r="AA240" i="67"/>
  <c r="Z240" i="67"/>
  <c r="X240" i="67"/>
  <c r="W240" i="67"/>
  <c r="V240" i="67"/>
  <c r="U240" i="67"/>
  <c r="T240" i="67"/>
  <c r="A240" i="67"/>
  <c r="AB239" i="67"/>
  <c r="AA239" i="67"/>
  <c r="Z239" i="67"/>
  <c r="X239" i="67"/>
  <c r="W239" i="67"/>
  <c r="V239" i="67"/>
  <c r="U239" i="67"/>
  <c r="T239" i="67"/>
  <c r="A239" i="67"/>
  <c r="AB238" i="67"/>
  <c r="AA238" i="67"/>
  <c r="Z238" i="67"/>
  <c r="X238" i="67"/>
  <c r="W238" i="67"/>
  <c r="V238" i="67"/>
  <c r="U238" i="67"/>
  <c r="T238" i="67"/>
  <c r="A238" i="67"/>
  <c r="AB237" i="67"/>
  <c r="AA237" i="67"/>
  <c r="Z237" i="67"/>
  <c r="X237" i="67"/>
  <c r="W237" i="67"/>
  <c r="V237" i="67"/>
  <c r="U237" i="67"/>
  <c r="T237" i="67"/>
  <c r="A237" i="67"/>
  <c r="AB236" i="67"/>
  <c r="AA236" i="67"/>
  <c r="Z236" i="67"/>
  <c r="X236" i="67"/>
  <c r="W236" i="67"/>
  <c r="V236" i="67"/>
  <c r="U236" i="67"/>
  <c r="T236" i="67"/>
  <c r="A236" i="67"/>
  <c r="AB235" i="67"/>
  <c r="AA235" i="67"/>
  <c r="Z235" i="67"/>
  <c r="X235" i="67"/>
  <c r="W235" i="67"/>
  <c r="V235" i="67"/>
  <c r="U235" i="67"/>
  <c r="T235" i="67"/>
  <c r="A235" i="67"/>
  <c r="AB234" i="67"/>
  <c r="AA234" i="67"/>
  <c r="Z234" i="67"/>
  <c r="X234" i="67"/>
  <c r="W234" i="67"/>
  <c r="V234" i="67"/>
  <c r="U234" i="67"/>
  <c r="T234" i="67"/>
  <c r="A234" i="67"/>
  <c r="AB233" i="67"/>
  <c r="AA233" i="67"/>
  <c r="Z233" i="67"/>
  <c r="X233" i="67"/>
  <c r="W233" i="67"/>
  <c r="V233" i="67"/>
  <c r="U233" i="67"/>
  <c r="T233" i="67"/>
  <c r="A233" i="67"/>
  <c r="AB232" i="67"/>
  <c r="AA232" i="67"/>
  <c r="Z232" i="67"/>
  <c r="X232" i="67"/>
  <c r="W232" i="67"/>
  <c r="V232" i="67"/>
  <c r="U232" i="67"/>
  <c r="T232" i="67"/>
  <c r="A232" i="67"/>
  <c r="AB231" i="67"/>
  <c r="AA231" i="67"/>
  <c r="Z231" i="67"/>
  <c r="X231" i="67"/>
  <c r="W231" i="67"/>
  <c r="V231" i="67"/>
  <c r="U231" i="67"/>
  <c r="T231" i="67"/>
  <c r="A231" i="67"/>
  <c r="AB230" i="67"/>
  <c r="AA230" i="67"/>
  <c r="Z230" i="67"/>
  <c r="X230" i="67"/>
  <c r="W230" i="67"/>
  <c r="V230" i="67"/>
  <c r="U230" i="67"/>
  <c r="T230" i="67"/>
  <c r="A230" i="67"/>
  <c r="AB229" i="67"/>
  <c r="AA229" i="67"/>
  <c r="Z229" i="67"/>
  <c r="X229" i="67"/>
  <c r="W229" i="67"/>
  <c r="V229" i="67"/>
  <c r="U229" i="67"/>
  <c r="T229" i="67"/>
  <c r="A229" i="67"/>
  <c r="AB228" i="67"/>
  <c r="AA228" i="67"/>
  <c r="Z228" i="67"/>
  <c r="X228" i="67"/>
  <c r="W228" i="67"/>
  <c r="V228" i="67"/>
  <c r="U228" i="67"/>
  <c r="T228" i="67"/>
  <c r="A228" i="67"/>
  <c r="AB227" i="67"/>
  <c r="AA227" i="67"/>
  <c r="Z227" i="67"/>
  <c r="X227" i="67"/>
  <c r="W227" i="67"/>
  <c r="V227" i="67"/>
  <c r="U227" i="67"/>
  <c r="T227" i="67"/>
  <c r="A227" i="67"/>
  <c r="AB226" i="67"/>
  <c r="AA226" i="67"/>
  <c r="Z226" i="67"/>
  <c r="X226" i="67"/>
  <c r="W226" i="67"/>
  <c r="V226" i="67"/>
  <c r="U226" i="67"/>
  <c r="T226" i="67"/>
  <c r="A226" i="67"/>
  <c r="AB225" i="67"/>
  <c r="AA225" i="67"/>
  <c r="Z225" i="67"/>
  <c r="X225" i="67"/>
  <c r="W225" i="67"/>
  <c r="V225" i="67"/>
  <c r="U225" i="67"/>
  <c r="T225" i="67"/>
  <c r="A225" i="67"/>
  <c r="AB224" i="67"/>
  <c r="AA224" i="67"/>
  <c r="Z224" i="67"/>
  <c r="X224" i="67"/>
  <c r="W224" i="67"/>
  <c r="V224" i="67"/>
  <c r="U224" i="67"/>
  <c r="T224" i="67"/>
  <c r="A224" i="67"/>
  <c r="AB223" i="67"/>
  <c r="AA223" i="67"/>
  <c r="Z223" i="67"/>
  <c r="X223" i="67"/>
  <c r="W223" i="67"/>
  <c r="V223" i="67"/>
  <c r="U223" i="67"/>
  <c r="T223" i="67"/>
  <c r="A223" i="67"/>
  <c r="AB222" i="67"/>
  <c r="AA222" i="67"/>
  <c r="Z222" i="67"/>
  <c r="X222" i="67"/>
  <c r="W222" i="67"/>
  <c r="V222" i="67"/>
  <c r="U222" i="67"/>
  <c r="T222" i="67"/>
  <c r="A222" i="67"/>
  <c r="AB221" i="67"/>
  <c r="AA221" i="67"/>
  <c r="Z221" i="67"/>
  <c r="X221" i="67"/>
  <c r="W221" i="67"/>
  <c r="V221" i="67"/>
  <c r="U221" i="67"/>
  <c r="T221" i="67"/>
  <c r="A221" i="67"/>
  <c r="AB220" i="67"/>
  <c r="AA220" i="67"/>
  <c r="Z220" i="67"/>
  <c r="X220" i="67"/>
  <c r="W220" i="67"/>
  <c r="V220" i="67"/>
  <c r="U220" i="67"/>
  <c r="T220" i="67"/>
  <c r="A220" i="67"/>
  <c r="AB219" i="67"/>
  <c r="AA219" i="67"/>
  <c r="Z219" i="67"/>
  <c r="X219" i="67"/>
  <c r="W219" i="67"/>
  <c r="V219" i="67"/>
  <c r="U219" i="67"/>
  <c r="T219" i="67"/>
  <c r="A219" i="67"/>
  <c r="AB218" i="67"/>
  <c r="AA218" i="67"/>
  <c r="Z218" i="67"/>
  <c r="X218" i="67"/>
  <c r="W218" i="67"/>
  <c r="V218" i="67"/>
  <c r="U218" i="67"/>
  <c r="T218" i="67"/>
  <c r="A218" i="67"/>
  <c r="AB217" i="67"/>
  <c r="AA217" i="67"/>
  <c r="Z217" i="67"/>
  <c r="X217" i="67"/>
  <c r="W217" i="67"/>
  <c r="V217" i="67"/>
  <c r="U217" i="67"/>
  <c r="T217" i="67"/>
  <c r="A217" i="67"/>
  <c r="AB216" i="67"/>
  <c r="AA216" i="67"/>
  <c r="Z216" i="67"/>
  <c r="X216" i="67"/>
  <c r="W216" i="67"/>
  <c r="V216" i="67"/>
  <c r="U216" i="67"/>
  <c r="T216" i="67"/>
  <c r="A216" i="67"/>
  <c r="AB215" i="67"/>
  <c r="AA215" i="67"/>
  <c r="Z215" i="67"/>
  <c r="X215" i="67"/>
  <c r="W215" i="67"/>
  <c r="V215" i="67"/>
  <c r="U215" i="67"/>
  <c r="T215" i="67"/>
  <c r="A215" i="67"/>
  <c r="AB214" i="67"/>
  <c r="AA214" i="67"/>
  <c r="Z214" i="67"/>
  <c r="X214" i="67"/>
  <c r="W214" i="67"/>
  <c r="V214" i="67"/>
  <c r="U214" i="67"/>
  <c r="T214" i="67"/>
  <c r="A214" i="67"/>
  <c r="AB213" i="67"/>
  <c r="AA213" i="67"/>
  <c r="Z213" i="67"/>
  <c r="X213" i="67"/>
  <c r="W213" i="67"/>
  <c r="V213" i="67"/>
  <c r="U213" i="67"/>
  <c r="T213" i="67"/>
  <c r="A213" i="67"/>
  <c r="AB212" i="67"/>
  <c r="AA212" i="67"/>
  <c r="Z212" i="67"/>
  <c r="X212" i="67"/>
  <c r="W212" i="67"/>
  <c r="V212" i="67"/>
  <c r="U212" i="67"/>
  <c r="T212" i="67"/>
  <c r="A212" i="67"/>
  <c r="AB211" i="67"/>
  <c r="AA211" i="67"/>
  <c r="Z211" i="67"/>
  <c r="X211" i="67"/>
  <c r="W211" i="67"/>
  <c r="V211" i="67"/>
  <c r="U211" i="67"/>
  <c r="T211" i="67"/>
  <c r="A211" i="67"/>
  <c r="AB210" i="67"/>
  <c r="AA210" i="67"/>
  <c r="Z210" i="67"/>
  <c r="X210" i="67"/>
  <c r="W210" i="67"/>
  <c r="V210" i="67"/>
  <c r="U210" i="67"/>
  <c r="T210" i="67"/>
  <c r="A210" i="67"/>
  <c r="AB209" i="67"/>
  <c r="AA209" i="67"/>
  <c r="Z209" i="67"/>
  <c r="X209" i="67"/>
  <c r="W209" i="67"/>
  <c r="V209" i="67"/>
  <c r="U209" i="67"/>
  <c r="T209" i="67"/>
  <c r="A209" i="67"/>
  <c r="AB208" i="67"/>
  <c r="AA208" i="67"/>
  <c r="Z208" i="67"/>
  <c r="X208" i="67"/>
  <c r="W208" i="67"/>
  <c r="V208" i="67"/>
  <c r="U208" i="67"/>
  <c r="T208" i="67"/>
  <c r="A208" i="67"/>
  <c r="AB207" i="67"/>
  <c r="AA207" i="67"/>
  <c r="Z207" i="67"/>
  <c r="X207" i="67"/>
  <c r="W207" i="67"/>
  <c r="V207" i="67"/>
  <c r="U207" i="67"/>
  <c r="T207" i="67"/>
  <c r="A207" i="67"/>
  <c r="AB206" i="67"/>
  <c r="AA206" i="67"/>
  <c r="Z206" i="67"/>
  <c r="X206" i="67"/>
  <c r="W206" i="67"/>
  <c r="V206" i="67"/>
  <c r="U206" i="67"/>
  <c r="T206" i="67"/>
  <c r="A206" i="67"/>
  <c r="AB205" i="67"/>
  <c r="AA205" i="67"/>
  <c r="Z205" i="67"/>
  <c r="X205" i="67"/>
  <c r="W205" i="67"/>
  <c r="V205" i="67"/>
  <c r="U205" i="67"/>
  <c r="T205" i="67"/>
  <c r="A205" i="67"/>
  <c r="AB204" i="67"/>
  <c r="AA204" i="67"/>
  <c r="Z204" i="67"/>
  <c r="X204" i="67"/>
  <c r="W204" i="67"/>
  <c r="V204" i="67"/>
  <c r="U204" i="67"/>
  <c r="T204" i="67"/>
  <c r="A204" i="67"/>
  <c r="AB203" i="67"/>
  <c r="AA203" i="67"/>
  <c r="Z203" i="67"/>
  <c r="X203" i="67"/>
  <c r="W203" i="67"/>
  <c r="V203" i="67"/>
  <c r="U203" i="67"/>
  <c r="T203" i="67"/>
  <c r="A203" i="67"/>
  <c r="AB202" i="67"/>
  <c r="AA202" i="67"/>
  <c r="Z202" i="67"/>
  <c r="X202" i="67"/>
  <c r="W202" i="67"/>
  <c r="V202" i="67"/>
  <c r="U202" i="67"/>
  <c r="T202" i="67"/>
  <c r="A202" i="67"/>
  <c r="AB201" i="67"/>
  <c r="AA201" i="67"/>
  <c r="Z201" i="67"/>
  <c r="X201" i="67"/>
  <c r="W201" i="67"/>
  <c r="V201" i="67"/>
  <c r="U201" i="67"/>
  <c r="T201" i="67"/>
  <c r="A201" i="67"/>
  <c r="AB200" i="67"/>
  <c r="AA200" i="67"/>
  <c r="Z200" i="67"/>
  <c r="X200" i="67"/>
  <c r="W200" i="67"/>
  <c r="V200" i="67"/>
  <c r="U200" i="67"/>
  <c r="T200" i="67"/>
  <c r="A200" i="67"/>
  <c r="AB199" i="67"/>
  <c r="AA199" i="67"/>
  <c r="Z199" i="67"/>
  <c r="X199" i="67"/>
  <c r="W199" i="67"/>
  <c r="V199" i="67"/>
  <c r="U199" i="67"/>
  <c r="T199" i="67"/>
  <c r="A199" i="67"/>
  <c r="AB198" i="67"/>
  <c r="AA198" i="67"/>
  <c r="Z198" i="67"/>
  <c r="X198" i="67"/>
  <c r="W198" i="67"/>
  <c r="V198" i="67"/>
  <c r="U198" i="67"/>
  <c r="T198" i="67"/>
  <c r="A198" i="67"/>
  <c r="AB197" i="67"/>
  <c r="AA197" i="67"/>
  <c r="Z197" i="67"/>
  <c r="X197" i="67"/>
  <c r="W197" i="67"/>
  <c r="V197" i="67"/>
  <c r="U197" i="67"/>
  <c r="T197" i="67"/>
  <c r="A197" i="67"/>
  <c r="AB196" i="67"/>
  <c r="AA196" i="67"/>
  <c r="Z196" i="67"/>
  <c r="X196" i="67"/>
  <c r="W196" i="67"/>
  <c r="V196" i="67"/>
  <c r="U196" i="67"/>
  <c r="T196" i="67"/>
  <c r="A196" i="67"/>
  <c r="AB195" i="67"/>
  <c r="AA195" i="67"/>
  <c r="Z195" i="67"/>
  <c r="X195" i="67"/>
  <c r="W195" i="67"/>
  <c r="V195" i="67"/>
  <c r="U195" i="67"/>
  <c r="T195" i="67"/>
  <c r="A195" i="67"/>
  <c r="AB194" i="67"/>
  <c r="AA194" i="67"/>
  <c r="Z194" i="67"/>
  <c r="X194" i="67"/>
  <c r="W194" i="67"/>
  <c r="V194" i="67"/>
  <c r="U194" i="67"/>
  <c r="T194" i="67"/>
  <c r="A194" i="67"/>
  <c r="AB193" i="67"/>
  <c r="AA193" i="67"/>
  <c r="Z193" i="67"/>
  <c r="X193" i="67"/>
  <c r="W193" i="67"/>
  <c r="V193" i="67"/>
  <c r="U193" i="67"/>
  <c r="T193" i="67"/>
  <c r="A193" i="67"/>
  <c r="AB192" i="67"/>
  <c r="AA192" i="67"/>
  <c r="Z192" i="67"/>
  <c r="X192" i="67"/>
  <c r="W192" i="67"/>
  <c r="V192" i="67"/>
  <c r="U192" i="67"/>
  <c r="T192" i="67"/>
  <c r="A192" i="67"/>
  <c r="AB191" i="67"/>
  <c r="AA191" i="67"/>
  <c r="Z191" i="67"/>
  <c r="X191" i="67"/>
  <c r="W191" i="67"/>
  <c r="V191" i="67"/>
  <c r="U191" i="67"/>
  <c r="T191" i="67"/>
  <c r="A191" i="67"/>
  <c r="AB190" i="67"/>
  <c r="AA190" i="67"/>
  <c r="Z190" i="67"/>
  <c r="X190" i="67"/>
  <c r="W190" i="67"/>
  <c r="V190" i="67"/>
  <c r="U190" i="67"/>
  <c r="T190" i="67"/>
  <c r="A190" i="67"/>
  <c r="AB189" i="67"/>
  <c r="AA189" i="67"/>
  <c r="Z189" i="67"/>
  <c r="X189" i="67"/>
  <c r="W189" i="67"/>
  <c r="V189" i="67"/>
  <c r="U189" i="67"/>
  <c r="T189" i="67"/>
  <c r="A189" i="67"/>
  <c r="AB188" i="67"/>
  <c r="AA188" i="67"/>
  <c r="Z188" i="67"/>
  <c r="X188" i="67"/>
  <c r="W188" i="67"/>
  <c r="V188" i="67"/>
  <c r="U188" i="67"/>
  <c r="T188" i="67"/>
  <c r="A188" i="67"/>
  <c r="AB187" i="67"/>
  <c r="AA187" i="67"/>
  <c r="Z187" i="67"/>
  <c r="X187" i="67"/>
  <c r="W187" i="67"/>
  <c r="V187" i="67"/>
  <c r="U187" i="67"/>
  <c r="T187" i="67"/>
  <c r="A187" i="67"/>
  <c r="AB186" i="67"/>
  <c r="AA186" i="67"/>
  <c r="Z186" i="67"/>
  <c r="X186" i="67"/>
  <c r="W186" i="67"/>
  <c r="V186" i="67"/>
  <c r="U186" i="67"/>
  <c r="T186" i="67"/>
  <c r="A186" i="67"/>
  <c r="AB185" i="67"/>
  <c r="AA185" i="67"/>
  <c r="Z185" i="67"/>
  <c r="X185" i="67"/>
  <c r="W185" i="67"/>
  <c r="V185" i="67"/>
  <c r="U185" i="67"/>
  <c r="T185" i="67"/>
  <c r="A185" i="67"/>
  <c r="AB184" i="67"/>
  <c r="AA184" i="67"/>
  <c r="Z184" i="67"/>
  <c r="X184" i="67"/>
  <c r="W184" i="67"/>
  <c r="V184" i="67"/>
  <c r="U184" i="67"/>
  <c r="T184" i="67"/>
  <c r="A184" i="67"/>
  <c r="AB183" i="67"/>
  <c r="AA183" i="67"/>
  <c r="Z183" i="67"/>
  <c r="X183" i="67"/>
  <c r="W183" i="67"/>
  <c r="V183" i="67"/>
  <c r="U183" i="67"/>
  <c r="T183" i="67"/>
  <c r="A183" i="67"/>
  <c r="AB182" i="67"/>
  <c r="AA182" i="67"/>
  <c r="Z182" i="67"/>
  <c r="X182" i="67"/>
  <c r="W182" i="67"/>
  <c r="V182" i="67"/>
  <c r="U182" i="67"/>
  <c r="T182" i="67"/>
  <c r="A182" i="67"/>
  <c r="AB181" i="67"/>
  <c r="AA181" i="67"/>
  <c r="Z181" i="67"/>
  <c r="X181" i="67"/>
  <c r="W181" i="67"/>
  <c r="V181" i="67"/>
  <c r="U181" i="67"/>
  <c r="T181" i="67"/>
  <c r="A181" i="67"/>
  <c r="AB180" i="67"/>
  <c r="AA180" i="67"/>
  <c r="Z180" i="67"/>
  <c r="X180" i="67"/>
  <c r="W180" i="67"/>
  <c r="V180" i="67"/>
  <c r="U180" i="67"/>
  <c r="T180" i="67"/>
  <c r="A180" i="67"/>
  <c r="AB179" i="67"/>
  <c r="AA179" i="67"/>
  <c r="Z179" i="67"/>
  <c r="X179" i="67"/>
  <c r="W179" i="67"/>
  <c r="V179" i="67"/>
  <c r="U179" i="67"/>
  <c r="T179" i="67"/>
  <c r="A179" i="67"/>
  <c r="AB178" i="67"/>
  <c r="AA178" i="67"/>
  <c r="Z178" i="67"/>
  <c r="X178" i="67"/>
  <c r="W178" i="67"/>
  <c r="V178" i="67"/>
  <c r="U178" i="67"/>
  <c r="T178" i="67"/>
  <c r="A178" i="67"/>
  <c r="AB177" i="67"/>
  <c r="AA177" i="67"/>
  <c r="Z177" i="67"/>
  <c r="X177" i="67"/>
  <c r="W177" i="67"/>
  <c r="V177" i="67"/>
  <c r="U177" i="67"/>
  <c r="T177" i="67"/>
  <c r="A177" i="67"/>
  <c r="AB176" i="67"/>
  <c r="AA176" i="67"/>
  <c r="Z176" i="67"/>
  <c r="X176" i="67"/>
  <c r="W176" i="67"/>
  <c r="V176" i="67"/>
  <c r="U176" i="67"/>
  <c r="T176" i="67"/>
  <c r="A176" i="67"/>
  <c r="AB175" i="67"/>
  <c r="AA175" i="67"/>
  <c r="Z175" i="67"/>
  <c r="X175" i="67"/>
  <c r="W175" i="67"/>
  <c r="V175" i="67"/>
  <c r="U175" i="67"/>
  <c r="T175" i="67"/>
  <c r="A175" i="67"/>
  <c r="AB174" i="67"/>
  <c r="AA174" i="67"/>
  <c r="Z174" i="67"/>
  <c r="X174" i="67"/>
  <c r="W174" i="67"/>
  <c r="V174" i="67"/>
  <c r="U174" i="67"/>
  <c r="T174" i="67"/>
  <c r="A174" i="67"/>
  <c r="AB173" i="67"/>
  <c r="AA173" i="67"/>
  <c r="Z173" i="67"/>
  <c r="X173" i="67"/>
  <c r="W173" i="67"/>
  <c r="V173" i="67"/>
  <c r="U173" i="67"/>
  <c r="T173" i="67"/>
  <c r="A173" i="67"/>
  <c r="AB172" i="67"/>
  <c r="AA172" i="67"/>
  <c r="Z172" i="67"/>
  <c r="X172" i="67"/>
  <c r="W172" i="67"/>
  <c r="V172" i="67"/>
  <c r="U172" i="67"/>
  <c r="T172" i="67"/>
  <c r="A172" i="67"/>
  <c r="AB171" i="67"/>
  <c r="AA171" i="67"/>
  <c r="Z171" i="67"/>
  <c r="X171" i="67"/>
  <c r="W171" i="67"/>
  <c r="V171" i="67"/>
  <c r="U171" i="67"/>
  <c r="T171" i="67"/>
  <c r="A171" i="67"/>
  <c r="AB170" i="67"/>
  <c r="AA170" i="67"/>
  <c r="Z170" i="67"/>
  <c r="X170" i="67"/>
  <c r="W170" i="67"/>
  <c r="V170" i="67"/>
  <c r="U170" i="67"/>
  <c r="T170" i="67"/>
  <c r="A170" i="67"/>
  <c r="AB169" i="67"/>
  <c r="AA169" i="67"/>
  <c r="Z169" i="67"/>
  <c r="X169" i="67"/>
  <c r="W169" i="67"/>
  <c r="V169" i="67"/>
  <c r="U169" i="67"/>
  <c r="T169" i="67"/>
  <c r="A169" i="67"/>
  <c r="AB168" i="67"/>
  <c r="AA168" i="67"/>
  <c r="Z168" i="67"/>
  <c r="X168" i="67"/>
  <c r="W168" i="67"/>
  <c r="V168" i="67"/>
  <c r="U168" i="67"/>
  <c r="T168" i="67"/>
  <c r="A168" i="67"/>
  <c r="AB167" i="67"/>
  <c r="AA167" i="67"/>
  <c r="Z167" i="67"/>
  <c r="X167" i="67"/>
  <c r="W167" i="67"/>
  <c r="V167" i="67"/>
  <c r="U167" i="67"/>
  <c r="T167" i="67"/>
  <c r="A167" i="67"/>
  <c r="AB166" i="67"/>
  <c r="AA166" i="67"/>
  <c r="Z166" i="67"/>
  <c r="X166" i="67"/>
  <c r="W166" i="67"/>
  <c r="V166" i="67"/>
  <c r="U166" i="67"/>
  <c r="T166" i="67"/>
  <c r="A166" i="67"/>
  <c r="AB165" i="67"/>
  <c r="AA165" i="67"/>
  <c r="Z165" i="67"/>
  <c r="X165" i="67"/>
  <c r="W165" i="67"/>
  <c r="V165" i="67"/>
  <c r="U165" i="67"/>
  <c r="T165" i="67"/>
  <c r="A165" i="67"/>
  <c r="AB164" i="67"/>
  <c r="AA164" i="67"/>
  <c r="Z164" i="67"/>
  <c r="X164" i="67"/>
  <c r="W164" i="67"/>
  <c r="V164" i="67"/>
  <c r="U164" i="67"/>
  <c r="T164" i="67"/>
  <c r="A164" i="67"/>
  <c r="AB163" i="67"/>
  <c r="AA163" i="67"/>
  <c r="Z163" i="67"/>
  <c r="X163" i="67"/>
  <c r="W163" i="67"/>
  <c r="V163" i="67"/>
  <c r="U163" i="67"/>
  <c r="T163" i="67"/>
  <c r="A163" i="67"/>
  <c r="AB162" i="67"/>
  <c r="AA162" i="67"/>
  <c r="Z162" i="67"/>
  <c r="X162" i="67"/>
  <c r="W162" i="67"/>
  <c r="V162" i="67"/>
  <c r="U162" i="67"/>
  <c r="T162" i="67"/>
  <c r="A162" i="67"/>
  <c r="AB161" i="67"/>
  <c r="AA161" i="67"/>
  <c r="Z161" i="67"/>
  <c r="X161" i="67"/>
  <c r="W161" i="67"/>
  <c r="V161" i="67"/>
  <c r="U161" i="67"/>
  <c r="T161" i="67"/>
  <c r="A161" i="67"/>
  <c r="AB160" i="67"/>
  <c r="AA160" i="67"/>
  <c r="Z160" i="67"/>
  <c r="X160" i="67"/>
  <c r="W160" i="67"/>
  <c r="V160" i="67"/>
  <c r="U160" i="67"/>
  <c r="T160" i="67"/>
  <c r="A160" i="67"/>
  <c r="AB159" i="67"/>
  <c r="AA159" i="67"/>
  <c r="Z159" i="67"/>
  <c r="X159" i="67"/>
  <c r="W159" i="67"/>
  <c r="V159" i="67"/>
  <c r="U159" i="67"/>
  <c r="T159" i="67"/>
  <c r="A159" i="67"/>
  <c r="AB158" i="67"/>
  <c r="AA158" i="67"/>
  <c r="Z158" i="67"/>
  <c r="X158" i="67"/>
  <c r="W158" i="67"/>
  <c r="V158" i="67"/>
  <c r="U158" i="67"/>
  <c r="T158" i="67"/>
  <c r="A158" i="67"/>
  <c r="AB157" i="67"/>
  <c r="AA157" i="67"/>
  <c r="Z157" i="67"/>
  <c r="X157" i="67"/>
  <c r="W157" i="67"/>
  <c r="V157" i="67"/>
  <c r="U157" i="67"/>
  <c r="T157" i="67"/>
  <c r="A157" i="67"/>
  <c r="AB156" i="67"/>
  <c r="AA156" i="67"/>
  <c r="Z156" i="67"/>
  <c r="X156" i="67"/>
  <c r="W156" i="67"/>
  <c r="V156" i="67"/>
  <c r="U156" i="67"/>
  <c r="T156" i="67"/>
  <c r="A156" i="67"/>
  <c r="AB155" i="67"/>
  <c r="AA155" i="67"/>
  <c r="Z155" i="67"/>
  <c r="X155" i="67"/>
  <c r="W155" i="67"/>
  <c r="V155" i="67"/>
  <c r="U155" i="67"/>
  <c r="T155" i="67"/>
  <c r="A155" i="67"/>
  <c r="AB154" i="67"/>
  <c r="AA154" i="67"/>
  <c r="Z154" i="67"/>
  <c r="X154" i="67"/>
  <c r="W154" i="67"/>
  <c r="V154" i="67"/>
  <c r="U154" i="67"/>
  <c r="T154" i="67"/>
  <c r="A154" i="67"/>
  <c r="AB153" i="67"/>
  <c r="AA153" i="67"/>
  <c r="Z153" i="67"/>
  <c r="X153" i="67"/>
  <c r="W153" i="67"/>
  <c r="V153" i="67"/>
  <c r="U153" i="67"/>
  <c r="T153" i="67"/>
  <c r="A153" i="67"/>
  <c r="AB152" i="67"/>
  <c r="AA152" i="67"/>
  <c r="Z152" i="67"/>
  <c r="X152" i="67"/>
  <c r="W152" i="67"/>
  <c r="V152" i="67"/>
  <c r="U152" i="67"/>
  <c r="T152" i="67"/>
  <c r="A152" i="67"/>
  <c r="AB151" i="67"/>
  <c r="AA151" i="67"/>
  <c r="Z151" i="67"/>
  <c r="X151" i="67"/>
  <c r="W151" i="67"/>
  <c r="V151" i="67"/>
  <c r="U151" i="67"/>
  <c r="T151" i="67"/>
  <c r="A151" i="67"/>
  <c r="AB150" i="67"/>
  <c r="AA150" i="67"/>
  <c r="Z150" i="67"/>
  <c r="X150" i="67"/>
  <c r="W150" i="67"/>
  <c r="V150" i="67"/>
  <c r="U150" i="67"/>
  <c r="T150" i="67"/>
  <c r="A150" i="67"/>
  <c r="AB149" i="67"/>
  <c r="AA149" i="67"/>
  <c r="Z149" i="67"/>
  <c r="X149" i="67"/>
  <c r="W149" i="67"/>
  <c r="V149" i="67"/>
  <c r="U149" i="67"/>
  <c r="T149" i="67"/>
  <c r="A149" i="67"/>
  <c r="AB148" i="67"/>
  <c r="AA148" i="67"/>
  <c r="Z148" i="67"/>
  <c r="X148" i="67"/>
  <c r="W148" i="67"/>
  <c r="V148" i="67"/>
  <c r="U148" i="67"/>
  <c r="T148" i="67"/>
  <c r="A148" i="67"/>
  <c r="AB147" i="67"/>
  <c r="AA147" i="67"/>
  <c r="Z147" i="67"/>
  <c r="X147" i="67"/>
  <c r="W147" i="67"/>
  <c r="V147" i="67"/>
  <c r="U147" i="67"/>
  <c r="T147" i="67"/>
  <c r="A147" i="67"/>
  <c r="AB146" i="67"/>
  <c r="AA146" i="67"/>
  <c r="Z146" i="67"/>
  <c r="X146" i="67"/>
  <c r="W146" i="67"/>
  <c r="V146" i="67"/>
  <c r="U146" i="67"/>
  <c r="T146" i="67"/>
  <c r="A146" i="67"/>
  <c r="AB145" i="67"/>
  <c r="AA145" i="67"/>
  <c r="Z145" i="67"/>
  <c r="X145" i="67"/>
  <c r="W145" i="67"/>
  <c r="V145" i="67"/>
  <c r="U145" i="67"/>
  <c r="T145" i="67"/>
  <c r="A145" i="67"/>
  <c r="AB144" i="67"/>
  <c r="AA144" i="67"/>
  <c r="Z144" i="67"/>
  <c r="X144" i="67"/>
  <c r="W144" i="67"/>
  <c r="V144" i="67"/>
  <c r="U144" i="67"/>
  <c r="T144" i="67"/>
  <c r="A144" i="67"/>
  <c r="AB143" i="67"/>
  <c r="AA143" i="67"/>
  <c r="Z143" i="67"/>
  <c r="X143" i="67"/>
  <c r="W143" i="67"/>
  <c r="V143" i="67"/>
  <c r="U143" i="67"/>
  <c r="T143" i="67"/>
  <c r="A143" i="67"/>
  <c r="AB142" i="67"/>
  <c r="AA142" i="67"/>
  <c r="Z142" i="67"/>
  <c r="X142" i="67"/>
  <c r="W142" i="67"/>
  <c r="V142" i="67"/>
  <c r="U142" i="67"/>
  <c r="T142" i="67"/>
  <c r="A142" i="67"/>
  <c r="AB141" i="67"/>
  <c r="AA141" i="67"/>
  <c r="Z141" i="67"/>
  <c r="X141" i="67"/>
  <c r="W141" i="67"/>
  <c r="V141" i="67"/>
  <c r="U141" i="67"/>
  <c r="T141" i="67"/>
  <c r="A141" i="67"/>
  <c r="AB140" i="67"/>
  <c r="AA140" i="67"/>
  <c r="Z140" i="67"/>
  <c r="X140" i="67"/>
  <c r="W140" i="67"/>
  <c r="V140" i="67"/>
  <c r="U140" i="67"/>
  <c r="T140" i="67"/>
  <c r="A140" i="67"/>
  <c r="AB139" i="67"/>
  <c r="AA139" i="67"/>
  <c r="Z139" i="67"/>
  <c r="X139" i="67"/>
  <c r="W139" i="67"/>
  <c r="V139" i="67"/>
  <c r="U139" i="67"/>
  <c r="T139" i="67"/>
  <c r="A139" i="67"/>
  <c r="AB138" i="67"/>
  <c r="AA138" i="67"/>
  <c r="Z138" i="67"/>
  <c r="X138" i="67"/>
  <c r="W138" i="67"/>
  <c r="V138" i="67"/>
  <c r="U138" i="67"/>
  <c r="T138" i="67"/>
  <c r="A138" i="67"/>
  <c r="AB137" i="67"/>
  <c r="AA137" i="67"/>
  <c r="Z137" i="67"/>
  <c r="X137" i="67"/>
  <c r="W137" i="67"/>
  <c r="V137" i="67"/>
  <c r="U137" i="67"/>
  <c r="T137" i="67"/>
  <c r="A137" i="67"/>
  <c r="AB136" i="67"/>
  <c r="AA136" i="67"/>
  <c r="Z136" i="67"/>
  <c r="X136" i="67"/>
  <c r="W136" i="67"/>
  <c r="V136" i="67"/>
  <c r="U136" i="67"/>
  <c r="T136" i="67"/>
  <c r="A136" i="67"/>
  <c r="AB135" i="67"/>
  <c r="AA135" i="67"/>
  <c r="Z135" i="67"/>
  <c r="X135" i="67"/>
  <c r="W135" i="67"/>
  <c r="V135" i="67"/>
  <c r="U135" i="67"/>
  <c r="T135" i="67"/>
  <c r="A135" i="67"/>
  <c r="AB134" i="67"/>
  <c r="AA134" i="67"/>
  <c r="Z134" i="67"/>
  <c r="X134" i="67"/>
  <c r="W134" i="67"/>
  <c r="V134" i="67"/>
  <c r="U134" i="67"/>
  <c r="T134" i="67"/>
  <c r="A134" i="67"/>
  <c r="AB133" i="67"/>
  <c r="AA133" i="67"/>
  <c r="Z133" i="67"/>
  <c r="X133" i="67"/>
  <c r="W133" i="67"/>
  <c r="V133" i="67"/>
  <c r="U133" i="67"/>
  <c r="T133" i="67"/>
  <c r="A133" i="67"/>
  <c r="AB132" i="67"/>
  <c r="AA132" i="67"/>
  <c r="Z132" i="67"/>
  <c r="X132" i="67"/>
  <c r="W132" i="67"/>
  <c r="V132" i="67"/>
  <c r="U132" i="67"/>
  <c r="T132" i="67"/>
  <c r="A132" i="67"/>
  <c r="AB131" i="67"/>
  <c r="AA131" i="67"/>
  <c r="Z131" i="67"/>
  <c r="X131" i="67"/>
  <c r="W131" i="67"/>
  <c r="V131" i="67"/>
  <c r="U131" i="67"/>
  <c r="T131" i="67"/>
  <c r="A131" i="67"/>
  <c r="AB130" i="67"/>
  <c r="AA130" i="67"/>
  <c r="Z130" i="67"/>
  <c r="X130" i="67"/>
  <c r="W130" i="67"/>
  <c r="V130" i="67"/>
  <c r="U130" i="67"/>
  <c r="T130" i="67"/>
  <c r="A130" i="67"/>
  <c r="AB129" i="67"/>
  <c r="AA129" i="67"/>
  <c r="Z129" i="67"/>
  <c r="X129" i="67"/>
  <c r="W129" i="67"/>
  <c r="V129" i="67"/>
  <c r="U129" i="67"/>
  <c r="T129" i="67"/>
  <c r="A129" i="67"/>
  <c r="AB128" i="67"/>
  <c r="AA128" i="67"/>
  <c r="Z128" i="67"/>
  <c r="X128" i="67"/>
  <c r="W128" i="67"/>
  <c r="V128" i="67"/>
  <c r="U128" i="67"/>
  <c r="T128" i="67"/>
  <c r="A128" i="67"/>
  <c r="AB127" i="67"/>
  <c r="AA127" i="67"/>
  <c r="Z127" i="67"/>
  <c r="X127" i="67"/>
  <c r="W127" i="67"/>
  <c r="V127" i="67"/>
  <c r="U127" i="67"/>
  <c r="T127" i="67"/>
  <c r="A127" i="67"/>
  <c r="AB126" i="67"/>
  <c r="AA126" i="67"/>
  <c r="Z126" i="67"/>
  <c r="X126" i="67"/>
  <c r="W126" i="67"/>
  <c r="V126" i="67"/>
  <c r="U126" i="67"/>
  <c r="T126" i="67"/>
  <c r="A126" i="67"/>
  <c r="AB125" i="67"/>
  <c r="AA125" i="67"/>
  <c r="Z125" i="67"/>
  <c r="X125" i="67"/>
  <c r="W125" i="67"/>
  <c r="V125" i="67"/>
  <c r="U125" i="67"/>
  <c r="T125" i="67"/>
  <c r="A125" i="67"/>
  <c r="AB124" i="67"/>
  <c r="AA124" i="67"/>
  <c r="Z124" i="67"/>
  <c r="X124" i="67"/>
  <c r="W124" i="67"/>
  <c r="V124" i="67"/>
  <c r="U124" i="67"/>
  <c r="T124" i="67"/>
  <c r="A124" i="67"/>
  <c r="AB123" i="67"/>
  <c r="AA123" i="67"/>
  <c r="Z123" i="67"/>
  <c r="X123" i="67"/>
  <c r="W123" i="67"/>
  <c r="V123" i="67"/>
  <c r="U123" i="67"/>
  <c r="T123" i="67"/>
  <c r="A123" i="67"/>
  <c r="AB122" i="67"/>
  <c r="AA122" i="67"/>
  <c r="Z122" i="67"/>
  <c r="X122" i="67"/>
  <c r="W122" i="67"/>
  <c r="V122" i="67"/>
  <c r="U122" i="67"/>
  <c r="T122" i="67"/>
  <c r="A122" i="67"/>
  <c r="AB121" i="67"/>
  <c r="AA121" i="67"/>
  <c r="Z121" i="67"/>
  <c r="X121" i="67"/>
  <c r="W121" i="67"/>
  <c r="V121" i="67"/>
  <c r="U121" i="67"/>
  <c r="T121" i="67"/>
  <c r="A121" i="67"/>
  <c r="AB120" i="67"/>
  <c r="AA120" i="67"/>
  <c r="Z120" i="67"/>
  <c r="X120" i="67"/>
  <c r="W120" i="67"/>
  <c r="V120" i="67"/>
  <c r="U120" i="67"/>
  <c r="T120" i="67"/>
  <c r="A120" i="67"/>
  <c r="AB119" i="67"/>
  <c r="AA119" i="67"/>
  <c r="Z119" i="67"/>
  <c r="X119" i="67"/>
  <c r="W119" i="67"/>
  <c r="V119" i="67"/>
  <c r="U119" i="67"/>
  <c r="T119" i="67"/>
  <c r="A119" i="67"/>
  <c r="AB118" i="67"/>
  <c r="AA118" i="67"/>
  <c r="Z118" i="67"/>
  <c r="X118" i="67"/>
  <c r="W118" i="67"/>
  <c r="V118" i="67"/>
  <c r="U118" i="67"/>
  <c r="T118" i="67"/>
  <c r="A118" i="67"/>
  <c r="AB117" i="67"/>
  <c r="AA117" i="67"/>
  <c r="Z117" i="67"/>
  <c r="X117" i="67"/>
  <c r="W117" i="67"/>
  <c r="V117" i="67"/>
  <c r="U117" i="67"/>
  <c r="T117" i="67"/>
  <c r="A117" i="67"/>
  <c r="AB116" i="67"/>
  <c r="AA116" i="67"/>
  <c r="Z116" i="67"/>
  <c r="X116" i="67"/>
  <c r="W116" i="67"/>
  <c r="V116" i="67"/>
  <c r="U116" i="67"/>
  <c r="T116" i="67"/>
  <c r="A116" i="67"/>
  <c r="AB115" i="67"/>
  <c r="AA115" i="67"/>
  <c r="Z115" i="67"/>
  <c r="X115" i="67"/>
  <c r="W115" i="67"/>
  <c r="V115" i="67"/>
  <c r="U115" i="67"/>
  <c r="T115" i="67"/>
  <c r="A115" i="67"/>
  <c r="AB114" i="67"/>
  <c r="AA114" i="67"/>
  <c r="Z114" i="67"/>
  <c r="X114" i="67"/>
  <c r="W114" i="67"/>
  <c r="V114" i="67"/>
  <c r="U114" i="67"/>
  <c r="T114" i="67"/>
  <c r="A114" i="67"/>
  <c r="AB113" i="67"/>
  <c r="AA113" i="67"/>
  <c r="Z113" i="67"/>
  <c r="X113" i="67"/>
  <c r="W113" i="67"/>
  <c r="V113" i="67"/>
  <c r="U113" i="67"/>
  <c r="T113" i="67"/>
  <c r="A113" i="67"/>
  <c r="AB112" i="67"/>
  <c r="AA112" i="67"/>
  <c r="Z112" i="67"/>
  <c r="X112" i="67"/>
  <c r="W112" i="67"/>
  <c r="V112" i="67"/>
  <c r="U112" i="67"/>
  <c r="T112" i="67"/>
  <c r="A112" i="67"/>
  <c r="AB111" i="67"/>
  <c r="AA111" i="67"/>
  <c r="Z111" i="67"/>
  <c r="X111" i="67"/>
  <c r="W111" i="67"/>
  <c r="V111" i="67"/>
  <c r="U111" i="67"/>
  <c r="T111" i="67"/>
  <c r="A111" i="67"/>
  <c r="AB110" i="67"/>
  <c r="AA110" i="67"/>
  <c r="Z110" i="67"/>
  <c r="X110" i="67"/>
  <c r="W110" i="67"/>
  <c r="V110" i="67"/>
  <c r="U110" i="67"/>
  <c r="T110" i="67"/>
  <c r="A110" i="67"/>
  <c r="AB109" i="67"/>
  <c r="AA109" i="67"/>
  <c r="Z109" i="67"/>
  <c r="X109" i="67"/>
  <c r="W109" i="67"/>
  <c r="V109" i="67"/>
  <c r="U109" i="67"/>
  <c r="T109" i="67"/>
  <c r="A109" i="67"/>
  <c r="AB108" i="67"/>
  <c r="AA108" i="67"/>
  <c r="Z108" i="67"/>
  <c r="X108" i="67"/>
  <c r="W108" i="67"/>
  <c r="V108" i="67"/>
  <c r="U108" i="67"/>
  <c r="T108" i="67"/>
  <c r="A108" i="67"/>
  <c r="AB107" i="67"/>
  <c r="AA107" i="67"/>
  <c r="Z107" i="67"/>
  <c r="X107" i="67"/>
  <c r="W107" i="67"/>
  <c r="V107" i="67"/>
  <c r="U107" i="67"/>
  <c r="T107" i="67"/>
  <c r="A107" i="67"/>
  <c r="AB106" i="67"/>
  <c r="AA106" i="67"/>
  <c r="Z106" i="67"/>
  <c r="X106" i="67"/>
  <c r="W106" i="67"/>
  <c r="V106" i="67"/>
  <c r="U106" i="67"/>
  <c r="T106" i="67"/>
  <c r="A106" i="67"/>
  <c r="AB105" i="67"/>
  <c r="AA105" i="67"/>
  <c r="Z105" i="67"/>
  <c r="X105" i="67"/>
  <c r="W105" i="67"/>
  <c r="V105" i="67"/>
  <c r="U105" i="67"/>
  <c r="T105" i="67"/>
  <c r="A105" i="67"/>
  <c r="AB104" i="67"/>
  <c r="AA104" i="67"/>
  <c r="Z104" i="67"/>
  <c r="X104" i="67"/>
  <c r="W104" i="67"/>
  <c r="V104" i="67"/>
  <c r="U104" i="67"/>
  <c r="T104" i="67"/>
  <c r="A104" i="67"/>
  <c r="AB103" i="67"/>
  <c r="AA103" i="67"/>
  <c r="Z103" i="67"/>
  <c r="X103" i="67"/>
  <c r="W103" i="67"/>
  <c r="V103" i="67"/>
  <c r="U103" i="67"/>
  <c r="T103" i="67"/>
  <c r="A103" i="67"/>
  <c r="AB102" i="67"/>
  <c r="AA102" i="67"/>
  <c r="Z102" i="67"/>
  <c r="X102" i="67"/>
  <c r="W102" i="67"/>
  <c r="V102" i="67"/>
  <c r="U102" i="67"/>
  <c r="T102" i="67"/>
  <c r="A102" i="67"/>
  <c r="AB101" i="67"/>
  <c r="AA101" i="67"/>
  <c r="Z101" i="67"/>
  <c r="X101" i="67"/>
  <c r="W101" i="67"/>
  <c r="V101" i="67"/>
  <c r="U101" i="67"/>
  <c r="T101" i="67"/>
  <c r="A101" i="67"/>
  <c r="AB100" i="67"/>
  <c r="AA100" i="67"/>
  <c r="Z100" i="67"/>
  <c r="X100" i="67"/>
  <c r="W100" i="67"/>
  <c r="V100" i="67"/>
  <c r="U100" i="67"/>
  <c r="T100" i="67"/>
  <c r="A100" i="67"/>
  <c r="AB99" i="67"/>
  <c r="AA99" i="67"/>
  <c r="Z99" i="67"/>
  <c r="X99" i="67"/>
  <c r="W99" i="67"/>
  <c r="V99" i="67"/>
  <c r="U99" i="67"/>
  <c r="T99" i="67"/>
  <c r="A99" i="67"/>
  <c r="AB98" i="67"/>
  <c r="AA98" i="67"/>
  <c r="Z98" i="67"/>
  <c r="X98" i="67"/>
  <c r="W98" i="67"/>
  <c r="V98" i="67"/>
  <c r="U98" i="67"/>
  <c r="T98" i="67"/>
  <c r="A98" i="67"/>
  <c r="AB97" i="67"/>
  <c r="AA97" i="67"/>
  <c r="Z97" i="67"/>
  <c r="X97" i="67"/>
  <c r="W97" i="67"/>
  <c r="V97" i="67"/>
  <c r="U97" i="67"/>
  <c r="T97" i="67"/>
  <c r="A97" i="67"/>
  <c r="AB96" i="67"/>
  <c r="AA96" i="67"/>
  <c r="Z96" i="67"/>
  <c r="X96" i="67"/>
  <c r="W96" i="67"/>
  <c r="V96" i="67"/>
  <c r="U96" i="67"/>
  <c r="T96" i="67"/>
  <c r="A96" i="67"/>
  <c r="AB95" i="67"/>
  <c r="AA95" i="67"/>
  <c r="Z95" i="67"/>
  <c r="X95" i="67"/>
  <c r="W95" i="67"/>
  <c r="V95" i="67"/>
  <c r="U95" i="67"/>
  <c r="T95" i="67"/>
  <c r="A95" i="67"/>
  <c r="AB94" i="67"/>
  <c r="AA94" i="67"/>
  <c r="Z94" i="67"/>
  <c r="X94" i="67"/>
  <c r="W94" i="67"/>
  <c r="V94" i="67"/>
  <c r="U94" i="67"/>
  <c r="T94" i="67"/>
  <c r="A94" i="67"/>
  <c r="AB93" i="67"/>
  <c r="AA93" i="67"/>
  <c r="Z93" i="67"/>
  <c r="X93" i="67"/>
  <c r="W93" i="67"/>
  <c r="V93" i="67"/>
  <c r="U93" i="67"/>
  <c r="T93" i="67"/>
  <c r="A93" i="67"/>
  <c r="AB92" i="67"/>
  <c r="AA92" i="67"/>
  <c r="Z92" i="67"/>
  <c r="X92" i="67"/>
  <c r="W92" i="67"/>
  <c r="V92" i="67"/>
  <c r="U92" i="67"/>
  <c r="T92" i="67"/>
  <c r="A92" i="67"/>
  <c r="AB91" i="67"/>
  <c r="AA91" i="67"/>
  <c r="Z91" i="67"/>
  <c r="X91" i="67"/>
  <c r="W91" i="67"/>
  <c r="V91" i="67"/>
  <c r="U91" i="67"/>
  <c r="T91" i="67"/>
  <c r="A91" i="67"/>
  <c r="AB90" i="67"/>
  <c r="AA90" i="67"/>
  <c r="Z90" i="67"/>
  <c r="X90" i="67"/>
  <c r="W90" i="67"/>
  <c r="V90" i="67"/>
  <c r="U90" i="67"/>
  <c r="T90" i="67"/>
  <c r="A90" i="67"/>
  <c r="AB89" i="67"/>
  <c r="AA89" i="67"/>
  <c r="Z89" i="67"/>
  <c r="X89" i="67"/>
  <c r="W89" i="67"/>
  <c r="V89" i="67"/>
  <c r="U89" i="67"/>
  <c r="T89" i="67"/>
  <c r="A89" i="67"/>
  <c r="AB88" i="67"/>
  <c r="AA88" i="67"/>
  <c r="Z88" i="67"/>
  <c r="X88" i="67"/>
  <c r="W88" i="67"/>
  <c r="V88" i="67"/>
  <c r="U88" i="67"/>
  <c r="T88" i="67"/>
  <c r="A88" i="67"/>
  <c r="AB87" i="67"/>
  <c r="AA87" i="67"/>
  <c r="Z87" i="67"/>
  <c r="X87" i="67"/>
  <c r="W87" i="67"/>
  <c r="V87" i="67"/>
  <c r="U87" i="67"/>
  <c r="T87" i="67"/>
  <c r="A87" i="67"/>
  <c r="AB86" i="67"/>
  <c r="AA86" i="67"/>
  <c r="Z86" i="67"/>
  <c r="X86" i="67"/>
  <c r="W86" i="67"/>
  <c r="V86" i="67"/>
  <c r="U86" i="67"/>
  <c r="T86" i="67"/>
  <c r="A86" i="67"/>
  <c r="AB85" i="67"/>
  <c r="AA85" i="67"/>
  <c r="Z85" i="67"/>
  <c r="X85" i="67"/>
  <c r="W85" i="67"/>
  <c r="V85" i="67"/>
  <c r="U85" i="67"/>
  <c r="T85" i="67"/>
  <c r="A85" i="67"/>
  <c r="AB84" i="67"/>
  <c r="AA84" i="67"/>
  <c r="Z84" i="67"/>
  <c r="X84" i="67"/>
  <c r="W84" i="67"/>
  <c r="V84" i="67"/>
  <c r="U84" i="67"/>
  <c r="T84" i="67"/>
  <c r="A84" i="67"/>
  <c r="AB83" i="67"/>
  <c r="AA83" i="67"/>
  <c r="Z83" i="67"/>
  <c r="X83" i="67"/>
  <c r="W83" i="67"/>
  <c r="V83" i="67"/>
  <c r="U83" i="67"/>
  <c r="T83" i="67"/>
  <c r="A83" i="67"/>
  <c r="AB82" i="67"/>
  <c r="AA82" i="67"/>
  <c r="Z82" i="67"/>
  <c r="X82" i="67"/>
  <c r="W82" i="67"/>
  <c r="V82" i="67"/>
  <c r="U82" i="67"/>
  <c r="T82" i="67"/>
  <c r="A82" i="67"/>
  <c r="AB81" i="67"/>
  <c r="AA81" i="67"/>
  <c r="Z81" i="67"/>
  <c r="X81" i="67"/>
  <c r="W81" i="67"/>
  <c r="V81" i="67"/>
  <c r="U81" i="67"/>
  <c r="T81" i="67"/>
  <c r="A81" i="67"/>
  <c r="AB80" i="67"/>
  <c r="AA80" i="67"/>
  <c r="Z80" i="67"/>
  <c r="X80" i="67"/>
  <c r="W80" i="67"/>
  <c r="V80" i="67"/>
  <c r="U80" i="67"/>
  <c r="T80" i="67"/>
  <c r="A80" i="67"/>
  <c r="AB79" i="67"/>
  <c r="AA79" i="67"/>
  <c r="Z79" i="67"/>
  <c r="X79" i="67"/>
  <c r="W79" i="67"/>
  <c r="V79" i="67"/>
  <c r="U79" i="67"/>
  <c r="T79" i="67"/>
  <c r="A79" i="67"/>
  <c r="AB78" i="67"/>
  <c r="AA78" i="67"/>
  <c r="Z78" i="67"/>
  <c r="X78" i="67"/>
  <c r="W78" i="67"/>
  <c r="V78" i="67"/>
  <c r="U78" i="67"/>
  <c r="T78" i="67"/>
  <c r="A78" i="67"/>
  <c r="AB77" i="67"/>
  <c r="AA77" i="67"/>
  <c r="Z77" i="67"/>
  <c r="X77" i="67"/>
  <c r="W77" i="67"/>
  <c r="V77" i="67"/>
  <c r="U77" i="67"/>
  <c r="T77" i="67"/>
  <c r="A77" i="67"/>
  <c r="AB76" i="67"/>
  <c r="AA76" i="67"/>
  <c r="Z76" i="67"/>
  <c r="X76" i="67"/>
  <c r="W76" i="67"/>
  <c r="V76" i="67"/>
  <c r="U76" i="67"/>
  <c r="T76" i="67"/>
  <c r="A76" i="67"/>
  <c r="AB75" i="67"/>
  <c r="AA75" i="67"/>
  <c r="Z75" i="67"/>
  <c r="X75" i="67"/>
  <c r="W75" i="67"/>
  <c r="V75" i="67"/>
  <c r="U75" i="67"/>
  <c r="T75" i="67"/>
  <c r="A75" i="67"/>
  <c r="AB74" i="67"/>
  <c r="AA74" i="67"/>
  <c r="Z74" i="67"/>
  <c r="X74" i="67"/>
  <c r="W74" i="67"/>
  <c r="V74" i="67"/>
  <c r="U74" i="67"/>
  <c r="T74" i="67"/>
  <c r="A74" i="67"/>
  <c r="AB73" i="67"/>
  <c r="AA73" i="67"/>
  <c r="Z73" i="67"/>
  <c r="X73" i="67"/>
  <c r="W73" i="67"/>
  <c r="V73" i="67"/>
  <c r="U73" i="67"/>
  <c r="T73" i="67"/>
  <c r="A73" i="67"/>
  <c r="AB72" i="67"/>
  <c r="AA72" i="67"/>
  <c r="Z72" i="67"/>
  <c r="X72" i="67"/>
  <c r="W72" i="67"/>
  <c r="V72" i="67"/>
  <c r="U72" i="67"/>
  <c r="T72" i="67"/>
  <c r="A72" i="67"/>
  <c r="AB71" i="67"/>
  <c r="AA71" i="67"/>
  <c r="Z71" i="67"/>
  <c r="X71" i="67"/>
  <c r="W71" i="67"/>
  <c r="V71" i="67"/>
  <c r="U71" i="67"/>
  <c r="T71" i="67"/>
  <c r="A71" i="67"/>
  <c r="AB70" i="67"/>
  <c r="AA70" i="67"/>
  <c r="Z70" i="67"/>
  <c r="X70" i="67"/>
  <c r="W70" i="67"/>
  <c r="V70" i="67"/>
  <c r="U70" i="67"/>
  <c r="T70" i="67"/>
  <c r="A70" i="67"/>
  <c r="AB69" i="67"/>
  <c r="AA69" i="67"/>
  <c r="Z69" i="67"/>
  <c r="X69" i="67"/>
  <c r="W69" i="67"/>
  <c r="V69" i="67"/>
  <c r="U69" i="67"/>
  <c r="T69" i="67"/>
  <c r="A69" i="67"/>
  <c r="AB68" i="67"/>
  <c r="AA68" i="67"/>
  <c r="Z68" i="67"/>
  <c r="X68" i="67"/>
  <c r="W68" i="67"/>
  <c r="V68" i="67"/>
  <c r="U68" i="67"/>
  <c r="T68" i="67"/>
  <c r="A68" i="67"/>
  <c r="AB67" i="67"/>
  <c r="AA67" i="67"/>
  <c r="Z67" i="67"/>
  <c r="X67" i="67"/>
  <c r="W67" i="67"/>
  <c r="V67" i="67"/>
  <c r="U67" i="67"/>
  <c r="T67" i="67"/>
  <c r="A67" i="67"/>
  <c r="AB66" i="67"/>
  <c r="AA66" i="67"/>
  <c r="Z66" i="67"/>
  <c r="X66" i="67"/>
  <c r="W66" i="67"/>
  <c r="V66" i="67"/>
  <c r="U66" i="67"/>
  <c r="T66" i="67"/>
  <c r="A66" i="67"/>
  <c r="AB65" i="67"/>
  <c r="AA65" i="67"/>
  <c r="Z65" i="67"/>
  <c r="X65" i="67"/>
  <c r="W65" i="67"/>
  <c r="V65" i="67"/>
  <c r="U65" i="67"/>
  <c r="T65" i="67"/>
  <c r="A65" i="67"/>
  <c r="AB64" i="67"/>
  <c r="AA64" i="67"/>
  <c r="Z64" i="67"/>
  <c r="X64" i="67"/>
  <c r="W64" i="67"/>
  <c r="V64" i="67"/>
  <c r="U64" i="67"/>
  <c r="T64" i="67"/>
  <c r="A64" i="67"/>
  <c r="AB63" i="67"/>
  <c r="AA63" i="67"/>
  <c r="Z63" i="67"/>
  <c r="X63" i="67"/>
  <c r="W63" i="67"/>
  <c r="V63" i="67"/>
  <c r="U63" i="67"/>
  <c r="T63" i="67"/>
  <c r="A63" i="67"/>
  <c r="AB62" i="67"/>
  <c r="AA62" i="67"/>
  <c r="Z62" i="67"/>
  <c r="X62" i="67"/>
  <c r="W62" i="67"/>
  <c r="V62" i="67"/>
  <c r="U62" i="67"/>
  <c r="T62" i="67"/>
  <c r="A62" i="67"/>
  <c r="AB61" i="67"/>
  <c r="AA61" i="67"/>
  <c r="Z61" i="67"/>
  <c r="X61" i="67"/>
  <c r="W61" i="67"/>
  <c r="V61" i="67"/>
  <c r="U61" i="67"/>
  <c r="T61" i="67"/>
  <c r="A61" i="67"/>
  <c r="AB60" i="67"/>
  <c r="AA60" i="67"/>
  <c r="Z60" i="67"/>
  <c r="X60" i="67"/>
  <c r="W60" i="67"/>
  <c r="V60" i="67"/>
  <c r="U60" i="67"/>
  <c r="T60" i="67"/>
  <c r="A60" i="67"/>
  <c r="AB59" i="67"/>
  <c r="AA59" i="67"/>
  <c r="Z59" i="67"/>
  <c r="X59" i="67"/>
  <c r="W59" i="67"/>
  <c r="V59" i="67"/>
  <c r="U59" i="67"/>
  <c r="T59" i="67"/>
  <c r="A59" i="67"/>
  <c r="AB58" i="67"/>
  <c r="AA58" i="67"/>
  <c r="Z58" i="67"/>
  <c r="X58" i="67"/>
  <c r="W58" i="67"/>
  <c r="V58" i="67"/>
  <c r="U58" i="67"/>
  <c r="T58" i="67"/>
  <c r="A58" i="67"/>
  <c r="AB57" i="67"/>
  <c r="AA57" i="67"/>
  <c r="Z57" i="67"/>
  <c r="X57" i="67"/>
  <c r="W57" i="67"/>
  <c r="V57" i="67"/>
  <c r="U57" i="67"/>
  <c r="T57" i="67"/>
  <c r="A57" i="67"/>
  <c r="AB56" i="67"/>
  <c r="AA56" i="67"/>
  <c r="Z56" i="67"/>
  <c r="X56" i="67"/>
  <c r="W56" i="67"/>
  <c r="V56" i="67"/>
  <c r="U56" i="67"/>
  <c r="T56" i="67"/>
  <c r="A56" i="67"/>
  <c r="AB55" i="67"/>
  <c r="AA55" i="67"/>
  <c r="Z55" i="67"/>
  <c r="X55" i="67"/>
  <c r="W55" i="67"/>
  <c r="V55" i="67"/>
  <c r="U55" i="67"/>
  <c r="T55" i="67"/>
  <c r="A55" i="67"/>
  <c r="AB54" i="67"/>
  <c r="AA54" i="67"/>
  <c r="Z54" i="67"/>
  <c r="X54" i="67"/>
  <c r="W54" i="67"/>
  <c r="V54" i="67"/>
  <c r="U54" i="67"/>
  <c r="T54" i="67"/>
  <c r="A54" i="67"/>
  <c r="AB53" i="67"/>
  <c r="AA53" i="67"/>
  <c r="Z53" i="67"/>
  <c r="X53" i="67"/>
  <c r="W53" i="67"/>
  <c r="V53" i="67"/>
  <c r="U53" i="67"/>
  <c r="T53" i="67"/>
  <c r="A53" i="67"/>
  <c r="AB52" i="67"/>
  <c r="AA52" i="67"/>
  <c r="Z52" i="67"/>
  <c r="X52" i="67"/>
  <c r="W52" i="67"/>
  <c r="V52" i="67"/>
  <c r="U52" i="67"/>
  <c r="T52" i="67"/>
  <c r="A52" i="67"/>
  <c r="AB51" i="67"/>
  <c r="AA51" i="67"/>
  <c r="Z51" i="67"/>
  <c r="X51" i="67"/>
  <c r="W51" i="67"/>
  <c r="V51" i="67"/>
  <c r="U51" i="67"/>
  <c r="T51" i="67"/>
  <c r="A51" i="67"/>
  <c r="AB50" i="67"/>
  <c r="AA50" i="67"/>
  <c r="Z50" i="67"/>
  <c r="X50" i="67"/>
  <c r="W50" i="67"/>
  <c r="V50" i="67"/>
  <c r="U50" i="67"/>
  <c r="T50" i="67"/>
  <c r="A50" i="67"/>
  <c r="AB49" i="67"/>
  <c r="AA49" i="67"/>
  <c r="Z49" i="67"/>
  <c r="X49" i="67"/>
  <c r="W49" i="67"/>
  <c r="V49" i="67"/>
  <c r="U49" i="67"/>
  <c r="T49" i="67"/>
  <c r="A49" i="67"/>
  <c r="AB48" i="67"/>
  <c r="AA48" i="67"/>
  <c r="Z48" i="67"/>
  <c r="X48" i="67"/>
  <c r="W48" i="67"/>
  <c r="V48" i="67"/>
  <c r="U48" i="67"/>
  <c r="T48" i="67"/>
  <c r="A48" i="67"/>
  <c r="AB47" i="67"/>
  <c r="AA47" i="67"/>
  <c r="Z47" i="67"/>
  <c r="X47" i="67"/>
  <c r="W47" i="67"/>
  <c r="V47" i="67"/>
  <c r="U47" i="67"/>
  <c r="T47" i="67"/>
  <c r="A47" i="67"/>
  <c r="AB46" i="67"/>
  <c r="AA46" i="67"/>
  <c r="Z46" i="67"/>
  <c r="X46" i="67"/>
  <c r="W46" i="67"/>
  <c r="V46" i="67"/>
  <c r="U46" i="67"/>
  <c r="T46" i="67"/>
  <c r="A46" i="67"/>
  <c r="AB45" i="67"/>
  <c r="AA45" i="67"/>
  <c r="Z45" i="67"/>
  <c r="X45" i="67"/>
  <c r="W45" i="67"/>
  <c r="V45" i="67"/>
  <c r="U45" i="67"/>
  <c r="T45" i="67"/>
  <c r="A45" i="67"/>
  <c r="AB44" i="67"/>
  <c r="AA44" i="67"/>
  <c r="Z44" i="67"/>
  <c r="X44" i="67"/>
  <c r="W44" i="67"/>
  <c r="V44" i="67"/>
  <c r="U44" i="67"/>
  <c r="T44" i="67"/>
  <c r="A44" i="67"/>
  <c r="AB43" i="67"/>
  <c r="AA43" i="67"/>
  <c r="Z43" i="67"/>
  <c r="X43" i="67"/>
  <c r="W43" i="67"/>
  <c r="V43" i="67"/>
  <c r="U43" i="67"/>
  <c r="T43" i="67"/>
  <c r="A43" i="67"/>
  <c r="AB42" i="67"/>
  <c r="AA42" i="67"/>
  <c r="Z42" i="67"/>
  <c r="X42" i="67"/>
  <c r="W42" i="67"/>
  <c r="V42" i="67"/>
  <c r="U42" i="67"/>
  <c r="T42" i="67"/>
  <c r="A42" i="67"/>
  <c r="AB41" i="67"/>
  <c r="AA41" i="67"/>
  <c r="Z41" i="67"/>
  <c r="X41" i="67"/>
  <c r="W41" i="67"/>
  <c r="V41" i="67"/>
  <c r="U41" i="67"/>
  <c r="T41" i="67"/>
  <c r="A41" i="67"/>
  <c r="AB40" i="67"/>
  <c r="AA40" i="67"/>
  <c r="Z40" i="67"/>
  <c r="X40" i="67"/>
  <c r="W40" i="67"/>
  <c r="V40" i="67"/>
  <c r="U40" i="67"/>
  <c r="T40" i="67"/>
  <c r="A40" i="67"/>
  <c r="AB39" i="67"/>
  <c r="AA39" i="67"/>
  <c r="Z39" i="67"/>
  <c r="X39" i="67"/>
  <c r="W39" i="67"/>
  <c r="V39" i="67"/>
  <c r="U39" i="67"/>
  <c r="T39" i="67"/>
  <c r="A39" i="67"/>
  <c r="AB38" i="67"/>
  <c r="AA38" i="67"/>
  <c r="Z38" i="67"/>
  <c r="X38" i="67"/>
  <c r="W38" i="67"/>
  <c r="V38" i="67"/>
  <c r="U38" i="67"/>
  <c r="T38" i="67"/>
  <c r="A38" i="67"/>
  <c r="AB37" i="67"/>
  <c r="AA37" i="67"/>
  <c r="Z37" i="67"/>
  <c r="X37" i="67"/>
  <c r="W37" i="67"/>
  <c r="V37" i="67"/>
  <c r="U37" i="67"/>
  <c r="T37" i="67"/>
  <c r="A37" i="67"/>
  <c r="AB36" i="67"/>
  <c r="AA36" i="67"/>
  <c r="Z36" i="67"/>
  <c r="X36" i="67"/>
  <c r="W36" i="67"/>
  <c r="V36" i="67"/>
  <c r="U36" i="67"/>
  <c r="T36" i="67"/>
  <c r="A36" i="67"/>
  <c r="AB35" i="67"/>
  <c r="AA35" i="67"/>
  <c r="Z35" i="67"/>
  <c r="X35" i="67"/>
  <c r="W35" i="67"/>
  <c r="V35" i="67"/>
  <c r="U35" i="67"/>
  <c r="T35" i="67"/>
  <c r="A35" i="67"/>
  <c r="AB34" i="67"/>
  <c r="AA34" i="67"/>
  <c r="Z34" i="67"/>
  <c r="X34" i="67"/>
  <c r="W34" i="67"/>
  <c r="V34" i="67"/>
  <c r="U34" i="67"/>
  <c r="T34" i="67"/>
  <c r="A34" i="67"/>
  <c r="AB33" i="67"/>
  <c r="AA33" i="67"/>
  <c r="Z33" i="67"/>
  <c r="X33" i="67"/>
  <c r="W33" i="67"/>
  <c r="V33" i="67"/>
  <c r="U33" i="67"/>
  <c r="T33" i="67"/>
  <c r="A33" i="67"/>
  <c r="AB32" i="67"/>
  <c r="AA32" i="67"/>
  <c r="Z32" i="67"/>
  <c r="X32" i="67"/>
  <c r="W32" i="67"/>
  <c r="V32" i="67"/>
  <c r="U32" i="67"/>
  <c r="T32" i="67"/>
  <c r="A32" i="67"/>
  <c r="AB31" i="67"/>
  <c r="AA31" i="67"/>
  <c r="Z31" i="67"/>
  <c r="X31" i="67"/>
  <c r="W31" i="67"/>
  <c r="V31" i="67"/>
  <c r="U31" i="67"/>
  <c r="T31" i="67"/>
  <c r="A31" i="67"/>
  <c r="AB30" i="67"/>
  <c r="AA30" i="67"/>
  <c r="Z30" i="67"/>
  <c r="X30" i="67"/>
  <c r="W30" i="67"/>
  <c r="V30" i="67"/>
  <c r="U30" i="67"/>
  <c r="T30" i="67"/>
  <c r="A30" i="67"/>
  <c r="AB29" i="67"/>
  <c r="AA29" i="67"/>
  <c r="Z29" i="67"/>
  <c r="X29" i="67"/>
  <c r="W29" i="67"/>
  <c r="V29" i="67"/>
  <c r="U29" i="67"/>
  <c r="T29" i="67"/>
  <c r="A29" i="67"/>
  <c r="AB28" i="67"/>
  <c r="AA28" i="67"/>
  <c r="Z28" i="67"/>
  <c r="X28" i="67"/>
  <c r="W28" i="67"/>
  <c r="V28" i="67"/>
  <c r="U28" i="67"/>
  <c r="T28" i="67"/>
  <c r="A28" i="67"/>
  <c r="AB27" i="67"/>
  <c r="AA27" i="67"/>
  <c r="Z27" i="67"/>
  <c r="X27" i="67"/>
  <c r="W27" i="67"/>
  <c r="V27" i="67"/>
  <c r="U27" i="67"/>
  <c r="T27" i="67"/>
  <c r="A27" i="67"/>
  <c r="AB26" i="67"/>
  <c r="AA26" i="67"/>
  <c r="Z26" i="67"/>
  <c r="X26" i="67"/>
  <c r="W26" i="67"/>
  <c r="V26" i="67"/>
  <c r="U26" i="67"/>
  <c r="T26" i="67"/>
  <c r="A26" i="67"/>
  <c r="AB25" i="67"/>
  <c r="AA25" i="67"/>
  <c r="Z25" i="67"/>
  <c r="X25" i="67"/>
  <c r="W25" i="67"/>
  <c r="V25" i="67"/>
  <c r="U25" i="67"/>
  <c r="T25" i="67"/>
  <c r="A25" i="67"/>
  <c r="AB24" i="67"/>
  <c r="AA24" i="67"/>
  <c r="Z24" i="67"/>
  <c r="X24" i="67"/>
  <c r="W24" i="67"/>
  <c r="V24" i="67"/>
  <c r="U24" i="67"/>
  <c r="T24" i="67"/>
  <c r="A24" i="67"/>
  <c r="AB23" i="67"/>
  <c r="AA23" i="67"/>
  <c r="Z23" i="67"/>
  <c r="X23" i="67"/>
  <c r="W23" i="67"/>
  <c r="V23" i="67"/>
  <c r="U23" i="67"/>
  <c r="T23" i="67"/>
  <c r="A23" i="67"/>
  <c r="AB22" i="67"/>
  <c r="AA22" i="67"/>
  <c r="Z22" i="67"/>
  <c r="X22" i="67"/>
  <c r="W22" i="67"/>
  <c r="V22" i="67"/>
  <c r="U22" i="67"/>
  <c r="T22" i="67"/>
  <c r="A22" i="67"/>
  <c r="AB21" i="67"/>
  <c r="AA21" i="67"/>
  <c r="Z21" i="67"/>
  <c r="X21" i="67"/>
  <c r="W21" i="67"/>
  <c r="V21" i="67"/>
  <c r="U21" i="67"/>
  <c r="T21" i="67"/>
  <c r="A21" i="67"/>
  <c r="AB20" i="67"/>
  <c r="AA20" i="67"/>
  <c r="Z20" i="67"/>
  <c r="X20" i="67"/>
  <c r="W20" i="67"/>
  <c r="V20" i="67"/>
  <c r="U20" i="67"/>
  <c r="T20" i="67"/>
  <c r="A20" i="67"/>
  <c r="AB19" i="67"/>
  <c r="AA19" i="67"/>
  <c r="Z19" i="67"/>
  <c r="X19" i="67"/>
  <c r="W19" i="67"/>
  <c r="V19" i="67"/>
  <c r="U19" i="67"/>
  <c r="T19" i="67"/>
  <c r="A19" i="67"/>
  <c r="AB18" i="67"/>
  <c r="AA18" i="67"/>
  <c r="Z18" i="67"/>
  <c r="X18" i="67"/>
  <c r="W18" i="67"/>
  <c r="V18" i="67"/>
  <c r="U18" i="67"/>
  <c r="T18" i="67"/>
  <c r="A18" i="67"/>
  <c r="AB17" i="67"/>
  <c r="AA17" i="67"/>
  <c r="Z17" i="67"/>
  <c r="X17" i="67"/>
  <c r="W17" i="67"/>
  <c r="V17" i="67"/>
  <c r="U17" i="67"/>
  <c r="T17" i="67"/>
  <c r="A17" i="67"/>
  <c r="AB16" i="67"/>
  <c r="AA16" i="67"/>
  <c r="Z16" i="67"/>
  <c r="X16" i="67"/>
  <c r="W16" i="67"/>
  <c r="V16" i="67"/>
  <c r="U16" i="67"/>
  <c r="T16" i="67"/>
  <c r="A16" i="67"/>
  <c r="AB15" i="67"/>
  <c r="AA15" i="67"/>
  <c r="Z15" i="67"/>
  <c r="X15" i="67"/>
  <c r="W15" i="67"/>
  <c r="V15" i="67"/>
  <c r="U15" i="67"/>
  <c r="T15" i="67"/>
  <c r="A15" i="67"/>
  <c r="AB14" i="67"/>
  <c r="AA14" i="67"/>
  <c r="Z14" i="67"/>
  <c r="X14" i="67"/>
  <c r="W14" i="67"/>
  <c r="V14" i="67"/>
  <c r="U14" i="67"/>
  <c r="T14" i="67"/>
  <c r="A14" i="67"/>
  <c r="AB13" i="67"/>
  <c r="AA13" i="67"/>
  <c r="Z13" i="67"/>
  <c r="X13" i="67"/>
  <c r="W13" i="67"/>
  <c r="V13" i="67"/>
  <c r="U13" i="67"/>
  <c r="T13" i="67"/>
  <c r="A13" i="67"/>
  <c r="AB12" i="67"/>
  <c r="AA12" i="67"/>
  <c r="Z12" i="67"/>
  <c r="X12" i="67"/>
  <c r="W12" i="67"/>
  <c r="V12" i="67"/>
  <c r="U12" i="67"/>
  <c r="T12" i="67"/>
  <c r="A12" i="67"/>
  <c r="AB11" i="67"/>
  <c r="AA11" i="67"/>
  <c r="Z11" i="67"/>
  <c r="X11" i="67"/>
  <c r="W11" i="67"/>
  <c r="V11" i="67"/>
  <c r="U11" i="67"/>
  <c r="T11" i="67"/>
  <c r="A11" i="67"/>
  <c r="AB10" i="67"/>
  <c r="AA10" i="67"/>
  <c r="Z10" i="67"/>
  <c r="X10" i="67"/>
  <c r="W10" i="67"/>
  <c r="V10" i="67"/>
  <c r="U10" i="67"/>
  <c r="T10" i="67"/>
  <c r="A10" i="67"/>
  <c r="AB9" i="67"/>
  <c r="AA9" i="67"/>
  <c r="Z9" i="67"/>
  <c r="X9" i="67"/>
  <c r="W9" i="67"/>
  <c r="V9" i="67"/>
  <c r="U9" i="67"/>
  <c r="T9" i="67"/>
  <c r="AB8" i="67"/>
  <c r="AA8" i="67"/>
  <c r="Z8" i="67"/>
  <c r="X8" i="67"/>
  <c r="W8" i="67"/>
  <c r="V8" i="67"/>
  <c r="U8" i="67"/>
  <c r="T8" i="67"/>
  <c r="AB7" i="67"/>
  <c r="AA7" i="67"/>
  <c r="Z7" i="67"/>
  <c r="X7" i="67"/>
  <c r="W7" i="67"/>
  <c r="V7" i="67"/>
  <c r="U7" i="67"/>
  <c r="T7" i="67"/>
  <c r="AB6" i="67"/>
  <c r="AA6" i="67"/>
  <c r="Z6" i="67"/>
  <c r="X6" i="67"/>
  <c r="W6" i="67"/>
  <c r="V6" i="67"/>
  <c r="U6" i="67"/>
  <c r="T6" i="67"/>
  <c r="AB5" i="67"/>
  <c r="AA5" i="67"/>
  <c r="Z5" i="67"/>
  <c r="X5" i="67"/>
  <c r="W5" i="67"/>
  <c r="V5" i="67"/>
  <c r="U5" i="67"/>
  <c r="T5" i="67"/>
  <c r="AB4" i="67"/>
  <c r="AA4" i="67"/>
  <c r="Z4" i="67"/>
  <c r="X4" i="67"/>
  <c r="W4" i="67"/>
  <c r="V4" i="67"/>
  <c r="U4" i="67"/>
  <c r="T4" i="67"/>
  <c r="D6" i="64"/>
  <c r="I26" i="60"/>
  <c r="D6" i="59"/>
  <c r="K18" i="63"/>
  <c r="N18" i="63"/>
  <c r="Q18" i="63"/>
  <c r="K15" i="63"/>
  <c r="N15" i="63"/>
  <c r="Q15" i="63"/>
  <c r="K13" i="63"/>
  <c r="N13" i="63"/>
  <c r="Q13" i="63"/>
  <c r="K7" i="63"/>
  <c r="N7" i="63"/>
  <c r="Q7" i="63"/>
  <c r="B72" i="64"/>
  <c r="C72" i="64"/>
  <c r="D72" i="64"/>
  <c r="E72" i="64"/>
  <c r="F72" i="64"/>
  <c r="G72" i="64"/>
  <c r="H72" i="64"/>
  <c r="I72" i="64"/>
  <c r="J72" i="64"/>
  <c r="K72" i="64"/>
  <c r="L72" i="64"/>
  <c r="M72" i="64"/>
  <c r="N72" i="64"/>
  <c r="O72" i="64"/>
  <c r="P72" i="64"/>
  <c r="Q72" i="64"/>
  <c r="R72" i="64"/>
  <c r="S72" i="64"/>
  <c r="T72" i="64"/>
  <c r="U72" i="64"/>
  <c r="V72" i="64"/>
  <c r="B73" i="64"/>
  <c r="C73" i="64"/>
  <c r="D73" i="64"/>
  <c r="E73" i="64"/>
  <c r="F73" i="64"/>
  <c r="G73" i="64"/>
  <c r="H73" i="64"/>
  <c r="I73" i="64"/>
  <c r="J73" i="64"/>
  <c r="K73" i="64"/>
  <c r="L73" i="64"/>
  <c r="M73" i="64"/>
  <c r="N73" i="64"/>
  <c r="O73" i="64"/>
  <c r="P73" i="64"/>
  <c r="Q73" i="64"/>
  <c r="R73" i="64"/>
  <c r="S73" i="64"/>
  <c r="T73" i="64"/>
  <c r="U73" i="64"/>
  <c r="V73" i="64"/>
  <c r="B74" i="64"/>
  <c r="C74" i="64"/>
  <c r="D74" i="64"/>
  <c r="E74" i="64"/>
  <c r="F74" i="64"/>
  <c r="G74" i="64"/>
  <c r="H74" i="64"/>
  <c r="I74" i="64"/>
  <c r="J74" i="64"/>
  <c r="K74" i="64"/>
  <c r="L74" i="64"/>
  <c r="M74" i="64"/>
  <c r="N74" i="64"/>
  <c r="O74" i="64"/>
  <c r="P74" i="64"/>
  <c r="Q74" i="64"/>
  <c r="R74" i="64"/>
  <c r="S74" i="64"/>
  <c r="T74" i="64"/>
  <c r="U74" i="64"/>
  <c r="V74" i="64"/>
  <c r="B75" i="64"/>
  <c r="C75" i="64"/>
  <c r="D75" i="64"/>
  <c r="E75" i="64"/>
  <c r="F75" i="64"/>
  <c r="G75" i="64"/>
  <c r="H75" i="64"/>
  <c r="I75" i="64"/>
  <c r="J75" i="64"/>
  <c r="K75" i="64"/>
  <c r="L75" i="64"/>
  <c r="M75" i="64"/>
  <c r="N75" i="64"/>
  <c r="O75" i="64"/>
  <c r="P75" i="64"/>
  <c r="Q75" i="64"/>
  <c r="R75" i="64"/>
  <c r="S75" i="64"/>
  <c r="T75" i="64"/>
  <c r="U75" i="64"/>
  <c r="V75" i="64"/>
  <c r="B76" i="64"/>
  <c r="C76" i="64"/>
  <c r="D76" i="64"/>
  <c r="E76" i="64"/>
  <c r="F76" i="64"/>
  <c r="G76" i="64"/>
  <c r="H76" i="64"/>
  <c r="I76" i="64"/>
  <c r="J76" i="64"/>
  <c r="K76" i="64"/>
  <c r="L76" i="64"/>
  <c r="M76" i="64"/>
  <c r="N76" i="64"/>
  <c r="O76" i="64"/>
  <c r="P76" i="64"/>
  <c r="Q76" i="64"/>
  <c r="R76" i="64"/>
  <c r="S76" i="64"/>
  <c r="T76" i="64"/>
  <c r="U76" i="64"/>
  <c r="V76" i="64"/>
  <c r="B77" i="64"/>
  <c r="C77" i="64"/>
  <c r="D77" i="64"/>
  <c r="E77" i="64"/>
  <c r="F77" i="64"/>
  <c r="G77" i="64"/>
  <c r="H77" i="64"/>
  <c r="I77" i="64"/>
  <c r="J77" i="64"/>
  <c r="K77" i="64"/>
  <c r="L77" i="64"/>
  <c r="M77" i="64"/>
  <c r="N77" i="64"/>
  <c r="O77" i="64"/>
  <c r="P77" i="64"/>
  <c r="Q77" i="64"/>
  <c r="R77" i="64"/>
  <c r="S77" i="64"/>
  <c r="T77" i="64"/>
  <c r="U77" i="64"/>
  <c r="V77" i="64"/>
  <c r="B78" i="64"/>
  <c r="C78" i="64"/>
  <c r="D78" i="64"/>
  <c r="E78" i="64"/>
  <c r="F78" i="64"/>
  <c r="G78" i="64"/>
  <c r="H78" i="64"/>
  <c r="I78" i="64"/>
  <c r="J78" i="64"/>
  <c r="K78" i="64"/>
  <c r="L78" i="64"/>
  <c r="M78" i="64"/>
  <c r="N78" i="64"/>
  <c r="O78" i="64"/>
  <c r="P78" i="64"/>
  <c r="Q78" i="64"/>
  <c r="R78" i="64"/>
  <c r="S78" i="64"/>
  <c r="T78" i="64"/>
  <c r="U78" i="64"/>
  <c r="V78" i="64"/>
  <c r="B79" i="64"/>
  <c r="C79" i="64"/>
  <c r="D79" i="64"/>
  <c r="E79" i="64"/>
  <c r="F79" i="64"/>
  <c r="G79" i="64"/>
  <c r="H79" i="64"/>
  <c r="I79" i="64"/>
  <c r="J79" i="64"/>
  <c r="K79" i="64"/>
  <c r="L79" i="64"/>
  <c r="M79" i="64"/>
  <c r="N79" i="64"/>
  <c r="O79" i="64"/>
  <c r="P79" i="64"/>
  <c r="Q79" i="64"/>
  <c r="R79" i="64"/>
  <c r="S79" i="64"/>
  <c r="T79" i="64"/>
  <c r="U79" i="64"/>
  <c r="V79" i="64"/>
  <c r="B80" i="64"/>
  <c r="C80" i="64"/>
  <c r="D80" i="64"/>
  <c r="E80" i="64"/>
  <c r="F80" i="64"/>
  <c r="G80" i="64"/>
  <c r="H80" i="64"/>
  <c r="I80" i="64"/>
  <c r="J80" i="64"/>
  <c r="K80" i="64"/>
  <c r="L80" i="64"/>
  <c r="M80" i="64"/>
  <c r="N80" i="64"/>
  <c r="O80" i="64"/>
  <c r="P80" i="64"/>
  <c r="Q80" i="64"/>
  <c r="R80" i="64"/>
  <c r="S80" i="64"/>
  <c r="T80" i="64"/>
  <c r="U80" i="64"/>
  <c r="V80" i="64"/>
  <c r="B81" i="64"/>
  <c r="C81" i="64"/>
  <c r="D81" i="64"/>
  <c r="E81" i="64"/>
  <c r="F81" i="64"/>
  <c r="G81" i="64"/>
  <c r="H81" i="64"/>
  <c r="I81" i="64"/>
  <c r="J81" i="64"/>
  <c r="K81" i="64"/>
  <c r="L81" i="64"/>
  <c r="M81" i="64"/>
  <c r="N81" i="64"/>
  <c r="O81" i="64"/>
  <c r="P81" i="64"/>
  <c r="Q81" i="64"/>
  <c r="R81" i="64"/>
  <c r="S81" i="64"/>
  <c r="T81" i="64"/>
  <c r="U81" i="64"/>
  <c r="V81" i="64"/>
  <c r="B82" i="64"/>
  <c r="C82" i="64"/>
  <c r="D82" i="64"/>
  <c r="E82" i="64"/>
  <c r="F82" i="64"/>
  <c r="G82" i="64"/>
  <c r="H82" i="64"/>
  <c r="I82" i="64"/>
  <c r="J82" i="64"/>
  <c r="K82" i="64"/>
  <c r="L82" i="64"/>
  <c r="M82" i="64"/>
  <c r="N82" i="64"/>
  <c r="O82" i="64"/>
  <c r="P82" i="64"/>
  <c r="Q82" i="64"/>
  <c r="R82" i="64"/>
  <c r="S82" i="64"/>
  <c r="T82" i="64"/>
  <c r="U82" i="64"/>
  <c r="V82" i="64"/>
  <c r="B83" i="64"/>
  <c r="C83" i="64"/>
  <c r="D83" i="64"/>
  <c r="E83" i="64"/>
  <c r="F83" i="64"/>
  <c r="G83" i="64"/>
  <c r="H83" i="64"/>
  <c r="I83" i="64"/>
  <c r="J83" i="64"/>
  <c r="K83" i="64"/>
  <c r="L83" i="64"/>
  <c r="M83" i="64"/>
  <c r="N83" i="64"/>
  <c r="O83" i="64"/>
  <c r="P83" i="64"/>
  <c r="Q83" i="64"/>
  <c r="R83" i="64"/>
  <c r="S83" i="64"/>
  <c r="T83" i="64"/>
  <c r="U83" i="64"/>
  <c r="V83" i="64"/>
  <c r="B84" i="64"/>
  <c r="C84" i="64"/>
  <c r="D84" i="64"/>
  <c r="E84" i="64"/>
  <c r="F84" i="64"/>
  <c r="G84" i="64"/>
  <c r="H84" i="64"/>
  <c r="I84" i="64"/>
  <c r="J84" i="64"/>
  <c r="K84" i="64"/>
  <c r="L84" i="64"/>
  <c r="M84" i="64"/>
  <c r="N84" i="64"/>
  <c r="O84" i="64"/>
  <c r="P84" i="64"/>
  <c r="Q84" i="64"/>
  <c r="R84" i="64"/>
  <c r="S84" i="64"/>
  <c r="T84" i="64"/>
  <c r="U84" i="64"/>
  <c r="V84" i="64"/>
  <c r="B85" i="64"/>
  <c r="C85" i="64"/>
  <c r="D85" i="64"/>
  <c r="E85" i="64"/>
  <c r="F85" i="64"/>
  <c r="G85" i="64"/>
  <c r="H85" i="64"/>
  <c r="I85" i="64"/>
  <c r="J85" i="64"/>
  <c r="K85" i="64"/>
  <c r="L85" i="64"/>
  <c r="M85" i="64"/>
  <c r="N85" i="64"/>
  <c r="O85" i="64"/>
  <c r="P85" i="64"/>
  <c r="Q85" i="64"/>
  <c r="R85" i="64"/>
  <c r="S85" i="64"/>
  <c r="T85" i="64"/>
  <c r="U85" i="64"/>
  <c r="V85" i="64"/>
  <c r="B86" i="64"/>
  <c r="C86" i="64"/>
  <c r="D86" i="64"/>
  <c r="E86" i="64"/>
  <c r="F86" i="64"/>
  <c r="G86" i="64"/>
  <c r="H86" i="64"/>
  <c r="I86" i="64"/>
  <c r="J86" i="64"/>
  <c r="K86" i="64"/>
  <c r="L86" i="64"/>
  <c r="M86" i="64"/>
  <c r="N86" i="64"/>
  <c r="O86" i="64"/>
  <c r="P86" i="64"/>
  <c r="Q86" i="64"/>
  <c r="R86" i="64"/>
  <c r="S86" i="64"/>
  <c r="T86" i="64"/>
  <c r="U86" i="64"/>
  <c r="V86" i="64"/>
  <c r="B87" i="64"/>
  <c r="C87" i="64"/>
  <c r="D87" i="64"/>
  <c r="E87" i="64"/>
  <c r="F87" i="64"/>
  <c r="G87" i="64"/>
  <c r="H87" i="64"/>
  <c r="I87" i="64"/>
  <c r="J87" i="64"/>
  <c r="K87" i="64"/>
  <c r="L87" i="64"/>
  <c r="M87" i="64"/>
  <c r="N87" i="64"/>
  <c r="O87" i="64"/>
  <c r="P87" i="64"/>
  <c r="Q87" i="64"/>
  <c r="R87" i="64"/>
  <c r="S87" i="64"/>
  <c r="T87" i="64"/>
  <c r="U87" i="64"/>
  <c r="V87" i="64"/>
  <c r="B88" i="64"/>
  <c r="C88" i="64"/>
  <c r="D88" i="64"/>
  <c r="E88" i="64"/>
  <c r="F88" i="64"/>
  <c r="G88" i="64"/>
  <c r="H88" i="64"/>
  <c r="I88" i="64"/>
  <c r="J88" i="64"/>
  <c r="K88" i="64"/>
  <c r="L88" i="64"/>
  <c r="M88" i="64"/>
  <c r="N88" i="64"/>
  <c r="O88" i="64"/>
  <c r="P88" i="64"/>
  <c r="Q88" i="64"/>
  <c r="R88" i="64"/>
  <c r="S88" i="64"/>
  <c r="T88" i="64"/>
  <c r="U88" i="64"/>
  <c r="V88" i="64"/>
  <c r="B89" i="64"/>
  <c r="C89" i="64"/>
  <c r="D89" i="64"/>
  <c r="E89" i="64"/>
  <c r="F89" i="64"/>
  <c r="G89" i="64"/>
  <c r="H89" i="64"/>
  <c r="I89" i="64"/>
  <c r="J89" i="64"/>
  <c r="K89" i="64"/>
  <c r="L89" i="64"/>
  <c r="M89" i="64"/>
  <c r="N89" i="64"/>
  <c r="O89" i="64"/>
  <c r="P89" i="64"/>
  <c r="Q89" i="64"/>
  <c r="R89" i="64"/>
  <c r="S89" i="64"/>
  <c r="T89" i="64"/>
  <c r="U89" i="64"/>
  <c r="V89" i="64"/>
  <c r="B90" i="64"/>
  <c r="C90" i="64"/>
  <c r="D90" i="64"/>
  <c r="E90" i="64"/>
  <c r="F90" i="64"/>
  <c r="G90" i="64"/>
  <c r="H90" i="64"/>
  <c r="I90" i="64"/>
  <c r="J90" i="64"/>
  <c r="K90" i="64"/>
  <c r="L90" i="64"/>
  <c r="M90" i="64"/>
  <c r="N90" i="64"/>
  <c r="O90" i="64"/>
  <c r="P90" i="64"/>
  <c r="Q90" i="64"/>
  <c r="R90" i="64"/>
  <c r="S90" i="64"/>
  <c r="T90" i="64"/>
  <c r="U90" i="64"/>
  <c r="V90" i="64"/>
  <c r="B91" i="64"/>
  <c r="C91" i="64"/>
  <c r="D91" i="64"/>
  <c r="E91" i="64"/>
  <c r="F91" i="64"/>
  <c r="G91" i="64"/>
  <c r="H91" i="64"/>
  <c r="I91" i="64"/>
  <c r="J91" i="64"/>
  <c r="K91" i="64"/>
  <c r="L91" i="64"/>
  <c r="M91" i="64"/>
  <c r="N91" i="64"/>
  <c r="O91" i="64"/>
  <c r="P91" i="64"/>
  <c r="Q91" i="64"/>
  <c r="R91" i="64"/>
  <c r="S91" i="64"/>
  <c r="T91" i="64"/>
  <c r="U91" i="64"/>
  <c r="V91" i="64"/>
  <c r="B92" i="64"/>
  <c r="C92" i="64"/>
  <c r="D92" i="64"/>
  <c r="E92" i="64"/>
  <c r="F92" i="64"/>
  <c r="G92" i="64"/>
  <c r="H92" i="64"/>
  <c r="I92" i="64"/>
  <c r="J92" i="64"/>
  <c r="K92" i="64"/>
  <c r="L92" i="64"/>
  <c r="M92" i="64"/>
  <c r="N92" i="64"/>
  <c r="O92" i="64"/>
  <c r="P92" i="64"/>
  <c r="Q92" i="64"/>
  <c r="R92" i="64"/>
  <c r="S92" i="64"/>
  <c r="T92" i="64"/>
  <c r="U92" i="64"/>
  <c r="V92" i="64"/>
  <c r="B93" i="64"/>
  <c r="C93" i="64"/>
  <c r="D93" i="64"/>
  <c r="E93" i="64"/>
  <c r="F93" i="64"/>
  <c r="G93" i="64"/>
  <c r="H93" i="64"/>
  <c r="I93" i="64"/>
  <c r="J93" i="64"/>
  <c r="K93" i="64"/>
  <c r="L93" i="64"/>
  <c r="M93" i="64"/>
  <c r="N93" i="64"/>
  <c r="O93" i="64"/>
  <c r="P93" i="64"/>
  <c r="Q93" i="64"/>
  <c r="R93" i="64"/>
  <c r="S93" i="64"/>
  <c r="T93" i="64"/>
  <c r="U93" i="64"/>
  <c r="V93" i="64"/>
  <c r="B94" i="64"/>
  <c r="C94" i="64"/>
  <c r="D94" i="64"/>
  <c r="E94" i="64"/>
  <c r="F94" i="64"/>
  <c r="G94" i="64"/>
  <c r="H94" i="64"/>
  <c r="I94" i="64"/>
  <c r="J94" i="64"/>
  <c r="K94" i="64"/>
  <c r="L94" i="64"/>
  <c r="M94" i="64"/>
  <c r="N94" i="64"/>
  <c r="O94" i="64"/>
  <c r="P94" i="64"/>
  <c r="Q94" i="64"/>
  <c r="R94" i="64"/>
  <c r="S94" i="64"/>
  <c r="T94" i="64"/>
  <c r="U94" i="64"/>
  <c r="V94" i="64"/>
  <c r="B95" i="64"/>
  <c r="C95" i="64"/>
  <c r="D95" i="64"/>
  <c r="E95" i="64"/>
  <c r="F95" i="64"/>
  <c r="G95" i="64"/>
  <c r="H95" i="64"/>
  <c r="I95" i="64"/>
  <c r="J95" i="64"/>
  <c r="K95" i="64"/>
  <c r="L95" i="64"/>
  <c r="M95" i="64"/>
  <c r="N95" i="64"/>
  <c r="O95" i="64"/>
  <c r="P95" i="64"/>
  <c r="Q95" i="64"/>
  <c r="R95" i="64"/>
  <c r="S95" i="64"/>
  <c r="T95" i="64"/>
  <c r="U95" i="64"/>
  <c r="V95" i="64"/>
  <c r="B96" i="64"/>
  <c r="C96" i="64"/>
  <c r="D96" i="64"/>
  <c r="E96" i="64"/>
  <c r="F96" i="64"/>
  <c r="G96" i="64"/>
  <c r="H96" i="64"/>
  <c r="I96" i="64"/>
  <c r="J96" i="64"/>
  <c r="K96" i="64"/>
  <c r="L96" i="64"/>
  <c r="M96" i="64"/>
  <c r="N96" i="64"/>
  <c r="O96" i="64"/>
  <c r="P96" i="64"/>
  <c r="Q96" i="64"/>
  <c r="R96" i="64"/>
  <c r="S96" i="64"/>
  <c r="T96" i="64"/>
  <c r="U96" i="64"/>
  <c r="V96" i="64"/>
  <c r="B97" i="64"/>
  <c r="C97" i="64"/>
  <c r="D97" i="64"/>
  <c r="E97" i="64"/>
  <c r="F97" i="64"/>
  <c r="G97" i="64"/>
  <c r="H97" i="64"/>
  <c r="I97" i="64"/>
  <c r="J97" i="64"/>
  <c r="K97" i="64"/>
  <c r="L97" i="64"/>
  <c r="M97" i="64"/>
  <c r="N97" i="64"/>
  <c r="O97" i="64"/>
  <c r="P97" i="64"/>
  <c r="Q97" i="64"/>
  <c r="R97" i="64"/>
  <c r="S97" i="64"/>
  <c r="T97" i="64"/>
  <c r="U97" i="64"/>
  <c r="V97" i="64"/>
  <c r="B98" i="64"/>
  <c r="C98" i="64"/>
  <c r="D98" i="64"/>
  <c r="E98" i="64"/>
  <c r="F98" i="64"/>
  <c r="G98" i="64"/>
  <c r="H98" i="64"/>
  <c r="I98" i="64"/>
  <c r="J98" i="64"/>
  <c r="K98" i="64"/>
  <c r="L98" i="64"/>
  <c r="M98" i="64"/>
  <c r="N98" i="64"/>
  <c r="O98" i="64"/>
  <c r="P98" i="64"/>
  <c r="Q98" i="64"/>
  <c r="R98" i="64"/>
  <c r="S98" i="64"/>
  <c r="T98" i="64"/>
  <c r="U98" i="64"/>
  <c r="V98" i="64"/>
  <c r="B99" i="64"/>
  <c r="C99" i="64"/>
  <c r="D99" i="64"/>
  <c r="E99" i="64"/>
  <c r="F99" i="64"/>
  <c r="G99" i="64"/>
  <c r="H99" i="64"/>
  <c r="I99" i="64"/>
  <c r="J99" i="64"/>
  <c r="K99" i="64"/>
  <c r="L99" i="64"/>
  <c r="M99" i="64"/>
  <c r="N99" i="64"/>
  <c r="O99" i="64"/>
  <c r="P99" i="64"/>
  <c r="Q99" i="64"/>
  <c r="R99" i="64"/>
  <c r="S99" i="64"/>
  <c r="T99" i="64"/>
  <c r="U99" i="64"/>
  <c r="V99" i="64"/>
  <c r="B100" i="64"/>
  <c r="C100" i="64"/>
  <c r="D100" i="64"/>
  <c r="E100" i="64"/>
  <c r="F100" i="64"/>
  <c r="G100" i="64"/>
  <c r="H100" i="64"/>
  <c r="I100" i="64"/>
  <c r="J100" i="64"/>
  <c r="K100" i="64"/>
  <c r="L100" i="64"/>
  <c r="M100" i="64"/>
  <c r="N100" i="64"/>
  <c r="O100" i="64"/>
  <c r="P100" i="64"/>
  <c r="Q100" i="64"/>
  <c r="R100" i="64"/>
  <c r="S100" i="64"/>
  <c r="T100" i="64"/>
  <c r="U100" i="64"/>
  <c r="V100" i="64"/>
  <c r="U71" i="64"/>
  <c r="V71" i="64"/>
  <c r="T71" i="64"/>
  <c r="S71" i="64"/>
  <c r="R71" i="64"/>
  <c r="Q71" i="64"/>
  <c r="P71" i="64"/>
  <c r="O71" i="64"/>
  <c r="N71" i="64"/>
  <c r="M71" i="64"/>
  <c r="L71" i="64"/>
  <c r="K71" i="64"/>
  <c r="J71" i="64"/>
  <c r="I71" i="64"/>
  <c r="H71" i="64"/>
  <c r="G71" i="64"/>
  <c r="F71" i="64"/>
  <c r="E71" i="64"/>
  <c r="D71" i="64"/>
  <c r="C71" i="64"/>
  <c r="B71" i="64"/>
  <c r="I1" i="59"/>
  <c r="B71" i="59"/>
  <c r="C71" i="59"/>
  <c r="D71" i="59"/>
  <c r="E71" i="59"/>
  <c r="F71" i="59"/>
  <c r="G71" i="59"/>
  <c r="H71" i="59"/>
  <c r="I71" i="59"/>
  <c r="J71" i="59"/>
  <c r="K71" i="59"/>
  <c r="L71" i="59"/>
  <c r="M71" i="59"/>
  <c r="N71" i="59"/>
  <c r="O71" i="59"/>
  <c r="P71" i="59"/>
  <c r="Q71" i="59"/>
  <c r="R71" i="59"/>
  <c r="S71" i="59"/>
  <c r="T71" i="59"/>
  <c r="U71" i="59"/>
  <c r="V71" i="59"/>
  <c r="B72" i="59"/>
  <c r="C72" i="59"/>
  <c r="D72" i="59"/>
  <c r="E72" i="59"/>
  <c r="F72" i="59"/>
  <c r="G72" i="59"/>
  <c r="H72" i="59"/>
  <c r="I72" i="59"/>
  <c r="J72" i="59"/>
  <c r="K72" i="59"/>
  <c r="L72" i="59"/>
  <c r="M72" i="59"/>
  <c r="N72" i="59"/>
  <c r="O72" i="59"/>
  <c r="P72" i="59"/>
  <c r="Q72" i="59"/>
  <c r="R72" i="59"/>
  <c r="S72" i="59"/>
  <c r="T72" i="59"/>
  <c r="U72" i="59"/>
  <c r="V72" i="59"/>
  <c r="B73" i="59"/>
  <c r="C73" i="59"/>
  <c r="D73" i="59"/>
  <c r="E73" i="59"/>
  <c r="F73" i="59"/>
  <c r="G73" i="59"/>
  <c r="H73" i="59"/>
  <c r="I73" i="59"/>
  <c r="J73" i="59"/>
  <c r="K73" i="59"/>
  <c r="L73" i="59"/>
  <c r="M73" i="59"/>
  <c r="N73" i="59"/>
  <c r="O73" i="59"/>
  <c r="P73" i="59"/>
  <c r="Q73" i="59"/>
  <c r="R73" i="59"/>
  <c r="S73" i="59"/>
  <c r="T73" i="59"/>
  <c r="U73" i="59"/>
  <c r="V73" i="59"/>
  <c r="B74" i="59"/>
  <c r="C74" i="59"/>
  <c r="D74" i="59"/>
  <c r="E74" i="59"/>
  <c r="F74" i="59"/>
  <c r="G74" i="59"/>
  <c r="H74" i="59"/>
  <c r="I74" i="59"/>
  <c r="J74" i="59"/>
  <c r="K74" i="59"/>
  <c r="L74" i="59"/>
  <c r="M74" i="59"/>
  <c r="N74" i="59"/>
  <c r="O74" i="59"/>
  <c r="P74" i="59"/>
  <c r="Q74" i="59"/>
  <c r="R74" i="59"/>
  <c r="S74" i="59"/>
  <c r="T74" i="59"/>
  <c r="U74" i="59"/>
  <c r="V74" i="59"/>
  <c r="B75" i="59"/>
  <c r="C75" i="59"/>
  <c r="D75" i="59"/>
  <c r="E75" i="59"/>
  <c r="F75" i="59"/>
  <c r="G75" i="59"/>
  <c r="H75" i="59"/>
  <c r="I75" i="59"/>
  <c r="J75" i="59"/>
  <c r="K75" i="59"/>
  <c r="L75" i="59"/>
  <c r="M75" i="59"/>
  <c r="N75" i="59"/>
  <c r="O75" i="59"/>
  <c r="P75" i="59"/>
  <c r="Q75" i="59"/>
  <c r="R75" i="59"/>
  <c r="S75" i="59"/>
  <c r="T75" i="59"/>
  <c r="U75" i="59"/>
  <c r="V75" i="59"/>
  <c r="B76" i="59"/>
  <c r="C76" i="59"/>
  <c r="D76" i="59"/>
  <c r="E76" i="59"/>
  <c r="F76" i="59"/>
  <c r="G76" i="59"/>
  <c r="H76" i="59"/>
  <c r="I76" i="59"/>
  <c r="J76" i="59"/>
  <c r="K76" i="59"/>
  <c r="L76" i="59"/>
  <c r="M76" i="59"/>
  <c r="N76" i="59"/>
  <c r="O76" i="59"/>
  <c r="P76" i="59"/>
  <c r="Q76" i="59"/>
  <c r="R76" i="59"/>
  <c r="S76" i="59"/>
  <c r="T76" i="59"/>
  <c r="U76" i="59"/>
  <c r="V76" i="59"/>
  <c r="B77" i="59"/>
  <c r="C77" i="59"/>
  <c r="D77" i="59"/>
  <c r="E77" i="59"/>
  <c r="F77" i="59"/>
  <c r="G77" i="59"/>
  <c r="H77" i="59"/>
  <c r="I77" i="59"/>
  <c r="J77" i="59"/>
  <c r="K77" i="59"/>
  <c r="L77" i="59"/>
  <c r="M77" i="59"/>
  <c r="N77" i="59"/>
  <c r="O77" i="59"/>
  <c r="P77" i="59"/>
  <c r="Q77" i="59"/>
  <c r="R77" i="59"/>
  <c r="S77" i="59"/>
  <c r="T77" i="59"/>
  <c r="U77" i="59"/>
  <c r="V77" i="59"/>
  <c r="B78" i="59"/>
  <c r="C78" i="59"/>
  <c r="D78" i="59"/>
  <c r="E78" i="59"/>
  <c r="F78" i="59"/>
  <c r="G78" i="59"/>
  <c r="H78" i="59"/>
  <c r="I78" i="59"/>
  <c r="J78" i="59"/>
  <c r="K78" i="59"/>
  <c r="L78" i="59"/>
  <c r="M78" i="59"/>
  <c r="N78" i="59"/>
  <c r="O78" i="59"/>
  <c r="P78" i="59"/>
  <c r="Q78" i="59"/>
  <c r="R78" i="59"/>
  <c r="S78" i="59"/>
  <c r="T78" i="59"/>
  <c r="U78" i="59"/>
  <c r="V78" i="59"/>
  <c r="B79" i="59"/>
  <c r="C79" i="59"/>
  <c r="D79" i="59"/>
  <c r="E79" i="59"/>
  <c r="F79" i="59"/>
  <c r="G79" i="59"/>
  <c r="H79" i="59"/>
  <c r="I79" i="59"/>
  <c r="J79" i="59"/>
  <c r="K79" i="59"/>
  <c r="L79" i="59"/>
  <c r="M79" i="59"/>
  <c r="N79" i="59"/>
  <c r="O79" i="59"/>
  <c r="P79" i="59"/>
  <c r="Q79" i="59"/>
  <c r="R79" i="59"/>
  <c r="S79" i="59"/>
  <c r="T79" i="59"/>
  <c r="U79" i="59"/>
  <c r="V79" i="59"/>
  <c r="B80" i="59"/>
  <c r="C80" i="59"/>
  <c r="D80" i="59"/>
  <c r="E80" i="59"/>
  <c r="F80" i="59"/>
  <c r="G80" i="59"/>
  <c r="H80" i="59"/>
  <c r="I80" i="59"/>
  <c r="J80" i="59"/>
  <c r="K80" i="59"/>
  <c r="L80" i="59"/>
  <c r="M80" i="59"/>
  <c r="N80" i="59"/>
  <c r="O80" i="59"/>
  <c r="P80" i="59"/>
  <c r="Q80" i="59"/>
  <c r="R80" i="59"/>
  <c r="S80" i="59"/>
  <c r="T80" i="59"/>
  <c r="U80" i="59"/>
  <c r="V80" i="59"/>
  <c r="B81" i="59"/>
  <c r="C81" i="59"/>
  <c r="D81" i="59"/>
  <c r="E81" i="59"/>
  <c r="F81" i="59"/>
  <c r="G81" i="59"/>
  <c r="H81" i="59"/>
  <c r="I81" i="59"/>
  <c r="J81" i="59"/>
  <c r="K81" i="59"/>
  <c r="L81" i="59"/>
  <c r="M81" i="59"/>
  <c r="N81" i="59"/>
  <c r="O81" i="59"/>
  <c r="P81" i="59"/>
  <c r="Q81" i="59"/>
  <c r="R81" i="59"/>
  <c r="S81" i="59"/>
  <c r="T81" i="59"/>
  <c r="U81" i="59"/>
  <c r="V81" i="59"/>
  <c r="B82" i="59"/>
  <c r="C82" i="59"/>
  <c r="D82" i="59"/>
  <c r="E82" i="59"/>
  <c r="F82" i="59"/>
  <c r="G82" i="59"/>
  <c r="H82" i="59"/>
  <c r="I82" i="59"/>
  <c r="J82" i="59"/>
  <c r="K82" i="59"/>
  <c r="L82" i="59"/>
  <c r="M82" i="59"/>
  <c r="N82" i="59"/>
  <c r="O82" i="59"/>
  <c r="P82" i="59"/>
  <c r="Q82" i="59"/>
  <c r="R82" i="59"/>
  <c r="S82" i="59"/>
  <c r="T82" i="59"/>
  <c r="U82" i="59"/>
  <c r="V82" i="59"/>
  <c r="B83" i="59"/>
  <c r="C83" i="59"/>
  <c r="D83" i="59"/>
  <c r="E83" i="59"/>
  <c r="F83" i="59"/>
  <c r="G83" i="59"/>
  <c r="H83" i="59"/>
  <c r="I83" i="59"/>
  <c r="J83" i="59"/>
  <c r="K83" i="59"/>
  <c r="L83" i="59"/>
  <c r="M83" i="59"/>
  <c r="N83" i="59"/>
  <c r="O83" i="59"/>
  <c r="P83" i="59"/>
  <c r="Q83" i="59"/>
  <c r="R83" i="59"/>
  <c r="S83" i="59"/>
  <c r="T83" i="59"/>
  <c r="U83" i="59"/>
  <c r="V83" i="59"/>
  <c r="B84" i="59"/>
  <c r="C84" i="59"/>
  <c r="D84" i="59"/>
  <c r="E84" i="59"/>
  <c r="F84" i="59"/>
  <c r="G84" i="59"/>
  <c r="H84" i="59"/>
  <c r="I84" i="59"/>
  <c r="J84" i="59"/>
  <c r="K84" i="59"/>
  <c r="L84" i="59"/>
  <c r="M84" i="59"/>
  <c r="N84" i="59"/>
  <c r="O84" i="59"/>
  <c r="P84" i="59"/>
  <c r="Q84" i="59"/>
  <c r="R84" i="59"/>
  <c r="S84" i="59"/>
  <c r="T84" i="59"/>
  <c r="U84" i="59"/>
  <c r="V84" i="59"/>
  <c r="B85" i="59"/>
  <c r="C85" i="59"/>
  <c r="D85" i="59"/>
  <c r="E85" i="59"/>
  <c r="F85" i="59"/>
  <c r="G85" i="59"/>
  <c r="H85" i="59"/>
  <c r="I85" i="59"/>
  <c r="J85" i="59"/>
  <c r="K85" i="59"/>
  <c r="L85" i="59"/>
  <c r="M85" i="59"/>
  <c r="N85" i="59"/>
  <c r="O85" i="59"/>
  <c r="P85" i="59"/>
  <c r="Q85" i="59"/>
  <c r="R85" i="59"/>
  <c r="S85" i="59"/>
  <c r="T85" i="59"/>
  <c r="U85" i="59"/>
  <c r="V85" i="59"/>
  <c r="B86" i="59"/>
  <c r="C86" i="59"/>
  <c r="D86" i="59"/>
  <c r="E86" i="59"/>
  <c r="F86" i="59"/>
  <c r="G86" i="59"/>
  <c r="H86" i="59"/>
  <c r="I86" i="59"/>
  <c r="J86" i="59"/>
  <c r="K86" i="59"/>
  <c r="L86" i="59"/>
  <c r="M86" i="59"/>
  <c r="N86" i="59"/>
  <c r="O86" i="59"/>
  <c r="P86" i="59"/>
  <c r="Q86" i="59"/>
  <c r="R86" i="59"/>
  <c r="S86" i="59"/>
  <c r="T86" i="59"/>
  <c r="U86" i="59"/>
  <c r="V86" i="59"/>
  <c r="B87" i="59"/>
  <c r="C87" i="59"/>
  <c r="D87" i="59"/>
  <c r="E87" i="59"/>
  <c r="F87" i="59"/>
  <c r="G87" i="59"/>
  <c r="H87" i="59"/>
  <c r="I87" i="59"/>
  <c r="J87" i="59"/>
  <c r="K87" i="59"/>
  <c r="L87" i="59"/>
  <c r="M87" i="59"/>
  <c r="N87" i="59"/>
  <c r="O87" i="59"/>
  <c r="P87" i="59"/>
  <c r="Q87" i="59"/>
  <c r="R87" i="59"/>
  <c r="S87" i="59"/>
  <c r="T87" i="59"/>
  <c r="U87" i="59"/>
  <c r="V87" i="59"/>
  <c r="B88" i="59"/>
  <c r="C88" i="59"/>
  <c r="D88" i="59"/>
  <c r="E88" i="59"/>
  <c r="F88" i="59"/>
  <c r="G88" i="59"/>
  <c r="H88" i="59"/>
  <c r="I88" i="59"/>
  <c r="J88" i="59"/>
  <c r="K88" i="59"/>
  <c r="L88" i="59"/>
  <c r="M88" i="59"/>
  <c r="N88" i="59"/>
  <c r="O88" i="59"/>
  <c r="P88" i="59"/>
  <c r="Q88" i="59"/>
  <c r="R88" i="59"/>
  <c r="S88" i="59"/>
  <c r="T88" i="59"/>
  <c r="U88" i="59"/>
  <c r="V88" i="59"/>
  <c r="B89" i="59"/>
  <c r="C89" i="59"/>
  <c r="D89" i="59"/>
  <c r="E89" i="59"/>
  <c r="F89" i="59"/>
  <c r="G89" i="59"/>
  <c r="H89" i="59"/>
  <c r="I89" i="59"/>
  <c r="J89" i="59"/>
  <c r="K89" i="59"/>
  <c r="L89" i="59"/>
  <c r="M89" i="59"/>
  <c r="N89" i="59"/>
  <c r="O89" i="59"/>
  <c r="P89" i="59"/>
  <c r="Q89" i="59"/>
  <c r="R89" i="59"/>
  <c r="S89" i="59"/>
  <c r="T89" i="59"/>
  <c r="U89" i="59"/>
  <c r="V89" i="59"/>
  <c r="B90" i="59"/>
  <c r="C90" i="59"/>
  <c r="D90" i="59"/>
  <c r="E90" i="59"/>
  <c r="F90" i="59"/>
  <c r="G90" i="59"/>
  <c r="H90" i="59"/>
  <c r="I90" i="59"/>
  <c r="J90" i="59"/>
  <c r="K90" i="59"/>
  <c r="L90" i="59"/>
  <c r="M90" i="59"/>
  <c r="N90" i="59"/>
  <c r="O90" i="59"/>
  <c r="P90" i="59"/>
  <c r="Q90" i="59"/>
  <c r="R90" i="59"/>
  <c r="S90" i="59"/>
  <c r="T90" i="59"/>
  <c r="U90" i="59"/>
  <c r="V90" i="59"/>
  <c r="B91" i="59"/>
  <c r="C91" i="59"/>
  <c r="D91" i="59"/>
  <c r="E91" i="59"/>
  <c r="F91" i="59"/>
  <c r="G91" i="59"/>
  <c r="H91" i="59"/>
  <c r="I91" i="59"/>
  <c r="J91" i="59"/>
  <c r="K91" i="59"/>
  <c r="L91" i="59"/>
  <c r="M91" i="59"/>
  <c r="N91" i="59"/>
  <c r="O91" i="59"/>
  <c r="P91" i="59"/>
  <c r="Q91" i="59"/>
  <c r="R91" i="59"/>
  <c r="S91" i="59"/>
  <c r="T91" i="59"/>
  <c r="U91" i="59"/>
  <c r="V91" i="59"/>
  <c r="B92" i="59"/>
  <c r="C92" i="59"/>
  <c r="D92" i="59"/>
  <c r="E92" i="59"/>
  <c r="F92" i="59"/>
  <c r="G92" i="59"/>
  <c r="H92" i="59"/>
  <c r="I92" i="59"/>
  <c r="J92" i="59"/>
  <c r="K92" i="59"/>
  <c r="L92" i="59"/>
  <c r="M92" i="59"/>
  <c r="N92" i="59"/>
  <c r="O92" i="59"/>
  <c r="P92" i="59"/>
  <c r="Q92" i="59"/>
  <c r="R92" i="59"/>
  <c r="S92" i="59"/>
  <c r="T92" i="59"/>
  <c r="U92" i="59"/>
  <c r="V92" i="59"/>
  <c r="B93" i="59"/>
  <c r="C93" i="59"/>
  <c r="D93" i="59"/>
  <c r="E93" i="59"/>
  <c r="F93" i="59"/>
  <c r="G93" i="59"/>
  <c r="H93" i="59"/>
  <c r="I93" i="59"/>
  <c r="J93" i="59"/>
  <c r="K93" i="59"/>
  <c r="L93" i="59"/>
  <c r="M93" i="59"/>
  <c r="N93" i="59"/>
  <c r="O93" i="59"/>
  <c r="P93" i="59"/>
  <c r="Q93" i="59"/>
  <c r="R93" i="59"/>
  <c r="S93" i="59"/>
  <c r="T93" i="59"/>
  <c r="U93" i="59"/>
  <c r="V93" i="59"/>
  <c r="B94" i="59"/>
  <c r="C94" i="59"/>
  <c r="D94" i="59"/>
  <c r="E94" i="59"/>
  <c r="F94" i="59"/>
  <c r="G94" i="59"/>
  <c r="H94" i="59"/>
  <c r="I94" i="59"/>
  <c r="J94" i="59"/>
  <c r="K94" i="59"/>
  <c r="L94" i="59"/>
  <c r="M94" i="59"/>
  <c r="N94" i="59"/>
  <c r="O94" i="59"/>
  <c r="P94" i="59"/>
  <c r="Q94" i="59"/>
  <c r="R94" i="59"/>
  <c r="S94" i="59"/>
  <c r="T94" i="59"/>
  <c r="U94" i="59"/>
  <c r="V94" i="59"/>
  <c r="B95" i="59"/>
  <c r="C95" i="59"/>
  <c r="D95" i="59"/>
  <c r="E95" i="59"/>
  <c r="F95" i="59"/>
  <c r="G95" i="59"/>
  <c r="H95" i="59"/>
  <c r="I95" i="59"/>
  <c r="J95" i="59"/>
  <c r="K95" i="59"/>
  <c r="L95" i="59"/>
  <c r="M95" i="59"/>
  <c r="N95" i="59"/>
  <c r="O95" i="59"/>
  <c r="P95" i="59"/>
  <c r="Q95" i="59"/>
  <c r="R95" i="59"/>
  <c r="S95" i="59"/>
  <c r="T95" i="59"/>
  <c r="U95" i="59"/>
  <c r="V95" i="59"/>
  <c r="B96" i="59"/>
  <c r="C96" i="59"/>
  <c r="D96" i="59"/>
  <c r="E96" i="59"/>
  <c r="F96" i="59"/>
  <c r="G96" i="59"/>
  <c r="H96" i="59"/>
  <c r="I96" i="59"/>
  <c r="J96" i="59"/>
  <c r="K96" i="59"/>
  <c r="L96" i="59"/>
  <c r="M96" i="59"/>
  <c r="N96" i="59"/>
  <c r="O96" i="59"/>
  <c r="P96" i="59"/>
  <c r="Q96" i="59"/>
  <c r="R96" i="59"/>
  <c r="S96" i="59"/>
  <c r="T96" i="59"/>
  <c r="U96" i="59"/>
  <c r="V96" i="59"/>
  <c r="B97" i="59"/>
  <c r="C97" i="59"/>
  <c r="D97" i="59"/>
  <c r="E97" i="59"/>
  <c r="F97" i="59"/>
  <c r="G97" i="59"/>
  <c r="H97" i="59"/>
  <c r="I97" i="59"/>
  <c r="J97" i="59"/>
  <c r="K97" i="59"/>
  <c r="L97" i="59"/>
  <c r="M97" i="59"/>
  <c r="N97" i="59"/>
  <c r="O97" i="59"/>
  <c r="P97" i="59"/>
  <c r="Q97" i="59"/>
  <c r="R97" i="59"/>
  <c r="S97" i="59"/>
  <c r="T97" i="59"/>
  <c r="U97" i="59"/>
  <c r="V97" i="59"/>
  <c r="B98" i="59"/>
  <c r="C98" i="59"/>
  <c r="D98" i="59"/>
  <c r="E98" i="59"/>
  <c r="F98" i="59"/>
  <c r="G98" i="59"/>
  <c r="H98" i="59"/>
  <c r="I98" i="59"/>
  <c r="J98" i="59"/>
  <c r="K98" i="59"/>
  <c r="L98" i="59"/>
  <c r="M98" i="59"/>
  <c r="N98" i="59"/>
  <c r="O98" i="59"/>
  <c r="P98" i="59"/>
  <c r="Q98" i="59"/>
  <c r="R98" i="59"/>
  <c r="S98" i="59"/>
  <c r="T98" i="59"/>
  <c r="U98" i="59"/>
  <c r="V98" i="59"/>
  <c r="B99" i="59"/>
  <c r="C99" i="59"/>
  <c r="D99" i="59"/>
  <c r="E99" i="59"/>
  <c r="F99" i="59"/>
  <c r="G99" i="59"/>
  <c r="H99" i="59"/>
  <c r="I99" i="59"/>
  <c r="J99" i="59"/>
  <c r="K99" i="59"/>
  <c r="L99" i="59"/>
  <c r="M99" i="59"/>
  <c r="N99" i="59"/>
  <c r="O99" i="59"/>
  <c r="P99" i="59"/>
  <c r="Q99" i="59"/>
  <c r="R99" i="59"/>
  <c r="S99" i="59"/>
  <c r="T99" i="59"/>
  <c r="U99" i="59"/>
  <c r="V99" i="59"/>
  <c r="V70" i="59"/>
  <c r="U70" i="59"/>
  <c r="T70" i="59"/>
  <c r="S70" i="59"/>
  <c r="R70" i="59"/>
  <c r="Q70" i="59"/>
  <c r="P70" i="59"/>
  <c r="O70" i="59"/>
  <c r="N70" i="59"/>
  <c r="M70" i="59"/>
  <c r="L70" i="59"/>
  <c r="K70" i="59"/>
  <c r="J70" i="59"/>
  <c r="I70" i="59"/>
  <c r="H70" i="59"/>
  <c r="G70" i="59"/>
  <c r="F70" i="59"/>
  <c r="E70" i="59"/>
  <c r="D70" i="59"/>
  <c r="C70" i="59"/>
  <c r="B70" i="59"/>
  <c r="U16" i="56"/>
  <c r="E4" i="63"/>
  <c r="C51" i="62"/>
  <c r="C46" i="62"/>
  <c r="C41" i="62"/>
  <c r="C36" i="62"/>
  <c r="C33" i="62"/>
  <c r="C31" i="62"/>
  <c r="C28" i="62"/>
  <c r="C26" i="62"/>
  <c r="C23" i="62"/>
  <c r="C21" i="62"/>
  <c r="C19" i="62"/>
  <c r="C16" i="62"/>
  <c r="C10" i="62"/>
  <c r="C3" i="62"/>
  <c r="X5" i="65"/>
  <c r="X6" i="65"/>
  <c r="X7" i="65"/>
  <c r="X8" i="65"/>
  <c r="X9" i="65"/>
  <c r="X10" i="65"/>
  <c r="X11" i="65"/>
  <c r="X12" i="65"/>
  <c r="X13" i="65"/>
  <c r="X14" i="65"/>
  <c r="X15" i="65"/>
  <c r="X16" i="65"/>
  <c r="X17" i="65"/>
  <c r="X18" i="65"/>
  <c r="X19" i="65"/>
  <c r="X20" i="65"/>
  <c r="X21" i="65"/>
  <c r="X22" i="65"/>
  <c r="X23" i="65"/>
  <c r="X24" i="65"/>
  <c r="X25" i="65"/>
  <c r="X26" i="65"/>
  <c r="W29" i="65"/>
  <c r="X29" i="65"/>
  <c r="Z29" i="65"/>
  <c r="AA29" i="65"/>
  <c r="W30" i="65"/>
  <c r="X30" i="65"/>
  <c r="Z30" i="65"/>
  <c r="AA30" i="65"/>
  <c r="W31" i="65"/>
  <c r="X31" i="65"/>
  <c r="Z31" i="65"/>
  <c r="AA31" i="65"/>
  <c r="W32" i="65"/>
  <c r="X32" i="65"/>
  <c r="Z32" i="65"/>
  <c r="AA32" i="65"/>
  <c r="W33" i="65"/>
  <c r="X33" i="65"/>
  <c r="Z33" i="65"/>
  <c r="AA33" i="65"/>
  <c r="W34" i="65"/>
  <c r="X34" i="65"/>
  <c r="Z34" i="65"/>
  <c r="AA34" i="65"/>
  <c r="W37" i="65"/>
  <c r="X37" i="65"/>
  <c r="Z37" i="65"/>
  <c r="AA37" i="65"/>
  <c r="W38" i="65"/>
  <c r="X38" i="65"/>
  <c r="Z38" i="65"/>
  <c r="AA38" i="65"/>
  <c r="W39" i="65"/>
  <c r="X39" i="65"/>
  <c r="Z39" i="65"/>
  <c r="AA39" i="65"/>
  <c r="W40" i="65"/>
  <c r="X40" i="65"/>
  <c r="Z40" i="65"/>
  <c r="AA40" i="65"/>
  <c r="W41" i="65"/>
  <c r="X41" i="65"/>
  <c r="Z41" i="65"/>
  <c r="AA41" i="65"/>
  <c r="W42" i="65"/>
  <c r="X42" i="65"/>
  <c r="Z42" i="65"/>
  <c r="AA42" i="65"/>
  <c r="W43" i="65"/>
  <c r="X43" i="65"/>
  <c r="Z43" i="65"/>
  <c r="AA43" i="65"/>
  <c r="W44" i="65"/>
  <c r="X44" i="65"/>
  <c r="Z44" i="65"/>
  <c r="AA44" i="65"/>
  <c r="W45" i="65"/>
  <c r="X45" i="65"/>
  <c r="Z45" i="65"/>
  <c r="AA45" i="65"/>
  <c r="W46" i="65"/>
  <c r="X46" i="65"/>
  <c r="Z46" i="65"/>
  <c r="AA46" i="65"/>
  <c r="W47" i="65"/>
  <c r="X47" i="65"/>
  <c r="Z47" i="65"/>
  <c r="AA47" i="65"/>
  <c r="W48" i="65"/>
  <c r="X48" i="65"/>
  <c r="Z48" i="65"/>
  <c r="AA48" i="65"/>
  <c r="W49" i="65"/>
  <c r="X49" i="65"/>
  <c r="Z49" i="65"/>
  <c r="AA49" i="65"/>
  <c r="W50" i="65"/>
  <c r="X50" i="65"/>
  <c r="Z50" i="65"/>
  <c r="AA50" i="65"/>
  <c r="W51" i="65"/>
  <c r="X51" i="65"/>
  <c r="Z51" i="65"/>
  <c r="AA51" i="65"/>
  <c r="W52" i="65"/>
  <c r="X52" i="65"/>
  <c r="Z52" i="65"/>
  <c r="AA52" i="65"/>
  <c r="W53" i="65"/>
  <c r="X53" i="65"/>
  <c r="Z53" i="65"/>
  <c r="AA53" i="65"/>
  <c r="W54" i="65"/>
  <c r="X54" i="65"/>
  <c r="Z54" i="65"/>
  <c r="AA54" i="65"/>
  <c r="W55" i="65"/>
  <c r="X55" i="65"/>
  <c r="Z55" i="65"/>
  <c r="AA55" i="65"/>
  <c r="W56" i="65"/>
  <c r="X56" i="65"/>
  <c r="Z56" i="65"/>
  <c r="AA56" i="65"/>
  <c r="W57" i="65"/>
  <c r="X57" i="65"/>
  <c r="Z57" i="65"/>
  <c r="AA57" i="65"/>
  <c r="W58" i="65"/>
  <c r="X58" i="65"/>
  <c r="Z58" i="65"/>
  <c r="AA58" i="65"/>
  <c r="W59" i="65"/>
  <c r="X59" i="65"/>
  <c r="Z59" i="65"/>
  <c r="AA59" i="65"/>
  <c r="W60" i="65"/>
  <c r="X60" i="65"/>
  <c r="Z60" i="65"/>
  <c r="AA60" i="65"/>
  <c r="W63" i="65"/>
  <c r="X63" i="65"/>
  <c r="Z63" i="65"/>
  <c r="AA63" i="65"/>
  <c r="W64" i="65"/>
  <c r="X64" i="65"/>
  <c r="Z64" i="65"/>
  <c r="AA64" i="65"/>
  <c r="W65" i="65"/>
  <c r="X65" i="65"/>
  <c r="Z65" i="65"/>
  <c r="AA65" i="65"/>
  <c r="W66" i="65"/>
  <c r="X66" i="65"/>
  <c r="Z66" i="65"/>
  <c r="AA66" i="65"/>
  <c r="W67" i="65"/>
  <c r="X67" i="65"/>
  <c r="Z67" i="65"/>
  <c r="AA67" i="65"/>
  <c r="W68" i="65"/>
  <c r="X68" i="65"/>
  <c r="Z68" i="65"/>
  <c r="AA68" i="65"/>
  <c r="W71" i="65"/>
  <c r="X71" i="65"/>
  <c r="Z71" i="65"/>
  <c r="AA71" i="65"/>
  <c r="W72" i="65"/>
  <c r="X72" i="65"/>
  <c r="Z72" i="65"/>
  <c r="AA72" i="65"/>
  <c r="W73" i="65"/>
  <c r="X73" i="65"/>
  <c r="Z73" i="65"/>
  <c r="AA73" i="65"/>
  <c r="W74" i="65"/>
  <c r="X74" i="65"/>
  <c r="Z74" i="65"/>
  <c r="AA74" i="65"/>
  <c r="W75" i="65"/>
  <c r="X75" i="65"/>
  <c r="Z75" i="65"/>
  <c r="AA75" i="65"/>
  <c r="W76" i="65"/>
  <c r="X76" i="65"/>
  <c r="Z76" i="65"/>
  <c r="AA76" i="65"/>
  <c r="W77" i="65"/>
  <c r="X77" i="65"/>
  <c r="Z77" i="65"/>
  <c r="AA77" i="65"/>
  <c r="W78" i="65"/>
  <c r="X78" i="65"/>
  <c r="Z78" i="65"/>
  <c r="AA78" i="65"/>
  <c r="W79" i="65"/>
  <c r="X79" i="65"/>
  <c r="Z79" i="65"/>
  <c r="AA79" i="65"/>
  <c r="W80" i="65"/>
  <c r="X80" i="65"/>
  <c r="Z80" i="65"/>
  <c r="AA80" i="65"/>
  <c r="W81" i="65"/>
  <c r="X81" i="65"/>
  <c r="Z81" i="65"/>
  <c r="AA81" i="65"/>
  <c r="W82" i="65"/>
  <c r="X82" i="65"/>
  <c r="Z82" i="65"/>
  <c r="AA82" i="65"/>
  <c r="W83" i="65"/>
  <c r="X83" i="65"/>
  <c r="Z83" i="65"/>
  <c r="AA83" i="65"/>
  <c r="W84" i="65"/>
  <c r="X84" i="65"/>
  <c r="Z84" i="65"/>
  <c r="AA84" i="65"/>
  <c r="W85" i="65"/>
  <c r="X85" i="65"/>
  <c r="Z85" i="65"/>
  <c r="AA85" i="65"/>
  <c r="W86" i="65"/>
  <c r="X86" i="65"/>
  <c r="Z86" i="65"/>
  <c r="AA86" i="65"/>
  <c r="W87" i="65"/>
  <c r="X87" i="65"/>
  <c r="Z87" i="65"/>
  <c r="AA87" i="65"/>
  <c r="W88" i="65"/>
  <c r="X88" i="65"/>
  <c r="Z88" i="65"/>
  <c r="AA88" i="65"/>
  <c r="W89" i="65"/>
  <c r="X89" i="65"/>
  <c r="Z89" i="65"/>
  <c r="AA89" i="65"/>
  <c r="W90" i="65"/>
  <c r="X90" i="65"/>
  <c r="Z90" i="65"/>
  <c r="AA90" i="65"/>
  <c r="W91" i="65"/>
  <c r="X91" i="65"/>
  <c r="Z91" i="65"/>
  <c r="AA91" i="65"/>
  <c r="W92" i="65"/>
  <c r="X92" i="65"/>
  <c r="Z92" i="65"/>
  <c r="AA92" i="65"/>
  <c r="W93" i="65"/>
  <c r="X93" i="65"/>
  <c r="Z93" i="65"/>
  <c r="AA93" i="65"/>
  <c r="W94" i="65"/>
  <c r="X94" i="65"/>
  <c r="Z94" i="65"/>
  <c r="AA94" i="65"/>
  <c r="W97" i="65"/>
  <c r="X97" i="65"/>
  <c r="Z97" i="65"/>
  <c r="AA97" i="65"/>
  <c r="W98" i="65"/>
  <c r="X98" i="65"/>
  <c r="Z98" i="65"/>
  <c r="AA98" i="65"/>
  <c r="W99" i="65"/>
  <c r="X99" i="65"/>
  <c r="Z99" i="65"/>
  <c r="AA99" i="65"/>
  <c r="W100" i="65"/>
  <c r="X100" i="65"/>
  <c r="Z100" i="65"/>
  <c r="AA100" i="65"/>
  <c r="W101" i="65"/>
  <c r="X101" i="65"/>
  <c r="Z101" i="65"/>
  <c r="AA101" i="65"/>
  <c r="W102" i="65"/>
  <c r="X102" i="65"/>
  <c r="Z102" i="65"/>
  <c r="AA102" i="65"/>
  <c r="W105" i="65"/>
  <c r="X105" i="65"/>
  <c r="Z105" i="65"/>
  <c r="AA105" i="65"/>
  <c r="W106" i="65"/>
  <c r="X106" i="65"/>
  <c r="Z106" i="65"/>
  <c r="AA106" i="65"/>
  <c r="W107" i="65"/>
  <c r="X107" i="65"/>
  <c r="Z107" i="65"/>
  <c r="AA107" i="65"/>
  <c r="W108" i="65"/>
  <c r="X108" i="65"/>
  <c r="Z108" i="65"/>
  <c r="AA108" i="65"/>
  <c r="W109" i="65"/>
  <c r="X109" i="65"/>
  <c r="Z109" i="65"/>
  <c r="AA109" i="65"/>
  <c r="W110" i="65"/>
  <c r="X110" i="65"/>
  <c r="Z110" i="65"/>
  <c r="AA110" i="65"/>
  <c r="W111" i="65"/>
  <c r="X111" i="65"/>
  <c r="Z111" i="65"/>
  <c r="AA111" i="65"/>
  <c r="W112" i="65"/>
  <c r="X112" i="65"/>
  <c r="Z112" i="65"/>
  <c r="AA112" i="65"/>
  <c r="W113" i="65"/>
  <c r="X113" i="65"/>
  <c r="Z113" i="65"/>
  <c r="AA113" i="65"/>
  <c r="W114" i="65"/>
  <c r="X114" i="65"/>
  <c r="Z114" i="65"/>
  <c r="AA114" i="65"/>
  <c r="W115" i="65"/>
  <c r="X115" i="65"/>
  <c r="Z115" i="65"/>
  <c r="AA115" i="65"/>
  <c r="W116" i="65"/>
  <c r="X116" i="65"/>
  <c r="Z116" i="65"/>
  <c r="AA116" i="65"/>
  <c r="W117" i="65"/>
  <c r="X117" i="65"/>
  <c r="Z117" i="65"/>
  <c r="AA117" i="65"/>
  <c r="W118" i="65"/>
  <c r="X118" i="65"/>
  <c r="Z118" i="65"/>
  <c r="AA118" i="65"/>
  <c r="W119" i="65"/>
  <c r="X119" i="65"/>
  <c r="Z119" i="65"/>
  <c r="AA119" i="65"/>
  <c r="W120" i="65"/>
  <c r="X120" i="65"/>
  <c r="Z120" i="65"/>
  <c r="AA120" i="65"/>
  <c r="W121" i="65"/>
  <c r="X121" i="65"/>
  <c r="Z121" i="65"/>
  <c r="AA121" i="65"/>
  <c r="W122" i="65"/>
  <c r="X122" i="65"/>
  <c r="Z122" i="65"/>
  <c r="AA122" i="65"/>
  <c r="W123" i="65"/>
  <c r="X123" i="65"/>
  <c r="Z123" i="65"/>
  <c r="AA123" i="65"/>
  <c r="W124" i="65"/>
  <c r="X124" i="65"/>
  <c r="Z124" i="65"/>
  <c r="AA124" i="65"/>
  <c r="W125" i="65"/>
  <c r="X125" i="65"/>
  <c r="Z125" i="65"/>
  <c r="AA125" i="65"/>
  <c r="W126" i="65"/>
  <c r="X126" i="65"/>
  <c r="Z126" i="65"/>
  <c r="AA126" i="65"/>
  <c r="W127" i="65"/>
  <c r="X127" i="65"/>
  <c r="Z127" i="65"/>
  <c r="AA127" i="65"/>
  <c r="W128" i="65"/>
  <c r="X128" i="65"/>
  <c r="Z128" i="65"/>
  <c r="AA128" i="65"/>
  <c r="W131" i="65"/>
  <c r="X131" i="65"/>
  <c r="Z131" i="65"/>
  <c r="AA131" i="65"/>
  <c r="W132" i="65"/>
  <c r="X132" i="65"/>
  <c r="Z132" i="65"/>
  <c r="AA132" i="65"/>
  <c r="W133" i="65"/>
  <c r="X133" i="65"/>
  <c r="Z133" i="65"/>
  <c r="AA133" i="65"/>
  <c r="W134" i="65"/>
  <c r="X134" i="65"/>
  <c r="Z134" i="65"/>
  <c r="AA134" i="65"/>
  <c r="W135" i="65"/>
  <c r="X135" i="65"/>
  <c r="Z135" i="65"/>
  <c r="AA135" i="65"/>
  <c r="W136" i="65"/>
  <c r="X136" i="65"/>
  <c r="Z136" i="65"/>
  <c r="AA136" i="65"/>
  <c r="W139" i="65"/>
  <c r="X139" i="65"/>
  <c r="Z139" i="65"/>
  <c r="AA139" i="65"/>
  <c r="W140" i="65"/>
  <c r="X140" i="65"/>
  <c r="Z140" i="65"/>
  <c r="AA140" i="65"/>
  <c r="W141" i="65"/>
  <c r="X141" i="65"/>
  <c r="Z141" i="65"/>
  <c r="AA141" i="65"/>
  <c r="W142" i="65"/>
  <c r="X142" i="65"/>
  <c r="Z142" i="65"/>
  <c r="AA142" i="65"/>
  <c r="W143" i="65"/>
  <c r="X143" i="65"/>
  <c r="Z143" i="65"/>
  <c r="AA143" i="65"/>
  <c r="W144" i="65"/>
  <c r="X144" i="65"/>
  <c r="Z144" i="65"/>
  <c r="AA144" i="65"/>
  <c r="W145" i="65"/>
  <c r="X145" i="65"/>
  <c r="Z145" i="65"/>
  <c r="AA145" i="65"/>
  <c r="W146" i="65"/>
  <c r="X146" i="65"/>
  <c r="Z146" i="65"/>
  <c r="AA146" i="65"/>
  <c r="W147" i="65"/>
  <c r="X147" i="65"/>
  <c r="Z147" i="65"/>
  <c r="AA147" i="65"/>
  <c r="W148" i="65"/>
  <c r="X148" i="65"/>
  <c r="Z148" i="65"/>
  <c r="AA148" i="65"/>
  <c r="W149" i="65"/>
  <c r="X149" i="65"/>
  <c r="Z149" i="65"/>
  <c r="AA149" i="65"/>
  <c r="W150" i="65"/>
  <c r="X150" i="65"/>
  <c r="Z150" i="65"/>
  <c r="AA150" i="65"/>
  <c r="W151" i="65"/>
  <c r="X151" i="65"/>
  <c r="Z151" i="65"/>
  <c r="AA151" i="65"/>
  <c r="W152" i="65"/>
  <c r="X152" i="65"/>
  <c r="Z152" i="65"/>
  <c r="AA152" i="65"/>
  <c r="W153" i="65"/>
  <c r="X153" i="65"/>
  <c r="Z153" i="65"/>
  <c r="AA153" i="65"/>
  <c r="W154" i="65"/>
  <c r="X154" i="65"/>
  <c r="Z154" i="65"/>
  <c r="AA154" i="65"/>
  <c r="W155" i="65"/>
  <c r="X155" i="65"/>
  <c r="Z155" i="65"/>
  <c r="AA155" i="65"/>
  <c r="W156" i="65"/>
  <c r="X156" i="65"/>
  <c r="Z156" i="65"/>
  <c r="AA156" i="65"/>
  <c r="W157" i="65"/>
  <c r="X157" i="65"/>
  <c r="Z157" i="65"/>
  <c r="AA157" i="65"/>
  <c r="W158" i="65"/>
  <c r="X158" i="65"/>
  <c r="Z158" i="65"/>
  <c r="AA158" i="65"/>
  <c r="W159" i="65"/>
  <c r="X159" i="65"/>
  <c r="Z159" i="65"/>
  <c r="AA159" i="65"/>
  <c r="W160" i="65"/>
  <c r="X160" i="65"/>
  <c r="Z160" i="65"/>
  <c r="AA160" i="65"/>
  <c r="W161" i="65"/>
  <c r="X161" i="65"/>
  <c r="Z161" i="65"/>
  <c r="AA161" i="65"/>
  <c r="W164" i="65"/>
  <c r="X164" i="65"/>
  <c r="Z164" i="65"/>
  <c r="AA164" i="65"/>
  <c r="W165" i="65"/>
  <c r="X165" i="65"/>
  <c r="Z165" i="65"/>
  <c r="AA165" i="65"/>
  <c r="W166" i="65"/>
  <c r="X166" i="65"/>
  <c r="Z166" i="65"/>
  <c r="AA166" i="65"/>
  <c r="W167" i="65"/>
  <c r="X167" i="65"/>
  <c r="Z167" i="65"/>
  <c r="AA167" i="65"/>
  <c r="W168" i="65"/>
  <c r="X168" i="65"/>
  <c r="Z168" i="65"/>
  <c r="AA168" i="65"/>
  <c r="W169" i="65"/>
  <c r="X169" i="65"/>
  <c r="Z169" i="65"/>
  <c r="AA169" i="65"/>
  <c r="W172" i="65"/>
  <c r="X172" i="65"/>
  <c r="Z172" i="65"/>
  <c r="AA172" i="65"/>
  <c r="W173" i="65"/>
  <c r="X173" i="65"/>
  <c r="Z173" i="65"/>
  <c r="AA173" i="65"/>
  <c r="W174" i="65"/>
  <c r="X174" i="65"/>
  <c r="Z174" i="65"/>
  <c r="AA174" i="65"/>
  <c r="W175" i="65"/>
  <c r="X175" i="65"/>
  <c r="Z175" i="65"/>
  <c r="AA175" i="65"/>
  <c r="W176" i="65"/>
  <c r="X176" i="65"/>
  <c r="Z176" i="65"/>
  <c r="AA176" i="65"/>
  <c r="W177" i="65"/>
  <c r="X177" i="65"/>
  <c r="Z177" i="65"/>
  <c r="AA177" i="65"/>
  <c r="W178" i="65"/>
  <c r="X178" i="65"/>
  <c r="Z178" i="65"/>
  <c r="AA178" i="65"/>
  <c r="W179" i="65"/>
  <c r="X179" i="65"/>
  <c r="Z179" i="65"/>
  <c r="AA179" i="65"/>
  <c r="W180" i="65"/>
  <c r="X180" i="65"/>
  <c r="Z180" i="65"/>
  <c r="AA180" i="65"/>
  <c r="W181" i="65"/>
  <c r="X181" i="65"/>
  <c r="Z181" i="65"/>
  <c r="AA181" i="65"/>
  <c r="W182" i="65"/>
  <c r="X182" i="65"/>
  <c r="Z182" i="65"/>
  <c r="AA182" i="65"/>
  <c r="W183" i="65"/>
  <c r="X183" i="65"/>
  <c r="Z183" i="65"/>
  <c r="AA183" i="65"/>
  <c r="W184" i="65"/>
  <c r="X184" i="65"/>
  <c r="Z184" i="65"/>
  <c r="AA184" i="65"/>
  <c r="W185" i="65"/>
  <c r="X185" i="65"/>
  <c r="Z185" i="65"/>
  <c r="AA185" i="65"/>
  <c r="W186" i="65"/>
  <c r="X186" i="65"/>
  <c r="Z186" i="65"/>
  <c r="AA186" i="65"/>
  <c r="W187" i="65"/>
  <c r="X187" i="65"/>
  <c r="Z187" i="65"/>
  <c r="AA187" i="65"/>
  <c r="W188" i="65"/>
  <c r="X188" i="65"/>
  <c r="Z188" i="65"/>
  <c r="AA188" i="65"/>
  <c r="W189" i="65"/>
  <c r="X189" i="65"/>
  <c r="Z189" i="65"/>
  <c r="AA189" i="65"/>
  <c r="W190" i="65"/>
  <c r="X190" i="65"/>
  <c r="Z190" i="65"/>
  <c r="AA190" i="65"/>
  <c r="W191" i="65"/>
  <c r="X191" i="65"/>
  <c r="Z191" i="65"/>
  <c r="AA191" i="65"/>
  <c r="W192" i="65"/>
  <c r="X192" i="65"/>
  <c r="Z192" i="65"/>
  <c r="AA192" i="65"/>
  <c r="W193" i="65"/>
  <c r="X193" i="65"/>
  <c r="Z193" i="65"/>
  <c r="AA193" i="65"/>
  <c r="W194" i="65"/>
  <c r="X194" i="65"/>
  <c r="Z194" i="65"/>
  <c r="AA194" i="65"/>
  <c r="W195" i="65"/>
  <c r="X195" i="65"/>
  <c r="Z195" i="65"/>
  <c r="AA195" i="65"/>
  <c r="W198" i="65"/>
  <c r="X198" i="65"/>
  <c r="Z198" i="65"/>
  <c r="AA198" i="65"/>
  <c r="W199" i="65"/>
  <c r="X199" i="65"/>
  <c r="Z199" i="65"/>
  <c r="AA199" i="65"/>
  <c r="W200" i="65"/>
  <c r="X200" i="65"/>
  <c r="Z200" i="65"/>
  <c r="AA200" i="65"/>
  <c r="W201" i="65"/>
  <c r="X201" i="65"/>
  <c r="Z201" i="65"/>
  <c r="AA201" i="65"/>
  <c r="W202" i="65"/>
  <c r="X202" i="65"/>
  <c r="Z202" i="65"/>
  <c r="AA202" i="65"/>
  <c r="W203" i="65"/>
  <c r="X203" i="65"/>
  <c r="Z203" i="65"/>
  <c r="AA203" i="65"/>
  <c r="W206" i="65"/>
  <c r="X206" i="65"/>
  <c r="Z206" i="65"/>
  <c r="AA206" i="65"/>
  <c r="W207" i="65"/>
  <c r="X207" i="65"/>
  <c r="Z207" i="65"/>
  <c r="AA207" i="65"/>
  <c r="W208" i="65"/>
  <c r="X208" i="65"/>
  <c r="Z208" i="65"/>
  <c r="AA208" i="65"/>
  <c r="W209" i="65"/>
  <c r="X209" i="65"/>
  <c r="Z209" i="65"/>
  <c r="AA209" i="65"/>
  <c r="W210" i="65"/>
  <c r="X210" i="65"/>
  <c r="Z210" i="65"/>
  <c r="AA210" i="65"/>
  <c r="W211" i="65"/>
  <c r="X211" i="65"/>
  <c r="Z211" i="65"/>
  <c r="AA211" i="65"/>
  <c r="W212" i="65"/>
  <c r="X212" i="65"/>
  <c r="Z212" i="65"/>
  <c r="AA212" i="65"/>
  <c r="W213" i="65"/>
  <c r="X213" i="65"/>
  <c r="Z213" i="65"/>
  <c r="AA213" i="65"/>
  <c r="W214" i="65"/>
  <c r="X214" i="65"/>
  <c r="Z214" i="65"/>
  <c r="AA214" i="65"/>
  <c r="W215" i="65"/>
  <c r="X215" i="65"/>
  <c r="Z215" i="65"/>
  <c r="AA215" i="65"/>
  <c r="W216" i="65"/>
  <c r="X216" i="65"/>
  <c r="Z216" i="65"/>
  <c r="AA216" i="65"/>
  <c r="W217" i="65"/>
  <c r="X217" i="65"/>
  <c r="Z217" i="65"/>
  <c r="AA217" i="65"/>
  <c r="W218" i="65"/>
  <c r="X218" i="65"/>
  <c r="Z218" i="65"/>
  <c r="AA218" i="65"/>
  <c r="W219" i="65"/>
  <c r="X219" i="65"/>
  <c r="Z219" i="65"/>
  <c r="AA219" i="65"/>
  <c r="W220" i="65"/>
  <c r="X220" i="65"/>
  <c r="Z220" i="65"/>
  <c r="AA220" i="65"/>
  <c r="W221" i="65"/>
  <c r="X221" i="65"/>
  <c r="Z221" i="65"/>
  <c r="AA221" i="65"/>
  <c r="W222" i="65"/>
  <c r="X222" i="65"/>
  <c r="Z222" i="65"/>
  <c r="AA222" i="65"/>
  <c r="W223" i="65"/>
  <c r="X223" i="65"/>
  <c r="Z223" i="65"/>
  <c r="AA223" i="65"/>
  <c r="W224" i="65"/>
  <c r="X224" i="65"/>
  <c r="Z224" i="65"/>
  <c r="AA224" i="65"/>
  <c r="W225" i="65"/>
  <c r="X225" i="65"/>
  <c r="Z225" i="65"/>
  <c r="AA225" i="65"/>
  <c r="W226" i="65"/>
  <c r="X226" i="65"/>
  <c r="Z226" i="65"/>
  <c r="AA226" i="65"/>
  <c r="W227" i="65"/>
  <c r="X227" i="65"/>
  <c r="Z227" i="65"/>
  <c r="AA227" i="65"/>
  <c r="W228" i="65"/>
  <c r="X228" i="65"/>
  <c r="Z228" i="65"/>
  <c r="AA228" i="65"/>
  <c r="W229" i="65"/>
  <c r="X229" i="65"/>
  <c r="Z229" i="65"/>
  <c r="AA229" i="65"/>
  <c r="W232" i="65"/>
  <c r="X232" i="65"/>
  <c r="Z232" i="65"/>
  <c r="AA232" i="65"/>
  <c r="W233" i="65"/>
  <c r="X233" i="65"/>
  <c r="Z233" i="65"/>
  <c r="AA233" i="65"/>
  <c r="W234" i="65"/>
  <c r="X234" i="65"/>
  <c r="Z234" i="65"/>
  <c r="AA234" i="65"/>
  <c r="W235" i="65"/>
  <c r="X235" i="65"/>
  <c r="Z235" i="65"/>
  <c r="AA235" i="65"/>
  <c r="W236" i="65"/>
  <c r="X236" i="65"/>
  <c r="Z236" i="65"/>
  <c r="AA236" i="65"/>
  <c r="W237" i="65"/>
  <c r="X237" i="65"/>
  <c r="Z237" i="65"/>
  <c r="AA237" i="65"/>
  <c r="W240" i="65"/>
  <c r="X240" i="65"/>
  <c r="Z240" i="65"/>
  <c r="AA240" i="65"/>
  <c r="W241" i="65"/>
  <c r="X241" i="65"/>
  <c r="Z241" i="65"/>
  <c r="AA241" i="65"/>
  <c r="W242" i="65"/>
  <c r="X242" i="65"/>
  <c r="Z242" i="65"/>
  <c r="AA242" i="65"/>
  <c r="W243" i="65"/>
  <c r="X243" i="65"/>
  <c r="Z243" i="65"/>
  <c r="AA243" i="65"/>
  <c r="W244" i="65"/>
  <c r="X244" i="65"/>
  <c r="Z244" i="65"/>
  <c r="AA244" i="65"/>
  <c r="W245" i="65"/>
  <c r="X245" i="65"/>
  <c r="Z245" i="65"/>
  <c r="AA245" i="65"/>
  <c r="W246" i="65"/>
  <c r="X246" i="65"/>
  <c r="Z246" i="65"/>
  <c r="AA246" i="65"/>
  <c r="W247" i="65"/>
  <c r="X247" i="65"/>
  <c r="Z247" i="65"/>
  <c r="AA247" i="65"/>
  <c r="W248" i="65"/>
  <c r="X248" i="65"/>
  <c r="Z248" i="65"/>
  <c r="AA248" i="65"/>
  <c r="W249" i="65"/>
  <c r="X249" i="65"/>
  <c r="Z249" i="65"/>
  <c r="AA249" i="65"/>
  <c r="W250" i="65"/>
  <c r="X250" i="65"/>
  <c r="Z250" i="65"/>
  <c r="AA250" i="65"/>
  <c r="W251" i="65"/>
  <c r="X251" i="65"/>
  <c r="Z251" i="65"/>
  <c r="AA251" i="65"/>
  <c r="W252" i="65"/>
  <c r="X252" i="65"/>
  <c r="Z252" i="65"/>
  <c r="AA252" i="65"/>
  <c r="W253" i="65"/>
  <c r="X253" i="65"/>
  <c r="Z253" i="65"/>
  <c r="AA253" i="65"/>
  <c r="W254" i="65"/>
  <c r="X254" i="65"/>
  <c r="Z254" i="65"/>
  <c r="AA254" i="65"/>
  <c r="W255" i="65"/>
  <c r="X255" i="65"/>
  <c r="Z255" i="65"/>
  <c r="AA255" i="65"/>
  <c r="W256" i="65"/>
  <c r="X256" i="65"/>
  <c r="Z256" i="65"/>
  <c r="AA256" i="65"/>
  <c r="W257" i="65"/>
  <c r="X257" i="65"/>
  <c r="Z257" i="65"/>
  <c r="AA257" i="65"/>
  <c r="W258" i="65"/>
  <c r="X258" i="65"/>
  <c r="Z258" i="65"/>
  <c r="AA258" i="65"/>
  <c r="W259" i="65"/>
  <c r="X259" i="65"/>
  <c r="Z259" i="65"/>
  <c r="AA259" i="65"/>
  <c r="W260" i="65"/>
  <c r="X260" i="65"/>
  <c r="Z260" i="65"/>
  <c r="AA260" i="65"/>
  <c r="W261" i="65"/>
  <c r="X261" i="65"/>
  <c r="Z261" i="65"/>
  <c r="AA261" i="65"/>
  <c r="W262" i="65"/>
  <c r="X262" i="65"/>
  <c r="Z262" i="65"/>
  <c r="AA262" i="65"/>
  <c r="W263" i="65"/>
  <c r="X263" i="65"/>
  <c r="Z263" i="65"/>
  <c r="AA263" i="65"/>
  <c r="W264" i="65"/>
  <c r="X264" i="65"/>
  <c r="Z264" i="65"/>
  <c r="AA264" i="65"/>
  <c r="W265" i="65"/>
  <c r="X265" i="65"/>
  <c r="Z265" i="65"/>
  <c r="AA265" i="65"/>
  <c r="W266" i="65"/>
  <c r="X266" i="65"/>
  <c r="Z266" i="65"/>
  <c r="AA266" i="65"/>
  <c r="W267" i="65"/>
  <c r="X267" i="65"/>
  <c r="Z267" i="65"/>
  <c r="AA267" i="65"/>
  <c r="W268" i="65"/>
  <c r="X268" i="65"/>
  <c r="Z268" i="65"/>
  <c r="AA268" i="65"/>
  <c r="W269" i="65"/>
  <c r="X269" i="65"/>
  <c r="Z269" i="65"/>
  <c r="AA269" i="65"/>
  <c r="W270" i="65"/>
  <c r="X270" i="65"/>
  <c r="Z270" i="65"/>
  <c r="AA270" i="65"/>
  <c r="W271" i="65"/>
  <c r="X271" i="65"/>
  <c r="Z271" i="65"/>
  <c r="AA271" i="65"/>
  <c r="W274" i="65"/>
  <c r="X274" i="65"/>
  <c r="Z274" i="65"/>
  <c r="AA274" i="65"/>
  <c r="W275" i="65"/>
  <c r="X275" i="65"/>
  <c r="Z275" i="65"/>
  <c r="AA275" i="65"/>
  <c r="W276" i="65"/>
  <c r="X276" i="65"/>
  <c r="Z276" i="65"/>
  <c r="AA276" i="65"/>
  <c r="W277" i="65"/>
  <c r="X277" i="65"/>
  <c r="Z277" i="65"/>
  <c r="AA277" i="65"/>
  <c r="W278" i="65"/>
  <c r="X278" i="65"/>
  <c r="Z278" i="65"/>
  <c r="AA278" i="65"/>
  <c r="W279" i="65"/>
  <c r="X279" i="65"/>
  <c r="Z279" i="65"/>
  <c r="AA279" i="65"/>
  <c r="W280" i="65"/>
  <c r="X280" i="65"/>
  <c r="Z280" i="65"/>
  <c r="AA280" i="65"/>
  <c r="W281" i="65"/>
  <c r="X281" i="65"/>
  <c r="Z281" i="65"/>
  <c r="AA281" i="65"/>
  <c r="W282" i="65"/>
  <c r="X282" i="65"/>
  <c r="Z282" i="65"/>
  <c r="AA282" i="65"/>
  <c r="W283" i="65"/>
  <c r="X283" i="65"/>
  <c r="Z283" i="65"/>
  <c r="AA283" i="65"/>
  <c r="W284" i="65"/>
  <c r="X284" i="65"/>
  <c r="Z284" i="65"/>
  <c r="AA284" i="65"/>
  <c r="W285" i="65"/>
  <c r="X285" i="65"/>
  <c r="Z285" i="65"/>
  <c r="AA285" i="65"/>
  <c r="W286" i="65"/>
  <c r="X286" i="65"/>
  <c r="Z286" i="65"/>
  <c r="AA286" i="65"/>
  <c r="W287" i="65"/>
  <c r="X287" i="65"/>
  <c r="Z287" i="65"/>
  <c r="AA287" i="65"/>
  <c r="W288" i="65"/>
  <c r="X288" i="65"/>
  <c r="Z288" i="65"/>
  <c r="AA288" i="65"/>
  <c r="W289" i="65"/>
  <c r="X289" i="65"/>
  <c r="Z289" i="65"/>
  <c r="AA289" i="65"/>
  <c r="W290" i="65"/>
  <c r="X290" i="65"/>
  <c r="Z290" i="65"/>
  <c r="AA290" i="65"/>
  <c r="W291" i="65"/>
  <c r="X291" i="65"/>
  <c r="Z291" i="65"/>
  <c r="AA291" i="65"/>
  <c r="W292" i="65"/>
  <c r="X292" i="65"/>
  <c r="Z292" i="65"/>
  <c r="AA292" i="65"/>
  <c r="W293" i="65"/>
  <c r="X293" i="65"/>
  <c r="Z293" i="65"/>
  <c r="AA293" i="65"/>
  <c r="W294" i="65"/>
  <c r="X294" i="65"/>
  <c r="Z294" i="65"/>
  <c r="AA294" i="65"/>
  <c r="W295" i="65"/>
  <c r="X295" i="65"/>
  <c r="Z295" i="65"/>
  <c r="AA295" i="65"/>
  <c r="W296" i="65"/>
  <c r="X296" i="65"/>
  <c r="Z296" i="65"/>
  <c r="AA296" i="65"/>
  <c r="W297" i="65"/>
  <c r="X297" i="65"/>
  <c r="Z297" i="65"/>
  <c r="AA297" i="65"/>
  <c r="W298" i="65"/>
  <c r="X298" i="65"/>
  <c r="Z298" i="65"/>
  <c r="AA298" i="65"/>
  <c r="W299" i="65"/>
  <c r="X299" i="65"/>
  <c r="Z299" i="65"/>
  <c r="AA299" i="65"/>
  <c r="W300" i="65"/>
  <c r="X300" i="65"/>
  <c r="Z300" i="65"/>
  <c r="AA300" i="65"/>
  <c r="W301" i="65"/>
  <c r="X301" i="65"/>
  <c r="Z301" i="65"/>
  <c r="AA301" i="65"/>
  <c r="W302" i="65"/>
  <c r="X302" i="65"/>
  <c r="Z302" i="65"/>
  <c r="AA302" i="65"/>
  <c r="W303" i="65"/>
  <c r="X303" i="65"/>
  <c r="Z303" i="65"/>
  <c r="AA303" i="65"/>
  <c r="W304" i="65"/>
  <c r="X304" i="65"/>
  <c r="Z304" i="65"/>
  <c r="AA304" i="65"/>
  <c r="W305" i="65"/>
  <c r="X305" i="65"/>
  <c r="Z305" i="65"/>
  <c r="AA305" i="65"/>
  <c r="W306" i="65"/>
  <c r="X306" i="65"/>
  <c r="Z306" i="65"/>
  <c r="AA306" i="65"/>
  <c r="W307" i="65"/>
  <c r="X307" i="65"/>
  <c r="Z307" i="65"/>
  <c r="AA307" i="65"/>
  <c r="W308" i="65"/>
  <c r="X308" i="65"/>
  <c r="Z308" i="65"/>
  <c r="AA308" i="65"/>
  <c r="W309" i="65"/>
  <c r="X309" i="65"/>
  <c r="Z309" i="65"/>
  <c r="AA309" i="65"/>
  <c r="W310" i="65"/>
  <c r="X310" i="65"/>
  <c r="Z310" i="65"/>
  <c r="AA310" i="65"/>
  <c r="W311" i="65"/>
  <c r="X311" i="65"/>
  <c r="Z311" i="65"/>
  <c r="AA311" i="65"/>
  <c r="W312" i="65"/>
  <c r="X312" i="65"/>
  <c r="Z312" i="65"/>
  <c r="AA312" i="65"/>
  <c r="W313" i="65"/>
  <c r="X313" i="65"/>
  <c r="Z313" i="65"/>
  <c r="AA313" i="65"/>
  <c r="W314" i="65"/>
  <c r="X314" i="65"/>
  <c r="Z314" i="65"/>
  <c r="AA314" i="65"/>
  <c r="W315" i="65"/>
  <c r="X315" i="65"/>
  <c r="Z315" i="65"/>
  <c r="AA315" i="65"/>
  <c r="W318" i="65"/>
  <c r="X318" i="65"/>
  <c r="Z318" i="65"/>
  <c r="AA318" i="65"/>
  <c r="W319" i="65"/>
  <c r="X319" i="65"/>
  <c r="Z319" i="65"/>
  <c r="AA319" i="65"/>
  <c r="W322" i="65"/>
  <c r="X322" i="65"/>
  <c r="Z322" i="65"/>
  <c r="AA322" i="65"/>
  <c r="W323" i="65"/>
  <c r="X323" i="65"/>
  <c r="Z323" i="65"/>
  <c r="AA323" i="65"/>
  <c r="W326" i="65"/>
  <c r="X326" i="65"/>
  <c r="Z326" i="65"/>
  <c r="AA326" i="65"/>
  <c r="W327" i="65"/>
  <c r="X327" i="65"/>
  <c r="Z327" i="65"/>
  <c r="AA327" i="65"/>
  <c r="W330" i="65"/>
  <c r="X330" i="65"/>
  <c r="Z330" i="65"/>
  <c r="AA330" i="65"/>
  <c r="W331" i="65"/>
  <c r="X331" i="65"/>
  <c r="Z331" i="65"/>
  <c r="AA331" i="65"/>
  <c r="W334" i="65"/>
  <c r="X334" i="65"/>
  <c r="Z334" i="65"/>
  <c r="AA334" i="65"/>
  <c r="W335" i="65"/>
  <c r="X335" i="65"/>
  <c r="Z335" i="65"/>
  <c r="AA335" i="65"/>
  <c r="W346" i="65"/>
  <c r="X346" i="65"/>
  <c r="Z346" i="65"/>
  <c r="AA346" i="65"/>
  <c r="W347" i="65"/>
  <c r="X347" i="65"/>
  <c r="Z347" i="65"/>
  <c r="AA347" i="65"/>
  <c r="W348" i="65"/>
  <c r="X348" i="65"/>
  <c r="Z348" i="65"/>
  <c r="AA348" i="65"/>
  <c r="W349" i="65"/>
  <c r="X349" i="65"/>
  <c r="Z349" i="65"/>
  <c r="AA349" i="65"/>
  <c r="W350" i="65"/>
  <c r="X350" i="65"/>
  <c r="Z350" i="65"/>
  <c r="AA350" i="65"/>
  <c r="W351" i="65"/>
  <c r="X351" i="65"/>
  <c r="Z351" i="65"/>
  <c r="AA351" i="65"/>
  <c r="W352" i="65"/>
  <c r="X352" i="65"/>
  <c r="Z352" i="65"/>
  <c r="AA352" i="65"/>
  <c r="W353" i="65"/>
  <c r="X353" i="65"/>
  <c r="Z353" i="65"/>
  <c r="AA353" i="65"/>
  <c r="W354" i="65"/>
  <c r="X354" i="65"/>
  <c r="Z354" i="65"/>
  <c r="AA354" i="65"/>
  <c r="W355" i="65"/>
  <c r="X355" i="65"/>
  <c r="Z355" i="65"/>
  <c r="AA355" i="65"/>
  <c r="W356" i="65"/>
  <c r="X356" i="65"/>
  <c r="Z356" i="65"/>
  <c r="AA356" i="65"/>
  <c r="W357" i="65"/>
  <c r="X357" i="65"/>
  <c r="Z357" i="65"/>
  <c r="AA357" i="65"/>
  <c r="W358" i="65"/>
  <c r="X358" i="65"/>
  <c r="Z358" i="65"/>
  <c r="AA358" i="65"/>
  <c r="W359" i="65"/>
  <c r="X359" i="65"/>
  <c r="Z359" i="65"/>
  <c r="AA359" i="65"/>
  <c r="W360" i="65"/>
  <c r="X360" i="65"/>
  <c r="Z360" i="65"/>
  <c r="AA360" i="65"/>
  <c r="W361" i="65"/>
  <c r="X361" i="65"/>
  <c r="Z361" i="65"/>
  <c r="AA361" i="65"/>
  <c r="W362" i="65"/>
  <c r="X362" i="65"/>
  <c r="Z362" i="65"/>
  <c r="AA362" i="65"/>
  <c r="W363" i="65"/>
  <c r="X363" i="65"/>
  <c r="Z363" i="65"/>
  <c r="AA363" i="65"/>
  <c r="W364" i="65"/>
  <c r="X364" i="65"/>
  <c r="Z364" i="65"/>
  <c r="AA364" i="65"/>
  <c r="W365" i="65"/>
  <c r="X365" i="65"/>
  <c r="Z365" i="65"/>
  <c r="AA365" i="65"/>
  <c r="W366" i="65"/>
  <c r="X366" i="65"/>
  <c r="Z366" i="65"/>
  <c r="AA366" i="65"/>
  <c r="W367" i="65"/>
  <c r="X367" i="65"/>
  <c r="Z367" i="65"/>
  <c r="AA367" i="65"/>
  <c r="W368" i="65"/>
  <c r="X368" i="65"/>
  <c r="Z368" i="65"/>
  <c r="AA368" i="65"/>
  <c r="W369" i="65"/>
  <c r="X369" i="65"/>
  <c r="Z369" i="65"/>
  <c r="AA369" i="65"/>
  <c r="W370" i="65"/>
  <c r="X370" i="65"/>
  <c r="Z370" i="65"/>
  <c r="AA370" i="65"/>
  <c r="W371" i="65"/>
  <c r="X371" i="65"/>
  <c r="Z371" i="65"/>
  <c r="AA371" i="65"/>
  <c r="W372" i="65"/>
  <c r="X372" i="65"/>
  <c r="Z372" i="65"/>
  <c r="AA372" i="65"/>
  <c r="W373" i="65"/>
  <c r="X373" i="65"/>
  <c r="Z373" i="65"/>
  <c r="AA373" i="65"/>
  <c r="W374" i="65"/>
  <c r="X374" i="65"/>
  <c r="Z374" i="65"/>
  <c r="AA374" i="65"/>
  <c r="W375" i="65"/>
  <c r="X375" i="65"/>
  <c r="Z375" i="65"/>
  <c r="AA375" i="65"/>
  <c r="W376" i="65"/>
  <c r="X376" i="65"/>
  <c r="Z376" i="65"/>
  <c r="AA376" i="65"/>
  <c r="W377" i="65"/>
  <c r="X377" i="65"/>
  <c r="Z377" i="65"/>
  <c r="AA377" i="65"/>
  <c r="W378" i="65"/>
  <c r="X378" i="65"/>
  <c r="Z378" i="65"/>
  <c r="AA378" i="65"/>
  <c r="W379" i="65"/>
  <c r="X379" i="65"/>
  <c r="Z379" i="65"/>
  <c r="AA379" i="65"/>
  <c r="W380" i="65"/>
  <c r="X380" i="65"/>
  <c r="Z380" i="65"/>
  <c r="AA380" i="65"/>
  <c r="W381" i="65"/>
  <c r="X381" i="65"/>
  <c r="Z381" i="65"/>
  <c r="AA381" i="65"/>
  <c r="W382" i="65"/>
  <c r="X382" i="65"/>
  <c r="Z382" i="65"/>
  <c r="AA382" i="65"/>
  <c r="W383" i="65"/>
  <c r="X383" i="65"/>
  <c r="Z383" i="65"/>
  <c r="AA383" i="65"/>
  <c r="W384" i="65"/>
  <c r="X384" i="65"/>
  <c r="Z384" i="65"/>
  <c r="AA384" i="65"/>
  <c r="W385" i="65"/>
  <c r="X385" i="65"/>
  <c r="Z385" i="65"/>
  <c r="AA385" i="65"/>
  <c r="W386" i="65"/>
  <c r="X386" i="65"/>
  <c r="Z386" i="65"/>
  <c r="AA386" i="65"/>
  <c r="W387" i="65"/>
  <c r="X387" i="65"/>
  <c r="Z387" i="65"/>
  <c r="AA387" i="65"/>
  <c r="W388" i="65"/>
  <c r="X388" i="65"/>
  <c r="Z388" i="65"/>
  <c r="AA388" i="65"/>
  <c r="W389" i="65"/>
  <c r="X389" i="65"/>
  <c r="Z389" i="65"/>
  <c r="AA389" i="65"/>
  <c r="W390" i="65"/>
  <c r="X390" i="65"/>
  <c r="Z390" i="65"/>
  <c r="AA390" i="65"/>
  <c r="W391" i="65"/>
  <c r="X391" i="65"/>
  <c r="Z391" i="65"/>
  <c r="AA391" i="65"/>
  <c r="W392" i="65"/>
  <c r="X392" i="65"/>
  <c r="Z392" i="65"/>
  <c r="AA392" i="65"/>
  <c r="W393" i="65"/>
  <c r="X393" i="65"/>
  <c r="Z393" i="65"/>
  <c r="AA393" i="65"/>
  <c r="W394" i="65"/>
  <c r="X394" i="65"/>
  <c r="Z394" i="65"/>
  <c r="AA394" i="65"/>
  <c r="W395" i="65"/>
  <c r="X395" i="65"/>
  <c r="Z395" i="65"/>
  <c r="AA395" i="65"/>
  <c r="W396" i="65"/>
  <c r="X396" i="65"/>
  <c r="Z396" i="65"/>
  <c r="AA396" i="65"/>
  <c r="W397" i="65"/>
  <c r="X397" i="65"/>
  <c r="Z397" i="65"/>
  <c r="AA397" i="65"/>
  <c r="W398" i="65"/>
  <c r="X398" i="65"/>
  <c r="Z398" i="65"/>
  <c r="AA398" i="65"/>
  <c r="W399" i="65"/>
  <c r="X399" i="65"/>
  <c r="Z399" i="65"/>
  <c r="AA399" i="65"/>
  <c r="W400" i="65"/>
  <c r="X400" i="65"/>
  <c r="Z400" i="65"/>
  <c r="AA400" i="65"/>
  <c r="W401" i="65"/>
  <c r="X401" i="65"/>
  <c r="Z401" i="65"/>
  <c r="AA401" i="65"/>
  <c r="W404" i="65"/>
  <c r="X404" i="65"/>
  <c r="Z404" i="65"/>
  <c r="AA404" i="65"/>
  <c r="W405" i="65"/>
  <c r="X405" i="65"/>
  <c r="Z405" i="65"/>
  <c r="AA405" i="65"/>
  <c r="W416" i="65"/>
  <c r="X416" i="65"/>
  <c r="Z416" i="65"/>
  <c r="AA416" i="65"/>
  <c r="W417" i="65"/>
  <c r="X417" i="65"/>
  <c r="Z417" i="65"/>
  <c r="AA417" i="65"/>
  <c r="W418" i="65"/>
  <c r="X418" i="65"/>
  <c r="Z418" i="65"/>
  <c r="AA418" i="65"/>
  <c r="W419" i="65"/>
  <c r="X419" i="65"/>
  <c r="Z419" i="65"/>
  <c r="AA419" i="65"/>
  <c r="W420" i="65"/>
  <c r="X420" i="65"/>
  <c r="Z420" i="65"/>
  <c r="AA420" i="65"/>
  <c r="W421" i="65"/>
  <c r="X421" i="65"/>
  <c r="Z421" i="65"/>
  <c r="AA421" i="65"/>
  <c r="W422" i="65"/>
  <c r="X422" i="65"/>
  <c r="Z422" i="65"/>
  <c r="AA422" i="65"/>
  <c r="W423" i="65"/>
  <c r="X423" i="65"/>
  <c r="Z423" i="65"/>
  <c r="AA423" i="65"/>
  <c r="W424" i="65"/>
  <c r="X424" i="65"/>
  <c r="Z424" i="65"/>
  <c r="AA424" i="65"/>
  <c r="W425" i="65"/>
  <c r="X425" i="65"/>
  <c r="Z425" i="65"/>
  <c r="AA425" i="65"/>
  <c r="W426" i="65"/>
  <c r="X426" i="65"/>
  <c r="Z426" i="65"/>
  <c r="AA426" i="65"/>
  <c r="W427" i="65"/>
  <c r="X427" i="65"/>
  <c r="Z427" i="65"/>
  <c r="AA427" i="65"/>
  <c r="W428" i="65"/>
  <c r="X428" i="65"/>
  <c r="Z428" i="65"/>
  <c r="AA428" i="65"/>
  <c r="W429" i="65"/>
  <c r="X429" i="65"/>
  <c r="Z429" i="65"/>
  <c r="AA429" i="65"/>
  <c r="W430" i="65"/>
  <c r="X430" i="65"/>
  <c r="Z430" i="65"/>
  <c r="AA430" i="65"/>
  <c r="W431" i="65"/>
  <c r="X431" i="65"/>
  <c r="Z431" i="65"/>
  <c r="AA431" i="65"/>
  <c r="W432" i="65"/>
  <c r="X432" i="65"/>
  <c r="Z432" i="65"/>
  <c r="AA432" i="65"/>
  <c r="W433" i="65"/>
  <c r="X433" i="65"/>
  <c r="Z433" i="65"/>
  <c r="AA433" i="65"/>
  <c r="W434" i="65"/>
  <c r="X434" i="65"/>
  <c r="Z434" i="65"/>
  <c r="AA434" i="65"/>
  <c r="W435" i="65"/>
  <c r="X435" i="65"/>
  <c r="Z435" i="65"/>
  <c r="AA435" i="65"/>
  <c r="W436" i="65"/>
  <c r="X436" i="65"/>
  <c r="Z436" i="65"/>
  <c r="AA436" i="65"/>
  <c r="W437" i="65"/>
  <c r="X437" i="65"/>
  <c r="Z437" i="65"/>
  <c r="AA437" i="65"/>
  <c r="W438" i="65"/>
  <c r="X438" i="65"/>
  <c r="Z438" i="65"/>
  <c r="AA438" i="65"/>
  <c r="W439" i="65"/>
  <c r="X439" i="65"/>
  <c r="Z439" i="65"/>
  <c r="AA439" i="65"/>
  <c r="W440" i="65"/>
  <c r="X440" i="65"/>
  <c r="Z440" i="65"/>
  <c r="AA440" i="65"/>
  <c r="W441" i="65"/>
  <c r="X441" i="65"/>
  <c r="Z441" i="65"/>
  <c r="AA441" i="65"/>
  <c r="W442" i="65"/>
  <c r="X442" i="65"/>
  <c r="Z442" i="65"/>
  <c r="AA442" i="65"/>
  <c r="W443" i="65"/>
  <c r="X443" i="65"/>
  <c r="Z443" i="65"/>
  <c r="AA443" i="65"/>
  <c r="W444" i="65"/>
  <c r="X444" i="65"/>
  <c r="Z444" i="65"/>
  <c r="AA444" i="65"/>
  <c r="W445" i="65"/>
  <c r="X445" i="65"/>
  <c r="Z445" i="65"/>
  <c r="AA445" i="65"/>
  <c r="W446" i="65"/>
  <c r="X446" i="65"/>
  <c r="Z446" i="65"/>
  <c r="AA446" i="65"/>
  <c r="W447" i="65"/>
  <c r="X447" i="65"/>
  <c r="Z447" i="65"/>
  <c r="AA447" i="65"/>
  <c r="W448" i="65"/>
  <c r="X448" i="65"/>
  <c r="Z448" i="65"/>
  <c r="AA448" i="65"/>
  <c r="W449" i="65"/>
  <c r="X449" i="65"/>
  <c r="Z449" i="65"/>
  <c r="AA449" i="65"/>
  <c r="W450" i="65"/>
  <c r="X450" i="65"/>
  <c r="Z450" i="65"/>
  <c r="AA450" i="65"/>
  <c r="W451" i="65"/>
  <c r="X451" i="65"/>
  <c r="Z451" i="65"/>
  <c r="AA451" i="65"/>
  <c r="W452" i="65"/>
  <c r="X452" i="65"/>
  <c r="Z452" i="65"/>
  <c r="AA452" i="65"/>
  <c r="W453" i="65"/>
  <c r="X453" i="65"/>
  <c r="Z453" i="65"/>
  <c r="AA453" i="65"/>
  <c r="W454" i="65"/>
  <c r="X454" i="65"/>
  <c r="Z454" i="65"/>
  <c r="AA454" i="65"/>
  <c r="W455" i="65"/>
  <c r="X455" i="65"/>
  <c r="Z455" i="65"/>
  <c r="AA455" i="65"/>
  <c r="W456" i="65"/>
  <c r="X456" i="65"/>
  <c r="Z456" i="65"/>
  <c r="AA456" i="65"/>
  <c r="W457" i="65"/>
  <c r="X457" i="65"/>
  <c r="Z457" i="65"/>
  <c r="AA457" i="65"/>
  <c r="W458" i="65"/>
  <c r="X458" i="65"/>
  <c r="Z458" i="65"/>
  <c r="AA458" i="65"/>
  <c r="W459" i="65"/>
  <c r="X459" i="65"/>
  <c r="Z459" i="65"/>
  <c r="AA459" i="65"/>
  <c r="W460" i="65"/>
  <c r="X460" i="65"/>
  <c r="Z460" i="65"/>
  <c r="AA460" i="65"/>
  <c r="W461" i="65"/>
  <c r="X461" i="65"/>
  <c r="Z461" i="65"/>
  <c r="AA461" i="65"/>
  <c r="W462" i="65"/>
  <c r="X462" i="65"/>
  <c r="Z462" i="65"/>
  <c r="AA462" i="65"/>
  <c r="W463" i="65"/>
  <c r="X463" i="65"/>
  <c r="Z463" i="65"/>
  <c r="AA463" i="65"/>
  <c r="W464" i="65"/>
  <c r="X464" i="65"/>
  <c r="Z464" i="65"/>
  <c r="AA464" i="65"/>
  <c r="W467" i="65"/>
  <c r="X467" i="65"/>
  <c r="Z467" i="65"/>
  <c r="AA467" i="65"/>
  <c r="W468" i="65"/>
  <c r="X468" i="65"/>
  <c r="Z468" i="65"/>
  <c r="AA468" i="65"/>
  <c r="W471" i="65"/>
  <c r="X471" i="65"/>
  <c r="Z471" i="65"/>
  <c r="AA471" i="65"/>
  <c r="W472" i="65"/>
  <c r="X472" i="65"/>
  <c r="Z472" i="65"/>
  <c r="AA472" i="65"/>
  <c r="W475" i="65"/>
  <c r="X475" i="65"/>
  <c r="Z475" i="65"/>
  <c r="AA475" i="65"/>
  <c r="W476" i="65"/>
  <c r="X476" i="65"/>
  <c r="Z476" i="65"/>
  <c r="AA476" i="65"/>
  <c r="W479" i="65"/>
  <c r="X479" i="65"/>
  <c r="Z479" i="65"/>
  <c r="AA479" i="65"/>
  <c r="W480" i="65"/>
  <c r="X480" i="65"/>
  <c r="Z480" i="65"/>
  <c r="AA480" i="65"/>
  <c r="W483" i="65"/>
  <c r="X483" i="65"/>
  <c r="Z483" i="65"/>
  <c r="AA483" i="65"/>
  <c r="W484" i="65"/>
  <c r="X484" i="65"/>
  <c r="Z484" i="65"/>
  <c r="AA484" i="65"/>
  <c r="W495" i="65"/>
  <c r="X495" i="65"/>
  <c r="Z495" i="65"/>
  <c r="AA495" i="65"/>
  <c r="W496" i="65"/>
  <c r="X496" i="65"/>
  <c r="Z496" i="65"/>
  <c r="AA496" i="65"/>
  <c r="W497" i="65"/>
  <c r="X497" i="65"/>
  <c r="Z497" i="65"/>
  <c r="AA497" i="65"/>
  <c r="W498" i="65"/>
  <c r="X498" i="65"/>
  <c r="Z498" i="65"/>
  <c r="AA498" i="65"/>
  <c r="W499" i="65"/>
  <c r="X499" i="65"/>
  <c r="Z499" i="65"/>
  <c r="AA499" i="65"/>
  <c r="W500" i="65"/>
  <c r="X500" i="65"/>
  <c r="Z500" i="65"/>
  <c r="AA500" i="65"/>
  <c r="W501" i="65"/>
  <c r="X501" i="65"/>
  <c r="Z501" i="65"/>
  <c r="AA501" i="65"/>
  <c r="W502" i="65"/>
  <c r="X502" i="65"/>
  <c r="Z502" i="65"/>
  <c r="AA502" i="65"/>
  <c r="W503" i="65"/>
  <c r="X503" i="65"/>
  <c r="Z503" i="65"/>
  <c r="AA503" i="65"/>
  <c r="W504" i="65"/>
  <c r="X504" i="65"/>
  <c r="Z504" i="65"/>
  <c r="AA504" i="65"/>
  <c r="W505" i="65"/>
  <c r="X505" i="65"/>
  <c r="Z505" i="65"/>
  <c r="AA505" i="65"/>
  <c r="W506" i="65"/>
  <c r="X506" i="65"/>
  <c r="Z506" i="65"/>
  <c r="AA506" i="65"/>
  <c r="W507" i="65"/>
  <c r="X507" i="65"/>
  <c r="Z507" i="65"/>
  <c r="AA507" i="65"/>
  <c r="W508" i="65"/>
  <c r="X508" i="65"/>
  <c r="Z508" i="65"/>
  <c r="AA508" i="65"/>
  <c r="W509" i="65"/>
  <c r="X509" i="65"/>
  <c r="Z509" i="65"/>
  <c r="AA509" i="65"/>
  <c r="W510" i="65"/>
  <c r="X510" i="65"/>
  <c r="Z510" i="65"/>
  <c r="AA510" i="65"/>
  <c r="W511" i="65"/>
  <c r="X511" i="65"/>
  <c r="Z511" i="65"/>
  <c r="AA511" i="65"/>
  <c r="W512" i="65"/>
  <c r="X512" i="65"/>
  <c r="Z512" i="65"/>
  <c r="AA512" i="65"/>
  <c r="W513" i="65"/>
  <c r="X513" i="65"/>
  <c r="Z513" i="65"/>
  <c r="AA513" i="65"/>
  <c r="W514" i="65"/>
  <c r="X514" i="65"/>
  <c r="Z514" i="65"/>
  <c r="AA514" i="65"/>
  <c r="W515" i="65"/>
  <c r="X515" i="65"/>
  <c r="Z515" i="65"/>
  <c r="AA515" i="65"/>
  <c r="W516" i="65"/>
  <c r="X516" i="65"/>
  <c r="Z516" i="65"/>
  <c r="AA516" i="65"/>
  <c r="W517" i="65"/>
  <c r="X517" i="65"/>
  <c r="Z517" i="65"/>
  <c r="AA517" i="65"/>
  <c r="W518" i="65"/>
  <c r="X518" i="65"/>
  <c r="Z518" i="65"/>
  <c r="AA518" i="65"/>
  <c r="W519" i="65"/>
  <c r="X519" i="65"/>
  <c r="Z519" i="65"/>
  <c r="AA519" i="65"/>
  <c r="W520" i="65"/>
  <c r="X520" i="65"/>
  <c r="Z520" i="65"/>
  <c r="AA520" i="65"/>
  <c r="W521" i="65"/>
  <c r="X521" i="65"/>
  <c r="Z521" i="65"/>
  <c r="AA521" i="65"/>
  <c r="W522" i="65"/>
  <c r="X522" i="65"/>
  <c r="Z522" i="65"/>
  <c r="AA522" i="65"/>
  <c r="W523" i="65"/>
  <c r="X523" i="65"/>
  <c r="Z523" i="65"/>
  <c r="AA523" i="65"/>
  <c r="W524" i="65"/>
  <c r="X524" i="65"/>
  <c r="Z524" i="65"/>
  <c r="AA524" i="65"/>
  <c r="W525" i="65"/>
  <c r="X525" i="65"/>
  <c r="Z525" i="65"/>
  <c r="AA525" i="65"/>
  <c r="W526" i="65"/>
  <c r="X526" i="65"/>
  <c r="Z526" i="65"/>
  <c r="AA526" i="65"/>
  <c r="W527" i="65"/>
  <c r="X527" i="65"/>
  <c r="Z527" i="65"/>
  <c r="AA527" i="65"/>
  <c r="W528" i="65"/>
  <c r="X528" i="65"/>
  <c r="Z528" i="65"/>
  <c r="AA528" i="65"/>
  <c r="W529" i="65"/>
  <c r="X529" i="65"/>
  <c r="Z529" i="65"/>
  <c r="AA529" i="65"/>
  <c r="W530" i="65"/>
  <c r="X530" i="65"/>
  <c r="Z530" i="65"/>
  <c r="AA530" i="65"/>
  <c r="W531" i="65"/>
  <c r="X531" i="65"/>
  <c r="Z531" i="65"/>
  <c r="AA531" i="65"/>
  <c r="W532" i="65"/>
  <c r="X532" i="65"/>
  <c r="Z532" i="65"/>
  <c r="AA532" i="65"/>
  <c r="W533" i="65"/>
  <c r="X533" i="65"/>
  <c r="Z533" i="65"/>
  <c r="AA533" i="65"/>
  <c r="W534" i="65"/>
  <c r="X534" i="65"/>
  <c r="Z534" i="65"/>
  <c r="AA534" i="65"/>
  <c r="W535" i="65"/>
  <c r="X535" i="65"/>
  <c r="Z535" i="65"/>
  <c r="AA535" i="65"/>
  <c r="W536" i="65"/>
  <c r="X536" i="65"/>
  <c r="Z536" i="65"/>
  <c r="AA536" i="65"/>
  <c r="W537" i="65"/>
  <c r="X537" i="65"/>
  <c r="Z537" i="65"/>
  <c r="AA537" i="65"/>
  <c r="W538" i="65"/>
  <c r="X538" i="65"/>
  <c r="Z538" i="65"/>
  <c r="AA538" i="65"/>
  <c r="W539" i="65"/>
  <c r="X539" i="65"/>
  <c r="Z539" i="65"/>
  <c r="AA539" i="65"/>
  <c r="W540" i="65"/>
  <c r="X540" i="65"/>
  <c r="Z540" i="65"/>
  <c r="AA540" i="65"/>
  <c r="W541" i="65"/>
  <c r="X541" i="65"/>
  <c r="Z541" i="65"/>
  <c r="AA541" i="65"/>
  <c r="W542" i="65"/>
  <c r="X542" i="65"/>
  <c r="Z542" i="65"/>
  <c r="AA542" i="65"/>
  <c r="W543" i="65"/>
  <c r="X543" i="65"/>
  <c r="Z543" i="65"/>
  <c r="AA543" i="65"/>
  <c r="W544" i="65"/>
  <c r="X544" i="65"/>
  <c r="Z544" i="65"/>
  <c r="AA544" i="65"/>
  <c r="W545" i="65"/>
  <c r="X545" i="65"/>
  <c r="Z545" i="65"/>
  <c r="AA545" i="65"/>
  <c r="W546" i="65"/>
  <c r="X546" i="65"/>
  <c r="Z546" i="65"/>
  <c r="AA546" i="65"/>
  <c r="W547" i="65"/>
  <c r="X547" i="65"/>
  <c r="Z547" i="65"/>
  <c r="AA547" i="65"/>
  <c r="W548" i="65"/>
  <c r="X548" i="65"/>
  <c r="Z548" i="65"/>
  <c r="AA548" i="65"/>
  <c r="W549" i="65"/>
  <c r="X549" i="65"/>
  <c r="Z549" i="65"/>
  <c r="AA549" i="65"/>
  <c r="W550" i="65"/>
  <c r="X550" i="65"/>
  <c r="Z550" i="65"/>
  <c r="AA550" i="65"/>
  <c r="W551" i="65"/>
  <c r="X551" i="65"/>
  <c r="Z551" i="65"/>
  <c r="AA551" i="65"/>
  <c r="W552" i="65"/>
  <c r="X552" i="65"/>
  <c r="Z552" i="65"/>
  <c r="AA552" i="65"/>
  <c r="W553" i="65"/>
  <c r="X553" i="65"/>
  <c r="Z553" i="65"/>
  <c r="AA553" i="65"/>
  <c r="W554" i="65"/>
  <c r="X554" i="65"/>
  <c r="Z554" i="65"/>
  <c r="AA554" i="65"/>
  <c r="W555" i="65"/>
  <c r="X555" i="65"/>
  <c r="Z555" i="65"/>
  <c r="AA555" i="65"/>
  <c r="W556" i="65"/>
  <c r="X556" i="65"/>
  <c r="Z556" i="65"/>
  <c r="AA556" i="65"/>
  <c r="W557" i="65"/>
  <c r="X557" i="65"/>
  <c r="Z557" i="65"/>
  <c r="AA557" i="65"/>
  <c r="W558" i="65"/>
  <c r="X558" i="65"/>
  <c r="Z558" i="65"/>
  <c r="AA558" i="65"/>
  <c r="W559" i="65"/>
  <c r="X559" i="65"/>
  <c r="Z559" i="65"/>
  <c r="AA559" i="65"/>
  <c r="W560" i="65"/>
  <c r="X560" i="65"/>
  <c r="Z560" i="65"/>
  <c r="AA560" i="65"/>
  <c r="W561" i="65"/>
  <c r="X561" i="65"/>
  <c r="Z561" i="65"/>
  <c r="AA561" i="65"/>
  <c r="W562" i="65"/>
  <c r="X562" i="65"/>
  <c r="Z562" i="65"/>
  <c r="AA562" i="65"/>
  <c r="W563" i="65"/>
  <c r="X563" i="65"/>
  <c r="Z563" i="65"/>
  <c r="AA563" i="65"/>
  <c r="W564" i="65"/>
  <c r="X564" i="65"/>
  <c r="Z564" i="65"/>
  <c r="AA564" i="65"/>
  <c r="W565" i="65"/>
  <c r="X565" i="65"/>
  <c r="Z565" i="65"/>
  <c r="AA565" i="65"/>
  <c r="W566" i="65"/>
  <c r="X566" i="65"/>
  <c r="Z566" i="65"/>
  <c r="AA566" i="65"/>
  <c r="W567" i="65"/>
  <c r="X567" i="65"/>
  <c r="Z567" i="65"/>
  <c r="AA567" i="65"/>
  <c r="W568" i="65"/>
  <c r="X568" i="65"/>
  <c r="Z568" i="65"/>
  <c r="AA568" i="65"/>
  <c r="W569" i="65"/>
  <c r="X569" i="65"/>
  <c r="Z569" i="65"/>
  <c r="AA569" i="65"/>
  <c r="W570" i="65"/>
  <c r="X570" i="65"/>
  <c r="Z570" i="65"/>
  <c r="AA570" i="65"/>
  <c r="W571" i="65"/>
  <c r="X571" i="65"/>
  <c r="Z571" i="65"/>
  <c r="AA571" i="65"/>
  <c r="W572" i="65"/>
  <c r="X572" i="65"/>
  <c r="Z572" i="65"/>
  <c r="AA572" i="65"/>
  <c r="W573" i="65"/>
  <c r="X573" i="65"/>
  <c r="Z573" i="65"/>
  <c r="AA573" i="65"/>
  <c r="W574" i="65"/>
  <c r="X574" i="65"/>
  <c r="Z574" i="65"/>
  <c r="AA574" i="65"/>
  <c r="W575" i="65"/>
  <c r="X575" i="65"/>
  <c r="Z575" i="65"/>
  <c r="AA575" i="65"/>
  <c r="W576" i="65"/>
  <c r="X576" i="65"/>
  <c r="Z576" i="65"/>
  <c r="AA576" i="65"/>
  <c r="W577" i="65"/>
  <c r="X577" i="65"/>
  <c r="Z577" i="65"/>
  <c r="AA577" i="65"/>
  <c r="W578" i="65"/>
  <c r="X578" i="65"/>
  <c r="Z578" i="65"/>
  <c r="AA578" i="65"/>
  <c r="W579" i="65"/>
  <c r="X579" i="65"/>
  <c r="Z579" i="65"/>
  <c r="AA579" i="65"/>
  <c r="W580" i="65"/>
  <c r="X580" i="65"/>
  <c r="Z580" i="65"/>
  <c r="AA580" i="65"/>
  <c r="W581" i="65"/>
  <c r="X581" i="65"/>
  <c r="Z581" i="65"/>
  <c r="AA581" i="65"/>
  <c r="W582" i="65"/>
  <c r="X582" i="65"/>
  <c r="Z582" i="65"/>
  <c r="AA582" i="65"/>
  <c r="W583" i="65"/>
  <c r="X583" i="65"/>
  <c r="Z583" i="65"/>
  <c r="AA583" i="65"/>
  <c r="W584" i="65"/>
  <c r="X584" i="65"/>
  <c r="Z584" i="65"/>
  <c r="AA584" i="65"/>
  <c r="W585" i="65"/>
  <c r="X585" i="65"/>
  <c r="Z585" i="65"/>
  <c r="AA585" i="65"/>
  <c r="W586" i="65"/>
  <c r="X586" i="65"/>
  <c r="Z586" i="65"/>
  <c r="AA586" i="65"/>
  <c r="W587" i="65"/>
  <c r="X587" i="65"/>
  <c r="Z587" i="65"/>
  <c r="AA587" i="65"/>
  <c r="W588" i="65"/>
  <c r="X588" i="65"/>
  <c r="Z588" i="65"/>
  <c r="AA588" i="65"/>
  <c r="W589" i="65"/>
  <c r="X589" i="65"/>
  <c r="Z589" i="65"/>
  <c r="AA589" i="65"/>
  <c r="W590" i="65"/>
  <c r="X590" i="65"/>
  <c r="Z590" i="65"/>
  <c r="AA590" i="65"/>
  <c r="W591" i="65"/>
  <c r="X591" i="65"/>
  <c r="Z591" i="65"/>
  <c r="AA591" i="65"/>
  <c r="W594" i="65"/>
  <c r="X594" i="65"/>
  <c r="Z594" i="65"/>
  <c r="AA594" i="65"/>
  <c r="W595" i="65"/>
  <c r="X595" i="65"/>
  <c r="Z595" i="65"/>
  <c r="AA595" i="65"/>
  <c r="W598" i="65"/>
  <c r="X598" i="65"/>
  <c r="Z598" i="65"/>
  <c r="AA598" i="65"/>
  <c r="W599" i="65"/>
  <c r="X599" i="65"/>
  <c r="Z599" i="65"/>
  <c r="AA599" i="65"/>
  <c r="W602" i="65"/>
  <c r="X602" i="65"/>
  <c r="Z602" i="65"/>
  <c r="AA602" i="65"/>
  <c r="W603" i="65"/>
  <c r="X603" i="65"/>
  <c r="Z603" i="65"/>
  <c r="AA603" i="65"/>
  <c r="W606" i="65"/>
  <c r="X606" i="65"/>
  <c r="Z606" i="65"/>
  <c r="AA606" i="65"/>
  <c r="W607" i="65"/>
  <c r="X607" i="65"/>
  <c r="Z607" i="65"/>
  <c r="AA607" i="65"/>
  <c r="W610" i="65"/>
  <c r="X610" i="65"/>
  <c r="Z610" i="65"/>
  <c r="AA610" i="65"/>
  <c r="W611" i="65"/>
  <c r="X611" i="65"/>
  <c r="Z611" i="65"/>
  <c r="AA611" i="65"/>
  <c r="W614" i="65"/>
  <c r="X614" i="65"/>
  <c r="Z614" i="65"/>
  <c r="AA614" i="65"/>
  <c r="W615" i="65"/>
  <c r="X615" i="65"/>
  <c r="Z615" i="65"/>
  <c r="AA615" i="65"/>
  <c r="W618" i="65"/>
  <c r="X618" i="65"/>
  <c r="Z618" i="65"/>
  <c r="AA618" i="65"/>
  <c r="W619" i="65"/>
  <c r="X619" i="65"/>
  <c r="Z619" i="65"/>
  <c r="AA619" i="65"/>
  <c r="W638" i="65"/>
  <c r="X638" i="65"/>
  <c r="Z638" i="65"/>
  <c r="AA638" i="65"/>
  <c r="W639" i="65"/>
  <c r="X639" i="65"/>
  <c r="Z639" i="65"/>
  <c r="AA639" i="65"/>
  <c r="W640" i="65"/>
  <c r="X640" i="65"/>
  <c r="Z640" i="65"/>
  <c r="AA640" i="65"/>
  <c r="W641" i="65"/>
  <c r="X641" i="65"/>
  <c r="Z641" i="65"/>
  <c r="AA641" i="65"/>
  <c r="W642" i="65"/>
  <c r="X642" i="65"/>
  <c r="Z642" i="65"/>
  <c r="AA642" i="65"/>
  <c r="W643" i="65"/>
  <c r="X643" i="65"/>
  <c r="Z643" i="65"/>
  <c r="AA643" i="65"/>
  <c r="W644" i="65"/>
  <c r="X644" i="65"/>
  <c r="Z644" i="65"/>
  <c r="AA644" i="65"/>
  <c r="W645" i="65"/>
  <c r="X645" i="65"/>
  <c r="Z645" i="65"/>
  <c r="AA645" i="65"/>
  <c r="W646" i="65"/>
  <c r="X646" i="65"/>
  <c r="Z646" i="65"/>
  <c r="AA646" i="65"/>
  <c r="W647" i="65"/>
  <c r="X647" i="65"/>
  <c r="Z647" i="65"/>
  <c r="AA647" i="65"/>
  <c r="W648" i="65"/>
  <c r="X648" i="65"/>
  <c r="Z648" i="65"/>
  <c r="AA648" i="65"/>
  <c r="W649" i="65"/>
  <c r="X649" i="65"/>
  <c r="Z649" i="65"/>
  <c r="AA649" i="65"/>
  <c r="W650" i="65"/>
  <c r="X650" i="65"/>
  <c r="Z650" i="65"/>
  <c r="AA650" i="65"/>
  <c r="W651" i="65"/>
  <c r="X651" i="65"/>
  <c r="Z651" i="65"/>
  <c r="AA651" i="65"/>
  <c r="W652" i="65"/>
  <c r="X652" i="65"/>
  <c r="Z652" i="65"/>
  <c r="AA652" i="65"/>
  <c r="W653" i="65"/>
  <c r="X653" i="65"/>
  <c r="Z653" i="65"/>
  <c r="AA653" i="65"/>
  <c r="W654" i="65"/>
  <c r="X654" i="65"/>
  <c r="Z654" i="65"/>
  <c r="AA654" i="65"/>
  <c r="W657" i="65"/>
  <c r="X657" i="65"/>
  <c r="Z657" i="65"/>
  <c r="AA657" i="65"/>
  <c r="W658" i="65"/>
  <c r="X658" i="65"/>
  <c r="Z658" i="65"/>
  <c r="AA658" i="65"/>
  <c r="W659" i="65"/>
  <c r="X659" i="65"/>
  <c r="Z659" i="65"/>
  <c r="AA659" i="65"/>
  <c r="W660" i="65"/>
  <c r="X660" i="65"/>
  <c r="Z660" i="65"/>
  <c r="AA660" i="65"/>
  <c r="W661" i="65"/>
  <c r="X661" i="65"/>
  <c r="Z661" i="65"/>
  <c r="AA661" i="65"/>
  <c r="W662" i="65"/>
  <c r="X662" i="65"/>
  <c r="Z662" i="65"/>
  <c r="AA662" i="65"/>
  <c r="W663" i="65"/>
  <c r="X663" i="65"/>
  <c r="Z663" i="65"/>
  <c r="AA663" i="65"/>
  <c r="W664" i="65"/>
  <c r="X664" i="65"/>
  <c r="Z664" i="65"/>
  <c r="AA664" i="65"/>
  <c r="W665" i="65"/>
  <c r="X665" i="65"/>
  <c r="Z665" i="65"/>
  <c r="AA665" i="65"/>
  <c r="W666" i="65"/>
  <c r="X666" i="65"/>
  <c r="Z666" i="65"/>
  <c r="AA666" i="65"/>
  <c r="W667" i="65"/>
  <c r="X667" i="65"/>
  <c r="Z667" i="65"/>
  <c r="AA667" i="65"/>
  <c r="W668" i="65"/>
  <c r="X668" i="65"/>
  <c r="Z668" i="65"/>
  <c r="AA668" i="65"/>
  <c r="W669" i="65"/>
  <c r="X669" i="65"/>
  <c r="Z669" i="65"/>
  <c r="AA669" i="65"/>
  <c r="W670" i="65"/>
  <c r="X670" i="65"/>
  <c r="Z670" i="65"/>
  <c r="AA670" i="65"/>
  <c r="W671" i="65"/>
  <c r="X671" i="65"/>
  <c r="Z671" i="65"/>
  <c r="AA671" i="65"/>
  <c r="W672" i="65"/>
  <c r="X672" i="65"/>
  <c r="Z672" i="65"/>
  <c r="AA672" i="65"/>
  <c r="W673" i="65"/>
  <c r="X673" i="65"/>
  <c r="Z673" i="65"/>
  <c r="AA673" i="65"/>
  <c r="W674" i="65"/>
  <c r="X674" i="65"/>
  <c r="Z674" i="65"/>
  <c r="AA674" i="65"/>
  <c r="W675" i="65"/>
  <c r="X675" i="65"/>
  <c r="Z675" i="65"/>
  <c r="AA675" i="65"/>
  <c r="W678" i="65"/>
  <c r="X678" i="65"/>
  <c r="Z678" i="65"/>
  <c r="AA678" i="65"/>
  <c r="W679" i="65"/>
  <c r="X679" i="65"/>
  <c r="Z679" i="65"/>
  <c r="AA679" i="65"/>
  <c r="W680" i="65"/>
  <c r="X680" i="65"/>
  <c r="Z680" i="65"/>
  <c r="AA680" i="65"/>
  <c r="W681" i="65"/>
  <c r="X681" i="65"/>
  <c r="Z681" i="65"/>
  <c r="AA681" i="65"/>
  <c r="W682" i="65"/>
  <c r="X682" i="65"/>
  <c r="Z682" i="65"/>
  <c r="AA682" i="65"/>
  <c r="W683" i="65"/>
  <c r="X683" i="65"/>
  <c r="Z683" i="65"/>
  <c r="AA683" i="65"/>
  <c r="W684" i="65"/>
  <c r="X684" i="65"/>
  <c r="Z684" i="65"/>
  <c r="AA684" i="65"/>
  <c r="W685" i="65"/>
  <c r="X685" i="65"/>
  <c r="Z685" i="65"/>
  <c r="AA685" i="65"/>
  <c r="W686" i="65"/>
  <c r="X686" i="65"/>
  <c r="Z686" i="65"/>
  <c r="AA686" i="65"/>
  <c r="W687" i="65"/>
  <c r="X687" i="65"/>
  <c r="Z687" i="65"/>
  <c r="AA687" i="65"/>
  <c r="W688" i="65"/>
  <c r="X688" i="65"/>
  <c r="Z688" i="65"/>
  <c r="AA688" i="65"/>
  <c r="W689" i="65"/>
  <c r="X689" i="65"/>
  <c r="Z689" i="65"/>
  <c r="AA689" i="65"/>
  <c r="W690" i="65"/>
  <c r="X690" i="65"/>
  <c r="Z690" i="65"/>
  <c r="AA690" i="65"/>
  <c r="W691" i="65"/>
  <c r="X691" i="65"/>
  <c r="Z691" i="65"/>
  <c r="AA691" i="65"/>
  <c r="W692" i="65"/>
  <c r="X692" i="65"/>
  <c r="Z692" i="65"/>
  <c r="AA692" i="65"/>
  <c r="W693" i="65"/>
  <c r="X693" i="65"/>
  <c r="Z693" i="65"/>
  <c r="AA693" i="65"/>
  <c r="W694" i="65"/>
  <c r="X694" i="65"/>
  <c r="Z694" i="65"/>
  <c r="AA694" i="65"/>
  <c r="W695" i="65"/>
  <c r="X695" i="65"/>
  <c r="Z695" i="65"/>
  <c r="AA695" i="65"/>
  <c r="W696" i="65"/>
  <c r="X696" i="65"/>
  <c r="Z696" i="65"/>
  <c r="AA696" i="65"/>
  <c r="W699" i="65"/>
  <c r="X699" i="65"/>
  <c r="Z699" i="65"/>
  <c r="AA699" i="65"/>
  <c r="W700" i="65"/>
  <c r="X700" i="65"/>
  <c r="Z700" i="65"/>
  <c r="AA700" i="65"/>
  <c r="W701" i="65"/>
  <c r="X701" i="65"/>
  <c r="Z701" i="65"/>
  <c r="AA701" i="65"/>
  <c r="W702" i="65"/>
  <c r="X702" i="65"/>
  <c r="Z702" i="65"/>
  <c r="AA702" i="65"/>
  <c r="W703" i="65"/>
  <c r="X703" i="65"/>
  <c r="Z703" i="65"/>
  <c r="AA703" i="65"/>
  <c r="W704" i="65"/>
  <c r="X704" i="65"/>
  <c r="Z704" i="65"/>
  <c r="AA704" i="65"/>
  <c r="W705" i="65"/>
  <c r="X705" i="65"/>
  <c r="Z705" i="65"/>
  <c r="AA705" i="65"/>
  <c r="W706" i="65"/>
  <c r="X706" i="65"/>
  <c r="Z706" i="65"/>
  <c r="AA706" i="65"/>
  <c r="W707" i="65"/>
  <c r="X707" i="65"/>
  <c r="Z707" i="65"/>
  <c r="AA707" i="65"/>
  <c r="W708" i="65"/>
  <c r="X708" i="65"/>
  <c r="Z708" i="65"/>
  <c r="AA708" i="65"/>
  <c r="W709" i="65"/>
  <c r="X709" i="65"/>
  <c r="Z709" i="65"/>
  <c r="AA709" i="65"/>
  <c r="W710" i="65"/>
  <c r="X710" i="65"/>
  <c r="Z710" i="65"/>
  <c r="AA710" i="65"/>
  <c r="W711" i="65"/>
  <c r="X711" i="65"/>
  <c r="Z711" i="65"/>
  <c r="AA711" i="65"/>
  <c r="W712" i="65"/>
  <c r="X712" i="65"/>
  <c r="Z712" i="65"/>
  <c r="AA712" i="65"/>
  <c r="W713" i="65"/>
  <c r="X713" i="65"/>
  <c r="Z713" i="65"/>
  <c r="AA713" i="65"/>
  <c r="W714" i="65"/>
  <c r="X714" i="65"/>
  <c r="Z714" i="65"/>
  <c r="AA714" i="65"/>
  <c r="W715" i="65"/>
  <c r="X715" i="65"/>
  <c r="Z715" i="65"/>
  <c r="AA715" i="65"/>
  <c r="W716" i="65"/>
  <c r="X716" i="65"/>
  <c r="Z716" i="65"/>
  <c r="AA716" i="65"/>
  <c r="W717" i="65"/>
  <c r="X717" i="65"/>
  <c r="Z717" i="65"/>
  <c r="AA717" i="65"/>
  <c r="W718" i="65"/>
  <c r="X718" i="65"/>
  <c r="Z718" i="65"/>
  <c r="AA718" i="65"/>
  <c r="W719" i="65"/>
  <c r="X719" i="65"/>
  <c r="Z719" i="65"/>
  <c r="AA719" i="65"/>
  <c r="W720" i="65"/>
  <c r="X720" i="65"/>
  <c r="Z720" i="65"/>
  <c r="AA720" i="65"/>
  <c r="W721" i="65"/>
  <c r="X721" i="65"/>
  <c r="Z721" i="65"/>
  <c r="AA721" i="65"/>
  <c r="W726" i="65"/>
  <c r="X726" i="65"/>
  <c r="Z726" i="65"/>
  <c r="AA726" i="65"/>
  <c r="W727" i="65"/>
  <c r="X727" i="65"/>
  <c r="Z727" i="65"/>
  <c r="AA727" i="65"/>
  <c r="W728" i="65"/>
  <c r="X728" i="65"/>
  <c r="Z728" i="65"/>
  <c r="AA728" i="65"/>
  <c r="W729" i="65"/>
  <c r="X729" i="65"/>
  <c r="Z729" i="65"/>
  <c r="AA729" i="65"/>
  <c r="W730" i="65"/>
  <c r="X730" i="65"/>
  <c r="Z730" i="65"/>
  <c r="AA730" i="65"/>
  <c r="W731" i="65"/>
  <c r="X731" i="65"/>
  <c r="Z731" i="65"/>
  <c r="AA731" i="65"/>
  <c r="W732" i="65"/>
  <c r="X732" i="65"/>
  <c r="Z732" i="65"/>
  <c r="AA732" i="65"/>
  <c r="W733" i="65"/>
  <c r="X733" i="65"/>
  <c r="Z733" i="65"/>
  <c r="AA733" i="65"/>
  <c r="W734" i="65"/>
  <c r="X734" i="65"/>
  <c r="Z734" i="65"/>
  <c r="AA734" i="65"/>
  <c r="W735" i="65"/>
  <c r="X735" i="65"/>
  <c r="Z735" i="65"/>
  <c r="AA735" i="65"/>
  <c r="W736" i="65"/>
  <c r="X736" i="65"/>
  <c r="Z736" i="65"/>
  <c r="AA736" i="65"/>
  <c r="W737" i="65"/>
  <c r="X737" i="65"/>
  <c r="Z737" i="65"/>
  <c r="AA737" i="65"/>
  <c r="W738" i="65"/>
  <c r="X738" i="65"/>
  <c r="Z738" i="65"/>
  <c r="AA738" i="65"/>
  <c r="W739" i="65"/>
  <c r="X739" i="65"/>
  <c r="Z739" i="65"/>
  <c r="AA739" i="65"/>
  <c r="W740" i="65"/>
  <c r="X740" i="65"/>
  <c r="Z740" i="65"/>
  <c r="AA740" i="65"/>
  <c r="W741" i="65"/>
  <c r="X741" i="65"/>
  <c r="Z741" i="65"/>
  <c r="AA741" i="65"/>
  <c r="W742" i="65"/>
  <c r="X742" i="65"/>
  <c r="Z742" i="65"/>
  <c r="AA742" i="65"/>
  <c r="W745" i="65"/>
  <c r="X745" i="65"/>
  <c r="Z745" i="65"/>
  <c r="AA745" i="65"/>
  <c r="W746" i="65"/>
  <c r="X746" i="65"/>
  <c r="Z746" i="65"/>
  <c r="AA746" i="65"/>
  <c r="W747" i="65"/>
  <c r="X747" i="65"/>
  <c r="Z747" i="65"/>
  <c r="AA747" i="65"/>
  <c r="W748" i="65"/>
  <c r="X748" i="65"/>
  <c r="Z748" i="65"/>
  <c r="AA748" i="65"/>
  <c r="W749" i="65"/>
  <c r="X749" i="65"/>
  <c r="Z749" i="65"/>
  <c r="AA749" i="65"/>
  <c r="W750" i="65"/>
  <c r="X750" i="65"/>
  <c r="Z750" i="65"/>
  <c r="AA750" i="65"/>
  <c r="W751" i="65"/>
  <c r="X751" i="65"/>
  <c r="Z751" i="65"/>
  <c r="AA751" i="65"/>
  <c r="W752" i="65"/>
  <c r="X752" i="65"/>
  <c r="Z752" i="65"/>
  <c r="AA752" i="65"/>
  <c r="W753" i="65"/>
  <c r="X753" i="65"/>
  <c r="Z753" i="65"/>
  <c r="AA753" i="65"/>
  <c r="W754" i="65"/>
  <c r="X754" i="65"/>
  <c r="Z754" i="65"/>
  <c r="AA754" i="65"/>
  <c r="W755" i="65"/>
  <c r="X755" i="65"/>
  <c r="Z755" i="65"/>
  <c r="AA755" i="65"/>
  <c r="W756" i="65"/>
  <c r="X756" i="65"/>
  <c r="Z756" i="65"/>
  <c r="AA756" i="65"/>
  <c r="W757" i="65"/>
  <c r="X757" i="65"/>
  <c r="Z757" i="65"/>
  <c r="AA757" i="65"/>
  <c r="W758" i="65"/>
  <c r="X758" i="65"/>
  <c r="Z758" i="65"/>
  <c r="AA758" i="65"/>
  <c r="W759" i="65"/>
  <c r="X759" i="65"/>
  <c r="Z759" i="65"/>
  <c r="AA759" i="65"/>
  <c r="W760" i="65"/>
  <c r="X760" i="65"/>
  <c r="Z760" i="65"/>
  <c r="AA760" i="65"/>
  <c r="W761" i="65"/>
  <c r="X761" i="65"/>
  <c r="Z761" i="65"/>
  <c r="AA761" i="65"/>
  <c r="W764" i="65"/>
  <c r="X764" i="65"/>
  <c r="Z764" i="65"/>
  <c r="AA764" i="65"/>
  <c r="W765" i="65"/>
  <c r="X765" i="65"/>
  <c r="Z765" i="65"/>
  <c r="AA765" i="65"/>
  <c r="W766" i="65"/>
  <c r="X766" i="65"/>
  <c r="Z766" i="65"/>
  <c r="AA766" i="65"/>
  <c r="W767" i="65"/>
  <c r="X767" i="65"/>
  <c r="Z767" i="65"/>
  <c r="AA767" i="65"/>
  <c r="W768" i="65"/>
  <c r="X768" i="65"/>
  <c r="Z768" i="65"/>
  <c r="AA768" i="65"/>
  <c r="W769" i="65"/>
  <c r="X769" i="65"/>
  <c r="Z769" i="65"/>
  <c r="AA769" i="65"/>
  <c r="W770" i="65"/>
  <c r="X770" i="65"/>
  <c r="Z770" i="65"/>
  <c r="AA770" i="65"/>
  <c r="W771" i="65"/>
  <c r="X771" i="65"/>
  <c r="Z771" i="65"/>
  <c r="AA771" i="65"/>
  <c r="W772" i="65"/>
  <c r="X772" i="65"/>
  <c r="Z772" i="65"/>
  <c r="AA772" i="65"/>
  <c r="W773" i="65"/>
  <c r="X773" i="65"/>
  <c r="Z773" i="65"/>
  <c r="AA773" i="65"/>
  <c r="W774" i="65"/>
  <c r="X774" i="65"/>
  <c r="Z774" i="65"/>
  <c r="AA774" i="65"/>
  <c r="W775" i="65"/>
  <c r="X775" i="65"/>
  <c r="Z775" i="65"/>
  <c r="AA775" i="65"/>
  <c r="W776" i="65"/>
  <c r="X776" i="65"/>
  <c r="Z776" i="65"/>
  <c r="AA776" i="65"/>
  <c r="W777" i="65"/>
  <c r="X777" i="65"/>
  <c r="Z777" i="65"/>
  <c r="AA777" i="65"/>
  <c r="W778" i="65"/>
  <c r="X778" i="65"/>
  <c r="Z778" i="65"/>
  <c r="AA778" i="65"/>
  <c r="W779" i="65"/>
  <c r="X779" i="65"/>
  <c r="Z779" i="65"/>
  <c r="AA779" i="65"/>
  <c r="W780" i="65"/>
  <c r="X780" i="65"/>
  <c r="Z780" i="65"/>
  <c r="AA780" i="65"/>
  <c r="W783" i="65"/>
  <c r="X783" i="65"/>
  <c r="Z783" i="65"/>
  <c r="AA783" i="65"/>
  <c r="W784" i="65"/>
  <c r="X784" i="65"/>
  <c r="Z784" i="65"/>
  <c r="AA784" i="65"/>
  <c r="W785" i="65"/>
  <c r="X785" i="65"/>
  <c r="Z785" i="65"/>
  <c r="AA785" i="65"/>
  <c r="W786" i="65"/>
  <c r="X786" i="65"/>
  <c r="Z786" i="65"/>
  <c r="AA786" i="65"/>
  <c r="W787" i="65"/>
  <c r="X787" i="65"/>
  <c r="Z787" i="65"/>
  <c r="AA787" i="65"/>
  <c r="W788" i="65"/>
  <c r="X788" i="65"/>
  <c r="Z788" i="65"/>
  <c r="AA788" i="65"/>
  <c r="W789" i="65"/>
  <c r="X789" i="65"/>
  <c r="Z789" i="65"/>
  <c r="AA789" i="65"/>
  <c r="W790" i="65"/>
  <c r="X790" i="65"/>
  <c r="Z790" i="65"/>
  <c r="AA790" i="65"/>
  <c r="W791" i="65"/>
  <c r="X791" i="65"/>
  <c r="Z791" i="65"/>
  <c r="AA791" i="65"/>
  <c r="W792" i="65"/>
  <c r="X792" i="65"/>
  <c r="Z792" i="65"/>
  <c r="AA792" i="65"/>
  <c r="W793" i="65"/>
  <c r="X793" i="65"/>
  <c r="Z793" i="65"/>
  <c r="AA793" i="65"/>
  <c r="W794" i="65"/>
  <c r="X794" i="65"/>
  <c r="Z794" i="65"/>
  <c r="AA794" i="65"/>
  <c r="W795" i="65"/>
  <c r="X795" i="65"/>
  <c r="Z795" i="65"/>
  <c r="AA795" i="65"/>
  <c r="W796" i="65"/>
  <c r="X796" i="65"/>
  <c r="Z796" i="65"/>
  <c r="AA796" i="65"/>
  <c r="W797" i="65"/>
  <c r="X797" i="65"/>
  <c r="Z797" i="65"/>
  <c r="AA797" i="65"/>
  <c r="W798" i="65"/>
  <c r="X798" i="65"/>
  <c r="Z798" i="65"/>
  <c r="AA798" i="65"/>
  <c r="W799" i="65"/>
  <c r="X799" i="65"/>
  <c r="Z799" i="65"/>
  <c r="AA799" i="65"/>
  <c r="W802" i="65"/>
  <c r="X802" i="65"/>
  <c r="Z802" i="65"/>
  <c r="AA802" i="65"/>
  <c r="W803" i="65"/>
  <c r="X803" i="65"/>
  <c r="Z803" i="65"/>
  <c r="AA803" i="65"/>
  <c r="W806" i="65"/>
  <c r="X806" i="65"/>
  <c r="Z806" i="65"/>
  <c r="AA806" i="65"/>
  <c r="W807" i="65"/>
  <c r="X807" i="65"/>
  <c r="Z807" i="65"/>
  <c r="AA807" i="65"/>
  <c r="W808" i="65"/>
  <c r="X808" i="65"/>
  <c r="Z808" i="65"/>
  <c r="AA808" i="65"/>
  <c r="W809" i="65"/>
  <c r="X809" i="65"/>
  <c r="Z809" i="65"/>
  <c r="AA809" i="65"/>
  <c r="W810" i="65"/>
  <c r="X810" i="65"/>
  <c r="Z810" i="65"/>
  <c r="AA810" i="65"/>
  <c r="W811" i="65"/>
  <c r="X811" i="65"/>
  <c r="Z811" i="65"/>
  <c r="AA811" i="65"/>
  <c r="W812" i="65"/>
  <c r="X812" i="65"/>
  <c r="Z812" i="65"/>
  <c r="AA812" i="65"/>
  <c r="W813" i="65"/>
  <c r="X813" i="65"/>
  <c r="Z813" i="65"/>
  <c r="AA813" i="65"/>
  <c r="W814" i="65"/>
  <c r="X814" i="65"/>
  <c r="Z814" i="65"/>
  <c r="AA814" i="65"/>
  <c r="W815" i="65"/>
  <c r="X815" i="65"/>
  <c r="Z815" i="65"/>
  <c r="AA815" i="65"/>
  <c r="W816" i="65"/>
  <c r="X816" i="65"/>
  <c r="Z816" i="65"/>
  <c r="AA816" i="65"/>
  <c r="W817" i="65"/>
  <c r="X817" i="65"/>
  <c r="Z817" i="65"/>
  <c r="AA817" i="65"/>
  <c r="W818" i="65"/>
  <c r="X818" i="65"/>
  <c r="Z818" i="65"/>
  <c r="AA818" i="65"/>
  <c r="W819" i="65"/>
  <c r="X819" i="65"/>
  <c r="Z819" i="65"/>
  <c r="AA819" i="65"/>
  <c r="W820" i="65"/>
  <c r="X820" i="65"/>
  <c r="Z820" i="65"/>
  <c r="AA820" i="65"/>
  <c r="W821" i="65"/>
  <c r="X821" i="65"/>
  <c r="Z821" i="65"/>
  <c r="AA821" i="65"/>
  <c r="W822" i="65"/>
  <c r="X822" i="65"/>
  <c r="Z822" i="65"/>
  <c r="AA822" i="65"/>
  <c r="W823" i="65"/>
  <c r="X823" i="65"/>
  <c r="Z823" i="65"/>
  <c r="AA823" i="65"/>
  <c r="W824" i="65"/>
  <c r="X824" i="65"/>
  <c r="Z824" i="65"/>
  <c r="AA824" i="65"/>
  <c r="W825" i="65"/>
  <c r="X825" i="65"/>
  <c r="Z825" i="65"/>
  <c r="AA825" i="65"/>
  <c r="W826" i="65"/>
  <c r="X826" i="65"/>
  <c r="Z826" i="65"/>
  <c r="AA826" i="65"/>
  <c r="W827" i="65"/>
  <c r="X827" i="65"/>
  <c r="Z827" i="65"/>
  <c r="AA827" i="65"/>
  <c r="W828" i="65"/>
  <c r="X828" i="65"/>
  <c r="Z828" i="65"/>
  <c r="AA828" i="65"/>
  <c r="W829" i="65"/>
  <c r="Z829" i="65"/>
  <c r="AA829" i="65"/>
  <c r="W830" i="65"/>
  <c r="X830" i="65"/>
  <c r="Z830" i="65"/>
  <c r="AA830" i="65"/>
  <c r="W831" i="65"/>
  <c r="X831" i="65"/>
  <c r="Z831" i="65"/>
  <c r="AA831" i="65"/>
  <c r="W832" i="65"/>
  <c r="X832" i="65"/>
  <c r="Z832" i="65"/>
  <c r="AA832" i="65"/>
  <c r="W833" i="65"/>
  <c r="X833" i="65"/>
  <c r="Z833" i="65"/>
  <c r="AA833" i="65"/>
  <c r="W834" i="65"/>
  <c r="X834" i="65"/>
  <c r="Z834" i="65"/>
  <c r="AA834" i="65"/>
  <c r="W835" i="65"/>
  <c r="X835" i="65"/>
  <c r="Z835" i="65"/>
  <c r="AA835" i="65"/>
  <c r="W836" i="65"/>
  <c r="X836" i="65"/>
  <c r="Z836" i="65"/>
  <c r="AA836" i="65"/>
  <c r="W837" i="65"/>
  <c r="X837" i="65"/>
  <c r="Z837" i="65"/>
  <c r="AA837" i="65"/>
  <c r="W838" i="65"/>
  <c r="X838" i="65"/>
  <c r="Z838" i="65"/>
  <c r="AA838" i="65"/>
  <c r="W842" i="65"/>
  <c r="X842" i="65"/>
  <c r="Z842" i="65"/>
  <c r="AA842" i="65"/>
  <c r="W843" i="65"/>
  <c r="X843" i="65"/>
  <c r="Z843" i="65"/>
  <c r="AA843" i="65"/>
  <c r="W844" i="65"/>
  <c r="X844" i="65"/>
  <c r="Z844" i="65"/>
  <c r="AA844" i="65"/>
  <c r="W845" i="65"/>
  <c r="X845" i="65"/>
  <c r="Z845" i="65"/>
  <c r="AA845" i="65"/>
  <c r="W846" i="65"/>
  <c r="X846" i="65"/>
  <c r="Z846" i="65"/>
  <c r="AA846" i="65"/>
  <c r="W847" i="65"/>
  <c r="X847" i="65"/>
  <c r="Z847" i="65"/>
  <c r="AA847" i="65"/>
  <c r="W848" i="65"/>
  <c r="X848" i="65"/>
  <c r="Z848" i="65"/>
  <c r="AA848" i="65"/>
  <c r="W849" i="65"/>
  <c r="X849" i="65"/>
  <c r="Z849" i="65"/>
  <c r="AA849" i="65"/>
  <c r="W850" i="65"/>
  <c r="X850" i="65"/>
  <c r="Z850" i="65"/>
  <c r="AA850" i="65"/>
  <c r="W851" i="65"/>
  <c r="X851" i="65"/>
  <c r="Z851" i="65"/>
  <c r="AA851" i="65"/>
  <c r="W852" i="65"/>
  <c r="X852" i="65"/>
  <c r="Z852" i="65"/>
  <c r="AA852" i="65"/>
  <c r="W853" i="65"/>
  <c r="X853" i="65"/>
  <c r="Z853" i="65"/>
  <c r="AA853" i="65"/>
  <c r="W854" i="65"/>
  <c r="X854" i="65"/>
  <c r="Z854" i="65"/>
  <c r="AA854" i="65"/>
  <c r="W855" i="65"/>
  <c r="X855" i="65"/>
  <c r="Z855" i="65"/>
  <c r="AA855" i="65"/>
  <c r="W856" i="65"/>
  <c r="X856" i="65"/>
  <c r="Z856" i="65"/>
  <c r="AA856" i="65"/>
  <c r="W857" i="65"/>
  <c r="X857" i="65"/>
  <c r="Z857" i="65"/>
  <c r="AA857" i="65"/>
  <c r="W858" i="65"/>
  <c r="X858" i="65"/>
  <c r="Z858" i="65"/>
  <c r="AA858" i="65"/>
  <c r="W859" i="65"/>
  <c r="X859" i="65"/>
  <c r="Z859" i="65"/>
  <c r="AA859" i="65"/>
  <c r="W860" i="65"/>
  <c r="X860" i="65"/>
  <c r="Z860" i="65"/>
  <c r="AA860" i="65"/>
  <c r="W861" i="65"/>
  <c r="X861" i="65"/>
  <c r="Z861" i="65"/>
  <c r="AA861" i="65"/>
  <c r="W862" i="65"/>
  <c r="X862" i="65"/>
  <c r="Z862" i="65"/>
  <c r="AA862" i="65"/>
  <c r="W863" i="65"/>
  <c r="X863" i="65"/>
  <c r="Z863" i="65"/>
  <c r="AA863" i="65"/>
  <c r="W864" i="65"/>
  <c r="X864" i="65"/>
  <c r="Z864" i="65"/>
  <c r="AA864" i="65"/>
  <c r="W865" i="65"/>
  <c r="X865" i="65"/>
  <c r="Z865" i="65"/>
  <c r="AA865" i="65"/>
  <c r="W866" i="65"/>
  <c r="X866" i="65"/>
  <c r="Z866" i="65"/>
  <c r="AA866" i="65"/>
  <c r="W867" i="65"/>
  <c r="X867" i="65"/>
  <c r="Z867" i="65"/>
  <c r="AA867" i="65"/>
  <c r="W868" i="65"/>
  <c r="X868" i="65"/>
  <c r="Z868" i="65"/>
  <c r="AA868" i="65"/>
  <c r="W869" i="65"/>
  <c r="X869" i="65"/>
  <c r="Z869" i="65"/>
  <c r="AA869" i="65"/>
  <c r="W870" i="65"/>
  <c r="X870" i="65"/>
  <c r="Z870" i="65"/>
  <c r="AA870" i="65"/>
  <c r="W871" i="65"/>
  <c r="X871" i="65"/>
  <c r="Z871" i="65"/>
  <c r="AA871" i="65"/>
  <c r="W872" i="65"/>
  <c r="X872" i="65"/>
  <c r="Z872" i="65"/>
  <c r="AA872" i="65"/>
  <c r="W873" i="65"/>
  <c r="X873" i="65"/>
  <c r="Z873" i="65"/>
  <c r="AA873" i="65"/>
  <c r="W874" i="65"/>
  <c r="X874" i="65"/>
  <c r="Z874" i="65"/>
  <c r="AA874" i="65"/>
  <c r="W878" i="65"/>
  <c r="X878" i="65"/>
  <c r="Z878" i="65"/>
  <c r="AA878" i="65"/>
  <c r="W879" i="65"/>
  <c r="X879" i="65"/>
  <c r="Z879" i="65"/>
  <c r="AA879" i="65"/>
  <c r="W880" i="65"/>
  <c r="X880" i="65"/>
  <c r="Z880" i="65"/>
  <c r="AA880" i="65"/>
  <c r="W881" i="65"/>
  <c r="X881" i="65"/>
  <c r="Z881" i="65"/>
  <c r="AA881" i="65"/>
  <c r="W882" i="65"/>
  <c r="X882" i="65"/>
  <c r="Z882" i="65"/>
  <c r="AA882" i="65"/>
  <c r="W883" i="65"/>
  <c r="X883" i="65"/>
  <c r="Z883" i="65"/>
  <c r="AA883" i="65"/>
  <c r="W884" i="65"/>
  <c r="X884" i="65"/>
  <c r="Z884" i="65"/>
  <c r="AA884" i="65"/>
  <c r="W885" i="65"/>
  <c r="X885" i="65"/>
  <c r="Z885" i="65"/>
  <c r="AA885" i="65"/>
  <c r="W886" i="65"/>
  <c r="X886" i="65"/>
  <c r="Z886" i="65"/>
  <c r="AA886" i="65"/>
  <c r="W887" i="65"/>
  <c r="X887" i="65"/>
  <c r="Z887" i="65"/>
  <c r="AA887" i="65"/>
  <c r="W888" i="65"/>
  <c r="X888" i="65"/>
  <c r="Z888" i="65"/>
  <c r="AA888" i="65"/>
  <c r="W889" i="65"/>
  <c r="X889" i="65"/>
  <c r="Z889" i="65"/>
  <c r="AA889" i="65"/>
  <c r="W890" i="65"/>
  <c r="X890" i="65"/>
  <c r="Z890" i="65"/>
  <c r="AA890" i="65"/>
  <c r="W891" i="65"/>
  <c r="X891" i="65"/>
  <c r="Z891" i="65"/>
  <c r="AA891" i="65"/>
  <c r="W892" i="65"/>
  <c r="X892" i="65"/>
  <c r="Z892" i="65"/>
  <c r="AA892" i="65"/>
  <c r="W893" i="65"/>
  <c r="X893" i="65"/>
  <c r="Z893" i="65"/>
  <c r="AA893" i="65"/>
  <c r="W894" i="65"/>
  <c r="X894" i="65"/>
  <c r="Z894" i="65"/>
  <c r="AA894" i="65"/>
  <c r="W895" i="65"/>
  <c r="X895" i="65"/>
  <c r="Z895" i="65"/>
  <c r="AA895" i="65"/>
  <c r="W896" i="65"/>
  <c r="X896" i="65"/>
  <c r="Z896" i="65"/>
  <c r="AA896" i="65"/>
  <c r="W897" i="65"/>
  <c r="X897" i="65"/>
  <c r="Z897" i="65"/>
  <c r="AA897" i="65"/>
  <c r="W898" i="65"/>
  <c r="X898" i="65"/>
  <c r="Z898" i="65"/>
  <c r="AA898" i="65"/>
  <c r="W899" i="65"/>
  <c r="X899" i="65"/>
  <c r="Z899" i="65"/>
  <c r="AA899" i="65"/>
  <c r="W900" i="65"/>
  <c r="X900" i="65"/>
  <c r="Z900" i="65"/>
  <c r="AA900" i="65"/>
  <c r="W901" i="65"/>
  <c r="X901" i="65"/>
  <c r="Z901" i="65"/>
  <c r="AA901" i="65"/>
  <c r="W902" i="65"/>
  <c r="X902" i="65"/>
  <c r="Z902" i="65"/>
  <c r="AA902" i="65"/>
  <c r="W903" i="65"/>
  <c r="X903" i="65"/>
  <c r="Z903" i="65"/>
  <c r="AA903" i="65"/>
  <c r="W904" i="65"/>
  <c r="X904" i="65"/>
  <c r="Z904" i="65"/>
  <c r="AA904" i="65"/>
  <c r="W905" i="65"/>
  <c r="X905" i="65"/>
  <c r="Z905" i="65"/>
  <c r="AA905" i="65"/>
  <c r="W906" i="65"/>
  <c r="X906" i="65"/>
  <c r="Z906" i="65"/>
  <c r="AA906" i="65"/>
  <c r="W907" i="65"/>
  <c r="X907" i="65"/>
  <c r="Z907" i="65"/>
  <c r="AA907" i="65"/>
  <c r="W908" i="65"/>
  <c r="X908" i="65"/>
  <c r="Z908" i="65"/>
  <c r="AA908" i="65"/>
  <c r="W909" i="65"/>
  <c r="X909" i="65"/>
  <c r="Z909" i="65"/>
  <c r="AA909" i="65"/>
  <c r="W910" i="65"/>
  <c r="X910" i="65"/>
  <c r="Z910" i="65"/>
  <c r="AA910" i="65"/>
  <c r="W911" i="65"/>
  <c r="X911" i="65"/>
  <c r="Z911" i="65"/>
  <c r="AA911" i="65"/>
  <c r="W912" i="65"/>
  <c r="X912" i="65"/>
  <c r="Z912" i="65"/>
  <c r="AA912" i="65"/>
  <c r="W913" i="65"/>
  <c r="X913" i="65"/>
  <c r="Z913" i="65"/>
  <c r="AA913" i="65"/>
  <c r="W914" i="65"/>
  <c r="X914" i="65"/>
  <c r="Z914" i="65"/>
  <c r="AA914" i="65"/>
  <c r="W915" i="65"/>
  <c r="X915" i="65"/>
  <c r="Z915" i="65"/>
  <c r="AA915" i="65"/>
  <c r="W916" i="65"/>
  <c r="X916" i="65"/>
  <c r="Z916" i="65"/>
  <c r="AA916" i="65"/>
  <c r="W917" i="65"/>
  <c r="X917" i="65"/>
  <c r="Z917" i="65"/>
  <c r="AA917" i="65"/>
  <c r="W918" i="65"/>
  <c r="X918" i="65"/>
  <c r="Z918" i="65"/>
  <c r="AA918" i="65"/>
  <c r="W919" i="65"/>
  <c r="X919" i="65"/>
  <c r="Z919" i="65"/>
  <c r="AA919" i="65"/>
  <c r="W920" i="65"/>
  <c r="X920" i="65"/>
  <c r="Z920" i="65"/>
  <c r="AA920" i="65"/>
  <c r="W921" i="65"/>
  <c r="X921" i="65"/>
  <c r="Z921" i="65"/>
  <c r="AA921" i="65"/>
  <c r="W922" i="65"/>
  <c r="X922" i="65"/>
  <c r="Z922" i="65"/>
  <c r="AA922" i="65"/>
  <c r="W923" i="65"/>
  <c r="X923" i="65"/>
  <c r="Z923" i="65"/>
  <c r="AA923" i="65"/>
  <c r="W924" i="65"/>
  <c r="X924" i="65"/>
  <c r="Z924" i="65"/>
  <c r="AA924" i="65"/>
  <c r="W925" i="65"/>
  <c r="X925" i="65"/>
  <c r="Z925" i="65"/>
  <c r="AA925" i="65"/>
  <c r="W926" i="65"/>
  <c r="X926" i="65"/>
  <c r="Z926" i="65"/>
  <c r="AA926" i="65"/>
  <c r="W927" i="65"/>
  <c r="X927" i="65"/>
  <c r="Z927" i="65"/>
  <c r="AA927" i="65"/>
  <c r="W928" i="65"/>
  <c r="X928" i="65"/>
  <c r="Z928" i="65"/>
  <c r="AA928" i="65"/>
  <c r="W929" i="65"/>
  <c r="X929" i="65"/>
  <c r="Z929" i="65"/>
  <c r="AA929" i="65"/>
  <c r="W930" i="65"/>
  <c r="X930" i="65"/>
  <c r="Z930" i="65"/>
  <c r="AA930" i="65"/>
  <c r="W931" i="65"/>
  <c r="X931" i="65"/>
  <c r="Z931" i="65"/>
  <c r="AA931" i="65"/>
  <c r="W932" i="65"/>
  <c r="X932" i="65"/>
  <c r="Z932" i="65"/>
  <c r="AA932" i="65"/>
  <c r="W933" i="65"/>
  <c r="X933" i="65"/>
  <c r="Z933" i="65"/>
  <c r="AA933" i="65"/>
  <c r="W934" i="65"/>
  <c r="X934" i="65"/>
  <c r="Z934" i="65"/>
  <c r="AA934" i="65"/>
  <c r="W935" i="65"/>
  <c r="X935" i="65"/>
  <c r="Z935" i="65"/>
  <c r="AA935" i="65"/>
  <c r="W937" i="65"/>
  <c r="X937" i="65"/>
  <c r="Z937" i="65"/>
  <c r="AA937" i="65"/>
  <c r="X938" i="65"/>
  <c r="Z938" i="65"/>
  <c r="AA938" i="65"/>
  <c r="W940" i="65"/>
  <c r="X940" i="65"/>
  <c r="Z940" i="65"/>
  <c r="AA940" i="65"/>
  <c r="X941" i="65"/>
  <c r="Z941" i="65"/>
  <c r="AA941" i="65"/>
  <c r="W943" i="65"/>
  <c r="X943" i="65"/>
  <c r="Z943" i="65"/>
  <c r="AA943" i="65"/>
  <c r="X944" i="65"/>
  <c r="Z944" i="65"/>
  <c r="AA944" i="65"/>
  <c r="W955" i="65"/>
  <c r="X955" i="65"/>
  <c r="Z955" i="65"/>
  <c r="AA955" i="65"/>
  <c r="W956" i="65"/>
  <c r="X956" i="65"/>
  <c r="Z956" i="65"/>
  <c r="AA956" i="65"/>
  <c r="W957" i="65"/>
  <c r="W958" i="65"/>
  <c r="X958" i="65"/>
  <c r="Z958" i="65"/>
  <c r="AA958" i="65"/>
  <c r="W959" i="65"/>
  <c r="X959" i="65"/>
  <c r="Z959" i="65"/>
  <c r="AA959" i="65"/>
  <c r="W960" i="65"/>
  <c r="W961" i="65"/>
  <c r="X961" i="65"/>
  <c r="Z961" i="65"/>
  <c r="AA961" i="65"/>
  <c r="W962" i="65"/>
  <c r="X962" i="65"/>
  <c r="Z962" i="65"/>
  <c r="AA962" i="65"/>
  <c r="W963" i="65"/>
  <c r="W964" i="65"/>
  <c r="X964" i="65"/>
  <c r="Z964" i="65"/>
  <c r="AA964" i="65"/>
  <c r="W965" i="65"/>
  <c r="X965" i="65"/>
  <c r="Z965" i="65"/>
  <c r="AA965" i="65"/>
  <c r="W966" i="65"/>
  <c r="W967" i="65"/>
  <c r="X967" i="65"/>
  <c r="Z967" i="65"/>
  <c r="AA967" i="65"/>
  <c r="W968" i="65"/>
  <c r="X968" i="65"/>
  <c r="Z968" i="65"/>
  <c r="AA968" i="65"/>
  <c r="W969" i="65"/>
  <c r="W970" i="65"/>
  <c r="X970" i="65"/>
  <c r="Z970" i="65"/>
  <c r="AA970" i="65"/>
  <c r="W971" i="65"/>
  <c r="X971" i="65"/>
  <c r="Z971" i="65"/>
  <c r="AA971" i="65"/>
  <c r="W981" i="65"/>
  <c r="X981" i="65"/>
  <c r="Z981" i="65"/>
  <c r="AA981" i="65"/>
  <c r="W982" i="65"/>
  <c r="X982" i="65"/>
  <c r="Z982" i="65"/>
  <c r="AA982" i="65"/>
  <c r="W983" i="65"/>
  <c r="X983" i="65"/>
  <c r="Z983" i="65"/>
  <c r="AA983" i="65"/>
  <c r="W984" i="65"/>
  <c r="X984" i="65"/>
  <c r="Z984" i="65"/>
  <c r="AA984" i="65"/>
  <c r="W985" i="65"/>
  <c r="X985" i="65"/>
  <c r="Z985" i="65"/>
  <c r="AA985" i="65"/>
  <c r="W986" i="65"/>
  <c r="X986" i="65"/>
  <c r="Z986" i="65"/>
  <c r="AA986" i="65"/>
  <c r="W987" i="65"/>
  <c r="X987" i="65"/>
  <c r="Z987" i="65"/>
  <c r="AA987" i="65"/>
  <c r="W988" i="65"/>
  <c r="X988" i="65"/>
  <c r="Z988" i="65"/>
  <c r="AA988" i="65"/>
  <c r="W989" i="65"/>
  <c r="X989" i="65"/>
  <c r="Z989" i="65"/>
  <c r="AA989" i="65"/>
  <c r="W990" i="65"/>
  <c r="X990" i="65"/>
  <c r="Z990" i="65"/>
  <c r="AA990" i="65"/>
  <c r="W991" i="65"/>
  <c r="X991" i="65"/>
  <c r="Z991" i="65"/>
  <c r="AA991" i="65"/>
  <c r="W992" i="65"/>
  <c r="X992" i="65"/>
  <c r="Z992" i="65"/>
  <c r="AA992" i="65"/>
  <c r="W993" i="65"/>
  <c r="X993" i="65"/>
  <c r="Z993" i="65"/>
  <c r="AA993" i="65"/>
  <c r="W994" i="65"/>
  <c r="X994" i="65"/>
  <c r="Z994" i="65"/>
  <c r="AA994" i="65"/>
  <c r="W995" i="65"/>
  <c r="X995" i="65"/>
  <c r="Z995" i="65"/>
  <c r="AA995" i="65"/>
  <c r="W996" i="65"/>
  <c r="X996" i="65"/>
  <c r="Z996" i="65"/>
  <c r="AA996" i="65"/>
  <c r="W997" i="65"/>
  <c r="X997" i="65"/>
  <c r="Z997" i="65"/>
  <c r="AA997" i="65"/>
  <c r="W1000" i="65"/>
  <c r="X1000" i="65"/>
  <c r="Z1000" i="65"/>
  <c r="AA1000" i="65"/>
  <c r="W1001" i="65"/>
  <c r="X1001" i="65"/>
  <c r="Z1001" i="65"/>
  <c r="AA1001" i="65"/>
  <c r="W1002" i="65"/>
  <c r="X1002" i="65"/>
  <c r="Z1002" i="65"/>
  <c r="AA1002" i="65"/>
  <c r="W1003" i="65"/>
  <c r="X1003" i="65"/>
  <c r="Z1003" i="65"/>
  <c r="AA1003" i="65"/>
  <c r="W1004" i="65"/>
  <c r="X1004" i="65"/>
  <c r="Z1004" i="65"/>
  <c r="AA1004" i="65"/>
  <c r="W1005" i="65"/>
  <c r="X1005" i="65"/>
  <c r="Z1005" i="65"/>
  <c r="AA1005" i="65"/>
  <c r="W1006" i="65"/>
  <c r="X1006" i="65"/>
  <c r="Z1006" i="65"/>
  <c r="AA1006" i="65"/>
  <c r="W1007" i="65"/>
  <c r="X1007" i="65"/>
  <c r="Z1007" i="65"/>
  <c r="AA1007" i="65"/>
  <c r="W1008" i="65"/>
  <c r="X1008" i="65"/>
  <c r="Z1008" i="65"/>
  <c r="AA1008" i="65"/>
  <c r="W1009" i="65"/>
  <c r="X1009" i="65"/>
  <c r="Z1009" i="65"/>
  <c r="AA1009" i="65"/>
  <c r="W1010" i="65"/>
  <c r="X1010" i="65"/>
  <c r="Z1010" i="65"/>
  <c r="AA1010" i="65"/>
  <c r="W1011" i="65"/>
  <c r="X1011" i="65"/>
  <c r="Z1011" i="65"/>
  <c r="AA1011" i="65"/>
  <c r="W1012" i="65"/>
  <c r="X1012" i="65"/>
  <c r="Z1012" i="65"/>
  <c r="AA1012" i="65"/>
  <c r="W1013" i="65"/>
  <c r="X1013" i="65"/>
  <c r="Z1013" i="65"/>
  <c r="AA1013" i="65"/>
  <c r="W1014" i="65"/>
  <c r="X1014" i="65"/>
  <c r="Z1014" i="65"/>
  <c r="AA1014" i="65"/>
  <c r="X1017" i="65"/>
  <c r="Z1017" i="65"/>
  <c r="AA1017" i="65"/>
  <c r="X1018" i="65"/>
  <c r="Z1018" i="65"/>
  <c r="AA1018" i="65"/>
  <c r="X1019" i="65"/>
  <c r="Z1019" i="65"/>
  <c r="AA1019" i="65"/>
  <c r="T21" i="63"/>
  <c r="U21" i="63"/>
  <c r="H4" i="61"/>
  <c r="H7" i="61"/>
  <c r="V16" i="61"/>
  <c r="W16" i="61"/>
  <c r="X16" i="61"/>
  <c r="Y16" i="61"/>
  <c r="Z16" i="61"/>
  <c r="AA16" i="61"/>
  <c r="AB16" i="61"/>
  <c r="AC16" i="61"/>
  <c r="AF16" i="61"/>
  <c r="AR16" i="61"/>
  <c r="AT16" i="61"/>
  <c r="AU16" i="61"/>
  <c r="AW16" i="61"/>
  <c r="V17" i="61"/>
  <c r="W17" i="61"/>
  <c r="X17" i="61"/>
  <c r="Y17" i="61"/>
  <c r="Z17" i="61"/>
  <c r="AA17" i="61"/>
  <c r="AB17" i="61"/>
  <c r="AC17" i="61"/>
  <c r="AF17" i="61"/>
  <c r="AR17" i="61"/>
  <c r="AT17" i="61"/>
  <c r="AU17" i="61"/>
  <c r="AW17" i="61"/>
  <c r="V18" i="61"/>
  <c r="W18" i="61"/>
  <c r="X18" i="61"/>
  <c r="Y18" i="61"/>
  <c r="Z18" i="61"/>
  <c r="AA18" i="61"/>
  <c r="AD18" i="61" s="1"/>
  <c r="AB18" i="61"/>
  <c r="AC18" i="61"/>
  <c r="AF18" i="61"/>
  <c r="AR18" i="61"/>
  <c r="AT18" i="61"/>
  <c r="AU18" i="61"/>
  <c r="AW18" i="61"/>
  <c r="V19" i="61"/>
  <c r="W19" i="61"/>
  <c r="X19" i="61"/>
  <c r="Y19" i="61"/>
  <c r="Z19" i="61"/>
  <c r="AA19" i="61"/>
  <c r="AD19" i="61" s="1"/>
  <c r="AB19" i="61"/>
  <c r="AC19" i="61"/>
  <c r="AF19" i="61"/>
  <c r="AR19" i="61"/>
  <c r="AT19" i="61"/>
  <c r="AU19" i="61"/>
  <c r="AW19" i="61"/>
  <c r="V20" i="61"/>
  <c r="W20" i="61"/>
  <c r="X20" i="61"/>
  <c r="Y20" i="61"/>
  <c r="Z20" i="61"/>
  <c r="AA20" i="61"/>
  <c r="AB20" i="61"/>
  <c r="AC20" i="61"/>
  <c r="AF20" i="61"/>
  <c r="AR20" i="61"/>
  <c r="AT20" i="61"/>
  <c r="AV20" i="61" s="1"/>
  <c r="AU20" i="61"/>
  <c r="AW20" i="61"/>
  <c r="V21" i="61"/>
  <c r="W21" i="61"/>
  <c r="X21" i="61"/>
  <c r="Y21" i="61"/>
  <c r="Z21" i="61"/>
  <c r="AA21" i="61"/>
  <c r="AD21" i="61" s="1"/>
  <c r="AB21" i="61"/>
  <c r="AC21" i="61"/>
  <c r="AF21" i="61"/>
  <c r="AR21" i="61"/>
  <c r="AT21" i="61"/>
  <c r="AU21" i="61"/>
  <c r="AW21" i="61"/>
  <c r="V22" i="61"/>
  <c r="W22" i="61"/>
  <c r="X22" i="61"/>
  <c r="Y22" i="61"/>
  <c r="Z22" i="61"/>
  <c r="AA22" i="61"/>
  <c r="AD22" i="61" s="1"/>
  <c r="AB22" i="61"/>
  <c r="AC22" i="61"/>
  <c r="AF22" i="61"/>
  <c r="AR22" i="61"/>
  <c r="AT22" i="61"/>
  <c r="AU22" i="61"/>
  <c r="AW22" i="61"/>
  <c r="V23" i="61"/>
  <c r="W23" i="61"/>
  <c r="X23" i="61"/>
  <c r="Y23" i="61"/>
  <c r="AI23" i="61" s="1"/>
  <c r="AS23" i="61" s="1"/>
  <c r="Z23" i="61"/>
  <c r="AA23" i="61"/>
  <c r="AB23" i="61"/>
  <c r="AC23" i="61"/>
  <c r="AF23" i="61"/>
  <c r="AR23" i="61"/>
  <c r="AT23" i="61"/>
  <c r="AU23" i="61"/>
  <c r="AW23" i="61"/>
  <c r="V24" i="61"/>
  <c r="W24" i="61"/>
  <c r="X24" i="61"/>
  <c r="Y24" i="61"/>
  <c r="Z24" i="61"/>
  <c r="AA24" i="61"/>
  <c r="AB24" i="61"/>
  <c r="AC24" i="61"/>
  <c r="AF24" i="61"/>
  <c r="AR24" i="61"/>
  <c r="AT24" i="61"/>
  <c r="AU24" i="61"/>
  <c r="AW24" i="61"/>
  <c r="V25" i="61"/>
  <c r="W25" i="61"/>
  <c r="X25" i="61"/>
  <c r="Y25" i="61"/>
  <c r="Z25" i="61"/>
  <c r="AA25" i="61"/>
  <c r="AD25" i="61" s="1"/>
  <c r="AB25" i="61"/>
  <c r="AC25" i="61"/>
  <c r="AF25" i="61"/>
  <c r="AR25" i="61"/>
  <c r="AT25" i="61"/>
  <c r="AU25" i="61"/>
  <c r="AW25" i="61"/>
  <c r="V26" i="61"/>
  <c r="W26" i="61"/>
  <c r="X26" i="61"/>
  <c r="Y26" i="61"/>
  <c r="Z26" i="61"/>
  <c r="AA26" i="61"/>
  <c r="AE26" i="61" s="1"/>
  <c r="AB26" i="61"/>
  <c r="AC26" i="61"/>
  <c r="AF26" i="61"/>
  <c r="AR26" i="61"/>
  <c r="AT26" i="61"/>
  <c r="AU26" i="61"/>
  <c r="AW26" i="61"/>
  <c r="V27" i="61"/>
  <c r="W27" i="61"/>
  <c r="X27" i="61"/>
  <c r="Y27" i="61"/>
  <c r="Z27" i="61"/>
  <c r="AA27" i="61"/>
  <c r="AE27" i="61" s="1"/>
  <c r="AB27" i="61"/>
  <c r="AC27" i="61"/>
  <c r="AF27" i="61"/>
  <c r="AR27" i="61"/>
  <c r="AT27" i="61"/>
  <c r="AU27" i="61"/>
  <c r="AW27" i="61"/>
  <c r="V28" i="61"/>
  <c r="W28" i="61"/>
  <c r="X28" i="61"/>
  <c r="Y28" i="61"/>
  <c r="Z28" i="61"/>
  <c r="AA28" i="61"/>
  <c r="AB28" i="61"/>
  <c r="AC28" i="61"/>
  <c r="AF28" i="61"/>
  <c r="AR28" i="61"/>
  <c r="AT28" i="61"/>
  <c r="AU28" i="61"/>
  <c r="AW28" i="61"/>
  <c r="V29" i="61"/>
  <c r="W29" i="61"/>
  <c r="X29" i="61"/>
  <c r="Y29" i="61"/>
  <c r="Z29" i="61"/>
  <c r="AA29" i="61"/>
  <c r="AB29" i="61"/>
  <c r="AC29" i="61"/>
  <c r="AF29" i="61"/>
  <c r="AR29" i="61"/>
  <c r="AT29" i="61"/>
  <c r="AU29" i="61"/>
  <c r="AW29" i="61"/>
  <c r="V30" i="61"/>
  <c r="W30" i="61"/>
  <c r="X30" i="61"/>
  <c r="Y30" i="61"/>
  <c r="Z30" i="61"/>
  <c r="AA30" i="61"/>
  <c r="AE30" i="61" s="1"/>
  <c r="AB30" i="61"/>
  <c r="AC30" i="61"/>
  <c r="AF30" i="61"/>
  <c r="AR30" i="61"/>
  <c r="AT30" i="61"/>
  <c r="AU30" i="61"/>
  <c r="AW30" i="61"/>
  <c r="V31" i="61"/>
  <c r="W31" i="61"/>
  <c r="X31" i="61"/>
  <c r="Y31" i="61"/>
  <c r="Z31" i="61"/>
  <c r="AA31" i="61"/>
  <c r="AD31" i="61" s="1"/>
  <c r="AB31" i="61"/>
  <c r="AC31" i="61"/>
  <c r="AF31" i="61"/>
  <c r="AR31" i="61"/>
  <c r="AT31" i="61"/>
  <c r="AU31" i="61"/>
  <c r="AV31" i="61" s="1"/>
  <c r="AW31" i="61"/>
  <c r="V32" i="61"/>
  <c r="W32" i="61"/>
  <c r="X32" i="61"/>
  <c r="Y32" i="61"/>
  <c r="Z32" i="61"/>
  <c r="AA32" i="61"/>
  <c r="AE32" i="61" s="1"/>
  <c r="AB32" i="61"/>
  <c r="AC32" i="61"/>
  <c r="AF32" i="61"/>
  <c r="AR32" i="61"/>
  <c r="AT32" i="61"/>
  <c r="AU32" i="61"/>
  <c r="AW32" i="61"/>
  <c r="V33" i="61"/>
  <c r="W33" i="61"/>
  <c r="X33" i="61"/>
  <c r="Y33" i="61"/>
  <c r="Z33" i="61"/>
  <c r="AA33" i="61"/>
  <c r="AD33" i="61"/>
  <c r="AB33" i="61"/>
  <c r="AC33" i="61"/>
  <c r="AF33" i="61"/>
  <c r="AR33" i="61"/>
  <c r="AT33" i="61"/>
  <c r="AU33" i="61"/>
  <c r="AW33" i="61"/>
  <c r="V34" i="61"/>
  <c r="W34" i="61"/>
  <c r="X34" i="61"/>
  <c r="Y34" i="61"/>
  <c r="AI34" i="61" s="1"/>
  <c r="AS34" i="61" s="1"/>
  <c r="Z34" i="61"/>
  <c r="AA34" i="61"/>
  <c r="AB34" i="61"/>
  <c r="AC34" i="61"/>
  <c r="AF34" i="61"/>
  <c r="AR34" i="61"/>
  <c r="AT34" i="61"/>
  <c r="AU34" i="61"/>
  <c r="AV34" i="61" s="1"/>
  <c r="AW34" i="61"/>
  <c r="V35" i="61"/>
  <c r="W35" i="61"/>
  <c r="X35" i="61"/>
  <c r="Y35" i="61"/>
  <c r="Z35" i="61"/>
  <c r="AA35" i="61"/>
  <c r="AE35" i="61" s="1"/>
  <c r="AB35" i="61"/>
  <c r="AI35" i="61" s="1"/>
  <c r="AC35" i="61"/>
  <c r="AF35" i="61"/>
  <c r="AR35" i="61"/>
  <c r="AT35" i="61"/>
  <c r="AU35" i="61"/>
  <c r="AW35" i="61"/>
  <c r="V36" i="61"/>
  <c r="W36" i="61"/>
  <c r="X36" i="61"/>
  <c r="Y36" i="61"/>
  <c r="Z36" i="61"/>
  <c r="AA36" i="61"/>
  <c r="AB36" i="61"/>
  <c r="AC36" i="61"/>
  <c r="AF36" i="61"/>
  <c r="AR36" i="61"/>
  <c r="AT36" i="61"/>
  <c r="AU36" i="61"/>
  <c r="AW36" i="61"/>
  <c r="V37" i="61"/>
  <c r="W37" i="61"/>
  <c r="X37" i="61"/>
  <c r="Y37" i="61"/>
  <c r="Z37" i="61"/>
  <c r="AA37" i="61"/>
  <c r="AB37" i="61"/>
  <c r="AC37" i="61"/>
  <c r="AF37" i="61"/>
  <c r="AR37" i="61"/>
  <c r="AT37" i="61"/>
  <c r="AU37" i="61"/>
  <c r="AW37" i="61"/>
  <c r="V38" i="61"/>
  <c r="W38" i="61"/>
  <c r="X38" i="61"/>
  <c r="Y38" i="61"/>
  <c r="Z38" i="61"/>
  <c r="AA38" i="61"/>
  <c r="AE38" i="61" s="1"/>
  <c r="AB38" i="61"/>
  <c r="AC38" i="61"/>
  <c r="AF38" i="61"/>
  <c r="AR38" i="61"/>
  <c r="AT38" i="61"/>
  <c r="AU38" i="61"/>
  <c r="AW38" i="61"/>
  <c r="V39" i="61"/>
  <c r="W39" i="61"/>
  <c r="X39" i="61"/>
  <c r="Y39" i="61"/>
  <c r="Z39" i="61"/>
  <c r="AA39" i="61"/>
  <c r="AE39" i="61" s="1"/>
  <c r="AB39" i="61"/>
  <c r="AC39" i="61"/>
  <c r="AF39" i="61"/>
  <c r="AR39" i="61"/>
  <c r="AT39" i="61"/>
  <c r="AU39" i="61"/>
  <c r="AW39" i="61"/>
  <c r="V40" i="61"/>
  <c r="W40" i="61"/>
  <c r="X40" i="61"/>
  <c r="Y40" i="61"/>
  <c r="Z40" i="61"/>
  <c r="AA40" i="61"/>
  <c r="AB40" i="61"/>
  <c r="AC40" i="61"/>
  <c r="AF40" i="61"/>
  <c r="AR40" i="61"/>
  <c r="AT40" i="61"/>
  <c r="AU40" i="61"/>
  <c r="AW40" i="61"/>
  <c r="V41" i="61"/>
  <c r="W41" i="61"/>
  <c r="X41" i="61"/>
  <c r="Y41" i="61"/>
  <c r="Z41" i="61"/>
  <c r="AA41" i="61"/>
  <c r="AB41" i="61"/>
  <c r="AC41" i="61"/>
  <c r="AF41" i="61"/>
  <c r="AR41" i="61"/>
  <c r="AT41" i="61"/>
  <c r="AU41" i="61"/>
  <c r="AW41" i="61"/>
  <c r="V42" i="61"/>
  <c r="W42" i="61"/>
  <c r="X42" i="61"/>
  <c r="Y42" i="61"/>
  <c r="Z42" i="61"/>
  <c r="AA42" i="61"/>
  <c r="AE42" i="61" s="1"/>
  <c r="AB42" i="61"/>
  <c r="AC42" i="61"/>
  <c r="AF42" i="61"/>
  <c r="AR42" i="61"/>
  <c r="AT42" i="61"/>
  <c r="AU42" i="61"/>
  <c r="AW42" i="61"/>
  <c r="V43" i="61"/>
  <c r="W43" i="61"/>
  <c r="X43" i="61"/>
  <c r="Y43" i="61"/>
  <c r="Z43" i="61"/>
  <c r="AA43" i="61"/>
  <c r="AD43" i="61" s="1"/>
  <c r="AH43" i="61" s="1"/>
  <c r="AB43" i="61"/>
  <c r="AC43" i="61"/>
  <c r="AF43" i="61"/>
  <c r="AR43" i="61"/>
  <c r="AT43" i="61"/>
  <c r="AU43" i="61"/>
  <c r="AV43" i="61" s="1"/>
  <c r="AW43" i="61"/>
  <c r="V44" i="61"/>
  <c r="W44" i="61"/>
  <c r="X44" i="61"/>
  <c r="Y44" i="61"/>
  <c r="Z44" i="61"/>
  <c r="AA44" i="61"/>
  <c r="AB44" i="61"/>
  <c r="AC44" i="61"/>
  <c r="AF44" i="61"/>
  <c r="AR44" i="61"/>
  <c r="AT44" i="61"/>
  <c r="AU44" i="61"/>
  <c r="AW44" i="61"/>
  <c r="V45" i="61"/>
  <c r="W45" i="61"/>
  <c r="X45" i="61"/>
  <c r="Y45" i="61"/>
  <c r="Z45" i="61"/>
  <c r="AA45" i="61"/>
  <c r="AD45" i="61" s="1"/>
  <c r="AH45" i="61" s="1"/>
  <c r="AB45" i="61"/>
  <c r="AC45" i="61"/>
  <c r="AF45" i="61"/>
  <c r="AR45" i="61"/>
  <c r="AT45" i="61"/>
  <c r="AU45" i="61"/>
  <c r="AW45" i="61"/>
  <c r="V46" i="61"/>
  <c r="W46" i="61"/>
  <c r="X46" i="61"/>
  <c r="Y46" i="61"/>
  <c r="Z46" i="61"/>
  <c r="AA46" i="61"/>
  <c r="AB46" i="61"/>
  <c r="AC46" i="61"/>
  <c r="AF46" i="61"/>
  <c r="AR46" i="61"/>
  <c r="AT46" i="61"/>
  <c r="AU46" i="61"/>
  <c r="AW46" i="61"/>
  <c r="V47" i="61"/>
  <c r="W47" i="61"/>
  <c r="X47" i="61"/>
  <c r="Y47" i="61"/>
  <c r="Z47" i="61"/>
  <c r="AA47" i="61"/>
  <c r="AD47" i="61" s="1"/>
  <c r="AH47" i="61" s="1"/>
  <c r="AB47" i="61"/>
  <c r="AC47" i="61"/>
  <c r="AF47" i="61"/>
  <c r="AR47" i="61"/>
  <c r="AT47" i="61"/>
  <c r="AU47" i="61"/>
  <c r="AW47" i="61"/>
  <c r="V48" i="61"/>
  <c r="W48" i="61"/>
  <c r="X48" i="61"/>
  <c r="Y48" i="61"/>
  <c r="Z48" i="61"/>
  <c r="AA48" i="61"/>
  <c r="AB48" i="61"/>
  <c r="AC48" i="61"/>
  <c r="AF48" i="61"/>
  <c r="AR48" i="61"/>
  <c r="AT48" i="61"/>
  <c r="AU48" i="61"/>
  <c r="AW48" i="61"/>
  <c r="V49" i="61"/>
  <c r="W49" i="61"/>
  <c r="X49" i="61"/>
  <c r="Y49" i="61"/>
  <c r="Z49" i="61"/>
  <c r="AA49" i="61"/>
  <c r="AD49" i="61" s="1"/>
  <c r="AB49" i="61"/>
  <c r="AC49" i="61"/>
  <c r="AF49" i="61"/>
  <c r="AR49" i="61"/>
  <c r="AT49" i="61"/>
  <c r="AU49" i="61"/>
  <c r="AW49" i="61"/>
  <c r="V50" i="61"/>
  <c r="W50" i="61"/>
  <c r="X50" i="61"/>
  <c r="Y50" i="61"/>
  <c r="Z50" i="61"/>
  <c r="AA50" i="61"/>
  <c r="AE50" i="61" s="1"/>
  <c r="AO50" i="61" s="1"/>
  <c r="AB50" i="61"/>
  <c r="AC50" i="61"/>
  <c r="AF50" i="61"/>
  <c r="AR50" i="61"/>
  <c r="AT50" i="61"/>
  <c r="AU50" i="61"/>
  <c r="AW50" i="61"/>
  <c r="V51" i="61"/>
  <c r="W51" i="61"/>
  <c r="X51" i="61"/>
  <c r="Y51" i="61"/>
  <c r="Z51" i="61"/>
  <c r="AA51" i="61"/>
  <c r="AB51" i="61"/>
  <c r="AC51" i="61"/>
  <c r="AF51" i="61"/>
  <c r="AR51" i="61"/>
  <c r="AT51" i="61"/>
  <c r="AU51" i="61"/>
  <c r="AW51" i="61"/>
  <c r="V52" i="61"/>
  <c r="W52" i="61"/>
  <c r="X52" i="61"/>
  <c r="Y52" i="61"/>
  <c r="Z52" i="61"/>
  <c r="AA52" i="61"/>
  <c r="AD52" i="61" s="1"/>
  <c r="AH52" i="61" s="1"/>
  <c r="AB52" i="61"/>
  <c r="AC52" i="61"/>
  <c r="AF52" i="61"/>
  <c r="AR52" i="61"/>
  <c r="AT52" i="61"/>
  <c r="AV52" i="61" s="1"/>
  <c r="AU52" i="61"/>
  <c r="AW52" i="61"/>
  <c r="V53" i="61"/>
  <c r="W53" i="61"/>
  <c r="X53" i="61"/>
  <c r="Y53" i="61"/>
  <c r="Z53" i="61"/>
  <c r="AA53" i="61"/>
  <c r="AB53" i="61"/>
  <c r="AC53" i="61"/>
  <c r="AF53" i="61"/>
  <c r="AH53" i="61"/>
  <c r="AR53" i="61"/>
  <c r="AT53" i="61"/>
  <c r="AU53" i="61"/>
  <c r="AW53" i="61"/>
  <c r="V54" i="61"/>
  <c r="W54" i="61"/>
  <c r="X54" i="61"/>
  <c r="Y54" i="61"/>
  <c r="Z54" i="61"/>
  <c r="AA54" i="61"/>
  <c r="AD54" i="61" s="1"/>
  <c r="AB54" i="61"/>
  <c r="AC54" i="61"/>
  <c r="AF54" i="61"/>
  <c r="AR54" i="61"/>
  <c r="AT54" i="61"/>
  <c r="AU54" i="61"/>
  <c r="AW54" i="61"/>
  <c r="V55" i="61"/>
  <c r="W55" i="61"/>
  <c r="X55" i="61"/>
  <c r="Y55" i="61"/>
  <c r="Z55" i="61"/>
  <c r="AA55" i="61"/>
  <c r="AE55" i="61" s="1"/>
  <c r="AP55" i="61" s="1"/>
  <c r="AB55" i="61"/>
  <c r="AC55" i="61"/>
  <c r="AF55" i="61"/>
  <c r="AR55" i="61"/>
  <c r="AT55" i="61"/>
  <c r="AV55" i="61" s="1"/>
  <c r="AU55" i="61"/>
  <c r="AW55" i="61"/>
  <c r="V56" i="61"/>
  <c r="W56" i="61"/>
  <c r="X56" i="61"/>
  <c r="Y56" i="61"/>
  <c r="Z56" i="61"/>
  <c r="AA56" i="61"/>
  <c r="AB56" i="61"/>
  <c r="AC56" i="61"/>
  <c r="AF56" i="61"/>
  <c r="AR56" i="61"/>
  <c r="AT56" i="61"/>
  <c r="AU56" i="61"/>
  <c r="AW56" i="61"/>
  <c r="V57" i="61"/>
  <c r="W57" i="61"/>
  <c r="X57" i="61"/>
  <c r="Y57" i="61"/>
  <c r="Z57" i="61"/>
  <c r="AA57" i="61"/>
  <c r="AB57" i="61"/>
  <c r="AC57" i="61"/>
  <c r="AF57" i="61"/>
  <c r="AR57" i="61"/>
  <c r="AT57" i="61"/>
  <c r="AU57" i="61"/>
  <c r="AW57" i="61"/>
  <c r="V58" i="61"/>
  <c r="W58" i="61"/>
  <c r="X58" i="61"/>
  <c r="Y58" i="61"/>
  <c r="AI58" i="61" s="1"/>
  <c r="AS58" i="61" s="1"/>
  <c r="Z58" i="61"/>
  <c r="AA58" i="61"/>
  <c r="AB58" i="61"/>
  <c r="AC58" i="61"/>
  <c r="AF58" i="61"/>
  <c r="AR58" i="61"/>
  <c r="AT58" i="61"/>
  <c r="AU58" i="61"/>
  <c r="AV58" i="61" s="1"/>
  <c r="AW58" i="61"/>
  <c r="V59" i="61"/>
  <c r="W59" i="61"/>
  <c r="X59" i="61"/>
  <c r="Y59" i="61"/>
  <c r="Z59" i="61"/>
  <c r="AA59" i="61"/>
  <c r="AB59" i="61"/>
  <c r="AC59" i="61"/>
  <c r="AF59" i="61"/>
  <c r="AR59" i="61"/>
  <c r="AT59" i="61"/>
  <c r="AU59" i="61"/>
  <c r="AW59" i="61"/>
  <c r="V60" i="61"/>
  <c r="W60" i="61"/>
  <c r="X60" i="61"/>
  <c r="Y60" i="61"/>
  <c r="Z60" i="61"/>
  <c r="AA60" i="61"/>
  <c r="AE60" i="61" s="1"/>
  <c r="AB60" i="61"/>
  <c r="AC60" i="61"/>
  <c r="AF60" i="61"/>
  <c r="AR60" i="61"/>
  <c r="AT60" i="61"/>
  <c r="AU60" i="61"/>
  <c r="AW60" i="61"/>
  <c r="V61" i="61"/>
  <c r="W61" i="61"/>
  <c r="X61" i="61"/>
  <c r="Y61" i="61"/>
  <c r="Z61" i="61"/>
  <c r="AA61" i="61"/>
  <c r="AD61" i="61" s="1"/>
  <c r="AH61" i="61" s="1"/>
  <c r="AB61" i="61"/>
  <c r="AC61" i="61"/>
  <c r="AF61" i="61"/>
  <c r="AR61" i="61"/>
  <c r="AT61" i="61"/>
  <c r="AU61" i="61"/>
  <c r="AW61" i="61"/>
  <c r="V62" i="61"/>
  <c r="W62" i="61"/>
  <c r="X62" i="61"/>
  <c r="Y62" i="61"/>
  <c r="Z62" i="61"/>
  <c r="AA62" i="61"/>
  <c r="AB62" i="61"/>
  <c r="AC62" i="61"/>
  <c r="AF62" i="61"/>
  <c r="AR62" i="61"/>
  <c r="AT62" i="61"/>
  <c r="AU62" i="61"/>
  <c r="AV62" i="61" s="1"/>
  <c r="AW62" i="61"/>
  <c r="V63" i="61"/>
  <c r="W63" i="61"/>
  <c r="X63" i="61"/>
  <c r="Y63" i="61"/>
  <c r="Z63" i="61"/>
  <c r="AA63" i="61"/>
  <c r="AE63" i="61" s="1"/>
  <c r="AB63" i="61"/>
  <c r="AC63" i="61"/>
  <c r="AF63" i="61"/>
  <c r="AR63" i="61"/>
  <c r="AT63" i="61"/>
  <c r="AV63" i="61" s="1"/>
  <c r="AU63" i="61"/>
  <c r="AW63" i="61"/>
  <c r="V64" i="61"/>
  <c r="W64" i="61"/>
  <c r="X64" i="61"/>
  <c r="Y64" i="61"/>
  <c r="Z64" i="61"/>
  <c r="AA64" i="61"/>
  <c r="AB64" i="61"/>
  <c r="AC64" i="61"/>
  <c r="AF64" i="61"/>
  <c r="AH64" i="61"/>
  <c r="AR64" i="61"/>
  <c r="AT64" i="61"/>
  <c r="AU64" i="61"/>
  <c r="AW64" i="61"/>
  <c r="V65" i="61"/>
  <c r="W65" i="61"/>
  <c r="X65" i="61"/>
  <c r="Y65" i="61"/>
  <c r="Z65" i="61"/>
  <c r="AA65" i="61"/>
  <c r="AD65" i="61" s="1"/>
  <c r="AH65" i="61" s="1"/>
  <c r="AB65" i="61"/>
  <c r="AC65" i="61"/>
  <c r="AF65" i="61"/>
  <c r="AR65" i="61"/>
  <c r="AT65" i="61"/>
  <c r="AU65" i="61"/>
  <c r="AW65" i="61"/>
  <c r="V66" i="61"/>
  <c r="W66" i="61"/>
  <c r="X66" i="61"/>
  <c r="Y66" i="61"/>
  <c r="Z66" i="61"/>
  <c r="AA66" i="61"/>
  <c r="AB66" i="61"/>
  <c r="AC66" i="61"/>
  <c r="AF66" i="61"/>
  <c r="AR66" i="61"/>
  <c r="AT66" i="61"/>
  <c r="AU66" i="61"/>
  <c r="AW66" i="61"/>
  <c r="V67" i="61"/>
  <c r="W67" i="61"/>
  <c r="X67" i="61"/>
  <c r="Y67" i="61"/>
  <c r="Z67" i="61"/>
  <c r="AA67" i="61"/>
  <c r="AB67" i="61"/>
  <c r="AC67" i="61"/>
  <c r="AF67" i="61"/>
  <c r="AR67" i="61"/>
  <c r="AT67" i="61"/>
  <c r="AU67" i="61"/>
  <c r="AW67" i="61"/>
  <c r="V68" i="61"/>
  <c r="W68" i="61"/>
  <c r="X68" i="61"/>
  <c r="Y68" i="61"/>
  <c r="Z68" i="61"/>
  <c r="AA68" i="61"/>
  <c r="AB68" i="61"/>
  <c r="AC68" i="61"/>
  <c r="AF68" i="61"/>
  <c r="AI68" i="61" s="1"/>
  <c r="AS68" i="61" s="1"/>
  <c r="AR68" i="61"/>
  <c r="AT68" i="61"/>
  <c r="AU68" i="61"/>
  <c r="AW68" i="61"/>
  <c r="V69" i="61"/>
  <c r="W69" i="61"/>
  <c r="X69" i="61"/>
  <c r="Y69" i="61"/>
  <c r="AI69" i="61" s="1"/>
  <c r="Z69" i="61"/>
  <c r="AA69" i="61"/>
  <c r="AB69" i="61"/>
  <c r="AC69" i="61"/>
  <c r="AF69" i="61"/>
  <c r="AR69" i="61"/>
  <c r="AT69" i="61"/>
  <c r="AU69" i="61"/>
  <c r="AW69" i="61"/>
  <c r="V70" i="61"/>
  <c r="W70" i="61"/>
  <c r="X70" i="61"/>
  <c r="Y70" i="61"/>
  <c r="Z70" i="61"/>
  <c r="AA70" i="61"/>
  <c r="AD70" i="61" s="1"/>
  <c r="AH70" i="61" s="1"/>
  <c r="AB70" i="61"/>
  <c r="AC70" i="61"/>
  <c r="AF70" i="61"/>
  <c r="AR70" i="61"/>
  <c r="AT70" i="61"/>
  <c r="AU70" i="61"/>
  <c r="AW70" i="61"/>
  <c r="V71" i="61"/>
  <c r="W71" i="61"/>
  <c r="X71" i="61"/>
  <c r="Y71" i="61"/>
  <c r="Z71" i="61"/>
  <c r="AA71" i="61"/>
  <c r="AB71" i="61"/>
  <c r="AC71" i="61"/>
  <c r="AF71" i="61"/>
  <c r="AR71" i="61"/>
  <c r="AT71" i="61"/>
  <c r="AU71" i="61"/>
  <c r="AW71" i="61"/>
  <c r="V72" i="61"/>
  <c r="W72" i="61"/>
  <c r="X72" i="61"/>
  <c r="Y72" i="61"/>
  <c r="Z72" i="61"/>
  <c r="AA72" i="61"/>
  <c r="AB72" i="61"/>
  <c r="AC72" i="61"/>
  <c r="AF72" i="61"/>
  <c r="AR72" i="61"/>
  <c r="AT72" i="61"/>
  <c r="AU72" i="61"/>
  <c r="AW72" i="61"/>
  <c r="V73" i="61"/>
  <c r="W73" i="61"/>
  <c r="X73" i="61"/>
  <c r="Y73" i="61"/>
  <c r="Z73" i="61"/>
  <c r="AA73" i="61"/>
  <c r="AD73" i="61" s="1"/>
  <c r="AB73" i="61"/>
  <c r="AC73" i="61"/>
  <c r="AF73" i="61"/>
  <c r="AH73" i="61"/>
  <c r="AR73" i="61"/>
  <c r="AT73" i="61"/>
  <c r="AU73" i="61"/>
  <c r="AW73" i="61"/>
  <c r="V74" i="61"/>
  <c r="W74" i="61"/>
  <c r="X74" i="61"/>
  <c r="Y74" i="61"/>
  <c r="Z74" i="61"/>
  <c r="AA74" i="61"/>
  <c r="AB74" i="61"/>
  <c r="AC74" i="61"/>
  <c r="AF74" i="61"/>
  <c r="AH74" i="61"/>
  <c r="AR74" i="61"/>
  <c r="AT74" i="61"/>
  <c r="AU74" i="61"/>
  <c r="AW74" i="61"/>
  <c r="V75" i="61"/>
  <c r="W75" i="61"/>
  <c r="X75" i="61"/>
  <c r="Y75" i="61"/>
  <c r="AI75" i="61" s="1"/>
  <c r="AS75" i="61" s="1"/>
  <c r="Z75" i="61"/>
  <c r="AA75" i="61"/>
  <c r="AB75" i="61"/>
  <c r="AC75" i="61"/>
  <c r="AF75" i="61"/>
  <c r="AH75" i="61"/>
  <c r="AR75" i="61"/>
  <c r="AT75" i="61"/>
  <c r="AV75" i="61" s="1"/>
  <c r="AU75" i="61"/>
  <c r="AW75" i="61"/>
  <c r="V76" i="61"/>
  <c r="W76" i="61"/>
  <c r="X76" i="61"/>
  <c r="Y76" i="61"/>
  <c r="Z76" i="61"/>
  <c r="AA76" i="61"/>
  <c r="AB76" i="61"/>
  <c r="AC76" i="61"/>
  <c r="AF76" i="61"/>
  <c r="AH76" i="61"/>
  <c r="AR76" i="61"/>
  <c r="AT76" i="61"/>
  <c r="AU76" i="61"/>
  <c r="AW76" i="61"/>
  <c r="V77" i="61"/>
  <c r="W77" i="61"/>
  <c r="X77" i="61"/>
  <c r="Y77" i="61"/>
  <c r="Z77" i="61"/>
  <c r="AA77" i="61"/>
  <c r="AB77" i="61"/>
  <c r="AI77" i="61" s="1"/>
  <c r="AS77" i="61" s="1"/>
  <c r="AC77" i="61"/>
  <c r="AF77" i="61"/>
  <c r="AH77" i="61"/>
  <c r="AR77" i="61"/>
  <c r="AT77" i="61"/>
  <c r="AU77" i="61"/>
  <c r="AW77" i="61"/>
  <c r="V78" i="61"/>
  <c r="W78" i="61"/>
  <c r="X78" i="61"/>
  <c r="Y78" i="61"/>
  <c r="Z78" i="61"/>
  <c r="AA78" i="61"/>
  <c r="AB78" i="61"/>
  <c r="AC78" i="61"/>
  <c r="AF78" i="61"/>
  <c r="AH78" i="61"/>
  <c r="AR78" i="61"/>
  <c r="AT78" i="61"/>
  <c r="AU78" i="61"/>
  <c r="AW78" i="61"/>
  <c r="V79" i="61"/>
  <c r="W79" i="61"/>
  <c r="X79" i="61"/>
  <c r="Y79" i="61"/>
  <c r="Z79" i="61"/>
  <c r="AA79" i="61"/>
  <c r="AD79" i="61"/>
  <c r="AB79" i="61"/>
  <c r="AC79" i="61"/>
  <c r="AF79" i="61"/>
  <c r="AH79" i="61"/>
  <c r="AR79" i="61"/>
  <c r="AT79" i="61"/>
  <c r="AU79" i="61"/>
  <c r="AW79" i="61"/>
  <c r="V80" i="61"/>
  <c r="W80" i="61"/>
  <c r="X80" i="61"/>
  <c r="Y80" i="61"/>
  <c r="AI80" i="61" s="1"/>
  <c r="AS80" i="61" s="1"/>
  <c r="Z80" i="61"/>
  <c r="AA80" i="61"/>
  <c r="AB80" i="61"/>
  <c r="AC80" i="61"/>
  <c r="AF80" i="61"/>
  <c r="AH80" i="61"/>
  <c r="AR80" i="61"/>
  <c r="AT80" i="61"/>
  <c r="AV80" i="61" s="1"/>
  <c r="AU80" i="61"/>
  <c r="AW80" i="61"/>
  <c r="V81" i="61"/>
  <c r="W81" i="61"/>
  <c r="X81" i="61"/>
  <c r="Y81" i="61"/>
  <c r="Z81" i="61"/>
  <c r="AA81" i="61"/>
  <c r="AB81" i="61"/>
  <c r="AC81" i="61"/>
  <c r="AF81" i="61"/>
  <c r="AH81" i="61"/>
  <c r="AR81" i="61"/>
  <c r="AT81" i="61"/>
  <c r="AU81" i="61"/>
  <c r="AW81" i="61"/>
  <c r="V82" i="61"/>
  <c r="W82" i="61"/>
  <c r="X82" i="61"/>
  <c r="Y82" i="61"/>
  <c r="Z82" i="61"/>
  <c r="AA82" i="61"/>
  <c r="AB82" i="61"/>
  <c r="AC82" i="61"/>
  <c r="AF82" i="61"/>
  <c r="AH82" i="61"/>
  <c r="AR82" i="61"/>
  <c r="AT82" i="61"/>
  <c r="AU82" i="61"/>
  <c r="AW82" i="61"/>
  <c r="V83" i="61"/>
  <c r="W83" i="61"/>
  <c r="X83" i="61"/>
  <c r="Y83" i="61"/>
  <c r="Z83" i="61"/>
  <c r="AA83" i="61"/>
  <c r="AB83" i="61"/>
  <c r="AC83" i="61"/>
  <c r="AF83" i="61"/>
  <c r="AH83" i="61"/>
  <c r="AR83" i="61"/>
  <c r="AT83" i="61"/>
  <c r="AU83" i="61"/>
  <c r="AW83" i="61"/>
  <c r="V84" i="61"/>
  <c r="W84" i="61"/>
  <c r="X84" i="61"/>
  <c r="Y84" i="61"/>
  <c r="Z84" i="61"/>
  <c r="AA84" i="61"/>
  <c r="AB84" i="61"/>
  <c r="AC84" i="61"/>
  <c r="AF84" i="61"/>
  <c r="AH84" i="61"/>
  <c r="AR84" i="61"/>
  <c r="AT84" i="61"/>
  <c r="AV84" i="61" s="1"/>
  <c r="AU84" i="61"/>
  <c r="AW84" i="61"/>
  <c r="V85" i="61"/>
  <c r="W85" i="61"/>
  <c r="X85" i="61"/>
  <c r="Y85" i="61"/>
  <c r="Z85" i="61"/>
  <c r="AA85" i="61"/>
  <c r="AD85" i="61" s="1"/>
  <c r="AB85" i="61"/>
  <c r="AC85" i="61"/>
  <c r="AF85" i="61"/>
  <c r="AH85" i="61"/>
  <c r="AR85" i="61"/>
  <c r="AT85" i="61"/>
  <c r="AU85" i="61"/>
  <c r="AW85" i="61"/>
  <c r="V86" i="61"/>
  <c r="W86" i="61"/>
  <c r="X86" i="61"/>
  <c r="Y86" i="61"/>
  <c r="Z86" i="61"/>
  <c r="AA86" i="61"/>
  <c r="AE86" i="61" s="1"/>
  <c r="AB86" i="61"/>
  <c r="AC86" i="61"/>
  <c r="AF86" i="61"/>
  <c r="AH86" i="61"/>
  <c r="AR86" i="61"/>
  <c r="AT86" i="61"/>
  <c r="AU86" i="61"/>
  <c r="AW86" i="61"/>
  <c r="V87" i="61"/>
  <c r="W87" i="61"/>
  <c r="X87" i="61"/>
  <c r="Y87" i="61"/>
  <c r="Z87" i="61"/>
  <c r="AA87" i="61"/>
  <c r="AB87" i="61"/>
  <c r="AC87" i="61"/>
  <c r="AF87" i="61"/>
  <c r="AH87" i="61"/>
  <c r="AR87" i="61"/>
  <c r="AT87" i="61"/>
  <c r="AU87" i="61"/>
  <c r="AW87" i="61"/>
  <c r="V88" i="61"/>
  <c r="W88" i="61"/>
  <c r="X88" i="61"/>
  <c r="Y88" i="61"/>
  <c r="Z88" i="61"/>
  <c r="AA88" i="61"/>
  <c r="AB88" i="61"/>
  <c r="AC88" i="61"/>
  <c r="AF88" i="61"/>
  <c r="AH88" i="61"/>
  <c r="AR88" i="61"/>
  <c r="AT88" i="61"/>
  <c r="AU88" i="61"/>
  <c r="AV88" i="61" s="1"/>
  <c r="AW88" i="61"/>
  <c r="V89" i="61"/>
  <c r="W89" i="61"/>
  <c r="X89" i="61"/>
  <c r="Y89" i="61"/>
  <c r="Z89" i="61"/>
  <c r="AA89" i="61"/>
  <c r="AE89" i="61" s="1"/>
  <c r="AB89" i="61"/>
  <c r="AC89" i="61"/>
  <c r="AF89" i="61"/>
  <c r="AH89" i="61"/>
  <c r="AR89" i="61"/>
  <c r="AT89" i="61"/>
  <c r="AU89" i="61"/>
  <c r="AW89" i="61"/>
  <c r="V90" i="61"/>
  <c r="W90" i="61"/>
  <c r="X90" i="61"/>
  <c r="Y90" i="61"/>
  <c r="Z90" i="61"/>
  <c r="AA90" i="61"/>
  <c r="AB90" i="61"/>
  <c r="AC90" i="61"/>
  <c r="AF90" i="61"/>
  <c r="AH90" i="61"/>
  <c r="AR90" i="61"/>
  <c r="AT90" i="61"/>
  <c r="AU90" i="61"/>
  <c r="AW90" i="61"/>
  <c r="V91" i="61"/>
  <c r="W91" i="61"/>
  <c r="X91" i="61"/>
  <c r="Y91" i="61"/>
  <c r="Z91" i="61"/>
  <c r="AA91" i="61"/>
  <c r="AB91" i="61"/>
  <c r="AC91" i="61"/>
  <c r="AF91" i="61"/>
  <c r="AH91" i="61"/>
  <c r="AR91" i="61"/>
  <c r="AT91" i="61"/>
  <c r="AU91" i="61"/>
  <c r="AW91" i="61"/>
  <c r="V92" i="61"/>
  <c r="W92" i="61"/>
  <c r="X92" i="61"/>
  <c r="Y92" i="61"/>
  <c r="Z92" i="61"/>
  <c r="AA92" i="61"/>
  <c r="AB92" i="61"/>
  <c r="AC92" i="61"/>
  <c r="AF92" i="61"/>
  <c r="AH92" i="61"/>
  <c r="AR92" i="61"/>
  <c r="AT92" i="61"/>
  <c r="AU92" i="61"/>
  <c r="AW92" i="61"/>
  <c r="V93" i="61"/>
  <c r="W93" i="61"/>
  <c r="X93" i="61"/>
  <c r="Y93" i="61"/>
  <c r="Z93" i="61"/>
  <c r="AA93" i="61"/>
  <c r="AB93" i="61"/>
  <c r="AC93" i="61"/>
  <c r="AF93" i="61"/>
  <c r="AH93" i="61"/>
  <c r="AR93" i="61"/>
  <c r="AT93" i="61"/>
  <c r="AU93" i="61"/>
  <c r="AW93" i="61"/>
  <c r="V94" i="61"/>
  <c r="W94" i="61"/>
  <c r="X94" i="61"/>
  <c r="Y94" i="61"/>
  <c r="Z94" i="61"/>
  <c r="AA94" i="61"/>
  <c r="AB94" i="61"/>
  <c r="AC94" i="61"/>
  <c r="AF94" i="61"/>
  <c r="AH94" i="61"/>
  <c r="AR94" i="61"/>
  <c r="AT94" i="61"/>
  <c r="AU94" i="61"/>
  <c r="AW94" i="61"/>
  <c r="V95" i="61"/>
  <c r="W95" i="61"/>
  <c r="X95" i="61"/>
  <c r="Y95" i="61"/>
  <c r="Z95" i="61"/>
  <c r="AA95" i="61"/>
  <c r="AB95" i="61"/>
  <c r="AC95" i="61"/>
  <c r="AF95" i="61"/>
  <c r="AH95" i="61"/>
  <c r="AR95" i="61"/>
  <c r="AT95" i="61"/>
  <c r="AU95" i="61"/>
  <c r="AW95" i="61"/>
  <c r="V96" i="61"/>
  <c r="W96" i="61"/>
  <c r="X96" i="61"/>
  <c r="Y96" i="61"/>
  <c r="Z96" i="61"/>
  <c r="AA96" i="61"/>
  <c r="AD96" i="61" s="1"/>
  <c r="AB96" i="61"/>
  <c r="AC96" i="61"/>
  <c r="AF96" i="61"/>
  <c r="AH96" i="61"/>
  <c r="AR96" i="61"/>
  <c r="AT96" i="61"/>
  <c r="AU96" i="61"/>
  <c r="AW96" i="61"/>
  <c r="V97" i="61"/>
  <c r="W97" i="61"/>
  <c r="X97" i="61"/>
  <c r="Y97" i="61"/>
  <c r="Z97" i="61"/>
  <c r="AA97" i="61"/>
  <c r="AB97" i="61"/>
  <c r="AC97" i="61"/>
  <c r="AF97" i="61"/>
  <c r="AH97" i="61"/>
  <c r="AR97" i="61"/>
  <c r="AT97" i="61"/>
  <c r="AU97" i="61"/>
  <c r="AW97" i="61"/>
  <c r="V98" i="61"/>
  <c r="W98" i="61"/>
  <c r="X98" i="61"/>
  <c r="Y98" i="61"/>
  <c r="Z98" i="61"/>
  <c r="AA98" i="61"/>
  <c r="AB98" i="61"/>
  <c r="AC98" i="61"/>
  <c r="AF98" i="61"/>
  <c r="AM98" i="61" s="1"/>
  <c r="AH98" i="61"/>
  <c r="AR98" i="61"/>
  <c r="AT98" i="61"/>
  <c r="AU98" i="61"/>
  <c r="AW98" i="61"/>
  <c r="V99" i="61"/>
  <c r="W99" i="61"/>
  <c r="X99" i="61"/>
  <c r="Y99" i="61"/>
  <c r="Z99" i="61"/>
  <c r="AA99" i="61"/>
  <c r="AE99" i="61" s="1"/>
  <c r="AQ99" i="61" s="1"/>
  <c r="AB99" i="61"/>
  <c r="AC99" i="61"/>
  <c r="AF99" i="61"/>
  <c r="AH99" i="61"/>
  <c r="AR99" i="61"/>
  <c r="AT99" i="61"/>
  <c r="AU99" i="61"/>
  <c r="AW99" i="61"/>
  <c r="V100" i="61"/>
  <c r="W100" i="61"/>
  <c r="X100" i="61"/>
  <c r="Y100" i="61"/>
  <c r="Z100" i="61"/>
  <c r="AA100" i="61"/>
  <c r="AB100" i="61"/>
  <c r="AC100" i="61"/>
  <c r="AF100" i="61"/>
  <c r="AJ100" i="61" s="1"/>
  <c r="AH100" i="61"/>
  <c r="AR100" i="61"/>
  <c r="AT100" i="61"/>
  <c r="AU100" i="61"/>
  <c r="AW100" i="61"/>
  <c r="V101" i="61"/>
  <c r="W101" i="61"/>
  <c r="X101" i="61"/>
  <c r="Y101" i="61"/>
  <c r="Z101" i="61"/>
  <c r="AA101" i="61"/>
  <c r="AE101" i="61" s="1"/>
  <c r="AL101" i="61" s="1"/>
  <c r="AB101" i="61"/>
  <c r="AC101" i="61"/>
  <c r="AF101" i="61"/>
  <c r="AH101" i="61"/>
  <c r="AR101" i="61"/>
  <c r="AT101" i="61"/>
  <c r="AU101" i="61"/>
  <c r="AW101" i="61"/>
  <c r="V102" i="61"/>
  <c r="W102" i="61"/>
  <c r="X102" i="61"/>
  <c r="Y102" i="61"/>
  <c r="Z102" i="61"/>
  <c r="AA102" i="61"/>
  <c r="AE102" i="61" s="1"/>
  <c r="AB102" i="61"/>
  <c r="AC102" i="61"/>
  <c r="AF102" i="61"/>
  <c r="AH102" i="61"/>
  <c r="AR102" i="61"/>
  <c r="AT102" i="61"/>
  <c r="AU102" i="61"/>
  <c r="AW102" i="61"/>
  <c r="V103" i="61"/>
  <c r="W103" i="61"/>
  <c r="X103" i="61"/>
  <c r="Y103" i="61"/>
  <c r="Z103" i="61"/>
  <c r="AA103" i="61"/>
  <c r="AB103" i="61"/>
  <c r="AC103" i="61"/>
  <c r="AF103" i="61"/>
  <c r="AH103" i="61"/>
  <c r="AR103" i="61"/>
  <c r="AT103" i="61"/>
  <c r="AU103" i="61"/>
  <c r="AW103" i="61"/>
  <c r="V104" i="61"/>
  <c r="W104" i="61"/>
  <c r="X104" i="61"/>
  <c r="Y104" i="61"/>
  <c r="Z104" i="61"/>
  <c r="AA104" i="61"/>
  <c r="AB104" i="61"/>
  <c r="AC104" i="61"/>
  <c r="AF104" i="61"/>
  <c r="AJ104" i="61" s="1"/>
  <c r="AH104" i="61"/>
  <c r="AR104" i="61"/>
  <c r="AT104" i="61"/>
  <c r="AU104" i="61"/>
  <c r="AW104" i="61"/>
  <c r="V105" i="61"/>
  <c r="W105" i="61"/>
  <c r="X105" i="61"/>
  <c r="Y105" i="61"/>
  <c r="Z105" i="61"/>
  <c r="AA105" i="61"/>
  <c r="AB105" i="61"/>
  <c r="AC105" i="61"/>
  <c r="AF105" i="61"/>
  <c r="AH105" i="61"/>
  <c r="AR105" i="61"/>
  <c r="AT105" i="61"/>
  <c r="AU105" i="61"/>
  <c r="AW105" i="61"/>
  <c r="V106" i="61"/>
  <c r="W106" i="61"/>
  <c r="X106" i="61"/>
  <c r="Y106" i="61"/>
  <c r="Z106" i="61"/>
  <c r="AA106" i="61"/>
  <c r="AB106" i="61"/>
  <c r="AC106" i="61"/>
  <c r="AF106" i="61"/>
  <c r="AH106" i="61"/>
  <c r="AR106" i="61"/>
  <c r="AT106" i="61"/>
  <c r="AU106" i="61"/>
  <c r="AW106" i="61"/>
  <c r="V107" i="61"/>
  <c r="W107" i="61"/>
  <c r="X107" i="61"/>
  <c r="Y107" i="61"/>
  <c r="Z107" i="61"/>
  <c r="AA107" i="61"/>
  <c r="AB107" i="61"/>
  <c r="AC107" i="61"/>
  <c r="AF107" i="61"/>
  <c r="AH107" i="61"/>
  <c r="AR107" i="61"/>
  <c r="AT107" i="61"/>
  <c r="AU107" i="61"/>
  <c r="AW107" i="61"/>
  <c r="V108" i="61"/>
  <c r="W108" i="61"/>
  <c r="X108" i="61"/>
  <c r="Y108" i="61"/>
  <c r="Z108" i="61"/>
  <c r="AA108" i="61"/>
  <c r="AB108" i="61"/>
  <c r="AC108" i="61"/>
  <c r="AF108" i="61"/>
  <c r="AH108" i="61"/>
  <c r="AR108" i="61"/>
  <c r="AT108" i="61"/>
  <c r="AU108" i="61"/>
  <c r="AV108" i="61" s="1"/>
  <c r="AW108" i="61"/>
  <c r="V109" i="61"/>
  <c r="W109" i="61"/>
  <c r="X109" i="61"/>
  <c r="Y109" i="61"/>
  <c r="Z109" i="61"/>
  <c r="AA109" i="61"/>
  <c r="AB109" i="61"/>
  <c r="AC109" i="61"/>
  <c r="AF109" i="61"/>
  <c r="AH109" i="61"/>
  <c r="AR109" i="61"/>
  <c r="AT109" i="61"/>
  <c r="AV109" i="61" s="1"/>
  <c r="AU109" i="61"/>
  <c r="AW109" i="61"/>
  <c r="V110" i="61"/>
  <c r="W110" i="61"/>
  <c r="X110" i="61"/>
  <c r="Y110" i="61"/>
  <c r="Z110" i="61"/>
  <c r="AA110" i="61"/>
  <c r="AB110" i="61"/>
  <c r="AC110" i="61"/>
  <c r="AF110" i="61"/>
  <c r="AH110" i="61"/>
  <c r="AR110" i="61"/>
  <c r="AT110" i="61"/>
  <c r="AU110" i="61"/>
  <c r="AW110" i="61"/>
  <c r="V111" i="61"/>
  <c r="W111" i="61"/>
  <c r="X111" i="61"/>
  <c r="Y111" i="61"/>
  <c r="Z111" i="61"/>
  <c r="AA111" i="61"/>
  <c r="AD111" i="61" s="1"/>
  <c r="AB111" i="61"/>
  <c r="AC111" i="61"/>
  <c r="AF111" i="61"/>
  <c r="AH111" i="61"/>
  <c r="AR111" i="61"/>
  <c r="AT111" i="61"/>
  <c r="AU111" i="61"/>
  <c r="AW111" i="61"/>
  <c r="V112" i="61"/>
  <c r="W112" i="61"/>
  <c r="X112" i="61"/>
  <c r="Y112" i="61"/>
  <c r="Z112" i="61"/>
  <c r="AA112" i="61"/>
  <c r="AB112" i="61"/>
  <c r="AC112" i="61"/>
  <c r="AF112" i="61"/>
  <c r="AM112" i="61" s="1"/>
  <c r="AH112" i="61"/>
  <c r="AR112" i="61"/>
  <c r="AT112" i="61"/>
  <c r="AU112" i="61"/>
  <c r="AW112" i="61"/>
  <c r="V113" i="61"/>
  <c r="W113" i="61"/>
  <c r="X113" i="61"/>
  <c r="Y113" i="61"/>
  <c r="Z113" i="61"/>
  <c r="AA113" i="61"/>
  <c r="AB113" i="61"/>
  <c r="AC113" i="61"/>
  <c r="AF113" i="61"/>
  <c r="AJ113" i="61" s="1"/>
  <c r="AH113" i="61"/>
  <c r="AR113" i="61"/>
  <c r="AT113" i="61"/>
  <c r="AU113" i="61"/>
  <c r="AW113" i="61"/>
  <c r="V114" i="61"/>
  <c r="W114" i="61"/>
  <c r="X114" i="61"/>
  <c r="Y114" i="61"/>
  <c r="Z114" i="61"/>
  <c r="AA114" i="61"/>
  <c r="AB114" i="61"/>
  <c r="AC114" i="61"/>
  <c r="AF114" i="61"/>
  <c r="AH114" i="61"/>
  <c r="AR114" i="61"/>
  <c r="AT114" i="61"/>
  <c r="AU114" i="61"/>
  <c r="AW114" i="61"/>
  <c r="V115" i="61"/>
  <c r="W115" i="61"/>
  <c r="X115" i="61"/>
  <c r="Y115" i="61"/>
  <c r="Z115" i="61"/>
  <c r="AA115" i="61"/>
  <c r="AB115" i="61"/>
  <c r="AC115" i="61"/>
  <c r="AF115" i="61"/>
  <c r="AJ115" i="61" s="1"/>
  <c r="AH115" i="61"/>
  <c r="AR115" i="61"/>
  <c r="AT115" i="61"/>
  <c r="AU115" i="61"/>
  <c r="AW115" i="61"/>
  <c r="V116" i="61"/>
  <c r="W116" i="61"/>
  <c r="X116" i="61"/>
  <c r="Y116" i="61"/>
  <c r="Z116" i="61"/>
  <c r="AA116" i="61"/>
  <c r="AB116" i="61"/>
  <c r="AC116" i="61"/>
  <c r="AF116" i="61"/>
  <c r="AH116" i="61"/>
  <c r="AR116" i="61"/>
  <c r="AT116" i="61"/>
  <c r="AU116" i="61"/>
  <c r="AW116" i="61"/>
  <c r="V117" i="61"/>
  <c r="W117" i="61"/>
  <c r="X117" i="61"/>
  <c r="Y117" i="61"/>
  <c r="Z117" i="61"/>
  <c r="AA117" i="61"/>
  <c r="AD117" i="61" s="1"/>
  <c r="AB117" i="61"/>
  <c r="AC117" i="61"/>
  <c r="AF117" i="61"/>
  <c r="AH117" i="61"/>
  <c r="AR117" i="61"/>
  <c r="AT117" i="61"/>
  <c r="AU117" i="61"/>
  <c r="AW117" i="61"/>
  <c r="V118" i="61"/>
  <c r="W118" i="61"/>
  <c r="X118" i="61"/>
  <c r="Y118" i="61"/>
  <c r="Z118" i="61"/>
  <c r="AA118" i="61"/>
  <c r="AB118" i="61"/>
  <c r="AC118" i="61"/>
  <c r="AF118" i="61"/>
  <c r="AH118" i="61"/>
  <c r="AR118" i="61"/>
  <c r="AT118" i="61"/>
  <c r="AV118" i="61" s="1"/>
  <c r="AU118" i="61"/>
  <c r="AW118" i="61"/>
  <c r="V119" i="61"/>
  <c r="W119" i="61"/>
  <c r="X119" i="61"/>
  <c r="Y119" i="61"/>
  <c r="Z119" i="61"/>
  <c r="AA119" i="61"/>
  <c r="AB119" i="61"/>
  <c r="AC119" i="61"/>
  <c r="AF119" i="61"/>
  <c r="AJ119" i="61"/>
  <c r="AH119" i="61"/>
  <c r="AR119" i="61"/>
  <c r="AT119" i="61"/>
  <c r="AV119" i="61" s="1"/>
  <c r="AU119" i="61"/>
  <c r="AW119" i="61"/>
  <c r="V120" i="61"/>
  <c r="W120" i="61"/>
  <c r="X120" i="61"/>
  <c r="Y120" i="61"/>
  <c r="Z120" i="61"/>
  <c r="AA120" i="61"/>
  <c r="AB120" i="61"/>
  <c r="AC120" i="61"/>
  <c r="AF120" i="61"/>
  <c r="AH120" i="61"/>
  <c r="AR120" i="61"/>
  <c r="AT120" i="61"/>
  <c r="AU120" i="61"/>
  <c r="AW120" i="61"/>
  <c r="V121" i="61"/>
  <c r="W121" i="61"/>
  <c r="X121" i="61"/>
  <c r="Y121" i="61"/>
  <c r="Z121" i="61"/>
  <c r="AA121" i="61"/>
  <c r="AB121" i="61"/>
  <c r="AC121" i="61"/>
  <c r="AF121" i="61"/>
  <c r="AH121" i="61"/>
  <c r="AR121" i="61"/>
  <c r="AT121" i="61"/>
  <c r="AU121" i="61"/>
  <c r="AV121" i="61" s="1"/>
  <c r="AW121" i="61"/>
  <c r="V122" i="61"/>
  <c r="W122" i="61"/>
  <c r="X122" i="61"/>
  <c r="Y122" i="61"/>
  <c r="Z122" i="61"/>
  <c r="AA122" i="61"/>
  <c r="AB122" i="61"/>
  <c r="AC122" i="61"/>
  <c r="AF122" i="61"/>
  <c r="AH122" i="61"/>
  <c r="AR122" i="61"/>
  <c r="AT122" i="61"/>
  <c r="AU122" i="61"/>
  <c r="AW122" i="61"/>
  <c r="V123" i="61"/>
  <c r="W123" i="61"/>
  <c r="X123" i="61"/>
  <c r="Y123" i="61"/>
  <c r="Z123" i="61"/>
  <c r="AA123" i="61"/>
  <c r="AB123" i="61"/>
  <c r="AC123" i="61"/>
  <c r="AF123" i="61"/>
  <c r="AH123" i="61"/>
  <c r="AR123" i="61"/>
  <c r="AT123" i="61"/>
  <c r="AU123" i="61"/>
  <c r="AW123" i="61"/>
  <c r="V124" i="61"/>
  <c r="W124" i="61"/>
  <c r="X124" i="61"/>
  <c r="Y124" i="61"/>
  <c r="Z124" i="61"/>
  <c r="AA124" i="61"/>
  <c r="AB124" i="61"/>
  <c r="AC124" i="61"/>
  <c r="AF124" i="61"/>
  <c r="AH124" i="61"/>
  <c r="AR124" i="61"/>
  <c r="AT124" i="61"/>
  <c r="AU124" i="61"/>
  <c r="AV124" i="61" s="1"/>
  <c r="AW124" i="61"/>
  <c r="V125" i="61"/>
  <c r="W125" i="61"/>
  <c r="X125" i="61"/>
  <c r="Y125" i="61"/>
  <c r="Z125" i="61"/>
  <c r="AA125" i="61"/>
  <c r="AB125" i="61"/>
  <c r="AC125" i="61"/>
  <c r="AF125" i="61"/>
  <c r="AH125" i="61"/>
  <c r="AR125" i="61"/>
  <c r="AT125" i="61"/>
  <c r="AU125" i="61"/>
  <c r="AV125" i="61" s="1"/>
  <c r="AW125" i="61"/>
  <c r="V126" i="61"/>
  <c r="W126" i="61"/>
  <c r="X126" i="61"/>
  <c r="Y126" i="61"/>
  <c r="Z126" i="61"/>
  <c r="AA126" i="61"/>
  <c r="AB126" i="61"/>
  <c r="AC126" i="61"/>
  <c r="AF126" i="61"/>
  <c r="AH126" i="61"/>
  <c r="AR126" i="61"/>
  <c r="AT126" i="61"/>
  <c r="AU126" i="61"/>
  <c r="AW126" i="61"/>
  <c r="V127" i="61"/>
  <c r="W127" i="61"/>
  <c r="X127" i="61"/>
  <c r="Y127" i="61"/>
  <c r="Z127" i="61"/>
  <c r="AA127" i="61"/>
  <c r="AB127" i="61"/>
  <c r="AC127" i="61"/>
  <c r="AF127" i="61"/>
  <c r="AH127" i="61"/>
  <c r="AR127" i="61"/>
  <c r="AT127" i="61"/>
  <c r="AU127" i="61"/>
  <c r="AW127" i="61"/>
  <c r="V128" i="61"/>
  <c r="W128" i="61"/>
  <c r="X128" i="61"/>
  <c r="Y128" i="61"/>
  <c r="Z128" i="61"/>
  <c r="AA128" i="61"/>
  <c r="AB128" i="61"/>
  <c r="AC128" i="61"/>
  <c r="AF128" i="61"/>
  <c r="AH128" i="61"/>
  <c r="AR128" i="61"/>
  <c r="AT128" i="61"/>
  <c r="AU128" i="61"/>
  <c r="AW128" i="61"/>
  <c r="V129" i="61"/>
  <c r="W129" i="61"/>
  <c r="X129" i="61"/>
  <c r="Y129" i="61"/>
  <c r="Z129" i="61"/>
  <c r="AA129" i="61"/>
  <c r="AB129" i="61"/>
  <c r="AC129" i="61"/>
  <c r="AF129" i="61"/>
  <c r="AH129" i="61"/>
  <c r="AR129" i="61"/>
  <c r="AT129" i="61"/>
  <c r="AU129" i="61"/>
  <c r="AV129" i="61" s="1"/>
  <c r="AW129" i="61"/>
  <c r="V130" i="61"/>
  <c r="W130" i="61"/>
  <c r="X130" i="61"/>
  <c r="Y130" i="61"/>
  <c r="Z130" i="61"/>
  <c r="AA130" i="61"/>
  <c r="AB130" i="61"/>
  <c r="AC130" i="61"/>
  <c r="AF130" i="61"/>
  <c r="AH130" i="61"/>
  <c r="AR130" i="61"/>
  <c r="AT130" i="61"/>
  <c r="AU130" i="61"/>
  <c r="AW130" i="61"/>
  <c r="V131" i="61"/>
  <c r="W131" i="61"/>
  <c r="X131" i="61"/>
  <c r="Y131" i="61"/>
  <c r="Z131" i="61"/>
  <c r="AA131" i="61"/>
  <c r="AE131" i="61" s="1"/>
  <c r="AB131" i="61"/>
  <c r="AC131" i="61"/>
  <c r="AF131" i="61"/>
  <c r="AH131" i="61"/>
  <c r="AR131" i="61"/>
  <c r="AT131" i="61"/>
  <c r="AU131" i="61"/>
  <c r="AW131" i="61"/>
  <c r="V132" i="61"/>
  <c r="W132" i="61"/>
  <c r="X132" i="61"/>
  <c r="Y132" i="61"/>
  <c r="Z132" i="61"/>
  <c r="AA132" i="61"/>
  <c r="AD132" i="61"/>
  <c r="AB132" i="61"/>
  <c r="AC132" i="61"/>
  <c r="AF132" i="61"/>
  <c r="AH132" i="61"/>
  <c r="AR132" i="61"/>
  <c r="AT132" i="61"/>
  <c r="AU132" i="61"/>
  <c r="AW132" i="61"/>
  <c r="V133" i="61"/>
  <c r="W133" i="61"/>
  <c r="X133" i="61"/>
  <c r="Y133" i="61"/>
  <c r="AI133" i="61" s="1"/>
  <c r="AS133" i="61" s="1"/>
  <c r="Z133" i="61"/>
  <c r="AA133" i="61"/>
  <c r="AB133" i="61"/>
  <c r="AC133" i="61"/>
  <c r="AF133" i="61"/>
  <c r="AM133" i="61" s="1"/>
  <c r="AH133" i="61"/>
  <c r="AR133" i="61"/>
  <c r="AT133" i="61"/>
  <c r="AU133" i="61"/>
  <c r="AW133" i="61"/>
  <c r="V134" i="61"/>
  <c r="W134" i="61"/>
  <c r="X134" i="61"/>
  <c r="Y134" i="61"/>
  <c r="Z134" i="61"/>
  <c r="AA134" i="61"/>
  <c r="AD134" i="61" s="1"/>
  <c r="AB134" i="61"/>
  <c r="AI134" i="61" s="1"/>
  <c r="AS134" i="61" s="1"/>
  <c r="AC134" i="61"/>
  <c r="AF134" i="61"/>
  <c r="AH134" i="61"/>
  <c r="AR134" i="61"/>
  <c r="AT134" i="61"/>
  <c r="AU134" i="61"/>
  <c r="AW134" i="61"/>
  <c r="V135" i="61"/>
  <c r="W135" i="61"/>
  <c r="X135" i="61"/>
  <c r="Y135" i="61"/>
  <c r="Z135" i="61"/>
  <c r="AA135" i="61"/>
  <c r="AB135" i="61"/>
  <c r="AC135" i="61"/>
  <c r="AF135" i="61"/>
  <c r="AH135" i="61"/>
  <c r="AR135" i="61"/>
  <c r="AT135" i="61"/>
  <c r="AU135" i="61"/>
  <c r="AV135" i="61" s="1"/>
  <c r="AW135" i="61"/>
  <c r="V136" i="61"/>
  <c r="W136" i="61"/>
  <c r="X136" i="61"/>
  <c r="Y136" i="61"/>
  <c r="Z136" i="61"/>
  <c r="AA136" i="61"/>
  <c r="AD136" i="61" s="1"/>
  <c r="AB136" i="61"/>
  <c r="AC136" i="61"/>
  <c r="AF136" i="61"/>
  <c r="AH136" i="61"/>
  <c r="AR136" i="61"/>
  <c r="AT136" i="61"/>
  <c r="AU136" i="61"/>
  <c r="AW136" i="61"/>
  <c r="V137" i="61"/>
  <c r="W137" i="61"/>
  <c r="X137" i="61"/>
  <c r="Y137" i="61"/>
  <c r="Z137" i="61"/>
  <c r="AA137" i="61"/>
  <c r="AB137" i="61"/>
  <c r="AC137" i="61"/>
  <c r="AF137" i="61"/>
  <c r="AM137" i="61" s="1"/>
  <c r="AH137" i="61"/>
  <c r="AR137" i="61"/>
  <c r="AT137" i="61"/>
  <c r="AV137" i="61" s="1"/>
  <c r="AU137" i="61"/>
  <c r="AW137" i="61"/>
  <c r="V138" i="61"/>
  <c r="W138" i="61"/>
  <c r="X138" i="61"/>
  <c r="Y138" i="61"/>
  <c r="Z138" i="61"/>
  <c r="AA138" i="61"/>
  <c r="AE138" i="61" s="1"/>
  <c r="AB138" i="61"/>
  <c r="AC138" i="61"/>
  <c r="AF138" i="61"/>
  <c r="AH138" i="61"/>
  <c r="AR138" i="61"/>
  <c r="AT138" i="61"/>
  <c r="AU138" i="61"/>
  <c r="AW138" i="61"/>
  <c r="V139" i="61"/>
  <c r="W139" i="61"/>
  <c r="X139" i="61"/>
  <c r="Y139" i="61"/>
  <c r="Z139" i="61"/>
  <c r="AA139" i="61"/>
  <c r="AD139" i="61" s="1"/>
  <c r="AB139" i="61"/>
  <c r="AC139" i="61"/>
  <c r="AF139" i="61"/>
  <c r="AH139" i="61"/>
  <c r="AR139" i="61"/>
  <c r="AT139" i="61"/>
  <c r="AU139" i="61"/>
  <c r="AW139" i="61"/>
  <c r="V140" i="61"/>
  <c r="W140" i="61"/>
  <c r="X140" i="61"/>
  <c r="Y140" i="61"/>
  <c r="Z140" i="61"/>
  <c r="AA140" i="61"/>
  <c r="AB140" i="61"/>
  <c r="AC140" i="61"/>
  <c r="AF140" i="61"/>
  <c r="AH140" i="61"/>
  <c r="AR140" i="61"/>
  <c r="AT140" i="61"/>
  <c r="AU140" i="61"/>
  <c r="AW140" i="61"/>
  <c r="V141" i="61"/>
  <c r="W141" i="61"/>
  <c r="X141" i="61"/>
  <c r="Y141" i="61"/>
  <c r="Z141" i="61"/>
  <c r="AA141" i="61"/>
  <c r="AB141" i="61"/>
  <c r="AC141" i="61"/>
  <c r="AF141" i="61"/>
  <c r="AH141" i="61"/>
  <c r="AR141" i="61"/>
  <c r="AT141" i="61"/>
  <c r="AU141" i="61"/>
  <c r="AW141" i="61"/>
  <c r="V142" i="61"/>
  <c r="W142" i="61"/>
  <c r="X142" i="61"/>
  <c r="Y142" i="61"/>
  <c r="Z142" i="61"/>
  <c r="AA142" i="61"/>
  <c r="AB142" i="61"/>
  <c r="AC142" i="61"/>
  <c r="AF142" i="61"/>
  <c r="AH142" i="61"/>
  <c r="AR142" i="61"/>
  <c r="AT142" i="61"/>
  <c r="AU142" i="61"/>
  <c r="AW142" i="61"/>
  <c r="V143" i="61"/>
  <c r="W143" i="61"/>
  <c r="X143" i="61"/>
  <c r="Y143" i="61"/>
  <c r="Z143" i="61"/>
  <c r="AA143" i="61"/>
  <c r="AB143" i="61"/>
  <c r="AC143" i="61"/>
  <c r="AF143" i="61"/>
  <c r="AM143" i="61"/>
  <c r="AH143" i="61"/>
  <c r="AR143" i="61"/>
  <c r="AT143" i="61"/>
  <c r="AU143" i="61"/>
  <c r="AW143" i="61"/>
  <c r="V144" i="61"/>
  <c r="W144" i="61"/>
  <c r="X144" i="61"/>
  <c r="Y144" i="61"/>
  <c r="Z144" i="61"/>
  <c r="AA144" i="61"/>
  <c r="AB144" i="61"/>
  <c r="AC144" i="61"/>
  <c r="AF144" i="61"/>
  <c r="AH144" i="61"/>
  <c r="AR144" i="61"/>
  <c r="AT144" i="61"/>
  <c r="AU144" i="61"/>
  <c r="AW144" i="61"/>
  <c r="V145" i="61"/>
  <c r="W145" i="61"/>
  <c r="X145" i="61"/>
  <c r="Y145" i="61"/>
  <c r="Z145" i="61"/>
  <c r="AA145" i="61"/>
  <c r="AB145" i="61"/>
  <c r="AC145" i="61"/>
  <c r="AF145" i="61"/>
  <c r="AH145" i="61"/>
  <c r="AR145" i="61"/>
  <c r="AT145" i="61"/>
  <c r="AU145" i="61"/>
  <c r="AW145" i="61"/>
  <c r="V146" i="61"/>
  <c r="W146" i="61"/>
  <c r="X146" i="61"/>
  <c r="Y146" i="61"/>
  <c r="Z146" i="61"/>
  <c r="AA146" i="61"/>
  <c r="AB146" i="61"/>
  <c r="AC146" i="61"/>
  <c r="AF146" i="61"/>
  <c r="AH146" i="61"/>
  <c r="AR146" i="61"/>
  <c r="AT146" i="61"/>
  <c r="AU146" i="61"/>
  <c r="AW146" i="61"/>
  <c r="V147" i="61"/>
  <c r="W147" i="61"/>
  <c r="X147" i="61"/>
  <c r="Y147" i="61"/>
  <c r="Z147" i="61"/>
  <c r="AA147" i="61"/>
  <c r="AD147" i="61" s="1"/>
  <c r="AB147" i="61"/>
  <c r="AC147" i="61"/>
  <c r="AF147" i="61"/>
  <c r="AH147" i="61"/>
  <c r="AR147" i="61"/>
  <c r="AT147" i="61"/>
  <c r="AV147" i="61" s="1"/>
  <c r="AU147" i="61"/>
  <c r="AW147" i="61"/>
  <c r="V148" i="61"/>
  <c r="W148" i="61"/>
  <c r="X148" i="61"/>
  <c r="Y148" i="61"/>
  <c r="Z148" i="61"/>
  <c r="AA148" i="61"/>
  <c r="AB148" i="61"/>
  <c r="AC148" i="61"/>
  <c r="AF148" i="61"/>
  <c r="AH148" i="61"/>
  <c r="AR148" i="61"/>
  <c r="AT148" i="61"/>
  <c r="AU148" i="61"/>
  <c r="AW148" i="61"/>
  <c r="V149" i="61"/>
  <c r="W149" i="61"/>
  <c r="X149" i="61"/>
  <c r="Y149" i="61"/>
  <c r="Z149" i="61"/>
  <c r="AA149" i="61"/>
  <c r="AE149" i="61"/>
  <c r="AB149" i="61"/>
  <c r="AC149" i="61"/>
  <c r="AF149" i="61"/>
  <c r="AH149" i="61"/>
  <c r="AR149" i="61"/>
  <c r="AT149" i="61"/>
  <c r="AU149" i="61"/>
  <c r="AW149" i="61"/>
  <c r="V150" i="61"/>
  <c r="W150" i="61"/>
  <c r="X150" i="61"/>
  <c r="Y150" i="61"/>
  <c r="Z150" i="61"/>
  <c r="AA150" i="61"/>
  <c r="AB150" i="61"/>
  <c r="AC150" i="61"/>
  <c r="AF150" i="61"/>
  <c r="AH150" i="61"/>
  <c r="AR150" i="61"/>
  <c r="AT150" i="61"/>
  <c r="AU150" i="61"/>
  <c r="AW150" i="61"/>
  <c r="V151" i="61"/>
  <c r="W151" i="61"/>
  <c r="X151" i="61"/>
  <c r="Y151" i="61"/>
  <c r="Z151" i="61"/>
  <c r="AA151" i="61"/>
  <c r="AB151" i="61"/>
  <c r="AC151" i="61"/>
  <c r="AF151" i="61"/>
  <c r="AH151" i="61"/>
  <c r="AR151" i="61"/>
  <c r="AT151" i="61"/>
  <c r="AU151" i="61"/>
  <c r="AW151" i="61"/>
  <c r="V152" i="61"/>
  <c r="W152" i="61"/>
  <c r="X152" i="61"/>
  <c r="Y152" i="61"/>
  <c r="Z152" i="61"/>
  <c r="AA152" i="61"/>
  <c r="AB152" i="61"/>
  <c r="AC152" i="61"/>
  <c r="AF152" i="61"/>
  <c r="AH152" i="61"/>
  <c r="AR152" i="61"/>
  <c r="AT152" i="61"/>
  <c r="AU152" i="61"/>
  <c r="AW152" i="61"/>
  <c r="V153" i="61"/>
  <c r="W153" i="61"/>
  <c r="X153" i="61"/>
  <c r="Y153" i="61"/>
  <c r="Z153" i="61"/>
  <c r="AA153" i="61"/>
  <c r="AB153" i="61"/>
  <c r="AC153" i="61"/>
  <c r="AF153" i="61"/>
  <c r="AH153" i="61"/>
  <c r="AR153" i="61"/>
  <c r="AT153" i="61"/>
  <c r="AV153" i="61" s="1"/>
  <c r="AU153" i="61"/>
  <c r="AW153" i="61"/>
  <c r="V154" i="61"/>
  <c r="W154" i="61"/>
  <c r="X154" i="61"/>
  <c r="Y154" i="61"/>
  <c r="Z154" i="61"/>
  <c r="AA154" i="61"/>
  <c r="AB154" i="61"/>
  <c r="AC154" i="61"/>
  <c r="AF154" i="61"/>
  <c r="AH154" i="61"/>
  <c r="AR154" i="61"/>
  <c r="AT154" i="61"/>
  <c r="AU154" i="61"/>
  <c r="AW154" i="61"/>
  <c r="V155" i="61"/>
  <c r="W155" i="61"/>
  <c r="X155" i="61"/>
  <c r="Y155" i="61"/>
  <c r="Z155" i="61"/>
  <c r="AA155" i="61"/>
  <c r="AB155" i="61"/>
  <c r="AC155" i="61"/>
  <c r="AF155" i="61"/>
  <c r="AH155" i="61"/>
  <c r="AR155" i="61"/>
  <c r="AT155" i="61"/>
  <c r="AU155" i="61"/>
  <c r="AW155" i="61"/>
  <c r="V156" i="61"/>
  <c r="W156" i="61"/>
  <c r="X156" i="61"/>
  <c r="Y156" i="61"/>
  <c r="Z156" i="61"/>
  <c r="AA156" i="61"/>
  <c r="AE156" i="61" s="1"/>
  <c r="AQ156" i="61" s="1"/>
  <c r="AB156" i="61"/>
  <c r="AC156" i="61"/>
  <c r="AF156" i="61"/>
  <c r="AJ156" i="61" s="1"/>
  <c r="AH156" i="61"/>
  <c r="AR156" i="61"/>
  <c r="AT156" i="61"/>
  <c r="AU156" i="61"/>
  <c r="AW156" i="61"/>
  <c r="V157" i="61"/>
  <c r="W157" i="61"/>
  <c r="X157" i="61"/>
  <c r="Y157" i="61"/>
  <c r="Z157" i="61"/>
  <c r="AA157" i="61"/>
  <c r="AB157" i="61"/>
  <c r="AC157" i="61"/>
  <c r="AF157" i="61"/>
  <c r="AH157" i="61"/>
  <c r="AR157" i="61"/>
  <c r="AT157" i="61"/>
  <c r="AU157" i="61"/>
  <c r="AW157" i="61"/>
  <c r="V158" i="61"/>
  <c r="W158" i="61"/>
  <c r="X158" i="61"/>
  <c r="Y158" i="61"/>
  <c r="Z158" i="61"/>
  <c r="AA158" i="61"/>
  <c r="AB158" i="61"/>
  <c r="AC158" i="61"/>
  <c r="AF158" i="61"/>
  <c r="AH158" i="61"/>
  <c r="AR158" i="61"/>
  <c r="AT158" i="61"/>
  <c r="AV158" i="61" s="1"/>
  <c r="AU158" i="61"/>
  <c r="AW158" i="61"/>
  <c r="V159" i="61"/>
  <c r="W159" i="61"/>
  <c r="X159" i="61"/>
  <c r="Y159" i="61"/>
  <c r="Z159" i="61"/>
  <c r="AA159" i="61"/>
  <c r="AB159" i="61"/>
  <c r="AC159" i="61"/>
  <c r="AF159" i="61"/>
  <c r="AH159" i="61"/>
  <c r="AR159" i="61"/>
  <c r="AT159" i="61"/>
  <c r="AU159" i="61"/>
  <c r="AW159" i="61"/>
  <c r="V160" i="61"/>
  <c r="W160" i="61"/>
  <c r="X160" i="61"/>
  <c r="Y160" i="61"/>
  <c r="Z160" i="61"/>
  <c r="AA160" i="61"/>
  <c r="AB160" i="61"/>
  <c r="AC160" i="61"/>
  <c r="AF160" i="61"/>
  <c r="AH160" i="61"/>
  <c r="AR160" i="61"/>
  <c r="AT160" i="61"/>
  <c r="AU160" i="61"/>
  <c r="AW160" i="61"/>
  <c r="V161" i="61"/>
  <c r="W161" i="61"/>
  <c r="X161" i="61"/>
  <c r="Y161" i="61"/>
  <c r="Z161" i="61"/>
  <c r="AA161" i="61"/>
  <c r="AD161" i="61"/>
  <c r="AB161" i="61"/>
  <c r="AC161" i="61"/>
  <c r="AF161" i="61"/>
  <c r="AH161" i="61"/>
  <c r="AR161" i="61"/>
  <c r="AT161" i="61"/>
  <c r="AU161" i="61"/>
  <c r="AW161" i="61"/>
  <c r="V162" i="61"/>
  <c r="W162" i="61"/>
  <c r="X162" i="61"/>
  <c r="Y162" i="61"/>
  <c r="Z162" i="61"/>
  <c r="AA162" i="61"/>
  <c r="AE162" i="61" s="1"/>
  <c r="AB162" i="61"/>
  <c r="AC162" i="61"/>
  <c r="AF162" i="61"/>
  <c r="AH162" i="61"/>
  <c r="AR162" i="61"/>
  <c r="AT162" i="61"/>
  <c r="AU162" i="61"/>
  <c r="AW162" i="61"/>
  <c r="V163" i="61"/>
  <c r="W163" i="61"/>
  <c r="X163" i="61"/>
  <c r="Y163" i="61"/>
  <c r="Z163" i="61"/>
  <c r="AA163" i="61"/>
  <c r="AB163" i="61"/>
  <c r="AC163" i="61"/>
  <c r="AF163" i="61"/>
  <c r="AM163" i="61" s="1"/>
  <c r="AH163" i="61"/>
  <c r="AR163" i="61"/>
  <c r="AT163" i="61"/>
  <c r="AU163" i="61"/>
  <c r="AW163" i="61"/>
  <c r="V164" i="61"/>
  <c r="W164" i="61"/>
  <c r="X164" i="61"/>
  <c r="Y164" i="61"/>
  <c r="Z164" i="61"/>
  <c r="AA164" i="61"/>
  <c r="AD164" i="61"/>
  <c r="AB164" i="61"/>
  <c r="AC164" i="61"/>
  <c r="AF164" i="61"/>
  <c r="AJ164" i="61" s="1"/>
  <c r="AH164" i="61"/>
  <c r="AR164" i="61"/>
  <c r="AT164" i="61"/>
  <c r="AU164" i="61"/>
  <c r="AW164" i="61"/>
  <c r="V165" i="61"/>
  <c r="W165" i="61"/>
  <c r="X165" i="61"/>
  <c r="Y165" i="61"/>
  <c r="Z165" i="61"/>
  <c r="AA165" i="61"/>
  <c r="AB165" i="61"/>
  <c r="AC165" i="61"/>
  <c r="AF165" i="61"/>
  <c r="AH165" i="61"/>
  <c r="AR165" i="61"/>
  <c r="AT165" i="61"/>
  <c r="AU165" i="61"/>
  <c r="AW165" i="61"/>
  <c r="V166" i="61"/>
  <c r="W166" i="61"/>
  <c r="X166" i="61"/>
  <c r="Y166" i="61"/>
  <c r="Z166" i="61"/>
  <c r="AA166" i="61"/>
  <c r="AB166" i="61"/>
  <c r="AC166" i="61"/>
  <c r="AF166" i="61"/>
  <c r="AJ166" i="61" s="1"/>
  <c r="AH166" i="61"/>
  <c r="AR166" i="61"/>
  <c r="AT166" i="61"/>
  <c r="AV166" i="61" s="1"/>
  <c r="AU166" i="61"/>
  <c r="AW166" i="61"/>
  <c r="V167" i="61"/>
  <c r="W167" i="61"/>
  <c r="X167" i="61"/>
  <c r="Y167" i="61"/>
  <c r="Z167" i="61"/>
  <c r="AA167" i="61"/>
  <c r="AB167" i="61"/>
  <c r="AC167" i="61"/>
  <c r="AF167" i="61"/>
  <c r="AH167" i="61"/>
  <c r="AR167" i="61"/>
  <c r="AT167" i="61"/>
  <c r="AU167" i="61"/>
  <c r="AW167" i="61"/>
  <c r="V168" i="61"/>
  <c r="W168" i="61"/>
  <c r="X168" i="61"/>
  <c r="Y168" i="61"/>
  <c r="Z168" i="61"/>
  <c r="AA168" i="61"/>
  <c r="AB168" i="61"/>
  <c r="AC168" i="61"/>
  <c r="AF168" i="61"/>
  <c r="AH168" i="61"/>
  <c r="AR168" i="61"/>
  <c r="AT168" i="61"/>
  <c r="AU168" i="61"/>
  <c r="AV168" i="61" s="1"/>
  <c r="AW168" i="61"/>
  <c r="V169" i="61"/>
  <c r="W169" i="61"/>
  <c r="X169" i="61"/>
  <c r="Y169" i="61"/>
  <c r="Z169" i="61"/>
  <c r="AA169" i="61"/>
  <c r="AB169" i="61"/>
  <c r="AC169" i="61"/>
  <c r="AF169" i="61"/>
  <c r="AH169" i="61"/>
  <c r="AR169" i="61"/>
  <c r="AT169" i="61"/>
  <c r="AU169" i="61"/>
  <c r="AW169" i="61"/>
  <c r="V170" i="61"/>
  <c r="W170" i="61"/>
  <c r="X170" i="61"/>
  <c r="Y170" i="61"/>
  <c r="Z170" i="61"/>
  <c r="AA170" i="61"/>
  <c r="AE170" i="61" s="1"/>
  <c r="AB170" i="61"/>
  <c r="AC170" i="61"/>
  <c r="AF170" i="61"/>
  <c r="AM170" i="61" s="1"/>
  <c r="AH170" i="61"/>
  <c r="AR170" i="61"/>
  <c r="AT170" i="61"/>
  <c r="AU170" i="61"/>
  <c r="AW170" i="61"/>
  <c r="V171" i="61"/>
  <c r="W171" i="61"/>
  <c r="X171" i="61"/>
  <c r="Y171" i="61"/>
  <c r="AI171" i="61" s="1"/>
  <c r="AS171" i="61" s="1"/>
  <c r="Z171" i="61"/>
  <c r="AA171" i="61"/>
  <c r="AB171" i="61"/>
  <c r="AC171" i="61"/>
  <c r="AF171" i="61"/>
  <c r="AH171" i="61"/>
  <c r="AR171" i="61"/>
  <c r="AT171" i="61"/>
  <c r="AV171" i="61" s="1"/>
  <c r="AU171" i="61"/>
  <c r="AW171" i="61"/>
  <c r="V172" i="61"/>
  <c r="W172" i="61"/>
  <c r="X172" i="61"/>
  <c r="Y172" i="61"/>
  <c r="Z172" i="61"/>
  <c r="AA172" i="61"/>
  <c r="AB172" i="61"/>
  <c r="AC172" i="61"/>
  <c r="AF172" i="61"/>
  <c r="AJ172" i="61" s="1"/>
  <c r="AH172" i="61"/>
  <c r="AR172" i="61"/>
  <c r="AT172" i="61"/>
  <c r="AU172" i="61"/>
  <c r="AW172" i="61"/>
  <c r="V173" i="61"/>
  <c r="W173" i="61"/>
  <c r="X173" i="61"/>
  <c r="Y173" i="61"/>
  <c r="Z173" i="61"/>
  <c r="AA173" i="61"/>
  <c r="AD173" i="61" s="1"/>
  <c r="AB173" i="61"/>
  <c r="AC173" i="61"/>
  <c r="AF173" i="61"/>
  <c r="AJ173" i="61" s="1"/>
  <c r="AH173" i="61"/>
  <c r="AR173" i="61"/>
  <c r="AT173" i="61"/>
  <c r="AU173" i="61"/>
  <c r="AW173" i="61"/>
  <c r="V174" i="61"/>
  <c r="W174" i="61"/>
  <c r="X174" i="61"/>
  <c r="Y174" i="61"/>
  <c r="Z174" i="61"/>
  <c r="AA174" i="61"/>
  <c r="AE174" i="61"/>
  <c r="AB174" i="61"/>
  <c r="AC174" i="61"/>
  <c r="AF174" i="61"/>
  <c r="AH174" i="61"/>
  <c r="AR174" i="61"/>
  <c r="AT174" i="61"/>
  <c r="AU174" i="61"/>
  <c r="AW174" i="61"/>
  <c r="V175" i="61"/>
  <c r="W175" i="61"/>
  <c r="X175" i="61"/>
  <c r="Y175" i="61"/>
  <c r="AI175" i="61" s="1"/>
  <c r="AS175" i="61" s="1"/>
  <c r="Z175" i="61"/>
  <c r="AA175" i="61"/>
  <c r="AB175" i="61"/>
  <c r="AC175" i="61"/>
  <c r="AF175" i="61"/>
  <c r="AH175" i="61"/>
  <c r="AR175" i="61"/>
  <c r="AT175" i="61"/>
  <c r="AV175" i="61" s="1"/>
  <c r="AU175" i="61"/>
  <c r="AW175" i="61"/>
  <c r="V176" i="61"/>
  <c r="W176" i="61"/>
  <c r="X176" i="61"/>
  <c r="Y176" i="61"/>
  <c r="Z176" i="61"/>
  <c r="AA176" i="61"/>
  <c r="AB176" i="61"/>
  <c r="AC176" i="61"/>
  <c r="AF176" i="61"/>
  <c r="AH176" i="61"/>
  <c r="AR176" i="61"/>
  <c r="AT176" i="61"/>
  <c r="AU176" i="61"/>
  <c r="AW176" i="61"/>
  <c r="V177" i="61"/>
  <c r="W177" i="61"/>
  <c r="X177" i="61"/>
  <c r="Y177" i="61"/>
  <c r="Z177" i="61"/>
  <c r="AA177" i="61"/>
  <c r="AB177" i="61"/>
  <c r="AC177" i="61"/>
  <c r="AF177" i="61"/>
  <c r="AH177" i="61"/>
  <c r="AR177" i="61"/>
  <c r="AT177" i="61"/>
  <c r="AU177" i="61"/>
  <c r="AW177" i="61"/>
  <c r="V178" i="61"/>
  <c r="W178" i="61"/>
  <c r="X178" i="61"/>
  <c r="Y178" i="61"/>
  <c r="Z178" i="61"/>
  <c r="AA178" i="61"/>
  <c r="AD178" i="61" s="1"/>
  <c r="AB178" i="61"/>
  <c r="AC178" i="61"/>
  <c r="AF178" i="61"/>
  <c r="AH178" i="61"/>
  <c r="AR178" i="61"/>
  <c r="AT178" i="61"/>
  <c r="AU178" i="61"/>
  <c r="AW178" i="61"/>
  <c r="V179" i="61"/>
  <c r="W179" i="61"/>
  <c r="X179" i="61"/>
  <c r="Y179" i="61"/>
  <c r="AI179" i="61" s="1"/>
  <c r="AS179" i="61" s="1"/>
  <c r="Z179" i="61"/>
  <c r="AA179" i="61"/>
  <c r="AB179" i="61"/>
  <c r="AC179" i="61"/>
  <c r="AF179" i="61"/>
  <c r="AH179" i="61"/>
  <c r="AR179" i="61"/>
  <c r="AT179" i="61"/>
  <c r="AV179" i="61" s="1"/>
  <c r="AU179" i="61"/>
  <c r="AW179" i="61"/>
  <c r="V180" i="61"/>
  <c r="W180" i="61"/>
  <c r="X180" i="61"/>
  <c r="Y180" i="61"/>
  <c r="Z180" i="61"/>
  <c r="AA180" i="61"/>
  <c r="AB180" i="61"/>
  <c r="AC180" i="61"/>
  <c r="AF180" i="61"/>
  <c r="AJ180" i="61"/>
  <c r="AH180" i="61"/>
  <c r="AR180" i="61"/>
  <c r="AT180" i="61"/>
  <c r="AU180" i="61"/>
  <c r="AW180" i="61"/>
  <c r="V181" i="61"/>
  <c r="W181" i="61"/>
  <c r="X181" i="61"/>
  <c r="Y181" i="61"/>
  <c r="Z181" i="61"/>
  <c r="AA181" i="61"/>
  <c r="AB181" i="61"/>
  <c r="AC181" i="61"/>
  <c r="AF181" i="61"/>
  <c r="AJ181" i="61" s="1"/>
  <c r="AH181" i="61"/>
  <c r="AR181" i="61"/>
  <c r="AT181" i="61"/>
  <c r="AU181" i="61"/>
  <c r="AW181" i="61"/>
  <c r="V182" i="61"/>
  <c r="W182" i="61"/>
  <c r="X182" i="61"/>
  <c r="Y182" i="61"/>
  <c r="Z182" i="61"/>
  <c r="AA182" i="61"/>
  <c r="AD182" i="61" s="1"/>
  <c r="AB182" i="61"/>
  <c r="AC182" i="61"/>
  <c r="AF182" i="61"/>
  <c r="AH182" i="61"/>
  <c r="AR182" i="61"/>
  <c r="AT182" i="61"/>
  <c r="AU182" i="61"/>
  <c r="AW182" i="61"/>
  <c r="V183" i="61"/>
  <c r="W183" i="61"/>
  <c r="X183" i="61"/>
  <c r="Y183" i="61"/>
  <c r="Z183" i="61"/>
  <c r="AA183" i="61"/>
  <c r="AB183" i="61"/>
  <c r="AC183" i="61"/>
  <c r="AF183" i="61"/>
  <c r="AM183" i="61" s="1"/>
  <c r="AH183" i="61"/>
  <c r="AR183" i="61"/>
  <c r="AT183" i="61"/>
  <c r="AU183" i="61"/>
  <c r="AW183" i="61"/>
  <c r="V184" i="61"/>
  <c r="W184" i="61"/>
  <c r="X184" i="61"/>
  <c r="Y184" i="61"/>
  <c r="Z184" i="61"/>
  <c r="AA184" i="61"/>
  <c r="AB184" i="61"/>
  <c r="AC184" i="61"/>
  <c r="AF184" i="61"/>
  <c r="AH184" i="61"/>
  <c r="AR184" i="61"/>
  <c r="AT184" i="61"/>
  <c r="AU184" i="61"/>
  <c r="AW184" i="61"/>
  <c r="V185" i="61"/>
  <c r="W185" i="61"/>
  <c r="X185" i="61"/>
  <c r="Y185" i="61"/>
  <c r="Z185" i="61"/>
  <c r="AA185" i="61"/>
  <c r="AB185" i="61"/>
  <c r="AC185" i="61"/>
  <c r="AF185" i="61"/>
  <c r="AH185" i="61"/>
  <c r="AR185" i="61"/>
  <c r="AT185" i="61"/>
  <c r="AU185" i="61"/>
  <c r="AW185" i="61"/>
  <c r="V186" i="61"/>
  <c r="W186" i="61"/>
  <c r="X186" i="61"/>
  <c r="Y186" i="61"/>
  <c r="Z186" i="61"/>
  <c r="AA186" i="61"/>
  <c r="AB186" i="61"/>
  <c r="AC186" i="61"/>
  <c r="AF186" i="61"/>
  <c r="AH186" i="61"/>
  <c r="AR186" i="61"/>
  <c r="AT186" i="61"/>
  <c r="AU186" i="61"/>
  <c r="AW186" i="61"/>
  <c r="V187" i="61"/>
  <c r="W187" i="61"/>
  <c r="X187" i="61"/>
  <c r="Y187" i="61"/>
  <c r="Z187" i="61"/>
  <c r="AA187" i="61"/>
  <c r="AB187" i="61"/>
  <c r="AC187" i="61"/>
  <c r="AF187" i="61"/>
  <c r="AH187" i="61"/>
  <c r="AR187" i="61"/>
  <c r="AT187" i="61"/>
  <c r="AU187" i="61"/>
  <c r="AW187" i="61"/>
  <c r="V188" i="61"/>
  <c r="W188" i="61"/>
  <c r="X188" i="61"/>
  <c r="Y188" i="61"/>
  <c r="Z188" i="61"/>
  <c r="AA188" i="61"/>
  <c r="AB188" i="61"/>
  <c r="AC188" i="61"/>
  <c r="AF188" i="61"/>
  <c r="AH188" i="61"/>
  <c r="AR188" i="61"/>
  <c r="AT188" i="61"/>
  <c r="AU188" i="61"/>
  <c r="AW188" i="61"/>
  <c r="V189" i="61"/>
  <c r="W189" i="61"/>
  <c r="X189" i="61"/>
  <c r="Y189" i="61"/>
  <c r="Z189" i="61"/>
  <c r="AA189" i="61"/>
  <c r="AB189" i="61"/>
  <c r="AC189" i="61"/>
  <c r="AF189" i="61"/>
  <c r="AM189" i="61" s="1"/>
  <c r="AH189" i="61"/>
  <c r="AR189" i="61"/>
  <c r="AT189" i="61"/>
  <c r="AU189" i="61"/>
  <c r="AW189" i="61"/>
  <c r="V190" i="61"/>
  <c r="W190" i="61"/>
  <c r="X190" i="61"/>
  <c r="Y190" i="61"/>
  <c r="Z190" i="61"/>
  <c r="AA190" i="61"/>
  <c r="AE190" i="61" s="1"/>
  <c r="AB190" i="61"/>
  <c r="AC190" i="61"/>
  <c r="AF190" i="61"/>
  <c r="AH190" i="61"/>
  <c r="AR190" i="61"/>
  <c r="AT190" i="61"/>
  <c r="AU190" i="61"/>
  <c r="AW190" i="61"/>
  <c r="V191" i="61"/>
  <c r="W191" i="61"/>
  <c r="X191" i="61"/>
  <c r="Y191" i="61"/>
  <c r="Z191" i="61"/>
  <c r="AA191" i="61"/>
  <c r="AD191" i="61"/>
  <c r="AB191" i="61"/>
  <c r="AC191" i="61"/>
  <c r="AF191" i="61"/>
  <c r="AH191" i="61"/>
  <c r="AR191" i="61"/>
  <c r="AT191" i="61"/>
  <c r="AU191" i="61"/>
  <c r="AW191" i="61"/>
  <c r="V192" i="61"/>
  <c r="W192" i="61"/>
  <c r="X192" i="61"/>
  <c r="Y192" i="61"/>
  <c r="Z192" i="61"/>
  <c r="AA192" i="61"/>
  <c r="AB192" i="61"/>
  <c r="AC192" i="61"/>
  <c r="AF192" i="61"/>
  <c r="AH192" i="61"/>
  <c r="AR192" i="61"/>
  <c r="AT192" i="61"/>
  <c r="AU192" i="61"/>
  <c r="AW192" i="61"/>
  <c r="V193" i="61"/>
  <c r="W193" i="61"/>
  <c r="X193" i="61"/>
  <c r="Y193" i="61"/>
  <c r="Z193" i="61"/>
  <c r="AA193" i="61"/>
  <c r="AB193" i="61"/>
  <c r="AC193" i="61"/>
  <c r="AF193" i="61"/>
  <c r="AH193" i="61"/>
  <c r="AR193" i="61"/>
  <c r="AT193" i="61"/>
  <c r="AU193" i="61"/>
  <c r="AW193" i="61"/>
  <c r="V194" i="61"/>
  <c r="W194" i="61"/>
  <c r="X194" i="61"/>
  <c r="Y194" i="61"/>
  <c r="Z194" i="61"/>
  <c r="AA194" i="61"/>
  <c r="AB194" i="61"/>
  <c r="AC194" i="61"/>
  <c r="AF194" i="61"/>
  <c r="AH194" i="61"/>
  <c r="AR194" i="61"/>
  <c r="AT194" i="61"/>
  <c r="AV194" i="61" s="1"/>
  <c r="AU194" i="61"/>
  <c r="AW194" i="61"/>
  <c r="V195" i="61"/>
  <c r="W195" i="61"/>
  <c r="X195" i="61"/>
  <c r="Y195" i="61"/>
  <c r="Z195" i="61"/>
  <c r="AA195" i="61"/>
  <c r="AD195" i="61" s="1"/>
  <c r="AB195" i="61"/>
  <c r="AC195" i="61"/>
  <c r="AF195" i="61"/>
  <c r="AH195" i="61"/>
  <c r="AR195" i="61"/>
  <c r="AT195" i="61"/>
  <c r="AU195" i="61"/>
  <c r="AW195" i="61"/>
  <c r="V196" i="61"/>
  <c r="W196" i="61"/>
  <c r="X196" i="61"/>
  <c r="Y196" i="61"/>
  <c r="Z196" i="61"/>
  <c r="AA196" i="61"/>
  <c r="AB196" i="61"/>
  <c r="AC196" i="61"/>
  <c r="AF196" i="61"/>
  <c r="AH196" i="61"/>
  <c r="AR196" i="61"/>
  <c r="AT196" i="61"/>
  <c r="AU196" i="61"/>
  <c r="AW196" i="61"/>
  <c r="V197" i="61"/>
  <c r="W197" i="61"/>
  <c r="X197" i="61"/>
  <c r="Y197" i="61"/>
  <c r="Z197" i="61"/>
  <c r="AA197" i="61"/>
  <c r="AB197" i="61"/>
  <c r="AC197" i="61"/>
  <c r="AF197" i="61"/>
  <c r="AH197" i="61"/>
  <c r="AR197" i="61"/>
  <c r="AT197" i="61"/>
  <c r="AU197" i="61"/>
  <c r="AW197" i="61"/>
  <c r="V198" i="61"/>
  <c r="W198" i="61"/>
  <c r="X198" i="61"/>
  <c r="Y198" i="61"/>
  <c r="Z198" i="61"/>
  <c r="AA198" i="61"/>
  <c r="AB198" i="61"/>
  <c r="AC198" i="61"/>
  <c r="AF198" i="61"/>
  <c r="AJ198" i="61" s="1"/>
  <c r="AH198" i="61"/>
  <c r="AR198" i="61"/>
  <c r="AT198" i="61"/>
  <c r="AU198" i="61"/>
  <c r="AW198" i="61"/>
  <c r="V199" i="61"/>
  <c r="W199" i="61"/>
  <c r="X199" i="61"/>
  <c r="Y199" i="61"/>
  <c r="Z199" i="61"/>
  <c r="AA199" i="61"/>
  <c r="AE199" i="61" s="1"/>
  <c r="AB199" i="61"/>
  <c r="AC199" i="61"/>
  <c r="AF199" i="61"/>
  <c r="AH199" i="61"/>
  <c r="AR199" i="61"/>
  <c r="AT199" i="61"/>
  <c r="AU199" i="61"/>
  <c r="AW199" i="61"/>
  <c r="V200" i="61"/>
  <c r="W200" i="61"/>
  <c r="X200" i="61"/>
  <c r="Y200" i="61"/>
  <c r="Z200" i="61"/>
  <c r="AA200" i="61"/>
  <c r="AB200" i="61"/>
  <c r="AC200" i="61"/>
  <c r="AF200" i="61"/>
  <c r="AH200" i="61"/>
  <c r="AR200" i="61"/>
  <c r="AT200" i="61"/>
  <c r="AU200" i="61"/>
  <c r="AW200" i="61"/>
  <c r="V201" i="61"/>
  <c r="W201" i="61"/>
  <c r="X201" i="61"/>
  <c r="Y201" i="61"/>
  <c r="Z201" i="61"/>
  <c r="AA201" i="61"/>
  <c r="AB201" i="61"/>
  <c r="AC201" i="61"/>
  <c r="AF201" i="61"/>
  <c r="AH201" i="61"/>
  <c r="AR201" i="61"/>
  <c r="AT201" i="61"/>
  <c r="AU201" i="61"/>
  <c r="AW201" i="61"/>
  <c r="V202" i="61"/>
  <c r="W202" i="61"/>
  <c r="X202" i="61"/>
  <c r="Y202" i="61"/>
  <c r="Z202" i="61"/>
  <c r="AA202" i="61"/>
  <c r="AB202" i="61"/>
  <c r="AC202" i="61"/>
  <c r="AF202" i="61"/>
  <c r="AM202" i="61" s="1"/>
  <c r="AH202" i="61"/>
  <c r="AR202" i="61"/>
  <c r="AT202" i="61"/>
  <c r="AU202" i="61"/>
  <c r="AW202" i="61"/>
  <c r="V203" i="61"/>
  <c r="W203" i="61"/>
  <c r="X203" i="61"/>
  <c r="Y203" i="61"/>
  <c r="Z203" i="61"/>
  <c r="AA203" i="61"/>
  <c r="AB203" i="61"/>
  <c r="AC203" i="61"/>
  <c r="AF203" i="61"/>
  <c r="AH203" i="61"/>
  <c r="AR203" i="61"/>
  <c r="AT203" i="61"/>
  <c r="AU203" i="61"/>
  <c r="AW203" i="61"/>
  <c r="V204" i="61"/>
  <c r="W204" i="61"/>
  <c r="X204" i="61"/>
  <c r="Y204" i="61"/>
  <c r="Z204" i="61"/>
  <c r="AA204" i="61"/>
  <c r="AB204" i="61"/>
  <c r="AC204" i="61"/>
  <c r="AF204" i="61"/>
  <c r="AJ204" i="61" s="1"/>
  <c r="AH204" i="61"/>
  <c r="AR204" i="61"/>
  <c r="AT204" i="61"/>
  <c r="AU204" i="61"/>
  <c r="AW204" i="61"/>
  <c r="V205" i="61"/>
  <c r="W205" i="61"/>
  <c r="X205" i="61"/>
  <c r="Y205" i="61"/>
  <c r="Z205" i="61"/>
  <c r="AA205" i="61"/>
  <c r="AB205" i="61"/>
  <c r="AC205" i="61"/>
  <c r="AF205" i="61"/>
  <c r="AH205" i="61"/>
  <c r="AR205" i="61"/>
  <c r="AT205" i="61"/>
  <c r="AU205" i="61"/>
  <c r="AW205" i="61"/>
  <c r="V206" i="61"/>
  <c r="W206" i="61"/>
  <c r="X206" i="61"/>
  <c r="Y206" i="61"/>
  <c r="Z206" i="61"/>
  <c r="AA206" i="61"/>
  <c r="AB206" i="61"/>
  <c r="AC206" i="61"/>
  <c r="AF206" i="61"/>
  <c r="AM206" i="61" s="1"/>
  <c r="AH206" i="61"/>
  <c r="AR206" i="61"/>
  <c r="AT206" i="61"/>
  <c r="AU206" i="61"/>
  <c r="AW206" i="61"/>
  <c r="V207" i="61"/>
  <c r="W207" i="61"/>
  <c r="X207" i="61"/>
  <c r="Y207" i="61"/>
  <c r="Z207" i="61"/>
  <c r="AA207" i="61"/>
  <c r="AB207" i="61"/>
  <c r="AC207" i="61"/>
  <c r="AF207" i="61"/>
  <c r="AH207" i="61"/>
  <c r="AR207" i="61"/>
  <c r="AT207" i="61"/>
  <c r="AU207" i="61"/>
  <c r="AW207" i="61"/>
  <c r="V208" i="61"/>
  <c r="W208" i="61"/>
  <c r="X208" i="61"/>
  <c r="Y208" i="61"/>
  <c r="Z208" i="61"/>
  <c r="AA208" i="61"/>
  <c r="AE208" i="61" s="1"/>
  <c r="AB208" i="61"/>
  <c r="AC208" i="61"/>
  <c r="AF208" i="61"/>
  <c r="AH208" i="61"/>
  <c r="AR208" i="61"/>
  <c r="AT208" i="61"/>
  <c r="AU208" i="61"/>
  <c r="AW208" i="61"/>
  <c r="V209" i="61"/>
  <c r="W209" i="61"/>
  <c r="X209" i="61"/>
  <c r="Y209" i="61"/>
  <c r="Z209" i="61"/>
  <c r="AA209" i="61"/>
  <c r="AB209" i="61"/>
  <c r="AC209" i="61"/>
  <c r="AF209" i="61"/>
  <c r="AM209" i="61" s="1"/>
  <c r="AH209" i="61"/>
  <c r="AR209" i="61"/>
  <c r="AT209" i="61"/>
  <c r="AU209" i="61"/>
  <c r="AW209" i="61"/>
  <c r="V210" i="61"/>
  <c r="W210" i="61"/>
  <c r="X210" i="61"/>
  <c r="Y210" i="61"/>
  <c r="Z210" i="61"/>
  <c r="AA210" i="61"/>
  <c r="AB210" i="61"/>
  <c r="AC210" i="61"/>
  <c r="AF210" i="61"/>
  <c r="AH210" i="61"/>
  <c r="AR210" i="61"/>
  <c r="AT210" i="61"/>
  <c r="AU210" i="61"/>
  <c r="AW210" i="61"/>
  <c r="V211" i="61"/>
  <c r="W211" i="61"/>
  <c r="X211" i="61"/>
  <c r="Y211" i="61"/>
  <c r="Z211" i="61"/>
  <c r="AA211" i="61"/>
  <c r="AE211" i="61" s="1"/>
  <c r="AB211" i="61"/>
  <c r="AC211" i="61"/>
  <c r="AF211" i="61"/>
  <c r="AH211" i="61"/>
  <c r="AR211" i="61"/>
  <c r="AT211" i="61"/>
  <c r="AU211" i="61"/>
  <c r="AW211" i="61"/>
  <c r="V212" i="61"/>
  <c r="W212" i="61"/>
  <c r="X212" i="61"/>
  <c r="Y212" i="61"/>
  <c r="Z212" i="61"/>
  <c r="AA212" i="61"/>
  <c r="AB212" i="61"/>
  <c r="AC212" i="61"/>
  <c r="AF212" i="61"/>
  <c r="AH212" i="61"/>
  <c r="AR212" i="61"/>
  <c r="AT212" i="61"/>
  <c r="AU212" i="61"/>
  <c r="AV212" i="61" s="1"/>
  <c r="AW212" i="61"/>
  <c r="V213" i="61"/>
  <c r="W213" i="61"/>
  <c r="X213" i="61"/>
  <c r="Y213" i="61"/>
  <c r="Z213" i="61"/>
  <c r="AA213" i="61"/>
  <c r="AB213" i="61"/>
  <c r="AC213" i="61"/>
  <c r="AF213" i="61"/>
  <c r="AH213" i="61"/>
  <c r="AR213" i="61"/>
  <c r="AT213" i="61"/>
  <c r="AU213" i="61"/>
  <c r="AW213" i="61"/>
  <c r="V214" i="61"/>
  <c r="W214" i="61"/>
  <c r="X214" i="61"/>
  <c r="Y214" i="61"/>
  <c r="Z214" i="61"/>
  <c r="AA214" i="61"/>
  <c r="AB214" i="61"/>
  <c r="AC214" i="61"/>
  <c r="AF214" i="61"/>
  <c r="AH214" i="61"/>
  <c r="AR214" i="61"/>
  <c r="AT214" i="61"/>
  <c r="AU214" i="61"/>
  <c r="AW214" i="61"/>
  <c r="V215" i="61"/>
  <c r="W215" i="61"/>
  <c r="X215" i="61"/>
  <c r="Y215" i="61"/>
  <c r="Z215" i="61"/>
  <c r="AA215" i="61"/>
  <c r="AD215" i="61" s="1"/>
  <c r="AB215" i="61"/>
  <c r="AC215" i="61"/>
  <c r="AF215" i="61"/>
  <c r="AJ215" i="61" s="1"/>
  <c r="AH215" i="61"/>
  <c r="AR215" i="61"/>
  <c r="AT215" i="61"/>
  <c r="AU215" i="61"/>
  <c r="AW215" i="61"/>
  <c r="V216" i="61"/>
  <c r="W216" i="61"/>
  <c r="X216" i="61"/>
  <c r="Y216" i="61"/>
  <c r="Z216" i="61"/>
  <c r="AA216" i="61"/>
  <c r="AB216" i="61"/>
  <c r="AC216" i="61"/>
  <c r="AF216" i="61"/>
  <c r="AH216" i="61"/>
  <c r="AR216" i="61"/>
  <c r="AT216" i="61"/>
  <c r="AU216" i="61"/>
  <c r="AV216" i="61"/>
  <c r="AW216" i="61"/>
  <c r="V217" i="61"/>
  <c r="W217" i="61"/>
  <c r="X217" i="61"/>
  <c r="Y217" i="61"/>
  <c r="Z217" i="61"/>
  <c r="AA217" i="61"/>
  <c r="AB217" i="61"/>
  <c r="AC217" i="61"/>
  <c r="AF217" i="61"/>
  <c r="AJ217" i="61" s="1"/>
  <c r="AH217" i="61"/>
  <c r="AR217" i="61"/>
  <c r="AT217" i="61"/>
  <c r="AU217" i="61"/>
  <c r="AW217" i="61"/>
  <c r="V218" i="61"/>
  <c r="W218" i="61"/>
  <c r="X218" i="61"/>
  <c r="Y218" i="61"/>
  <c r="Z218" i="61"/>
  <c r="AA218" i="61"/>
  <c r="AB218" i="61"/>
  <c r="AC218" i="61"/>
  <c r="AF218" i="61"/>
  <c r="AM218" i="61" s="1"/>
  <c r="AH218" i="61"/>
  <c r="AR218" i="61"/>
  <c r="AT218" i="61"/>
  <c r="AU218" i="61"/>
  <c r="AW218" i="61"/>
  <c r="V219" i="61"/>
  <c r="W219" i="61"/>
  <c r="X219" i="61"/>
  <c r="Y219" i="61"/>
  <c r="Z219" i="61"/>
  <c r="AA219" i="61"/>
  <c r="AE219" i="61" s="1"/>
  <c r="AB219" i="61"/>
  <c r="AC219" i="61"/>
  <c r="AF219" i="61"/>
  <c r="AM219" i="61" s="1"/>
  <c r="AH219" i="61"/>
  <c r="AR219" i="61"/>
  <c r="AT219" i="61"/>
  <c r="AU219" i="61"/>
  <c r="AW219" i="61"/>
  <c r="V220" i="61"/>
  <c r="W220" i="61"/>
  <c r="X220" i="61"/>
  <c r="Y220" i="61"/>
  <c r="Z220" i="61"/>
  <c r="AA220" i="61"/>
  <c r="AB220" i="61"/>
  <c r="AC220" i="61"/>
  <c r="AF220" i="61"/>
  <c r="AH220" i="61"/>
  <c r="AR220" i="61"/>
  <c r="AT220" i="61"/>
  <c r="AU220" i="61"/>
  <c r="AW220" i="61"/>
  <c r="V221" i="61"/>
  <c r="W221" i="61"/>
  <c r="X221" i="61"/>
  <c r="Y221" i="61"/>
  <c r="Z221" i="61"/>
  <c r="AA221" i="61"/>
  <c r="AB221" i="61"/>
  <c r="AC221" i="61"/>
  <c r="AF221" i="61"/>
  <c r="AH221" i="61"/>
  <c r="AR221" i="61"/>
  <c r="AT221" i="61"/>
  <c r="AU221" i="61"/>
  <c r="AW221" i="61"/>
  <c r="V222" i="61"/>
  <c r="W222" i="61"/>
  <c r="X222" i="61"/>
  <c r="Y222" i="61"/>
  <c r="Z222" i="61"/>
  <c r="AA222" i="61"/>
  <c r="AD222" i="61" s="1"/>
  <c r="AB222" i="61"/>
  <c r="AC222" i="61"/>
  <c r="AF222" i="61"/>
  <c r="AH222" i="61"/>
  <c r="AR222" i="61"/>
  <c r="AT222" i="61"/>
  <c r="AU222" i="61"/>
  <c r="AW222" i="61"/>
  <c r="V223" i="61"/>
  <c r="W223" i="61"/>
  <c r="X223" i="61"/>
  <c r="Y223" i="61"/>
  <c r="Z223" i="61"/>
  <c r="AA223" i="61"/>
  <c r="AB223" i="61"/>
  <c r="AC223" i="61"/>
  <c r="AF223" i="61"/>
  <c r="AH223" i="61"/>
  <c r="AR223" i="61"/>
  <c r="AT223" i="61"/>
  <c r="AU223" i="61"/>
  <c r="AW223" i="61"/>
  <c r="V224" i="61"/>
  <c r="W224" i="61"/>
  <c r="X224" i="61"/>
  <c r="Y224" i="61"/>
  <c r="Z224" i="61"/>
  <c r="AA224" i="61"/>
  <c r="AD224" i="61" s="1"/>
  <c r="AE224" i="61"/>
  <c r="AB224" i="61"/>
  <c r="AC224" i="61"/>
  <c r="AF224" i="61"/>
  <c r="AH224" i="61"/>
  <c r="AR224" i="61"/>
  <c r="AT224" i="61"/>
  <c r="AU224" i="61"/>
  <c r="AV224" i="61"/>
  <c r="AW224" i="61"/>
  <c r="V225" i="61"/>
  <c r="W225" i="61"/>
  <c r="X225" i="61"/>
  <c r="Y225" i="61"/>
  <c r="Z225" i="61"/>
  <c r="AA225" i="61"/>
  <c r="AE225" i="61"/>
  <c r="AI225" i="61" s="1"/>
  <c r="AB225" i="61"/>
  <c r="AC225" i="61"/>
  <c r="AF225" i="61"/>
  <c r="AJ225" i="61" s="1"/>
  <c r="AH225" i="61"/>
  <c r="AR225" i="61"/>
  <c r="AT225" i="61"/>
  <c r="AU225" i="61"/>
  <c r="AW225" i="61"/>
  <c r="V226" i="61"/>
  <c r="W226" i="61"/>
  <c r="X226" i="61"/>
  <c r="Y226" i="61"/>
  <c r="Z226" i="61"/>
  <c r="AA226" i="61"/>
  <c r="AD226" i="61" s="1"/>
  <c r="AB226" i="61"/>
  <c r="AC226" i="61"/>
  <c r="AF226" i="61"/>
  <c r="AJ226" i="61" s="1"/>
  <c r="AH226" i="61"/>
  <c r="AR226" i="61"/>
  <c r="AT226" i="61"/>
  <c r="AU226" i="61"/>
  <c r="AW226" i="61"/>
  <c r="V227" i="61"/>
  <c r="W227" i="61"/>
  <c r="X227" i="61"/>
  <c r="Y227" i="61"/>
  <c r="Z227" i="61"/>
  <c r="AA227" i="61"/>
  <c r="AB227" i="61"/>
  <c r="AC227" i="61"/>
  <c r="AF227" i="61"/>
  <c r="AH227" i="61"/>
  <c r="AR227" i="61"/>
  <c r="AT227" i="61"/>
  <c r="AU227" i="61"/>
  <c r="AW227" i="61"/>
  <c r="V228" i="61"/>
  <c r="W228" i="61"/>
  <c r="X228" i="61"/>
  <c r="Y228" i="61"/>
  <c r="Z228" i="61"/>
  <c r="AA228" i="61"/>
  <c r="AB228" i="61"/>
  <c r="AC228" i="61"/>
  <c r="AF228" i="61"/>
  <c r="AH228" i="61"/>
  <c r="AR228" i="61"/>
  <c r="AT228" i="61"/>
  <c r="AV228" i="61" s="1"/>
  <c r="AU228" i="61"/>
  <c r="AW228" i="61"/>
  <c r="V229" i="61"/>
  <c r="W229" i="61"/>
  <c r="X229" i="61"/>
  <c r="Y229" i="61"/>
  <c r="Z229" i="61"/>
  <c r="AA229" i="61"/>
  <c r="AD229" i="61" s="1"/>
  <c r="AB229" i="61"/>
  <c r="AC229" i="61"/>
  <c r="AF229" i="61"/>
  <c r="AH229" i="61"/>
  <c r="AR229" i="61"/>
  <c r="AT229" i="61"/>
  <c r="AU229" i="61"/>
  <c r="AW229" i="61"/>
  <c r="V230" i="61"/>
  <c r="W230" i="61"/>
  <c r="X230" i="61"/>
  <c r="Y230" i="61"/>
  <c r="Z230" i="61"/>
  <c r="AA230" i="61"/>
  <c r="AE230" i="61"/>
  <c r="AO230" i="61" s="1"/>
  <c r="AB230" i="61"/>
  <c r="AC230" i="61"/>
  <c r="AF230" i="61"/>
  <c r="AH230" i="61"/>
  <c r="AR230" i="61"/>
  <c r="AT230" i="61"/>
  <c r="AV230" i="61" s="1"/>
  <c r="AU230" i="61"/>
  <c r="AW230" i="61"/>
  <c r="V231" i="61"/>
  <c r="W231" i="61"/>
  <c r="X231" i="61"/>
  <c r="Y231" i="61"/>
  <c r="Z231" i="61"/>
  <c r="AA231" i="61"/>
  <c r="AB231" i="61"/>
  <c r="AC231" i="61"/>
  <c r="AF231" i="61"/>
  <c r="AJ231" i="61" s="1"/>
  <c r="AH231" i="61"/>
  <c r="AR231" i="61"/>
  <c r="AT231" i="61"/>
  <c r="AU231" i="61"/>
  <c r="AW231" i="61"/>
  <c r="V232" i="61"/>
  <c r="W232" i="61"/>
  <c r="X232" i="61"/>
  <c r="Y232" i="61"/>
  <c r="Z232" i="61"/>
  <c r="AA232" i="61"/>
  <c r="AB232" i="61"/>
  <c r="AC232" i="61"/>
  <c r="AF232" i="61"/>
  <c r="AH232" i="61"/>
  <c r="AR232" i="61"/>
  <c r="AT232" i="61"/>
  <c r="AU232" i="61"/>
  <c r="AW232" i="61"/>
  <c r="V233" i="61"/>
  <c r="W233" i="61"/>
  <c r="X233" i="61"/>
  <c r="Y233" i="61"/>
  <c r="Z233" i="61"/>
  <c r="AA233" i="61"/>
  <c r="AB233" i="61"/>
  <c r="AC233" i="61"/>
  <c r="AF233" i="61"/>
  <c r="AH233" i="61"/>
  <c r="AR233" i="61"/>
  <c r="AT233" i="61"/>
  <c r="AU233" i="61"/>
  <c r="AW233" i="61"/>
  <c r="V234" i="61"/>
  <c r="W234" i="61"/>
  <c r="X234" i="61"/>
  <c r="Y234" i="61"/>
  <c r="Z234" i="61"/>
  <c r="AA234" i="61"/>
  <c r="AB234" i="61"/>
  <c r="AC234" i="61"/>
  <c r="AF234" i="61"/>
  <c r="AH234" i="61"/>
  <c r="AR234" i="61"/>
  <c r="AT234" i="61"/>
  <c r="AU234" i="61"/>
  <c r="AW234" i="61"/>
  <c r="V235" i="61"/>
  <c r="W235" i="61"/>
  <c r="X235" i="61"/>
  <c r="Y235" i="61"/>
  <c r="Z235" i="61"/>
  <c r="AA235" i="61"/>
  <c r="AD235" i="61"/>
  <c r="AB235" i="61"/>
  <c r="AC235" i="61"/>
  <c r="AF235" i="61"/>
  <c r="AH235" i="61"/>
  <c r="AR235" i="61"/>
  <c r="AT235" i="61"/>
  <c r="AU235" i="61"/>
  <c r="AW235" i="61"/>
  <c r="V236" i="61"/>
  <c r="W236" i="61"/>
  <c r="X236" i="61"/>
  <c r="Y236" i="61"/>
  <c r="Z236" i="61"/>
  <c r="AA236" i="61"/>
  <c r="AB236" i="61"/>
  <c r="AC236" i="61"/>
  <c r="AF236" i="61"/>
  <c r="AJ236" i="61" s="1"/>
  <c r="AH236" i="61"/>
  <c r="AR236" i="61"/>
  <c r="AT236" i="61"/>
  <c r="AU236" i="61"/>
  <c r="AW236" i="61"/>
  <c r="V237" i="61"/>
  <c r="W237" i="61"/>
  <c r="X237" i="61"/>
  <c r="Y237" i="61"/>
  <c r="Z237" i="61"/>
  <c r="AA237" i="61"/>
  <c r="AB237" i="61"/>
  <c r="AC237" i="61"/>
  <c r="AF237" i="61"/>
  <c r="AM237" i="61" s="1"/>
  <c r="AH237" i="61"/>
  <c r="AR237" i="61"/>
  <c r="AT237" i="61"/>
  <c r="AU237" i="61"/>
  <c r="AW237" i="61"/>
  <c r="V238" i="61"/>
  <c r="W238" i="61"/>
  <c r="X238" i="61"/>
  <c r="Y238" i="61"/>
  <c r="Z238" i="61"/>
  <c r="AA238" i="61"/>
  <c r="AB238" i="61"/>
  <c r="AC238" i="61"/>
  <c r="AF238" i="61"/>
  <c r="AJ238" i="61"/>
  <c r="AH238" i="61"/>
  <c r="AR238" i="61"/>
  <c r="AT238" i="61"/>
  <c r="AU238" i="61"/>
  <c r="AV238" i="61" s="1"/>
  <c r="AW238" i="61"/>
  <c r="V239" i="61"/>
  <c r="W239" i="61"/>
  <c r="X239" i="61"/>
  <c r="Y239" i="61"/>
  <c r="Z239" i="61"/>
  <c r="AA239" i="61"/>
  <c r="AB239" i="61"/>
  <c r="AC239" i="61"/>
  <c r="AF239" i="61"/>
  <c r="AH239" i="61"/>
  <c r="AR239" i="61"/>
  <c r="AT239" i="61"/>
  <c r="AU239" i="61"/>
  <c r="AW239" i="61"/>
  <c r="V240" i="61"/>
  <c r="W240" i="61"/>
  <c r="X240" i="61"/>
  <c r="Y240" i="61"/>
  <c r="Z240" i="61"/>
  <c r="AA240" i="61"/>
  <c r="AB240" i="61"/>
  <c r="AC240" i="61"/>
  <c r="AF240" i="61"/>
  <c r="AH240" i="61"/>
  <c r="AR240" i="61"/>
  <c r="AT240" i="61"/>
  <c r="AU240" i="61"/>
  <c r="AW240" i="61"/>
  <c r="V241" i="61"/>
  <c r="W241" i="61"/>
  <c r="X241" i="61"/>
  <c r="Y241" i="61"/>
  <c r="Z241" i="61"/>
  <c r="AA241" i="61"/>
  <c r="AB241" i="61"/>
  <c r="AC241" i="61"/>
  <c r="AF241" i="61"/>
  <c r="AH241" i="61"/>
  <c r="AR241" i="61"/>
  <c r="AT241" i="61"/>
  <c r="AU241" i="61"/>
  <c r="AV241" i="61" s="1"/>
  <c r="AW241" i="61"/>
  <c r="V242" i="61"/>
  <c r="W242" i="61"/>
  <c r="X242" i="61"/>
  <c r="Y242" i="61"/>
  <c r="Z242" i="61"/>
  <c r="AA242" i="61"/>
  <c r="AB242" i="61"/>
  <c r="AC242" i="61"/>
  <c r="AF242" i="61"/>
  <c r="AH242" i="61"/>
  <c r="AR242" i="61"/>
  <c r="AT242" i="61"/>
  <c r="AV242" i="61" s="1"/>
  <c r="AU242" i="61"/>
  <c r="AW242" i="61"/>
  <c r="V243" i="61"/>
  <c r="W243" i="61"/>
  <c r="X243" i="61"/>
  <c r="Y243" i="61"/>
  <c r="Z243" i="61"/>
  <c r="AA243" i="61"/>
  <c r="AD243" i="61" s="1"/>
  <c r="AB243" i="61"/>
  <c r="AC243" i="61"/>
  <c r="AF243" i="61"/>
  <c r="AH243" i="61"/>
  <c r="AR243" i="61"/>
  <c r="AT243" i="61"/>
  <c r="AU243" i="61"/>
  <c r="AW243" i="61"/>
  <c r="V244" i="61"/>
  <c r="W244" i="61"/>
  <c r="X244" i="61"/>
  <c r="Y244" i="61"/>
  <c r="Z244" i="61"/>
  <c r="AA244" i="61"/>
  <c r="AB244" i="61"/>
  <c r="AC244" i="61"/>
  <c r="AF244" i="61"/>
  <c r="AH244" i="61"/>
  <c r="AR244" i="61"/>
  <c r="AT244" i="61"/>
  <c r="AU244" i="61"/>
  <c r="AW244" i="61"/>
  <c r="V245" i="61"/>
  <c r="W245" i="61"/>
  <c r="X245" i="61"/>
  <c r="Y245" i="61"/>
  <c r="Z245" i="61"/>
  <c r="AA245" i="61"/>
  <c r="AB245" i="61"/>
  <c r="AC245" i="61"/>
  <c r="AF245" i="61"/>
  <c r="AH245" i="61"/>
  <c r="AR245" i="61"/>
  <c r="AT245" i="61"/>
  <c r="AU245" i="61"/>
  <c r="AW245" i="61"/>
  <c r="V246" i="61"/>
  <c r="W246" i="61"/>
  <c r="X246" i="61"/>
  <c r="Y246" i="61"/>
  <c r="Z246" i="61"/>
  <c r="AA246" i="61"/>
  <c r="AB246" i="61"/>
  <c r="AC246" i="61"/>
  <c r="AF246" i="61"/>
  <c r="AH246" i="61"/>
  <c r="AR246" i="61"/>
  <c r="AT246" i="61"/>
  <c r="AU246" i="61"/>
  <c r="AW246" i="61"/>
  <c r="V247" i="61"/>
  <c r="W247" i="61"/>
  <c r="X247" i="61"/>
  <c r="Y247" i="61"/>
  <c r="Z247" i="61"/>
  <c r="AA247" i="61"/>
  <c r="AD247" i="61" s="1"/>
  <c r="AB247" i="61"/>
  <c r="AC247" i="61"/>
  <c r="AF247" i="61"/>
  <c r="AH247" i="61"/>
  <c r="AR247" i="61"/>
  <c r="AT247" i="61"/>
  <c r="AU247" i="61"/>
  <c r="AW247" i="61"/>
  <c r="V248" i="61"/>
  <c r="W248" i="61"/>
  <c r="X248" i="61"/>
  <c r="Y248" i="61"/>
  <c r="Z248" i="61"/>
  <c r="AA248" i="61"/>
  <c r="AB248" i="61"/>
  <c r="AC248" i="61"/>
  <c r="AF248" i="61"/>
  <c r="AH248" i="61"/>
  <c r="AR248" i="61"/>
  <c r="AT248" i="61"/>
  <c r="AU248" i="61"/>
  <c r="AW248" i="61"/>
  <c r="V249" i="61"/>
  <c r="W249" i="61"/>
  <c r="X249" i="61"/>
  <c r="Y249" i="61"/>
  <c r="Z249" i="61"/>
  <c r="AA249" i="61"/>
  <c r="AB249" i="61"/>
  <c r="AC249" i="61"/>
  <c r="AF249" i="61"/>
  <c r="AH249" i="61"/>
  <c r="AR249" i="61"/>
  <c r="AT249" i="61"/>
  <c r="AU249" i="61"/>
  <c r="AW249" i="61"/>
  <c r="V250" i="61"/>
  <c r="W250" i="61"/>
  <c r="X250" i="61"/>
  <c r="Y250" i="61"/>
  <c r="Z250" i="61"/>
  <c r="AA250" i="61"/>
  <c r="AD250" i="61"/>
  <c r="AB250" i="61"/>
  <c r="AC250" i="61"/>
  <c r="AF250" i="61"/>
  <c r="AH250" i="61"/>
  <c r="AR250" i="61"/>
  <c r="AT250" i="61"/>
  <c r="AU250" i="61"/>
  <c r="AW250" i="61"/>
  <c r="V251" i="61"/>
  <c r="W251" i="61"/>
  <c r="X251" i="61"/>
  <c r="Y251" i="61"/>
  <c r="Z251" i="61"/>
  <c r="AA251" i="61"/>
  <c r="AB251" i="61"/>
  <c r="AC251" i="61"/>
  <c r="AF251" i="61"/>
  <c r="AH251" i="61"/>
  <c r="AR251" i="61"/>
  <c r="AT251" i="61"/>
  <c r="AU251" i="61"/>
  <c r="AW251" i="61"/>
  <c r="V252" i="61"/>
  <c r="W252" i="61"/>
  <c r="X252" i="61"/>
  <c r="Y252" i="61"/>
  <c r="Z252" i="61"/>
  <c r="AA252" i="61"/>
  <c r="AD252" i="61" s="1"/>
  <c r="AB252" i="61"/>
  <c r="AC252" i="61"/>
  <c r="AF252" i="61"/>
  <c r="AH252" i="61"/>
  <c r="AR252" i="61"/>
  <c r="AT252" i="61"/>
  <c r="AU252" i="61"/>
  <c r="AW252" i="61"/>
  <c r="V253" i="61"/>
  <c r="W253" i="61"/>
  <c r="X253" i="61"/>
  <c r="Y253" i="61"/>
  <c r="Z253" i="61"/>
  <c r="AA253" i="61"/>
  <c r="AE253" i="61"/>
  <c r="AB253" i="61"/>
  <c r="AC253" i="61"/>
  <c r="AF253" i="61"/>
  <c r="AH253" i="61"/>
  <c r="AR253" i="61"/>
  <c r="AT253" i="61"/>
  <c r="AU253" i="61"/>
  <c r="AW253" i="61"/>
  <c r="V254" i="61"/>
  <c r="W254" i="61"/>
  <c r="X254" i="61"/>
  <c r="Y254" i="61"/>
  <c r="Z254" i="61"/>
  <c r="AA254" i="61"/>
  <c r="AB254" i="61"/>
  <c r="AC254" i="61"/>
  <c r="AF254" i="61"/>
  <c r="AJ254" i="61"/>
  <c r="AH254" i="61"/>
  <c r="AR254" i="61"/>
  <c r="AT254" i="61"/>
  <c r="AU254" i="61"/>
  <c r="AW254" i="61"/>
  <c r="V255" i="61"/>
  <c r="W255" i="61"/>
  <c r="X255" i="61"/>
  <c r="Y255" i="61"/>
  <c r="Z255" i="61"/>
  <c r="AA255" i="61"/>
  <c r="AE255" i="61" s="1"/>
  <c r="AB255" i="61"/>
  <c r="AC255" i="61"/>
  <c r="AF255" i="61"/>
  <c r="AH255" i="61"/>
  <c r="AR255" i="61"/>
  <c r="AT255" i="61"/>
  <c r="AU255" i="61"/>
  <c r="AW255" i="61"/>
  <c r="V256" i="61"/>
  <c r="W256" i="61"/>
  <c r="X256" i="61"/>
  <c r="Y256" i="61"/>
  <c r="Z256" i="61"/>
  <c r="AA256" i="61"/>
  <c r="AB256" i="61"/>
  <c r="AC256" i="61"/>
  <c r="AF256" i="61"/>
  <c r="AH256" i="61"/>
  <c r="AR256" i="61"/>
  <c r="AT256" i="61"/>
  <c r="AU256" i="61"/>
  <c r="AW256" i="61"/>
  <c r="V257" i="61"/>
  <c r="W257" i="61"/>
  <c r="X257" i="61"/>
  <c r="Y257" i="61"/>
  <c r="Z257" i="61"/>
  <c r="AA257" i="61"/>
  <c r="AB257" i="61"/>
  <c r="AC257" i="61"/>
  <c r="AF257" i="61"/>
  <c r="AH257" i="61"/>
  <c r="AR257" i="61"/>
  <c r="AT257" i="61"/>
  <c r="AU257" i="61"/>
  <c r="AW257" i="61"/>
  <c r="V258" i="61"/>
  <c r="W258" i="61"/>
  <c r="X258" i="61"/>
  <c r="Y258" i="61"/>
  <c r="Z258" i="61"/>
  <c r="AA258" i="61"/>
  <c r="AB258" i="61"/>
  <c r="AC258" i="61"/>
  <c r="AF258" i="61"/>
  <c r="AH258" i="61"/>
  <c r="AR258" i="61"/>
  <c r="AT258" i="61"/>
  <c r="AU258" i="61"/>
  <c r="AW258" i="61"/>
  <c r="V259" i="61"/>
  <c r="W259" i="61"/>
  <c r="X259" i="61"/>
  <c r="Y259" i="61"/>
  <c r="Z259" i="61"/>
  <c r="AA259" i="61"/>
  <c r="AD259" i="61" s="1"/>
  <c r="AB259" i="61"/>
  <c r="AC259" i="61"/>
  <c r="AF259" i="61"/>
  <c r="AH259" i="61"/>
  <c r="AR259" i="61"/>
  <c r="AT259" i="61"/>
  <c r="AU259" i="61"/>
  <c r="AV259" i="61" s="1"/>
  <c r="AW259" i="61"/>
  <c r="V260" i="61"/>
  <c r="W260" i="61"/>
  <c r="X260" i="61"/>
  <c r="Y260" i="61"/>
  <c r="Z260" i="61"/>
  <c r="AA260" i="61"/>
  <c r="AE260" i="61" s="1"/>
  <c r="AI260" i="61"/>
  <c r="AB260" i="61"/>
  <c r="AC260" i="61"/>
  <c r="AF260" i="61"/>
  <c r="AJ260" i="61"/>
  <c r="AH260" i="61"/>
  <c r="AR260" i="61"/>
  <c r="AT260" i="61"/>
  <c r="AU260" i="61"/>
  <c r="AW260" i="61"/>
  <c r="V261" i="61"/>
  <c r="W261" i="61"/>
  <c r="X261" i="61"/>
  <c r="Y261" i="61"/>
  <c r="Z261" i="61"/>
  <c r="AA261" i="61"/>
  <c r="AB261" i="61"/>
  <c r="AC261" i="61"/>
  <c r="AF261" i="61"/>
  <c r="AH261" i="61"/>
  <c r="AR261" i="61"/>
  <c r="AT261" i="61"/>
  <c r="AU261" i="61"/>
  <c r="AV261" i="61" s="1"/>
  <c r="AW261" i="61"/>
  <c r="V262" i="61"/>
  <c r="W262" i="61"/>
  <c r="X262" i="61"/>
  <c r="Y262" i="61"/>
  <c r="Z262" i="61"/>
  <c r="AA262" i="61"/>
  <c r="AB262" i="61"/>
  <c r="AC262" i="61"/>
  <c r="AF262" i="61"/>
  <c r="AH262" i="61"/>
  <c r="AR262" i="61"/>
  <c r="AT262" i="61"/>
  <c r="AU262" i="61"/>
  <c r="AW262" i="61"/>
  <c r="V263" i="61"/>
  <c r="W263" i="61"/>
  <c r="X263" i="61"/>
  <c r="Y263" i="61"/>
  <c r="Z263" i="61"/>
  <c r="AA263" i="61"/>
  <c r="AE263" i="61"/>
  <c r="AO263" i="61" s="1"/>
  <c r="AB263" i="61"/>
  <c r="AC263" i="61"/>
  <c r="AF263" i="61"/>
  <c r="AH263" i="61"/>
  <c r="AR263" i="61"/>
  <c r="AT263" i="61"/>
  <c r="AV263" i="61" s="1"/>
  <c r="AU263" i="61"/>
  <c r="AW263" i="61"/>
  <c r="V264" i="61"/>
  <c r="W264" i="61"/>
  <c r="X264" i="61"/>
  <c r="Y264" i="61"/>
  <c r="Z264" i="61"/>
  <c r="AA264" i="61"/>
  <c r="AD264" i="61" s="1"/>
  <c r="AB264" i="61"/>
  <c r="AC264" i="61"/>
  <c r="AF264" i="61"/>
  <c r="AH264" i="61"/>
  <c r="AR264" i="61"/>
  <c r="AT264" i="61"/>
  <c r="AU264" i="61"/>
  <c r="AW264" i="61"/>
  <c r="V265" i="61"/>
  <c r="W265" i="61"/>
  <c r="X265" i="61"/>
  <c r="Y265" i="61"/>
  <c r="Z265" i="61"/>
  <c r="AA265" i="61"/>
  <c r="AB265" i="61"/>
  <c r="AC265" i="61"/>
  <c r="AF265" i="61"/>
  <c r="AH265" i="61"/>
  <c r="AR265" i="61"/>
  <c r="AT265" i="61"/>
  <c r="AU265" i="61"/>
  <c r="AW265" i="61"/>
  <c r="V266" i="61"/>
  <c r="W266" i="61"/>
  <c r="X266" i="61"/>
  <c r="Y266" i="61"/>
  <c r="Z266" i="61"/>
  <c r="AA266" i="61"/>
  <c r="AB266" i="61"/>
  <c r="AC266" i="61"/>
  <c r="AF266" i="61"/>
  <c r="AH266" i="61"/>
  <c r="AR266" i="61"/>
  <c r="AT266" i="61"/>
  <c r="AU266" i="61"/>
  <c r="AW266" i="61"/>
  <c r="V267" i="61"/>
  <c r="W267" i="61"/>
  <c r="X267" i="61"/>
  <c r="Y267" i="61"/>
  <c r="AI267" i="61" s="1"/>
  <c r="AS267" i="61" s="1"/>
  <c r="Z267" i="61"/>
  <c r="AA267" i="61"/>
  <c r="AE267" i="61" s="1"/>
  <c r="AB267" i="61"/>
  <c r="AC267" i="61"/>
  <c r="AD267" i="61"/>
  <c r="AF267" i="61"/>
  <c r="AH267" i="61"/>
  <c r="AR267" i="61"/>
  <c r="AT267" i="61"/>
  <c r="AU267" i="61"/>
  <c r="AW267" i="61"/>
  <c r="V268" i="61"/>
  <c r="W268" i="61"/>
  <c r="X268" i="61"/>
  <c r="Y268" i="61"/>
  <c r="Z268" i="61"/>
  <c r="AA268" i="61"/>
  <c r="AB268" i="61"/>
  <c r="AC268" i="61"/>
  <c r="AF268" i="61"/>
  <c r="AH268" i="61"/>
  <c r="AR268" i="61"/>
  <c r="AT268" i="61"/>
  <c r="AU268" i="61"/>
  <c r="AV268" i="61" s="1"/>
  <c r="AW268" i="61"/>
  <c r="V269" i="61"/>
  <c r="W269" i="61"/>
  <c r="X269" i="61"/>
  <c r="Y269" i="61"/>
  <c r="Z269" i="61"/>
  <c r="AA269" i="61"/>
  <c r="AE269" i="61"/>
  <c r="AB269" i="61"/>
  <c r="AC269" i="61"/>
  <c r="AF269" i="61"/>
  <c r="AH269" i="61"/>
  <c r="AR269" i="61"/>
  <c r="AT269" i="61"/>
  <c r="AU269" i="61"/>
  <c r="AW269" i="61"/>
  <c r="V270" i="61"/>
  <c r="W270" i="61"/>
  <c r="X270" i="61"/>
  <c r="Y270" i="61"/>
  <c r="Z270" i="61"/>
  <c r="AA270" i="61"/>
  <c r="AB270" i="61"/>
  <c r="AC270" i="61"/>
  <c r="AF270" i="61"/>
  <c r="AH270" i="61"/>
  <c r="AR270" i="61"/>
  <c r="AT270" i="61"/>
  <c r="AU270" i="61"/>
  <c r="AW270" i="61"/>
  <c r="V271" i="61"/>
  <c r="W271" i="61"/>
  <c r="X271" i="61"/>
  <c r="Y271" i="61"/>
  <c r="Z271" i="61"/>
  <c r="AA271" i="61"/>
  <c r="AB271" i="61"/>
  <c r="AC271" i="61"/>
  <c r="AF271" i="61"/>
  <c r="AM271" i="61"/>
  <c r="AH271" i="61"/>
  <c r="AR271" i="61"/>
  <c r="AT271" i="61"/>
  <c r="AV271" i="61" s="1"/>
  <c r="AU271" i="61"/>
  <c r="AW271" i="61"/>
  <c r="V272" i="61"/>
  <c r="W272" i="61"/>
  <c r="X272" i="61"/>
  <c r="Y272" i="61"/>
  <c r="Z272" i="61"/>
  <c r="AA272" i="61"/>
  <c r="AE272" i="61" s="1"/>
  <c r="AQ272" i="61" s="1"/>
  <c r="AB272" i="61"/>
  <c r="AC272" i="61"/>
  <c r="AF272" i="61"/>
  <c r="AH272" i="61"/>
  <c r="AR272" i="61"/>
  <c r="AT272" i="61"/>
  <c r="AU272" i="61"/>
  <c r="AW272" i="61"/>
  <c r="V273" i="61"/>
  <c r="W273" i="61"/>
  <c r="X273" i="61"/>
  <c r="Y273" i="61"/>
  <c r="Z273" i="61"/>
  <c r="AA273" i="61"/>
  <c r="AB273" i="61"/>
  <c r="AC273" i="61"/>
  <c r="AF273" i="61"/>
  <c r="AH273" i="61"/>
  <c r="AR273" i="61"/>
  <c r="AT273" i="61"/>
  <c r="AU273" i="61"/>
  <c r="AV273" i="61" s="1"/>
  <c r="AW273" i="61"/>
  <c r="V274" i="61"/>
  <c r="W274" i="61"/>
  <c r="X274" i="61"/>
  <c r="Y274" i="61"/>
  <c r="Z274" i="61"/>
  <c r="AA274" i="61"/>
  <c r="AB274" i="61"/>
  <c r="AC274" i="61"/>
  <c r="AF274" i="61"/>
  <c r="AH274" i="61"/>
  <c r="AR274" i="61"/>
  <c r="AT274" i="61"/>
  <c r="AU274" i="61"/>
  <c r="AW274" i="61"/>
  <c r="V275" i="61"/>
  <c r="W275" i="61"/>
  <c r="X275" i="61"/>
  <c r="Y275" i="61"/>
  <c r="Z275" i="61"/>
  <c r="AA275" i="61"/>
  <c r="AB275" i="61"/>
  <c r="AC275" i="61"/>
  <c r="AF275" i="61"/>
  <c r="AH275" i="61"/>
  <c r="AR275" i="61"/>
  <c r="AT275" i="61"/>
  <c r="AU275" i="61"/>
  <c r="AW275" i="61"/>
  <c r="V276" i="61"/>
  <c r="W276" i="61"/>
  <c r="X276" i="61"/>
  <c r="Y276" i="61"/>
  <c r="Z276" i="61"/>
  <c r="AA276" i="61"/>
  <c r="AB276" i="61"/>
  <c r="AC276" i="61"/>
  <c r="AF276" i="61"/>
  <c r="AH276" i="61"/>
  <c r="AR276" i="61"/>
  <c r="AT276" i="61"/>
  <c r="AU276" i="61"/>
  <c r="AW276" i="61"/>
  <c r="V277" i="61"/>
  <c r="W277" i="61"/>
  <c r="X277" i="61"/>
  <c r="Y277" i="61"/>
  <c r="Z277" i="61"/>
  <c r="AA277" i="61"/>
  <c r="AE277" i="61" s="1"/>
  <c r="AO277" i="61" s="1"/>
  <c r="AB277" i="61"/>
  <c r="AC277" i="61"/>
  <c r="AF277" i="61"/>
  <c r="AH277" i="61"/>
  <c r="AR277" i="61"/>
  <c r="AT277" i="61"/>
  <c r="AU277" i="61"/>
  <c r="AV277" i="61" s="1"/>
  <c r="AW277" i="61"/>
  <c r="V278" i="61"/>
  <c r="W278" i="61"/>
  <c r="X278" i="61"/>
  <c r="Y278" i="61"/>
  <c r="Z278" i="61"/>
  <c r="AA278" i="61"/>
  <c r="AB278" i="61"/>
  <c r="AC278" i="61"/>
  <c r="AF278" i="61"/>
  <c r="AM278" i="61" s="1"/>
  <c r="AH278" i="61"/>
  <c r="AR278" i="61"/>
  <c r="AT278" i="61"/>
  <c r="AU278" i="61"/>
  <c r="AW278" i="61"/>
  <c r="V279" i="61"/>
  <c r="W279" i="61"/>
  <c r="X279" i="61"/>
  <c r="Y279" i="61"/>
  <c r="Z279" i="61"/>
  <c r="AA279" i="61"/>
  <c r="AB279" i="61"/>
  <c r="AC279" i="61"/>
  <c r="AF279" i="61"/>
  <c r="AM279" i="61"/>
  <c r="AH279" i="61"/>
  <c r="AR279" i="61"/>
  <c r="AT279" i="61"/>
  <c r="AU279" i="61"/>
  <c r="AW279" i="61"/>
  <c r="V280" i="61"/>
  <c r="W280" i="61"/>
  <c r="X280" i="61"/>
  <c r="Y280" i="61"/>
  <c r="Z280" i="61"/>
  <c r="AA280" i="61"/>
  <c r="AD280" i="61"/>
  <c r="AB280" i="61"/>
  <c r="AC280" i="61"/>
  <c r="AF280" i="61"/>
  <c r="AM280" i="61"/>
  <c r="AH280" i="61"/>
  <c r="AR280" i="61"/>
  <c r="AT280" i="61"/>
  <c r="AU280" i="61"/>
  <c r="AW280" i="61"/>
  <c r="V281" i="61"/>
  <c r="W281" i="61"/>
  <c r="X281" i="61"/>
  <c r="Y281" i="61"/>
  <c r="Z281" i="61"/>
  <c r="AA281" i="61"/>
  <c r="AB281" i="61"/>
  <c r="AC281" i="61"/>
  <c r="AF281" i="61"/>
  <c r="AH281" i="61"/>
  <c r="AR281" i="61"/>
  <c r="AT281" i="61"/>
  <c r="AV281" i="61" s="1"/>
  <c r="AU281" i="61"/>
  <c r="AW281" i="61"/>
  <c r="V282" i="61"/>
  <c r="W282" i="61"/>
  <c r="X282" i="61"/>
  <c r="Y282" i="61"/>
  <c r="Z282" i="61"/>
  <c r="AA282" i="61"/>
  <c r="AB282" i="61"/>
  <c r="AC282" i="61"/>
  <c r="AF282" i="61"/>
  <c r="AH282" i="61"/>
  <c r="AR282" i="61"/>
  <c r="AT282" i="61"/>
  <c r="AV282" i="61"/>
  <c r="AU282" i="61"/>
  <c r="AW282" i="61"/>
  <c r="V283" i="61"/>
  <c r="W283" i="61"/>
  <c r="X283" i="61"/>
  <c r="Y283" i="61"/>
  <c r="Z283" i="61"/>
  <c r="AA283" i="61"/>
  <c r="AB283" i="61"/>
  <c r="AC283" i="61"/>
  <c r="AF283" i="61"/>
  <c r="AH283" i="61"/>
  <c r="AR283" i="61"/>
  <c r="AT283" i="61"/>
  <c r="AU283" i="61"/>
  <c r="AW283" i="61"/>
  <c r="V284" i="61"/>
  <c r="W284" i="61"/>
  <c r="X284" i="61"/>
  <c r="Y284" i="61"/>
  <c r="Z284" i="61"/>
  <c r="AA284" i="61"/>
  <c r="AB284" i="61"/>
  <c r="AC284" i="61"/>
  <c r="AF284" i="61"/>
  <c r="AM284" i="61" s="1"/>
  <c r="AH284" i="61"/>
  <c r="AR284" i="61"/>
  <c r="AT284" i="61"/>
  <c r="AU284" i="61"/>
  <c r="AW284" i="61"/>
  <c r="V285" i="61"/>
  <c r="W285" i="61"/>
  <c r="X285" i="61"/>
  <c r="Y285" i="61"/>
  <c r="Z285" i="61"/>
  <c r="AA285" i="61"/>
  <c r="AD285" i="61" s="1"/>
  <c r="AB285" i="61"/>
  <c r="AC285" i="61"/>
  <c r="AF285" i="61"/>
  <c r="AH285" i="61"/>
  <c r="AR285" i="61"/>
  <c r="AT285" i="61"/>
  <c r="AU285" i="61"/>
  <c r="AW285" i="61"/>
  <c r="V286" i="61"/>
  <c r="W286" i="61"/>
  <c r="X286" i="61"/>
  <c r="Y286" i="61"/>
  <c r="Z286" i="61"/>
  <c r="AA286" i="61"/>
  <c r="AD286" i="61"/>
  <c r="AB286" i="61"/>
  <c r="AC286" i="61"/>
  <c r="AE286" i="61"/>
  <c r="AF286" i="61"/>
  <c r="AH286" i="61"/>
  <c r="AR286" i="61"/>
  <c r="AT286" i="61"/>
  <c r="AU286" i="61"/>
  <c r="AV286" i="61" s="1"/>
  <c r="AW286" i="61"/>
  <c r="V287" i="61"/>
  <c r="W287" i="61"/>
  <c r="X287" i="61"/>
  <c r="Y287" i="61"/>
  <c r="Z287" i="61"/>
  <c r="AA287" i="61"/>
  <c r="AB287" i="61"/>
  <c r="AC287" i="61"/>
  <c r="AF287" i="61"/>
  <c r="AH287" i="61"/>
  <c r="AR287" i="61"/>
  <c r="AT287" i="61"/>
  <c r="AU287" i="61"/>
  <c r="AW287" i="61"/>
  <c r="V288" i="61"/>
  <c r="W288" i="61"/>
  <c r="X288" i="61"/>
  <c r="Y288" i="61"/>
  <c r="Z288" i="61"/>
  <c r="AA288" i="61"/>
  <c r="AB288" i="61"/>
  <c r="AC288" i="61"/>
  <c r="AF288" i="61"/>
  <c r="AH288" i="61"/>
  <c r="AR288" i="61"/>
  <c r="AT288" i="61"/>
  <c r="AU288" i="61"/>
  <c r="AV288" i="61" s="1"/>
  <c r="AW288" i="61"/>
  <c r="V289" i="61"/>
  <c r="W289" i="61"/>
  <c r="X289" i="61"/>
  <c r="Y289" i="61"/>
  <c r="Z289" i="61"/>
  <c r="AA289" i="61"/>
  <c r="AB289" i="61"/>
  <c r="AI289" i="61" s="1"/>
  <c r="AS289" i="61" s="1"/>
  <c r="AC289" i="61"/>
  <c r="AF289" i="61"/>
  <c r="AH289" i="61"/>
  <c r="AR289" i="61"/>
  <c r="AT289" i="61"/>
  <c r="AU289" i="61"/>
  <c r="AV289" i="61"/>
  <c r="AW289" i="61"/>
  <c r="V290" i="61"/>
  <c r="W290" i="61"/>
  <c r="X290" i="61"/>
  <c r="Y290" i="61"/>
  <c r="Z290" i="61"/>
  <c r="AA290" i="61"/>
  <c r="AB290" i="61"/>
  <c r="AC290" i="61"/>
  <c r="AF290" i="61"/>
  <c r="AH290" i="61"/>
  <c r="AR290" i="61"/>
  <c r="AT290" i="61"/>
  <c r="AV290" i="61" s="1"/>
  <c r="AU290" i="61"/>
  <c r="AW290" i="61"/>
  <c r="V291" i="61"/>
  <c r="W291" i="61"/>
  <c r="X291" i="61"/>
  <c r="Y291" i="61"/>
  <c r="Z291" i="61"/>
  <c r="AA291" i="61"/>
  <c r="AB291" i="61"/>
  <c r="AC291" i="61"/>
  <c r="AF291" i="61"/>
  <c r="AM291" i="61" s="1"/>
  <c r="AH291" i="61"/>
  <c r="AR291" i="61"/>
  <c r="AT291" i="61"/>
  <c r="AU291" i="61"/>
  <c r="AW291" i="61"/>
  <c r="V292" i="61"/>
  <c r="W292" i="61"/>
  <c r="X292" i="61"/>
  <c r="Y292" i="61"/>
  <c r="AI292" i="61" s="1"/>
  <c r="AS292" i="61" s="1"/>
  <c r="Z292" i="61"/>
  <c r="AA292" i="61"/>
  <c r="AB292" i="61"/>
  <c r="AC292" i="61"/>
  <c r="AF292" i="61"/>
  <c r="AM292" i="61" s="1"/>
  <c r="AH292" i="61"/>
  <c r="AR292" i="61"/>
  <c r="AT292" i="61"/>
  <c r="AU292" i="61"/>
  <c r="AW292" i="61"/>
  <c r="V293" i="61"/>
  <c r="W293" i="61"/>
  <c r="X293" i="61"/>
  <c r="Y293" i="61"/>
  <c r="Z293" i="61"/>
  <c r="AA293" i="61"/>
  <c r="AB293" i="61"/>
  <c r="AC293" i="61"/>
  <c r="AF293" i="61"/>
  <c r="AH293" i="61"/>
  <c r="AR293" i="61"/>
  <c r="AT293" i="61"/>
  <c r="AU293" i="61"/>
  <c r="AV293" i="61" s="1"/>
  <c r="AW293" i="61"/>
  <c r="V294" i="61"/>
  <c r="W294" i="61"/>
  <c r="X294" i="61"/>
  <c r="Y294" i="61"/>
  <c r="Z294" i="61"/>
  <c r="AA294" i="61"/>
  <c r="AB294" i="61"/>
  <c r="AC294" i="61"/>
  <c r="AF294" i="61"/>
  <c r="AH294" i="61"/>
  <c r="AR294" i="61"/>
  <c r="AT294" i="61"/>
  <c r="AU294" i="61"/>
  <c r="AV294" i="61"/>
  <c r="AW294" i="61"/>
  <c r="V295" i="61"/>
  <c r="W295" i="61"/>
  <c r="X295" i="61"/>
  <c r="Y295" i="61"/>
  <c r="Z295" i="61"/>
  <c r="AA295" i="61"/>
  <c r="AB295" i="61"/>
  <c r="AC295" i="61"/>
  <c r="AF295" i="61"/>
  <c r="AJ295" i="61"/>
  <c r="AH295" i="61"/>
  <c r="AR295" i="61"/>
  <c r="AT295" i="61"/>
  <c r="AU295" i="61"/>
  <c r="AW295" i="61"/>
  <c r="V296" i="61"/>
  <c r="W296" i="61"/>
  <c r="X296" i="61"/>
  <c r="Y296" i="61"/>
  <c r="Z296" i="61"/>
  <c r="AA296" i="61"/>
  <c r="AB296" i="61"/>
  <c r="AC296" i="61"/>
  <c r="AF296" i="61"/>
  <c r="AH296" i="61"/>
  <c r="AR296" i="61"/>
  <c r="AT296" i="61"/>
  <c r="AU296" i="61"/>
  <c r="AW296" i="61"/>
  <c r="V297" i="61"/>
  <c r="W297" i="61"/>
  <c r="X297" i="61"/>
  <c r="Y297" i="61"/>
  <c r="Z297" i="61"/>
  <c r="AA297" i="61"/>
  <c r="AB297" i="61"/>
  <c r="AC297" i="61"/>
  <c r="AF297" i="61"/>
  <c r="AH297" i="61"/>
  <c r="AR297" i="61"/>
  <c r="AT297" i="61"/>
  <c r="AU297" i="61"/>
  <c r="AV297" i="61" s="1"/>
  <c r="AW297" i="61"/>
  <c r="V298" i="61"/>
  <c r="W298" i="61"/>
  <c r="X298" i="61"/>
  <c r="Y298" i="61"/>
  <c r="Z298" i="61"/>
  <c r="AA298" i="61"/>
  <c r="AE298" i="61" s="1"/>
  <c r="AB298" i="61"/>
  <c r="AC298" i="61"/>
  <c r="AF298" i="61"/>
  <c r="AH298" i="61"/>
  <c r="AR298" i="61"/>
  <c r="AT298" i="61"/>
  <c r="AV298" i="61" s="1"/>
  <c r="AU298" i="61"/>
  <c r="AW298" i="61"/>
  <c r="V299" i="61"/>
  <c r="W299" i="61"/>
  <c r="X299" i="61"/>
  <c r="Y299" i="61"/>
  <c r="Z299" i="61"/>
  <c r="AA299" i="61"/>
  <c r="AB299" i="61"/>
  <c r="AC299" i="61"/>
  <c r="AF299" i="61"/>
  <c r="AM299" i="61"/>
  <c r="AH299" i="61"/>
  <c r="AR299" i="61"/>
  <c r="AT299" i="61"/>
  <c r="AU299" i="61"/>
  <c r="AW299" i="61"/>
  <c r="V300" i="61"/>
  <c r="W300" i="61"/>
  <c r="X300" i="61"/>
  <c r="Y300" i="61"/>
  <c r="Z300" i="61"/>
  <c r="AA300" i="61"/>
  <c r="AB300" i="61"/>
  <c r="AC300" i="61"/>
  <c r="AF300" i="61"/>
  <c r="AM300" i="61"/>
  <c r="AH300" i="61"/>
  <c r="AR300" i="61"/>
  <c r="AT300" i="61"/>
  <c r="AU300" i="61"/>
  <c r="AW300" i="61"/>
  <c r="V301" i="61"/>
  <c r="W301" i="61"/>
  <c r="X301" i="61"/>
  <c r="Y301" i="61"/>
  <c r="Z301" i="61"/>
  <c r="AA301" i="61"/>
  <c r="AB301" i="61"/>
  <c r="AC301" i="61"/>
  <c r="AF301" i="61"/>
  <c r="AM301" i="61"/>
  <c r="AH301" i="61"/>
  <c r="AR301" i="61"/>
  <c r="AT301" i="61"/>
  <c r="AU301" i="61"/>
  <c r="AW301" i="61"/>
  <c r="V302" i="61"/>
  <c r="W302" i="61"/>
  <c r="X302" i="61"/>
  <c r="Y302" i="61"/>
  <c r="Z302" i="61"/>
  <c r="AA302" i="61"/>
  <c r="AB302" i="61"/>
  <c r="AC302" i="61"/>
  <c r="AF302" i="61"/>
  <c r="AM302" i="61" s="1"/>
  <c r="AH302" i="61"/>
  <c r="AR302" i="61"/>
  <c r="AT302" i="61"/>
  <c r="AU302" i="61"/>
  <c r="AW302" i="61"/>
  <c r="V303" i="61"/>
  <c r="W303" i="61"/>
  <c r="X303" i="61"/>
  <c r="Y303" i="61"/>
  <c r="Z303" i="61"/>
  <c r="AA303" i="61"/>
  <c r="AE303" i="61" s="1"/>
  <c r="AQ303" i="61" s="1"/>
  <c r="AD303" i="61"/>
  <c r="AB303" i="61"/>
  <c r="AC303" i="61"/>
  <c r="AF303" i="61"/>
  <c r="AM303" i="61" s="1"/>
  <c r="AH303" i="61"/>
  <c r="AR303" i="61"/>
  <c r="AT303" i="61"/>
  <c r="AU303" i="61"/>
  <c r="AW303" i="61"/>
  <c r="V304" i="61"/>
  <c r="W304" i="61"/>
  <c r="X304" i="61"/>
  <c r="Y304" i="61"/>
  <c r="Z304" i="61"/>
  <c r="AA304" i="61"/>
  <c r="AB304" i="61"/>
  <c r="AC304" i="61"/>
  <c r="AF304" i="61"/>
  <c r="AH304" i="61"/>
  <c r="AR304" i="61"/>
  <c r="AT304" i="61"/>
  <c r="AU304" i="61"/>
  <c r="AW304" i="61"/>
  <c r="V305" i="61"/>
  <c r="W305" i="61"/>
  <c r="X305" i="61"/>
  <c r="Y305" i="61"/>
  <c r="Z305" i="61"/>
  <c r="AA305" i="61"/>
  <c r="AB305" i="61"/>
  <c r="AC305" i="61"/>
  <c r="AF305" i="61"/>
  <c r="AH305" i="61"/>
  <c r="AR305" i="61"/>
  <c r="AT305" i="61"/>
  <c r="AV305" i="61" s="1"/>
  <c r="AU305" i="61"/>
  <c r="AW305" i="61"/>
  <c r="V306" i="61"/>
  <c r="W306" i="61"/>
  <c r="X306" i="61"/>
  <c r="Y306" i="61"/>
  <c r="Z306" i="61"/>
  <c r="AA306" i="61"/>
  <c r="AB306" i="61"/>
  <c r="AC306" i="61"/>
  <c r="AF306" i="61"/>
  <c r="AH306" i="61"/>
  <c r="AR306" i="61"/>
  <c r="AT306" i="61"/>
  <c r="AU306" i="61"/>
  <c r="AW306" i="61"/>
  <c r="V307" i="61"/>
  <c r="W307" i="61"/>
  <c r="X307" i="61"/>
  <c r="Y307" i="61"/>
  <c r="Z307" i="61"/>
  <c r="AA307" i="61"/>
  <c r="AB307" i="61"/>
  <c r="AC307" i="61"/>
  <c r="AF307" i="61"/>
  <c r="AM307" i="61"/>
  <c r="AH307" i="61"/>
  <c r="AR307" i="61"/>
  <c r="AT307" i="61"/>
  <c r="AU307" i="61"/>
  <c r="AV307" i="61" s="1"/>
  <c r="AW307" i="61"/>
  <c r="V308" i="61"/>
  <c r="W308" i="61"/>
  <c r="X308" i="61"/>
  <c r="Y308" i="61"/>
  <c r="Z308" i="61"/>
  <c r="AA308" i="61"/>
  <c r="AB308" i="61"/>
  <c r="AC308" i="61"/>
  <c r="AF308" i="61"/>
  <c r="AH308" i="61"/>
  <c r="AR308" i="61"/>
  <c r="AT308" i="61"/>
  <c r="AU308" i="61"/>
  <c r="AW308" i="61"/>
  <c r="V309" i="61"/>
  <c r="W309" i="61"/>
  <c r="X309" i="61"/>
  <c r="Y309" i="61"/>
  <c r="Z309" i="61"/>
  <c r="AA309" i="61"/>
  <c r="AB309" i="61"/>
  <c r="AC309" i="61"/>
  <c r="AF309" i="61"/>
  <c r="AH309" i="61"/>
  <c r="AR309" i="61"/>
  <c r="AT309" i="61"/>
  <c r="AV309" i="61"/>
  <c r="AU309" i="61"/>
  <c r="AW309" i="61"/>
  <c r="V310" i="61"/>
  <c r="W310" i="61"/>
  <c r="X310" i="61"/>
  <c r="Y310" i="61"/>
  <c r="Z310" i="61"/>
  <c r="AA310" i="61"/>
  <c r="AB310" i="61"/>
  <c r="AC310" i="61"/>
  <c r="AF310" i="61"/>
  <c r="AJ310" i="61"/>
  <c r="AH310" i="61"/>
  <c r="AR310" i="61"/>
  <c r="AT310" i="61"/>
  <c r="AU310" i="61"/>
  <c r="AW310" i="61"/>
  <c r="V311" i="61"/>
  <c r="W311" i="61"/>
  <c r="X311" i="61"/>
  <c r="Y311" i="61"/>
  <c r="Z311" i="61"/>
  <c r="AA311" i="61"/>
  <c r="AB311" i="61"/>
  <c r="AC311" i="61"/>
  <c r="AF311" i="61"/>
  <c r="AH311" i="61"/>
  <c r="AR311" i="61"/>
  <c r="AT311" i="61"/>
  <c r="AU311" i="61"/>
  <c r="AW311" i="61"/>
  <c r="V312" i="61"/>
  <c r="W312" i="61"/>
  <c r="X312" i="61"/>
  <c r="Y312" i="61"/>
  <c r="Z312" i="61"/>
  <c r="AA312" i="61"/>
  <c r="AE312" i="61" s="1"/>
  <c r="AB312" i="61"/>
  <c r="AC312" i="61"/>
  <c r="AF312" i="61"/>
  <c r="AH312" i="61"/>
  <c r="AR312" i="61"/>
  <c r="AT312" i="61"/>
  <c r="AU312" i="61"/>
  <c r="AW312" i="61"/>
  <c r="V313" i="61"/>
  <c r="W313" i="61"/>
  <c r="X313" i="61"/>
  <c r="Y313" i="61"/>
  <c r="Z313" i="61"/>
  <c r="AA313" i="61"/>
  <c r="AB313" i="61"/>
  <c r="AC313" i="61"/>
  <c r="AF313" i="61"/>
  <c r="AH313" i="61"/>
  <c r="AR313" i="61"/>
  <c r="AT313" i="61"/>
  <c r="AU313" i="61"/>
  <c r="AW313" i="61"/>
  <c r="V314" i="61"/>
  <c r="W314" i="61"/>
  <c r="X314" i="61"/>
  <c r="Y314" i="61"/>
  <c r="Z314" i="61"/>
  <c r="AA314" i="61"/>
  <c r="AB314" i="61"/>
  <c r="AC314" i="61"/>
  <c r="AF314" i="61"/>
  <c r="AH314" i="61"/>
  <c r="AR314" i="61"/>
  <c r="AT314" i="61"/>
  <c r="AU314" i="61"/>
  <c r="AW314" i="61"/>
  <c r="V315" i="61"/>
  <c r="W315" i="61"/>
  <c r="X315" i="61"/>
  <c r="Y315" i="61"/>
  <c r="Z315" i="61"/>
  <c r="AA315" i="61"/>
  <c r="AB315" i="61"/>
  <c r="AC315" i="61"/>
  <c r="AF315" i="61"/>
  <c r="AH315" i="61"/>
  <c r="AR315" i="61"/>
  <c r="AT315" i="61"/>
  <c r="AU315" i="61"/>
  <c r="AV315" i="61" s="1"/>
  <c r="AW315" i="61"/>
  <c r="V316" i="61"/>
  <c r="W316" i="61"/>
  <c r="X316" i="61"/>
  <c r="Y316" i="61"/>
  <c r="Z316" i="61"/>
  <c r="AA316" i="61"/>
  <c r="AB316" i="61"/>
  <c r="AC316" i="61"/>
  <c r="AF316" i="61"/>
  <c r="AJ316" i="61" s="1"/>
  <c r="AH316" i="61"/>
  <c r="AR316" i="61"/>
  <c r="AT316" i="61"/>
  <c r="AU316" i="61"/>
  <c r="AW316" i="61"/>
  <c r="V317" i="61"/>
  <c r="W317" i="61"/>
  <c r="X317" i="61"/>
  <c r="Y317" i="61"/>
  <c r="Z317" i="61"/>
  <c r="AA317" i="61"/>
  <c r="AB317" i="61"/>
  <c r="AC317" i="61"/>
  <c r="AF317" i="61"/>
  <c r="AH317" i="61"/>
  <c r="AR317" i="61"/>
  <c r="AT317" i="61"/>
  <c r="AU317" i="61"/>
  <c r="AW317" i="61"/>
  <c r="V318" i="61"/>
  <c r="W318" i="61"/>
  <c r="X318" i="61"/>
  <c r="Y318" i="61"/>
  <c r="Z318" i="61"/>
  <c r="AA318" i="61"/>
  <c r="AB318" i="61"/>
  <c r="AC318" i="61"/>
  <c r="AF318" i="61"/>
  <c r="AH318" i="61"/>
  <c r="AR318" i="61"/>
  <c r="AT318" i="61"/>
  <c r="AU318" i="61"/>
  <c r="AW318" i="61"/>
  <c r="V319" i="61"/>
  <c r="W319" i="61"/>
  <c r="X319" i="61"/>
  <c r="Y319" i="61"/>
  <c r="Z319" i="61"/>
  <c r="AA319" i="61"/>
  <c r="AB319" i="61"/>
  <c r="AC319" i="61"/>
  <c r="AF319" i="61"/>
  <c r="AM319" i="61" s="1"/>
  <c r="AH319" i="61"/>
  <c r="AR319" i="61"/>
  <c r="AT319" i="61"/>
  <c r="AU319" i="61"/>
  <c r="AW319" i="61"/>
  <c r="V320" i="61"/>
  <c r="W320" i="61"/>
  <c r="X320" i="61"/>
  <c r="Y320" i="61"/>
  <c r="Z320" i="61"/>
  <c r="AA320" i="61"/>
  <c r="AE320" i="61" s="1"/>
  <c r="AL320" i="61" s="1"/>
  <c r="AB320" i="61"/>
  <c r="AC320" i="61"/>
  <c r="AF320" i="61"/>
  <c r="AJ320" i="61"/>
  <c r="AH320" i="61"/>
  <c r="AR320" i="61"/>
  <c r="AT320" i="61"/>
  <c r="AU320" i="61"/>
  <c r="AV320" i="61" s="1"/>
  <c r="AW320" i="61"/>
  <c r="V321" i="61"/>
  <c r="W321" i="61"/>
  <c r="X321" i="61"/>
  <c r="Y321" i="61"/>
  <c r="Z321" i="61"/>
  <c r="AA321" i="61"/>
  <c r="AB321" i="61"/>
  <c r="AC321" i="61"/>
  <c r="AF321" i="61"/>
  <c r="AH321" i="61"/>
  <c r="AR321" i="61"/>
  <c r="AT321" i="61"/>
  <c r="AU321" i="61"/>
  <c r="AW321" i="61"/>
  <c r="V322" i="61"/>
  <c r="W322" i="61"/>
  <c r="X322" i="61"/>
  <c r="Y322" i="61"/>
  <c r="Z322" i="61"/>
  <c r="AA322" i="61"/>
  <c r="AB322" i="61"/>
  <c r="AC322" i="61"/>
  <c r="AF322" i="61"/>
  <c r="AH322" i="61"/>
  <c r="AR322" i="61"/>
  <c r="AT322" i="61"/>
  <c r="AU322" i="61"/>
  <c r="AW322" i="61"/>
  <c r="V323" i="61"/>
  <c r="W323" i="61"/>
  <c r="X323" i="61"/>
  <c r="Y323" i="61"/>
  <c r="Z323" i="61"/>
  <c r="AA323" i="61"/>
  <c r="AB323" i="61"/>
  <c r="AC323" i="61"/>
  <c r="AF323" i="61"/>
  <c r="AH323" i="61"/>
  <c r="AR323" i="61"/>
  <c r="AT323" i="61"/>
  <c r="AU323" i="61"/>
  <c r="AW323" i="61"/>
  <c r="V324" i="61"/>
  <c r="W324" i="61"/>
  <c r="X324" i="61"/>
  <c r="Y324" i="61"/>
  <c r="Z324" i="61"/>
  <c r="AA324" i="61"/>
  <c r="AD324" i="61" s="1"/>
  <c r="AB324" i="61"/>
  <c r="AC324" i="61"/>
  <c r="AF324" i="61"/>
  <c r="AJ324" i="61" s="1"/>
  <c r="AH324" i="61"/>
  <c r="AR324" i="61"/>
  <c r="AT324" i="61"/>
  <c r="AU324" i="61"/>
  <c r="AW324" i="61"/>
  <c r="V325" i="61"/>
  <c r="W325" i="61"/>
  <c r="X325" i="61"/>
  <c r="Y325" i="61"/>
  <c r="Z325" i="61"/>
  <c r="AA325" i="61"/>
  <c r="AD325" i="61" s="1"/>
  <c r="AB325" i="61"/>
  <c r="AC325" i="61"/>
  <c r="AF325" i="61"/>
  <c r="AH325" i="61"/>
  <c r="AR325" i="61"/>
  <c r="AT325" i="61"/>
  <c r="AU325" i="61"/>
  <c r="AW325" i="61"/>
  <c r="V326" i="61"/>
  <c r="W326" i="61"/>
  <c r="X326" i="61"/>
  <c r="Y326" i="61"/>
  <c r="Z326" i="61"/>
  <c r="AA326" i="61"/>
  <c r="AB326" i="61"/>
  <c r="AC326" i="61"/>
  <c r="AF326" i="61"/>
  <c r="AH326" i="61"/>
  <c r="AR326" i="61"/>
  <c r="AT326" i="61"/>
  <c r="AU326" i="61"/>
  <c r="AW326" i="61"/>
  <c r="V327" i="61"/>
  <c r="W327" i="61"/>
  <c r="X327" i="61"/>
  <c r="Y327" i="61"/>
  <c r="Z327" i="61"/>
  <c r="AA327" i="61"/>
  <c r="AB327" i="61"/>
  <c r="AC327" i="61"/>
  <c r="AF327" i="61"/>
  <c r="AH327" i="61"/>
  <c r="AR327" i="61"/>
  <c r="AT327" i="61"/>
  <c r="AU327" i="61"/>
  <c r="AW327" i="61"/>
  <c r="V328" i="61"/>
  <c r="W328" i="61"/>
  <c r="X328" i="61"/>
  <c r="Y328" i="61"/>
  <c r="Z328" i="61"/>
  <c r="AA328" i="61"/>
  <c r="AE328" i="61" s="1"/>
  <c r="AI328" i="61" s="1"/>
  <c r="AB328" i="61"/>
  <c r="AC328" i="61"/>
  <c r="AF328" i="61"/>
  <c r="AH328" i="61"/>
  <c r="AR328" i="61"/>
  <c r="AT328" i="61"/>
  <c r="AU328" i="61"/>
  <c r="AW328" i="61"/>
  <c r="V329" i="61"/>
  <c r="W329" i="61"/>
  <c r="X329" i="61"/>
  <c r="Y329" i="61"/>
  <c r="Z329" i="61"/>
  <c r="AA329" i="61"/>
  <c r="AB329" i="61"/>
  <c r="AC329" i="61"/>
  <c r="AF329" i="61"/>
  <c r="AH329" i="61"/>
  <c r="AR329" i="61"/>
  <c r="AT329" i="61"/>
  <c r="AU329" i="61"/>
  <c r="AW329" i="61"/>
  <c r="V330" i="61"/>
  <c r="W330" i="61"/>
  <c r="X330" i="61"/>
  <c r="Y330" i="61"/>
  <c r="Z330" i="61"/>
  <c r="AA330" i="61"/>
  <c r="AB330" i="61"/>
  <c r="AC330" i="61"/>
  <c r="AF330" i="61"/>
  <c r="AH330" i="61"/>
  <c r="AR330" i="61"/>
  <c r="AT330" i="61"/>
  <c r="AU330" i="61"/>
  <c r="AW330" i="61"/>
  <c r="V331" i="61"/>
  <c r="W331" i="61"/>
  <c r="X331" i="61"/>
  <c r="Y331" i="61"/>
  <c r="Z331" i="61"/>
  <c r="AA331" i="61"/>
  <c r="AD331" i="61" s="1"/>
  <c r="AB331" i="61"/>
  <c r="AC331" i="61"/>
  <c r="AF331" i="61"/>
  <c r="AH331" i="61"/>
  <c r="AR331" i="61"/>
  <c r="AT331" i="61"/>
  <c r="AV331" i="61" s="1"/>
  <c r="AU331" i="61"/>
  <c r="AW331" i="61"/>
  <c r="V332" i="61"/>
  <c r="W332" i="61"/>
  <c r="X332" i="61"/>
  <c r="Y332" i="61"/>
  <c r="Z332" i="61"/>
  <c r="AA332" i="61"/>
  <c r="AB332" i="61"/>
  <c r="AC332" i="61"/>
  <c r="AF332" i="61"/>
  <c r="AH332" i="61"/>
  <c r="AR332" i="61"/>
  <c r="AT332" i="61"/>
  <c r="AV332" i="61" s="1"/>
  <c r="AU332" i="61"/>
  <c r="AW332" i="61"/>
  <c r="V333" i="61"/>
  <c r="W333" i="61"/>
  <c r="X333" i="61"/>
  <c r="Y333" i="61"/>
  <c r="Z333" i="61"/>
  <c r="AA333" i="61"/>
  <c r="AE333" i="61" s="1"/>
  <c r="AB333" i="61"/>
  <c r="AC333" i="61"/>
  <c r="AF333" i="61"/>
  <c r="AH333" i="61"/>
  <c r="AR333" i="61"/>
  <c r="AT333" i="61"/>
  <c r="AU333" i="61"/>
  <c r="AW333" i="61"/>
  <c r="V334" i="61"/>
  <c r="W334" i="61"/>
  <c r="X334" i="61"/>
  <c r="Y334" i="61"/>
  <c r="Z334" i="61"/>
  <c r="AA334" i="61"/>
  <c r="AE334" i="61" s="1"/>
  <c r="AB334" i="61"/>
  <c r="AC334" i="61"/>
  <c r="AF334" i="61"/>
  <c r="AJ334" i="61" s="1"/>
  <c r="AH334" i="61"/>
  <c r="AR334" i="61"/>
  <c r="AT334" i="61"/>
  <c r="AU334" i="61"/>
  <c r="AW334" i="61"/>
  <c r="V335" i="61"/>
  <c r="W335" i="61"/>
  <c r="X335" i="61"/>
  <c r="Y335" i="61"/>
  <c r="Z335" i="61"/>
  <c r="AA335" i="61"/>
  <c r="AB335" i="61"/>
  <c r="AC335" i="61"/>
  <c r="AF335" i="61"/>
  <c r="AH335" i="61"/>
  <c r="AR335" i="61"/>
  <c r="AT335" i="61"/>
  <c r="AU335" i="61"/>
  <c r="AW335" i="61"/>
  <c r="V336" i="61"/>
  <c r="W336" i="61"/>
  <c r="X336" i="61"/>
  <c r="Y336" i="61"/>
  <c r="Z336" i="61"/>
  <c r="AA336" i="61"/>
  <c r="AB336" i="61"/>
  <c r="AC336" i="61"/>
  <c r="AF336" i="61"/>
  <c r="AH336" i="61"/>
  <c r="AR336" i="61"/>
  <c r="AT336" i="61"/>
  <c r="AV336" i="61" s="1"/>
  <c r="AU336" i="61"/>
  <c r="AW336" i="61"/>
  <c r="V337" i="61"/>
  <c r="W337" i="61"/>
  <c r="X337" i="61"/>
  <c r="Y337" i="61"/>
  <c r="Z337" i="61"/>
  <c r="AA337" i="61"/>
  <c r="AB337" i="61"/>
  <c r="AC337" i="61"/>
  <c r="AF337" i="61"/>
  <c r="AH337" i="61"/>
  <c r="AR337" i="61"/>
  <c r="AT337" i="61"/>
  <c r="AU337" i="61"/>
  <c r="AW337" i="61"/>
  <c r="V338" i="61"/>
  <c r="W338" i="61"/>
  <c r="X338" i="61"/>
  <c r="Y338" i="61"/>
  <c r="Z338" i="61"/>
  <c r="AA338" i="61"/>
  <c r="AB338" i="61"/>
  <c r="AC338" i="61"/>
  <c r="AF338" i="61"/>
  <c r="AM338" i="61"/>
  <c r="AH338" i="61"/>
  <c r="AR338" i="61"/>
  <c r="AT338" i="61"/>
  <c r="AU338" i="61"/>
  <c r="AW338" i="61"/>
  <c r="V339" i="61"/>
  <c r="W339" i="61"/>
  <c r="X339" i="61"/>
  <c r="Y339" i="61"/>
  <c r="Z339" i="61"/>
  <c r="AA339" i="61"/>
  <c r="AE339" i="61" s="1"/>
  <c r="AB339" i="61"/>
  <c r="AC339" i="61"/>
  <c r="AF339" i="61"/>
  <c r="AH339" i="61"/>
  <c r="AR339" i="61"/>
  <c r="AT339" i="61"/>
  <c r="AU339" i="61"/>
  <c r="AW339" i="61"/>
  <c r="V340" i="61"/>
  <c r="W340" i="61"/>
  <c r="X340" i="61"/>
  <c r="Y340" i="61"/>
  <c r="Z340" i="61"/>
  <c r="AA340" i="61"/>
  <c r="AB340" i="61"/>
  <c r="AC340" i="61"/>
  <c r="AF340" i="61"/>
  <c r="AH340" i="61"/>
  <c r="AR340" i="61"/>
  <c r="AT340" i="61"/>
  <c r="AU340" i="61"/>
  <c r="AW340" i="61"/>
  <c r="V341" i="61"/>
  <c r="W341" i="61"/>
  <c r="X341" i="61"/>
  <c r="Y341" i="61"/>
  <c r="Z341" i="61"/>
  <c r="AA341" i="61"/>
  <c r="AB341" i="61"/>
  <c r="AC341" i="61"/>
  <c r="AF341" i="61"/>
  <c r="AH341" i="61"/>
  <c r="AR341" i="61"/>
  <c r="AT341" i="61"/>
  <c r="AU341" i="61"/>
  <c r="AW341" i="61"/>
  <c r="V342" i="61"/>
  <c r="W342" i="61"/>
  <c r="X342" i="61"/>
  <c r="Y342" i="61"/>
  <c r="Z342" i="61"/>
  <c r="AA342" i="61"/>
  <c r="AB342" i="61"/>
  <c r="AC342" i="61"/>
  <c r="AF342" i="61"/>
  <c r="AH342" i="61"/>
  <c r="AR342" i="61"/>
  <c r="AT342" i="61"/>
  <c r="AU342" i="61"/>
  <c r="AW342" i="61"/>
  <c r="V343" i="61"/>
  <c r="W343" i="61"/>
  <c r="X343" i="61"/>
  <c r="Y343" i="61"/>
  <c r="Z343" i="61"/>
  <c r="AA343" i="61"/>
  <c r="AB343" i="61"/>
  <c r="AC343" i="61"/>
  <c r="AF343" i="61"/>
  <c r="AH343" i="61"/>
  <c r="AR343" i="61"/>
  <c r="AT343" i="61"/>
  <c r="AU343" i="61"/>
  <c r="AW343" i="61"/>
  <c r="V344" i="61"/>
  <c r="W344" i="61"/>
  <c r="X344" i="61"/>
  <c r="Y344" i="61"/>
  <c r="Z344" i="61"/>
  <c r="AA344" i="61"/>
  <c r="AB344" i="61"/>
  <c r="AC344" i="61"/>
  <c r="AF344" i="61"/>
  <c r="AH344" i="61"/>
  <c r="AR344" i="61"/>
  <c r="AT344" i="61"/>
  <c r="AU344" i="61"/>
  <c r="AW344" i="61"/>
  <c r="V345" i="61"/>
  <c r="W345" i="61"/>
  <c r="X345" i="61"/>
  <c r="Y345" i="61"/>
  <c r="Z345" i="61"/>
  <c r="AA345" i="61"/>
  <c r="AD345" i="61" s="1"/>
  <c r="AB345" i="61"/>
  <c r="AC345" i="61"/>
  <c r="AF345" i="61"/>
  <c r="AH345" i="61"/>
  <c r="AR345" i="61"/>
  <c r="AT345" i="61"/>
  <c r="AU345" i="61"/>
  <c r="AW345" i="61"/>
  <c r="V346" i="61"/>
  <c r="W346" i="61"/>
  <c r="X346" i="61"/>
  <c r="Y346" i="61"/>
  <c r="Z346" i="61"/>
  <c r="AA346" i="61"/>
  <c r="AB346" i="61"/>
  <c r="AC346" i="61"/>
  <c r="AF346" i="61"/>
  <c r="AJ346" i="61" s="1"/>
  <c r="AH346" i="61"/>
  <c r="AR346" i="61"/>
  <c r="AT346" i="61"/>
  <c r="AV346" i="61" s="1"/>
  <c r="AU346" i="61"/>
  <c r="AW346" i="61"/>
  <c r="V347" i="61"/>
  <c r="W347" i="61"/>
  <c r="X347" i="61"/>
  <c r="Y347" i="61"/>
  <c r="Z347" i="61"/>
  <c r="AA347" i="61"/>
  <c r="AB347" i="61"/>
  <c r="AC347" i="61"/>
  <c r="AF347" i="61"/>
  <c r="AM347" i="61"/>
  <c r="AH347" i="61"/>
  <c r="AR347" i="61"/>
  <c r="AT347" i="61"/>
  <c r="AU347" i="61"/>
  <c r="AW347" i="61"/>
  <c r="V348" i="61"/>
  <c r="W348" i="61"/>
  <c r="X348" i="61"/>
  <c r="Y348" i="61"/>
  <c r="Z348" i="61"/>
  <c r="AA348" i="61"/>
  <c r="AB348" i="61"/>
  <c r="AC348" i="61"/>
  <c r="AF348" i="61"/>
  <c r="AH348" i="61"/>
  <c r="AR348" i="61"/>
  <c r="AT348" i="61"/>
  <c r="AU348" i="61"/>
  <c r="AV348" i="61"/>
  <c r="AW348" i="61"/>
  <c r="V349" i="61"/>
  <c r="W349" i="61"/>
  <c r="X349" i="61"/>
  <c r="Y349" i="61"/>
  <c r="Z349" i="61"/>
  <c r="AA349" i="61"/>
  <c r="AB349" i="61"/>
  <c r="AC349" i="61"/>
  <c r="AF349" i="61"/>
  <c r="AH349" i="61"/>
  <c r="AR349" i="61"/>
  <c r="AT349" i="61"/>
  <c r="AU349" i="61"/>
  <c r="AW349" i="61"/>
  <c r="V350" i="61"/>
  <c r="W350" i="61"/>
  <c r="X350" i="61"/>
  <c r="Y350" i="61"/>
  <c r="Z350" i="61"/>
  <c r="AA350" i="61"/>
  <c r="AB350" i="61"/>
  <c r="AC350" i="61"/>
  <c r="AF350" i="61"/>
  <c r="AH350" i="61"/>
  <c r="AR350" i="61"/>
  <c r="AT350" i="61"/>
  <c r="AU350" i="61"/>
  <c r="AW350" i="61"/>
  <c r="V351" i="61"/>
  <c r="W351" i="61"/>
  <c r="X351" i="61"/>
  <c r="Y351" i="61"/>
  <c r="Z351" i="61"/>
  <c r="AA351" i="61"/>
  <c r="AE351" i="61"/>
  <c r="AB351" i="61"/>
  <c r="AC351" i="61"/>
  <c r="AF351" i="61"/>
  <c r="AH351" i="61"/>
  <c r="AR351" i="61"/>
  <c r="AT351" i="61"/>
  <c r="AV351" i="61" s="1"/>
  <c r="AU351" i="61"/>
  <c r="AW351" i="61"/>
  <c r="V352" i="61"/>
  <c r="W352" i="61"/>
  <c r="X352" i="61"/>
  <c r="Y352" i="61"/>
  <c r="Z352" i="61"/>
  <c r="AA352" i="61"/>
  <c r="AB352" i="61"/>
  <c r="AC352" i="61"/>
  <c r="AF352" i="61"/>
  <c r="AJ352" i="61" s="1"/>
  <c r="AH352" i="61"/>
  <c r="AR352" i="61"/>
  <c r="AT352" i="61"/>
  <c r="AU352" i="61"/>
  <c r="AW352" i="61"/>
  <c r="V353" i="61"/>
  <c r="W353" i="61"/>
  <c r="X353" i="61"/>
  <c r="Y353" i="61"/>
  <c r="Z353" i="61"/>
  <c r="AA353" i="61"/>
  <c r="AB353" i="61"/>
  <c r="AC353" i="61"/>
  <c r="AF353" i="61"/>
  <c r="AH353" i="61"/>
  <c r="AR353" i="61"/>
  <c r="AT353" i="61"/>
  <c r="AU353" i="61"/>
  <c r="AV353" i="61"/>
  <c r="AW353" i="61"/>
  <c r="V354" i="61"/>
  <c r="W354" i="61"/>
  <c r="X354" i="61"/>
  <c r="Y354" i="61"/>
  <c r="Z354" i="61"/>
  <c r="AA354" i="61"/>
  <c r="AD354" i="61"/>
  <c r="AB354" i="61"/>
  <c r="AC354" i="61"/>
  <c r="AF354" i="61"/>
  <c r="AH354" i="61"/>
  <c r="AR354" i="61"/>
  <c r="AT354" i="61"/>
  <c r="AU354" i="61"/>
  <c r="AW354" i="61"/>
  <c r="V355" i="61"/>
  <c r="W355" i="61"/>
  <c r="X355" i="61"/>
  <c r="Y355" i="61"/>
  <c r="Z355" i="61"/>
  <c r="AA355" i="61"/>
  <c r="AB355" i="61"/>
  <c r="AC355" i="61"/>
  <c r="AF355" i="61"/>
  <c r="AH355" i="61"/>
  <c r="AR355" i="61"/>
  <c r="AT355" i="61"/>
  <c r="AU355" i="61"/>
  <c r="AW355" i="61"/>
  <c r="V356" i="61"/>
  <c r="W356" i="61"/>
  <c r="X356" i="61"/>
  <c r="Y356" i="61"/>
  <c r="AI356" i="61" s="1"/>
  <c r="AS356" i="61" s="1"/>
  <c r="Z356" i="61"/>
  <c r="AA356" i="61"/>
  <c r="AD356" i="61" s="1"/>
  <c r="AB356" i="61"/>
  <c r="AC356" i="61"/>
  <c r="AF356" i="61"/>
  <c r="AJ356" i="61" s="1"/>
  <c r="AH356" i="61"/>
  <c r="AR356" i="61"/>
  <c r="AT356" i="61"/>
  <c r="AV356" i="61" s="1"/>
  <c r="AU356" i="61"/>
  <c r="AW356" i="61"/>
  <c r="V357" i="61"/>
  <c r="W357" i="61"/>
  <c r="X357" i="61"/>
  <c r="Y357" i="61"/>
  <c r="Z357" i="61"/>
  <c r="AA357" i="61"/>
  <c r="AB357" i="61"/>
  <c r="AC357" i="61"/>
  <c r="AF357" i="61"/>
  <c r="AM357" i="61"/>
  <c r="AH357" i="61"/>
  <c r="AR357" i="61"/>
  <c r="AT357" i="61"/>
  <c r="AV357" i="61"/>
  <c r="AU357" i="61"/>
  <c r="AW357" i="61"/>
  <c r="V358" i="61"/>
  <c r="W358" i="61"/>
  <c r="X358" i="61"/>
  <c r="Y358" i="61"/>
  <c r="Z358" i="61"/>
  <c r="AA358" i="61"/>
  <c r="AB358" i="61"/>
  <c r="AC358" i="61"/>
  <c r="AF358" i="61"/>
  <c r="AH358" i="61"/>
  <c r="AR358" i="61"/>
  <c r="AT358" i="61"/>
  <c r="AU358" i="61"/>
  <c r="AV358" i="61"/>
  <c r="AW358" i="61"/>
  <c r="V359" i="61"/>
  <c r="W359" i="61"/>
  <c r="X359" i="61"/>
  <c r="Y359" i="61"/>
  <c r="Z359" i="61"/>
  <c r="AA359" i="61"/>
  <c r="AD359" i="61"/>
  <c r="AB359" i="61"/>
  <c r="AC359" i="61"/>
  <c r="AF359" i="61"/>
  <c r="AH359" i="61"/>
  <c r="AR359" i="61"/>
  <c r="AT359" i="61"/>
  <c r="AU359" i="61"/>
  <c r="AW359" i="61"/>
  <c r="V360" i="61"/>
  <c r="W360" i="61"/>
  <c r="X360" i="61"/>
  <c r="Y360" i="61"/>
  <c r="Z360" i="61"/>
  <c r="AA360" i="61"/>
  <c r="AB360" i="61"/>
  <c r="AC360" i="61"/>
  <c r="AF360" i="61"/>
  <c r="AH360" i="61"/>
  <c r="AR360" i="61"/>
  <c r="AT360" i="61"/>
  <c r="AU360" i="61"/>
  <c r="AW360" i="61"/>
  <c r="V361" i="61"/>
  <c r="W361" i="61"/>
  <c r="X361" i="61"/>
  <c r="Y361" i="61"/>
  <c r="Z361" i="61"/>
  <c r="AA361" i="61"/>
  <c r="AB361" i="61"/>
  <c r="AC361" i="61"/>
  <c r="AF361" i="61"/>
  <c r="AH361" i="61"/>
  <c r="AR361" i="61"/>
  <c r="AT361" i="61"/>
  <c r="AU361" i="61"/>
  <c r="AW361" i="61"/>
  <c r="V362" i="61"/>
  <c r="W362" i="61"/>
  <c r="X362" i="61"/>
  <c r="Y362" i="61"/>
  <c r="AI362" i="61" s="1"/>
  <c r="AS362" i="61" s="1"/>
  <c r="Z362" i="61"/>
  <c r="AA362" i="61"/>
  <c r="AB362" i="61"/>
  <c r="AC362" i="61"/>
  <c r="AF362" i="61"/>
  <c r="AH362" i="61"/>
  <c r="AR362" i="61"/>
  <c r="AT362" i="61"/>
  <c r="AV362" i="61" s="1"/>
  <c r="AU362" i="61"/>
  <c r="AW362" i="61"/>
  <c r="V363" i="61"/>
  <c r="W363" i="61"/>
  <c r="X363" i="61"/>
  <c r="Y363" i="61"/>
  <c r="Z363" i="61"/>
  <c r="AA363" i="61"/>
  <c r="AB363" i="61"/>
  <c r="AC363" i="61"/>
  <c r="AF363" i="61"/>
  <c r="AH363" i="61"/>
  <c r="AR363" i="61"/>
  <c r="AT363" i="61"/>
  <c r="AU363" i="61"/>
  <c r="AW363" i="61"/>
  <c r="V364" i="61"/>
  <c r="W364" i="61"/>
  <c r="X364" i="61"/>
  <c r="Y364" i="61"/>
  <c r="Z364" i="61"/>
  <c r="AA364" i="61"/>
  <c r="AB364" i="61"/>
  <c r="AC364" i="61"/>
  <c r="AF364" i="61"/>
  <c r="AH364" i="61"/>
  <c r="AR364" i="61"/>
  <c r="AT364" i="61"/>
  <c r="AU364" i="61"/>
  <c r="AW364" i="61"/>
  <c r="V365" i="61"/>
  <c r="W365" i="61"/>
  <c r="X365" i="61"/>
  <c r="Y365" i="61"/>
  <c r="Z365" i="61"/>
  <c r="AA365" i="61"/>
  <c r="AB365" i="61"/>
  <c r="AC365" i="61"/>
  <c r="AF365" i="61"/>
  <c r="AJ365" i="61" s="1"/>
  <c r="AH365" i="61"/>
  <c r="AR365" i="61"/>
  <c r="AT365" i="61"/>
  <c r="AU365" i="61"/>
  <c r="AW365" i="61"/>
  <c r="V366" i="61"/>
  <c r="W366" i="61"/>
  <c r="X366" i="61"/>
  <c r="Y366" i="61"/>
  <c r="Z366" i="61"/>
  <c r="AA366" i="61"/>
  <c r="AB366" i="61"/>
  <c r="AC366" i="61"/>
  <c r="AF366" i="61"/>
  <c r="AH366" i="61"/>
  <c r="AR366" i="61"/>
  <c r="AT366" i="61"/>
  <c r="AV366" i="61" s="1"/>
  <c r="AU366" i="61"/>
  <c r="AW366" i="61"/>
  <c r="V367" i="61"/>
  <c r="W367" i="61"/>
  <c r="X367" i="61"/>
  <c r="Y367" i="61"/>
  <c r="Z367" i="61"/>
  <c r="AA367" i="61"/>
  <c r="AB367" i="61"/>
  <c r="AC367" i="61"/>
  <c r="AF367" i="61"/>
  <c r="AH367" i="61"/>
  <c r="AR367" i="61"/>
  <c r="AT367" i="61"/>
  <c r="AU367" i="61"/>
  <c r="AW367" i="61"/>
  <c r="V368" i="61"/>
  <c r="W368" i="61"/>
  <c r="X368" i="61"/>
  <c r="Y368" i="61"/>
  <c r="Z368" i="61"/>
  <c r="AA368" i="61"/>
  <c r="AD368" i="61" s="1"/>
  <c r="AB368" i="61"/>
  <c r="AC368" i="61"/>
  <c r="AF368" i="61"/>
  <c r="AH368" i="61"/>
  <c r="AR368" i="61"/>
  <c r="AT368" i="61"/>
  <c r="AU368" i="61"/>
  <c r="AW368" i="61"/>
  <c r="V369" i="61"/>
  <c r="W369" i="61"/>
  <c r="X369" i="61"/>
  <c r="Y369" i="61"/>
  <c r="Z369" i="61"/>
  <c r="AA369" i="61"/>
  <c r="AB369" i="61"/>
  <c r="AC369" i="61"/>
  <c r="AF369" i="61"/>
  <c r="AJ369" i="61" s="1"/>
  <c r="AH369" i="61"/>
  <c r="AR369" i="61"/>
  <c r="AT369" i="61"/>
  <c r="AU369" i="61"/>
  <c r="AW369" i="61"/>
  <c r="V370" i="61"/>
  <c r="W370" i="61"/>
  <c r="X370" i="61"/>
  <c r="Y370" i="61"/>
  <c r="Z370" i="61"/>
  <c r="AA370" i="61"/>
  <c r="AB370" i="61"/>
  <c r="AC370" i="61"/>
  <c r="AF370" i="61"/>
  <c r="AJ370" i="61" s="1"/>
  <c r="AH370" i="61"/>
  <c r="AR370" i="61"/>
  <c r="AT370" i="61"/>
  <c r="AU370" i="61"/>
  <c r="AW370" i="61"/>
  <c r="V371" i="61"/>
  <c r="W371" i="61"/>
  <c r="X371" i="61"/>
  <c r="Y371" i="61"/>
  <c r="Z371" i="61"/>
  <c r="AA371" i="61"/>
  <c r="AB371" i="61"/>
  <c r="AC371" i="61"/>
  <c r="AF371" i="61"/>
  <c r="AH371" i="61"/>
  <c r="AR371" i="61"/>
  <c r="AT371" i="61"/>
  <c r="AU371" i="61"/>
  <c r="AW371" i="61"/>
  <c r="V372" i="61"/>
  <c r="W372" i="61"/>
  <c r="X372" i="61"/>
  <c r="Y372" i="61"/>
  <c r="Z372" i="61"/>
  <c r="AA372" i="61"/>
  <c r="AB372" i="61"/>
  <c r="AC372" i="61"/>
  <c r="AF372" i="61"/>
  <c r="AH372" i="61"/>
  <c r="AR372" i="61"/>
  <c r="AT372" i="61"/>
  <c r="AV372" i="61" s="1"/>
  <c r="AU372" i="61"/>
  <c r="AW372" i="61"/>
  <c r="V373" i="61"/>
  <c r="W373" i="61"/>
  <c r="X373" i="61"/>
  <c r="Y373" i="61"/>
  <c r="Z373" i="61"/>
  <c r="AA373" i="61"/>
  <c r="AB373" i="61"/>
  <c r="AC373" i="61"/>
  <c r="AF373" i="61"/>
  <c r="AH373" i="61"/>
  <c r="AR373" i="61"/>
  <c r="AT373" i="61"/>
  <c r="AU373" i="61"/>
  <c r="AV373" i="61" s="1"/>
  <c r="AW373" i="61"/>
  <c r="V374" i="61"/>
  <c r="W374" i="61"/>
  <c r="X374" i="61"/>
  <c r="Y374" i="61"/>
  <c r="Z374" i="61"/>
  <c r="AA374" i="61"/>
  <c r="AB374" i="61"/>
  <c r="AC374" i="61"/>
  <c r="AF374" i="61"/>
  <c r="AH374" i="61"/>
  <c r="AR374" i="61"/>
  <c r="AT374" i="61"/>
  <c r="AU374" i="61"/>
  <c r="AV374" i="61" s="1"/>
  <c r="AW374" i="61"/>
  <c r="V375" i="61"/>
  <c r="W375" i="61"/>
  <c r="X375" i="61"/>
  <c r="Y375" i="61"/>
  <c r="Z375" i="61"/>
  <c r="AA375" i="61"/>
  <c r="AB375" i="61"/>
  <c r="AC375" i="61"/>
  <c r="AF375" i="61"/>
  <c r="AH375" i="61"/>
  <c r="AR375" i="61"/>
  <c r="AT375" i="61"/>
  <c r="AU375" i="61"/>
  <c r="AW375" i="61"/>
  <c r="V376" i="61"/>
  <c r="W376" i="61"/>
  <c r="X376" i="61"/>
  <c r="Y376" i="61"/>
  <c r="Z376" i="61"/>
  <c r="AA376" i="61"/>
  <c r="AB376" i="61"/>
  <c r="AC376" i="61"/>
  <c r="AF376" i="61"/>
  <c r="AH376" i="61"/>
  <c r="AR376" i="61"/>
  <c r="AT376" i="61"/>
  <c r="AU376" i="61"/>
  <c r="AV376" i="61"/>
  <c r="AW376" i="61"/>
  <c r="V377" i="61"/>
  <c r="W377" i="61"/>
  <c r="X377" i="61"/>
  <c r="Y377" i="61"/>
  <c r="Z377" i="61"/>
  <c r="AA377" i="61"/>
  <c r="AB377" i="61"/>
  <c r="AC377" i="61"/>
  <c r="AF377" i="61"/>
  <c r="AH377" i="61"/>
  <c r="AR377" i="61"/>
  <c r="AT377" i="61"/>
  <c r="AU377" i="61"/>
  <c r="AW377" i="61"/>
  <c r="V378" i="61"/>
  <c r="W378" i="61"/>
  <c r="X378" i="61"/>
  <c r="Y378" i="61"/>
  <c r="Z378" i="61"/>
  <c r="AA378" i="61"/>
  <c r="AB378" i="61"/>
  <c r="AC378" i="61"/>
  <c r="AF378" i="61"/>
  <c r="AJ378" i="61" s="1"/>
  <c r="AH378" i="61"/>
  <c r="AR378" i="61"/>
  <c r="AT378" i="61"/>
  <c r="AU378" i="61"/>
  <c r="AW378" i="61"/>
  <c r="V379" i="61"/>
  <c r="W379" i="61"/>
  <c r="X379" i="61"/>
  <c r="Y379" i="61"/>
  <c r="Z379" i="61"/>
  <c r="AA379" i="61"/>
  <c r="AB379" i="61"/>
  <c r="AC379" i="61"/>
  <c r="AF379" i="61"/>
  <c r="AM379" i="61" s="1"/>
  <c r="AH379" i="61"/>
  <c r="AR379" i="61"/>
  <c r="AT379" i="61"/>
  <c r="AU379" i="61"/>
  <c r="AW379" i="61"/>
  <c r="V380" i="61"/>
  <c r="W380" i="61"/>
  <c r="X380" i="61"/>
  <c r="Y380" i="61"/>
  <c r="Z380" i="61"/>
  <c r="AA380" i="61"/>
  <c r="AB380" i="61"/>
  <c r="AI380" i="61" s="1"/>
  <c r="AS380" i="61" s="1"/>
  <c r="AC380" i="61"/>
  <c r="AF380" i="61"/>
  <c r="AM380" i="61" s="1"/>
  <c r="AH380" i="61"/>
  <c r="AR380" i="61"/>
  <c r="AT380" i="61"/>
  <c r="AU380" i="61"/>
  <c r="AW380" i="61"/>
  <c r="V381" i="61"/>
  <c r="W381" i="61"/>
  <c r="X381" i="61"/>
  <c r="Y381" i="61"/>
  <c r="Z381" i="61"/>
  <c r="AA381" i="61"/>
  <c r="AB381" i="61"/>
  <c r="AC381" i="61"/>
  <c r="AF381" i="61"/>
  <c r="AH381" i="61"/>
  <c r="AR381" i="61"/>
  <c r="AT381" i="61"/>
  <c r="AU381" i="61"/>
  <c r="AW381" i="61"/>
  <c r="V382" i="61"/>
  <c r="W382" i="61"/>
  <c r="X382" i="61"/>
  <c r="Y382" i="61"/>
  <c r="Z382" i="61"/>
  <c r="AA382" i="61"/>
  <c r="AB382" i="61"/>
  <c r="AC382" i="61"/>
  <c r="AF382" i="61"/>
  <c r="AH382" i="61"/>
  <c r="AR382" i="61"/>
  <c r="AT382" i="61"/>
  <c r="AU382" i="61"/>
  <c r="AW382" i="61"/>
  <c r="V383" i="61"/>
  <c r="W383" i="61"/>
  <c r="X383" i="61"/>
  <c r="Y383" i="61"/>
  <c r="Z383" i="61"/>
  <c r="AA383" i="61"/>
  <c r="AE383" i="61"/>
  <c r="AL383" i="61" s="1"/>
  <c r="AB383" i="61"/>
  <c r="AC383" i="61"/>
  <c r="AF383" i="61"/>
  <c r="AH383" i="61"/>
  <c r="AR383" i="61"/>
  <c r="AT383" i="61"/>
  <c r="AU383" i="61"/>
  <c r="AV383" i="61" s="1"/>
  <c r="AW383" i="61"/>
  <c r="V384" i="61"/>
  <c r="W384" i="61"/>
  <c r="X384" i="61"/>
  <c r="Y384" i="61"/>
  <c r="Z384" i="61"/>
  <c r="AA384" i="61"/>
  <c r="AB384" i="61"/>
  <c r="AI384" i="61" s="1"/>
  <c r="AS384" i="61" s="1"/>
  <c r="AC384" i="61"/>
  <c r="AF384" i="61"/>
  <c r="AM384" i="61" s="1"/>
  <c r="AH384" i="61"/>
  <c r="AR384" i="61"/>
  <c r="AT384" i="61"/>
  <c r="AU384" i="61"/>
  <c r="AW384" i="61"/>
  <c r="V385" i="61"/>
  <c r="W385" i="61"/>
  <c r="X385" i="61"/>
  <c r="Y385" i="61"/>
  <c r="Z385" i="61"/>
  <c r="AA385" i="61"/>
  <c r="AB385" i="61"/>
  <c r="AC385" i="61"/>
  <c r="AF385" i="61"/>
  <c r="AH385" i="61"/>
  <c r="AR385" i="61"/>
  <c r="AT385" i="61"/>
  <c r="AU385" i="61"/>
  <c r="AW385" i="61"/>
  <c r="V386" i="61"/>
  <c r="W386" i="61"/>
  <c r="X386" i="61"/>
  <c r="Y386" i="61"/>
  <c r="Z386" i="61"/>
  <c r="AA386" i="61"/>
  <c r="AB386" i="61"/>
  <c r="AC386" i="61"/>
  <c r="AF386" i="61"/>
  <c r="AH386" i="61"/>
  <c r="AR386" i="61"/>
  <c r="AT386" i="61"/>
  <c r="AU386" i="61"/>
  <c r="AW386" i="61"/>
  <c r="V387" i="61"/>
  <c r="W387" i="61"/>
  <c r="X387" i="61"/>
  <c r="Y387" i="61"/>
  <c r="Z387" i="61"/>
  <c r="AA387" i="61"/>
  <c r="AB387" i="61"/>
  <c r="AC387" i="61"/>
  <c r="AF387" i="61"/>
  <c r="AH387" i="61"/>
  <c r="AR387" i="61"/>
  <c r="AT387" i="61"/>
  <c r="AU387" i="61"/>
  <c r="AV387" i="61" s="1"/>
  <c r="AW387" i="61"/>
  <c r="V388" i="61"/>
  <c r="W388" i="61"/>
  <c r="X388" i="61"/>
  <c r="Y388" i="61"/>
  <c r="Z388" i="61"/>
  <c r="AA388" i="61"/>
  <c r="AB388" i="61"/>
  <c r="AC388" i="61"/>
  <c r="AF388" i="61"/>
  <c r="AH388" i="61"/>
  <c r="AR388" i="61"/>
  <c r="AT388" i="61"/>
  <c r="AU388" i="61"/>
  <c r="AW388" i="61"/>
  <c r="V389" i="61"/>
  <c r="W389" i="61"/>
  <c r="X389" i="61"/>
  <c r="Y389" i="61"/>
  <c r="Z389" i="61"/>
  <c r="AA389" i="61"/>
  <c r="AB389" i="61"/>
  <c r="AC389" i="61"/>
  <c r="AF389" i="61"/>
  <c r="AH389" i="61"/>
  <c r="AR389" i="61"/>
  <c r="AT389" i="61"/>
  <c r="AV389" i="61" s="1"/>
  <c r="AU389" i="61"/>
  <c r="AW389" i="61"/>
  <c r="V390" i="61"/>
  <c r="W390" i="61"/>
  <c r="X390" i="61"/>
  <c r="Y390" i="61"/>
  <c r="Z390" i="61"/>
  <c r="AA390" i="61"/>
  <c r="AD390" i="61" s="1"/>
  <c r="AB390" i="61"/>
  <c r="AC390" i="61"/>
  <c r="AF390" i="61"/>
  <c r="AH390" i="61"/>
  <c r="AR390" i="61"/>
  <c r="AT390" i="61"/>
  <c r="AU390" i="61"/>
  <c r="AW390" i="61"/>
  <c r="V391" i="61"/>
  <c r="W391" i="61"/>
  <c r="X391" i="61"/>
  <c r="Y391" i="61"/>
  <c r="Z391" i="61"/>
  <c r="AA391" i="61"/>
  <c r="AB391" i="61"/>
  <c r="AC391" i="61"/>
  <c r="AF391" i="61"/>
  <c r="AM391" i="61"/>
  <c r="AH391" i="61"/>
  <c r="AR391" i="61"/>
  <c r="AT391" i="61"/>
  <c r="AU391" i="61"/>
  <c r="AW391" i="61"/>
  <c r="V392" i="61"/>
  <c r="W392" i="61"/>
  <c r="X392" i="61"/>
  <c r="Y392" i="61"/>
  <c r="Z392" i="61"/>
  <c r="AA392" i="61"/>
  <c r="AB392" i="61"/>
  <c r="AC392" i="61"/>
  <c r="AF392" i="61"/>
  <c r="AH392" i="61"/>
  <c r="AR392" i="61"/>
  <c r="AT392" i="61"/>
  <c r="AU392" i="61"/>
  <c r="AW392" i="61"/>
  <c r="V393" i="61"/>
  <c r="W393" i="61"/>
  <c r="X393" i="61"/>
  <c r="Y393" i="61"/>
  <c r="Z393" i="61"/>
  <c r="AA393" i="61"/>
  <c r="AB393" i="61"/>
  <c r="AC393" i="61"/>
  <c r="AF393" i="61"/>
  <c r="AM393" i="61" s="1"/>
  <c r="AH393" i="61"/>
  <c r="AR393" i="61"/>
  <c r="AT393" i="61"/>
  <c r="AU393" i="61"/>
  <c r="AW393" i="61"/>
  <c r="V394" i="61"/>
  <c r="W394" i="61"/>
  <c r="X394" i="61"/>
  <c r="Y394" i="61"/>
  <c r="Z394" i="61"/>
  <c r="AA394" i="61"/>
  <c r="AB394" i="61"/>
  <c r="AC394" i="61"/>
  <c r="AF394" i="61"/>
  <c r="AH394" i="61"/>
  <c r="AR394" i="61"/>
  <c r="AT394" i="61"/>
  <c r="AU394" i="61"/>
  <c r="AW394" i="61"/>
  <c r="V395" i="61"/>
  <c r="W395" i="61"/>
  <c r="X395" i="61"/>
  <c r="Y395" i="61"/>
  <c r="Z395" i="61"/>
  <c r="AA395" i="61"/>
  <c r="AE395" i="61"/>
  <c r="AB395" i="61"/>
  <c r="AC395" i="61"/>
  <c r="AF395" i="61"/>
  <c r="AH395" i="61"/>
  <c r="AR395" i="61"/>
  <c r="AT395" i="61"/>
  <c r="AU395" i="61"/>
  <c r="AW395" i="61"/>
  <c r="V396" i="61"/>
  <c r="W396" i="61"/>
  <c r="X396" i="61"/>
  <c r="Y396" i="61"/>
  <c r="AI396" i="61" s="1"/>
  <c r="AS396" i="61" s="1"/>
  <c r="Z396" i="61"/>
  <c r="AA396" i="61"/>
  <c r="AB396" i="61"/>
  <c r="AC396" i="61"/>
  <c r="AF396" i="61"/>
  <c r="AM396" i="61"/>
  <c r="AH396" i="61"/>
  <c r="AR396" i="61"/>
  <c r="AT396" i="61"/>
  <c r="AU396" i="61"/>
  <c r="AW396" i="61"/>
  <c r="V397" i="61"/>
  <c r="W397" i="61"/>
  <c r="X397" i="61"/>
  <c r="Y397" i="61"/>
  <c r="Z397" i="61"/>
  <c r="AA397" i="61"/>
  <c r="AB397" i="61"/>
  <c r="AC397" i="61"/>
  <c r="AF397" i="61"/>
  <c r="AM397" i="61" s="1"/>
  <c r="AH397" i="61"/>
  <c r="AR397" i="61"/>
  <c r="AT397" i="61"/>
  <c r="AU397" i="61"/>
  <c r="AV397" i="61" s="1"/>
  <c r="AW397" i="61"/>
  <c r="V398" i="61"/>
  <c r="W398" i="61"/>
  <c r="X398" i="61"/>
  <c r="Y398" i="61"/>
  <c r="Z398" i="61"/>
  <c r="AA398" i="61"/>
  <c r="AB398" i="61"/>
  <c r="AI398" i="61" s="1"/>
  <c r="AS398" i="61" s="1"/>
  <c r="AC398" i="61"/>
  <c r="AF398" i="61"/>
  <c r="AM398" i="61" s="1"/>
  <c r="AH398" i="61"/>
  <c r="AR398" i="61"/>
  <c r="AT398" i="61"/>
  <c r="AU398" i="61"/>
  <c r="AW398" i="61"/>
  <c r="V399" i="61"/>
  <c r="W399" i="61"/>
  <c r="X399" i="61"/>
  <c r="Y399" i="61"/>
  <c r="Z399" i="61"/>
  <c r="AA399" i="61"/>
  <c r="AB399" i="61"/>
  <c r="AC399" i="61"/>
  <c r="AF399" i="61"/>
  <c r="AH399" i="61"/>
  <c r="AR399" i="61"/>
  <c r="AT399" i="61"/>
  <c r="AU399" i="61"/>
  <c r="AW399" i="61"/>
  <c r="V400" i="61"/>
  <c r="W400" i="61"/>
  <c r="X400" i="61"/>
  <c r="Y400" i="61"/>
  <c r="Z400" i="61"/>
  <c r="AA400" i="61"/>
  <c r="AB400" i="61"/>
  <c r="AC400" i="61"/>
  <c r="AF400" i="61"/>
  <c r="AH400" i="61"/>
  <c r="AR400" i="61"/>
  <c r="AT400" i="61"/>
  <c r="AU400" i="61"/>
  <c r="AW400" i="61"/>
  <c r="V401" i="61"/>
  <c r="W401" i="61"/>
  <c r="X401" i="61"/>
  <c r="Y401" i="61"/>
  <c r="Z401" i="61"/>
  <c r="AA401" i="61"/>
  <c r="AB401" i="61"/>
  <c r="AC401" i="61"/>
  <c r="AF401" i="61"/>
  <c r="AJ401" i="61" s="1"/>
  <c r="AH401" i="61"/>
  <c r="AR401" i="61"/>
  <c r="AT401" i="61"/>
  <c r="AU401" i="61"/>
  <c r="AV401" i="61" s="1"/>
  <c r="AW401" i="61"/>
  <c r="V402" i="61"/>
  <c r="W402" i="61"/>
  <c r="X402" i="61"/>
  <c r="Y402" i="61"/>
  <c r="Z402" i="61"/>
  <c r="AA402" i="61"/>
  <c r="AE402" i="61" s="1"/>
  <c r="AQ402" i="61" s="1"/>
  <c r="AB402" i="61"/>
  <c r="AC402" i="61"/>
  <c r="AF402" i="61"/>
  <c r="AH402" i="61"/>
  <c r="AR402" i="61"/>
  <c r="AT402" i="61"/>
  <c r="AU402" i="61"/>
  <c r="AW402" i="61"/>
  <c r="V403" i="61"/>
  <c r="W403" i="61"/>
  <c r="X403" i="61"/>
  <c r="Y403" i="61"/>
  <c r="Z403" i="61"/>
  <c r="AA403" i="61"/>
  <c r="AE403" i="61"/>
  <c r="AB403" i="61"/>
  <c r="AC403" i="61"/>
  <c r="AF403" i="61"/>
  <c r="AH403" i="61"/>
  <c r="AR403" i="61"/>
  <c r="AT403" i="61"/>
  <c r="AU403" i="61"/>
  <c r="AW403" i="61"/>
  <c r="V404" i="61"/>
  <c r="W404" i="61"/>
  <c r="X404" i="61"/>
  <c r="Y404" i="61"/>
  <c r="Z404" i="61"/>
  <c r="AA404" i="61"/>
  <c r="AB404" i="61"/>
  <c r="AC404" i="61"/>
  <c r="AF404" i="61"/>
  <c r="AH404" i="61"/>
  <c r="AR404" i="61"/>
  <c r="AT404" i="61"/>
  <c r="AU404" i="61"/>
  <c r="AW404" i="61"/>
  <c r="V405" i="61"/>
  <c r="W405" i="61"/>
  <c r="X405" i="61"/>
  <c r="Y405" i="61"/>
  <c r="AI405" i="61" s="1"/>
  <c r="Z405" i="61"/>
  <c r="AA405" i="61"/>
  <c r="AB405" i="61"/>
  <c r="AC405" i="61"/>
  <c r="AF405" i="61"/>
  <c r="AH405" i="61"/>
  <c r="AR405" i="61"/>
  <c r="AT405" i="61"/>
  <c r="AV405" i="61" s="1"/>
  <c r="AU405" i="61"/>
  <c r="AW405" i="61"/>
  <c r="V406" i="61"/>
  <c r="W406" i="61"/>
  <c r="X406" i="61"/>
  <c r="Y406" i="61"/>
  <c r="Z406" i="61"/>
  <c r="AA406" i="61"/>
  <c r="AB406" i="61"/>
  <c r="AC406" i="61"/>
  <c r="AF406" i="61"/>
  <c r="AH406" i="61"/>
  <c r="AR406" i="61"/>
  <c r="AT406" i="61"/>
  <c r="AU406" i="61"/>
  <c r="AW406" i="61"/>
  <c r="V407" i="61"/>
  <c r="W407" i="61"/>
  <c r="X407" i="61"/>
  <c r="Y407" i="61"/>
  <c r="Z407" i="61"/>
  <c r="AA407" i="61"/>
  <c r="AB407" i="61"/>
  <c r="AC407" i="61"/>
  <c r="AF407" i="61"/>
  <c r="AJ407" i="61" s="1"/>
  <c r="AM407" i="61"/>
  <c r="AH407" i="61"/>
  <c r="AR407" i="61"/>
  <c r="AT407" i="61"/>
  <c r="AU407" i="61"/>
  <c r="AW407" i="61"/>
  <c r="V408" i="61"/>
  <c r="W408" i="61"/>
  <c r="X408" i="61"/>
  <c r="Y408" i="61"/>
  <c r="Z408" i="61"/>
  <c r="AA408" i="61"/>
  <c r="AB408" i="61"/>
  <c r="AC408" i="61"/>
  <c r="AF408" i="61"/>
  <c r="AH408" i="61"/>
  <c r="AR408" i="61"/>
  <c r="AT408" i="61"/>
  <c r="AU408" i="61"/>
  <c r="AW408" i="61"/>
  <c r="V409" i="61"/>
  <c r="W409" i="61"/>
  <c r="X409" i="61"/>
  <c r="Y409" i="61"/>
  <c r="Z409" i="61"/>
  <c r="AA409" i="61"/>
  <c r="AB409" i="61"/>
  <c r="AC409" i="61"/>
  <c r="AF409" i="61"/>
  <c r="AH409" i="61"/>
  <c r="AR409" i="61"/>
  <c r="AT409" i="61"/>
  <c r="AU409" i="61"/>
  <c r="AW409" i="61"/>
  <c r="V410" i="61"/>
  <c r="W410" i="61"/>
  <c r="X410" i="61"/>
  <c r="Y410" i="61"/>
  <c r="Z410" i="61"/>
  <c r="AA410" i="61"/>
  <c r="AB410" i="61"/>
  <c r="AC410" i="61"/>
  <c r="AF410" i="61"/>
  <c r="AJ410" i="61" s="1"/>
  <c r="AH410" i="61"/>
  <c r="AR410" i="61"/>
  <c r="AT410" i="61"/>
  <c r="AU410" i="61"/>
  <c r="AV410" i="61" s="1"/>
  <c r="AW410" i="61"/>
  <c r="V411" i="61"/>
  <c r="W411" i="61"/>
  <c r="X411" i="61"/>
  <c r="Y411" i="61"/>
  <c r="Z411" i="61"/>
  <c r="AA411" i="61"/>
  <c r="AE411" i="61" s="1"/>
  <c r="AB411" i="61"/>
  <c r="AI411" i="61" s="1"/>
  <c r="AS411" i="61" s="1"/>
  <c r="AC411" i="61"/>
  <c r="AF411" i="61"/>
  <c r="AM411" i="61" s="1"/>
  <c r="AH411" i="61"/>
  <c r="AR411" i="61"/>
  <c r="AT411" i="61"/>
  <c r="AU411" i="61"/>
  <c r="AW411" i="61"/>
  <c r="V412" i="61"/>
  <c r="W412" i="61"/>
  <c r="X412" i="61"/>
  <c r="Y412" i="61"/>
  <c r="Z412" i="61"/>
  <c r="AA412" i="61"/>
  <c r="AB412" i="61"/>
  <c r="AC412" i="61"/>
  <c r="AF412" i="61"/>
  <c r="AH412" i="61"/>
  <c r="AR412" i="61"/>
  <c r="AT412" i="61"/>
  <c r="AU412" i="61"/>
  <c r="AW412" i="61"/>
  <c r="V413" i="61"/>
  <c r="W413" i="61"/>
  <c r="X413" i="61"/>
  <c r="Y413" i="61"/>
  <c r="Z413" i="61"/>
  <c r="AA413" i="61"/>
  <c r="AE413" i="61" s="1"/>
  <c r="AO413" i="61" s="1"/>
  <c r="AB413" i="61"/>
  <c r="AC413" i="61"/>
  <c r="AF413" i="61"/>
  <c r="AJ413" i="61" s="1"/>
  <c r="AH413" i="61"/>
  <c r="AR413" i="61"/>
  <c r="AT413" i="61"/>
  <c r="AU413" i="61"/>
  <c r="AW413" i="61"/>
  <c r="V414" i="61"/>
  <c r="W414" i="61"/>
  <c r="X414" i="61"/>
  <c r="Y414" i="61"/>
  <c r="Z414" i="61"/>
  <c r="AA414" i="61"/>
  <c r="AB414" i="61"/>
  <c r="AC414" i="61"/>
  <c r="AF414" i="61"/>
  <c r="AJ414" i="61" s="1"/>
  <c r="AH414" i="61"/>
  <c r="AR414" i="61"/>
  <c r="AT414" i="61"/>
  <c r="AU414" i="61"/>
  <c r="AV414" i="61" s="1"/>
  <c r="AW414" i="61"/>
  <c r="V415" i="61"/>
  <c r="W415" i="61"/>
  <c r="X415" i="61"/>
  <c r="Y415" i="61"/>
  <c r="Z415" i="61"/>
  <c r="AA415" i="61"/>
  <c r="AE415" i="61" s="1"/>
  <c r="AB415" i="61"/>
  <c r="AI415" i="61" s="1"/>
  <c r="AS415" i="61" s="1"/>
  <c r="AC415" i="61"/>
  <c r="AF415" i="61"/>
  <c r="AH415" i="61"/>
  <c r="AR415" i="61"/>
  <c r="AT415" i="61"/>
  <c r="AU415" i="61"/>
  <c r="AW415" i="61"/>
  <c r="V416" i="61"/>
  <c r="W416" i="61"/>
  <c r="X416" i="61"/>
  <c r="Y416" i="61"/>
  <c r="Z416" i="61"/>
  <c r="AA416" i="61"/>
  <c r="AB416" i="61"/>
  <c r="AC416" i="61"/>
  <c r="AF416" i="61"/>
  <c r="AI416" i="61" s="1"/>
  <c r="AS416" i="61" s="1"/>
  <c r="AH416" i="61"/>
  <c r="AR416" i="61"/>
  <c r="AT416" i="61"/>
  <c r="AU416" i="61"/>
  <c r="AV416" i="61" s="1"/>
  <c r="AW416" i="61"/>
  <c r="V417" i="61"/>
  <c r="W417" i="61"/>
  <c r="X417" i="61"/>
  <c r="Y417" i="61"/>
  <c r="Z417" i="61"/>
  <c r="AA417" i="61"/>
  <c r="AE417" i="61"/>
  <c r="AB417" i="61"/>
  <c r="AC417" i="61"/>
  <c r="AF417" i="61"/>
  <c r="AH417" i="61"/>
  <c r="AR417" i="61"/>
  <c r="AT417" i="61"/>
  <c r="AU417" i="61"/>
  <c r="AW417" i="61"/>
  <c r="V418" i="61"/>
  <c r="W418" i="61"/>
  <c r="X418" i="61"/>
  <c r="Y418" i="61"/>
  <c r="AI418" i="61" s="1"/>
  <c r="Z418" i="61"/>
  <c r="AA418" i="61"/>
  <c r="AB418" i="61"/>
  <c r="AC418" i="61"/>
  <c r="AF418" i="61"/>
  <c r="AM418" i="61" s="1"/>
  <c r="AH418" i="61"/>
  <c r="AR418" i="61"/>
  <c r="AT418" i="61"/>
  <c r="AU418" i="61"/>
  <c r="AW418" i="61"/>
  <c r="V419" i="61"/>
  <c r="W419" i="61"/>
  <c r="X419" i="61"/>
  <c r="Y419" i="61"/>
  <c r="Z419" i="61"/>
  <c r="AA419" i="61"/>
  <c r="AB419" i="61"/>
  <c r="AC419" i="61"/>
  <c r="AF419" i="61"/>
  <c r="AH419" i="61"/>
  <c r="AR419" i="61"/>
  <c r="AT419" i="61"/>
  <c r="AU419" i="61"/>
  <c r="AW419" i="61"/>
  <c r="V420" i="61"/>
  <c r="W420" i="61"/>
  <c r="X420" i="61"/>
  <c r="Y420" i="61"/>
  <c r="Z420" i="61"/>
  <c r="AA420" i="61"/>
  <c r="AB420" i="61"/>
  <c r="AC420" i="61"/>
  <c r="AF420" i="61"/>
  <c r="AH420" i="61"/>
  <c r="AR420" i="61"/>
  <c r="AT420" i="61"/>
  <c r="AU420" i="61"/>
  <c r="AW420" i="61"/>
  <c r="V421" i="61"/>
  <c r="W421" i="61"/>
  <c r="X421" i="61"/>
  <c r="Y421" i="61"/>
  <c r="Z421" i="61"/>
  <c r="AA421" i="61"/>
  <c r="AB421" i="61"/>
  <c r="AC421" i="61"/>
  <c r="AF421" i="61"/>
  <c r="AJ421" i="61"/>
  <c r="AH421" i="61"/>
  <c r="AR421" i="61"/>
  <c r="AT421" i="61"/>
  <c r="AU421" i="61"/>
  <c r="AV421" i="61" s="1"/>
  <c r="AW421" i="61"/>
  <c r="V422" i="61"/>
  <c r="W422" i="61"/>
  <c r="X422" i="61"/>
  <c r="Y422" i="61"/>
  <c r="Z422" i="61"/>
  <c r="AA422" i="61"/>
  <c r="AB422" i="61"/>
  <c r="AC422" i="61"/>
  <c r="AF422" i="61"/>
  <c r="AM422" i="61" s="1"/>
  <c r="AH422" i="61"/>
  <c r="AR422" i="61"/>
  <c r="AT422" i="61"/>
  <c r="AU422" i="61"/>
  <c r="AW422" i="61"/>
  <c r="V423" i="61"/>
  <c r="W423" i="61"/>
  <c r="X423" i="61"/>
  <c r="Y423" i="61"/>
  <c r="Z423" i="61"/>
  <c r="AA423" i="61"/>
  <c r="AB423" i="61"/>
  <c r="AC423" i="61"/>
  <c r="AF423" i="61"/>
  <c r="AH423" i="61"/>
  <c r="AR423" i="61"/>
  <c r="AT423" i="61"/>
  <c r="AV423" i="61" s="1"/>
  <c r="AU423" i="61"/>
  <c r="AW423" i="61"/>
  <c r="V424" i="61"/>
  <c r="W424" i="61"/>
  <c r="X424" i="61"/>
  <c r="Y424" i="61"/>
  <c r="Z424" i="61"/>
  <c r="AA424" i="61"/>
  <c r="AE424" i="61" s="1"/>
  <c r="AL424" i="61" s="1"/>
  <c r="AB424" i="61"/>
  <c r="AC424" i="61"/>
  <c r="AF424" i="61"/>
  <c r="AM424" i="61"/>
  <c r="AH424" i="61"/>
  <c r="AR424" i="61"/>
  <c r="AT424" i="61"/>
  <c r="AU424" i="61"/>
  <c r="AW424" i="61"/>
  <c r="V425" i="61"/>
  <c r="W425" i="61"/>
  <c r="X425" i="61"/>
  <c r="Y425" i="61"/>
  <c r="Z425" i="61"/>
  <c r="AA425" i="61"/>
  <c r="AE425" i="61"/>
  <c r="AB425" i="61"/>
  <c r="AC425" i="61"/>
  <c r="AF425" i="61"/>
  <c r="AH425" i="61"/>
  <c r="AR425" i="61"/>
  <c r="AT425" i="61"/>
  <c r="AV425" i="61" s="1"/>
  <c r="AU425" i="61"/>
  <c r="AW425" i="61"/>
  <c r="V426" i="61"/>
  <c r="W426" i="61"/>
  <c r="X426" i="61"/>
  <c r="Y426" i="61"/>
  <c r="Z426" i="61"/>
  <c r="AA426" i="61"/>
  <c r="AB426" i="61"/>
  <c r="AC426" i="61"/>
  <c r="AF426" i="61"/>
  <c r="AJ426" i="61" s="1"/>
  <c r="AH426" i="61"/>
  <c r="AR426" i="61"/>
  <c r="AT426" i="61"/>
  <c r="AU426" i="61"/>
  <c r="AW426" i="61"/>
  <c r="V427" i="61"/>
  <c r="W427" i="61"/>
  <c r="X427" i="61"/>
  <c r="Y427" i="61"/>
  <c r="Z427" i="61"/>
  <c r="AA427" i="61"/>
  <c r="AB427" i="61"/>
  <c r="AC427" i="61"/>
  <c r="AF427" i="61"/>
  <c r="AH427" i="61"/>
  <c r="AR427" i="61"/>
  <c r="AT427" i="61"/>
  <c r="AU427" i="61"/>
  <c r="AW427" i="61"/>
  <c r="V428" i="61"/>
  <c r="W428" i="61"/>
  <c r="X428" i="61"/>
  <c r="Y428" i="61"/>
  <c r="Z428" i="61"/>
  <c r="AA428" i="61"/>
  <c r="AD428" i="61" s="1"/>
  <c r="AB428" i="61"/>
  <c r="AC428" i="61"/>
  <c r="AF428" i="61"/>
  <c r="AM428" i="61"/>
  <c r="AH428" i="61"/>
  <c r="AR428" i="61"/>
  <c r="AT428" i="61"/>
  <c r="AU428" i="61"/>
  <c r="AW428" i="61"/>
  <c r="V429" i="61"/>
  <c r="W429" i="61"/>
  <c r="X429" i="61"/>
  <c r="Y429" i="61"/>
  <c r="Z429" i="61"/>
  <c r="AA429" i="61"/>
  <c r="AB429" i="61"/>
  <c r="AC429" i="61"/>
  <c r="AF429" i="61"/>
  <c r="AH429" i="61"/>
  <c r="AR429" i="61"/>
  <c r="AT429" i="61"/>
  <c r="AU429" i="61"/>
  <c r="AW429" i="61"/>
  <c r="V430" i="61"/>
  <c r="W430" i="61"/>
  <c r="X430" i="61"/>
  <c r="Y430" i="61"/>
  <c r="Z430" i="61"/>
  <c r="AA430" i="61"/>
  <c r="AE430" i="61" s="1"/>
  <c r="AB430" i="61"/>
  <c r="AC430" i="61"/>
  <c r="AF430" i="61"/>
  <c r="AH430" i="61"/>
  <c r="AR430" i="61"/>
  <c r="AT430" i="61"/>
  <c r="AU430" i="61"/>
  <c r="AW430" i="61"/>
  <c r="V431" i="61"/>
  <c r="W431" i="61"/>
  <c r="X431" i="61"/>
  <c r="Y431" i="61"/>
  <c r="Z431" i="61"/>
  <c r="AA431" i="61"/>
  <c r="AD431" i="61"/>
  <c r="AB431" i="61"/>
  <c r="AC431" i="61"/>
  <c r="AF431" i="61"/>
  <c r="AH431" i="61"/>
  <c r="AR431" i="61"/>
  <c r="AT431" i="61"/>
  <c r="AU431" i="61"/>
  <c r="AV431" i="61"/>
  <c r="AW431" i="61"/>
  <c r="V432" i="61"/>
  <c r="W432" i="61"/>
  <c r="X432" i="61"/>
  <c r="Y432" i="61"/>
  <c r="Z432" i="61"/>
  <c r="AA432" i="61"/>
  <c r="AB432" i="61"/>
  <c r="AC432" i="61"/>
  <c r="AF432" i="61"/>
  <c r="AH432" i="61"/>
  <c r="AR432" i="61"/>
  <c r="AT432" i="61"/>
  <c r="AU432" i="61"/>
  <c r="AW432" i="61"/>
  <c r="V433" i="61"/>
  <c r="W433" i="61"/>
  <c r="X433" i="61"/>
  <c r="Y433" i="61"/>
  <c r="Z433" i="61"/>
  <c r="AA433" i="61"/>
  <c r="AB433" i="61"/>
  <c r="AC433" i="61"/>
  <c r="AF433" i="61"/>
  <c r="AH433" i="61"/>
  <c r="AR433" i="61"/>
  <c r="AT433" i="61"/>
  <c r="AU433" i="61"/>
  <c r="AW433" i="61"/>
  <c r="V434" i="61"/>
  <c r="W434" i="61"/>
  <c r="X434" i="61"/>
  <c r="Y434" i="61"/>
  <c r="Z434" i="61"/>
  <c r="AA434" i="61"/>
  <c r="AB434" i="61"/>
  <c r="AC434" i="61"/>
  <c r="AF434" i="61"/>
  <c r="AH434" i="61"/>
  <c r="AR434" i="61"/>
  <c r="AT434" i="61"/>
  <c r="AU434" i="61"/>
  <c r="AW434" i="61"/>
  <c r="V435" i="61"/>
  <c r="W435" i="61"/>
  <c r="X435" i="61"/>
  <c r="Y435" i="61"/>
  <c r="Z435" i="61"/>
  <c r="AA435" i="61"/>
  <c r="AB435" i="61"/>
  <c r="AC435" i="61"/>
  <c r="AF435" i="61"/>
  <c r="AH435" i="61"/>
  <c r="AR435" i="61"/>
  <c r="AT435" i="61"/>
  <c r="AV435" i="61"/>
  <c r="AU435" i="61"/>
  <c r="AW435" i="61"/>
  <c r="V436" i="61"/>
  <c r="W436" i="61"/>
  <c r="X436" i="61"/>
  <c r="Y436" i="61"/>
  <c r="Z436" i="61"/>
  <c r="AA436" i="61"/>
  <c r="AE436" i="61" s="1"/>
  <c r="AO436" i="61" s="1"/>
  <c r="AB436" i="61"/>
  <c r="AC436" i="61"/>
  <c r="AF436" i="61"/>
  <c r="AJ436" i="61"/>
  <c r="AH436" i="61"/>
  <c r="AR436" i="61"/>
  <c r="AT436" i="61"/>
  <c r="AU436" i="61"/>
  <c r="AV436" i="61" s="1"/>
  <c r="AW436" i="61"/>
  <c r="V437" i="61"/>
  <c r="W437" i="61"/>
  <c r="X437" i="61"/>
  <c r="Y437" i="61"/>
  <c r="Z437" i="61"/>
  <c r="AA437" i="61"/>
  <c r="AB437" i="61"/>
  <c r="AC437" i="61"/>
  <c r="AF437" i="61"/>
  <c r="AM437" i="61" s="1"/>
  <c r="AH437" i="61"/>
  <c r="AR437" i="61"/>
  <c r="AT437" i="61"/>
  <c r="AU437" i="61"/>
  <c r="AW437" i="61"/>
  <c r="V438" i="61"/>
  <c r="W438" i="61"/>
  <c r="X438" i="61"/>
  <c r="Y438" i="61"/>
  <c r="Z438" i="61"/>
  <c r="AA438" i="61"/>
  <c r="AB438" i="61"/>
  <c r="AC438" i="61"/>
  <c r="AF438" i="61"/>
  <c r="AM438" i="61"/>
  <c r="AH438" i="61"/>
  <c r="AR438" i="61"/>
  <c r="AT438" i="61"/>
  <c r="AU438" i="61"/>
  <c r="AW438" i="61"/>
  <c r="V439" i="61"/>
  <c r="W439" i="61"/>
  <c r="X439" i="61"/>
  <c r="Y439" i="61"/>
  <c r="Z439" i="61"/>
  <c r="AA439" i="61"/>
  <c r="AB439" i="61"/>
  <c r="AC439" i="61"/>
  <c r="AF439" i="61"/>
  <c r="AH439" i="61"/>
  <c r="AR439" i="61"/>
  <c r="AT439" i="61"/>
  <c r="AU439" i="61"/>
  <c r="AW439" i="61"/>
  <c r="V440" i="61"/>
  <c r="W440" i="61"/>
  <c r="X440" i="61"/>
  <c r="Y440" i="61"/>
  <c r="Z440" i="61"/>
  <c r="AA440" i="61"/>
  <c r="AB440" i="61"/>
  <c r="AC440" i="61"/>
  <c r="AF440" i="61"/>
  <c r="AM440" i="61" s="1"/>
  <c r="AH440" i="61"/>
  <c r="AR440" i="61"/>
  <c r="AT440" i="61"/>
  <c r="AV440" i="61" s="1"/>
  <c r="AU440" i="61"/>
  <c r="AW440" i="61"/>
  <c r="V441" i="61"/>
  <c r="W441" i="61"/>
  <c r="X441" i="61"/>
  <c r="Y441" i="61"/>
  <c r="Z441" i="61"/>
  <c r="AA441" i="61"/>
  <c r="AB441" i="61"/>
  <c r="AC441" i="61"/>
  <c r="AF441" i="61"/>
  <c r="AH441" i="61"/>
  <c r="AR441" i="61"/>
  <c r="AT441" i="61"/>
  <c r="AU441" i="61"/>
  <c r="AW441" i="61"/>
  <c r="V442" i="61"/>
  <c r="W442" i="61"/>
  <c r="X442" i="61"/>
  <c r="Y442" i="61"/>
  <c r="Z442" i="61"/>
  <c r="AA442" i="61"/>
  <c r="AB442" i="61"/>
  <c r="AC442" i="61"/>
  <c r="AF442" i="61"/>
  <c r="AH442" i="61"/>
  <c r="AR442" i="61"/>
  <c r="AT442" i="61"/>
  <c r="AU442" i="61"/>
  <c r="AW442" i="61"/>
  <c r="V443" i="61"/>
  <c r="W443" i="61"/>
  <c r="X443" i="61"/>
  <c r="Y443" i="61"/>
  <c r="Z443" i="61"/>
  <c r="AA443" i="61"/>
  <c r="AB443" i="61"/>
  <c r="AC443" i="61"/>
  <c r="AF443" i="61"/>
  <c r="AH443" i="61"/>
  <c r="AR443" i="61"/>
  <c r="AT443" i="61"/>
  <c r="AU443" i="61"/>
  <c r="AW443" i="61"/>
  <c r="V444" i="61"/>
  <c r="W444" i="61"/>
  <c r="X444" i="61"/>
  <c r="Y444" i="61"/>
  <c r="Z444" i="61"/>
  <c r="AA444" i="61"/>
  <c r="AB444" i="61"/>
  <c r="AC444" i="61"/>
  <c r="AF444" i="61"/>
  <c r="AM444" i="61"/>
  <c r="AH444" i="61"/>
  <c r="AR444" i="61"/>
  <c r="AT444" i="61"/>
  <c r="AU444" i="61"/>
  <c r="AV444" i="61" s="1"/>
  <c r="AW444" i="61"/>
  <c r="V445" i="61"/>
  <c r="W445" i="61"/>
  <c r="X445" i="61"/>
  <c r="Y445" i="61"/>
  <c r="Z445" i="61"/>
  <c r="AA445" i="61"/>
  <c r="AB445" i="61"/>
  <c r="AC445" i="61"/>
  <c r="AF445" i="61"/>
  <c r="AI445" i="61" s="1"/>
  <c r="AH445" i="61"/>
  <c r="AR445" i="61"/>
  <c r="AT445" i="61"/>
  <c r="AU445" i="61"/>
  <c r="AW445" i="61"/>
  <c r="V446" i="61"/>
  <c r="W446" i="61"/>
  <c r="X446" i="61"/>
  <c r="Y446" i="61"/>
  <c r="Z446" i="61"/>
  <c r="AA446" i="61"/>
  <c r="AB446" i="61"/>
  <c r="AC446" i="61"/>
  <c r="AF446" i="61"/>
  <c r="AH446" i="61"/>
  <c r="AR446" i="61"/>
  <c r="AT446" i="61"/>
  <c r="AU446" i="61"/>
  <c r="AW446" i="61"/>
  <c r="V447" i="61"/>
  <c r="W447" i="61"/>
  <c r="X447" i="61"/>
  <c r="Y447" i="61"/>
  <c r="Z447" i="61"/>
  <c r="AA447" i="61"/>
  <c r="AB447" i="61"/>
  <c r="AC447" i="61"/>
  <c r="AF447" i="61"/>
  <c r="AM447" i="61"/>
  <c r="AH447" i="61"/>
  <c r="AR447" i="61"/>
  <c r="AT447" i="61"/>
  <c r="AU447" i="61"/>
  <c r="AW447" i="61"/>
  <c r="V448" i="61"/>
  <c r="W448" i="61"/>
  <c r="X448" i="61"/>
  <c r="Y448" i="61"/>
  <c r="Z448" i="61"/>
  <c r="AA448" i="61"/>
  <c r="AB448" i="61"/>
  <c r="AC448" i="61"/>
  <c r="AF448" i="61"/>
  <c r="AH448" i="61"/>
  <c r="AR448" i="61"/>
  <c r="AT448" i="61"/>
  <c r="AV448" i="61"/>
  <c r="AU448" i="61"/>
  <c r="AW448" i="61"/>
  <c r="V449" i="61"/>
  <c r="W449" i="61"/>
  <c r="X449" i="61"/>
  <c r="Y449" i="61"/>
  <c r="Z449" i="61"/>
  <c r="AA449" i="61"/>
  <c r="AB449" i="61"/>
  <c r="AC449" i="61"/>
  <c r="AF449" i="61"/>
  <c r="AJ449" i="61" s="1"/>
  <c r="AH449" i="61"/>
  <c r="AR449" i="61"/>
  <c r="AT449" i="61"/>
  <c r="AU449" i="61"/>
  <c r="AW449" i="61"/>
  <c r="V450" i="61"/>
  <c r="W450" i="61"/>
  <c r="X450" i="61"/>
  <c r="Y450" i="61"/>
  <c r="Z450" i="61"/>
  <c r="AA450" i="61"/>
  <c r="AE450" i="61" s="1"/>
  <c r="AB450" i="61"/>
  <c r="AC450" i="61"/>
  <c r="AF450" i="61"/>
  <c r="AH450" i="61"/>
  <c r="AR450" i="61"/>
  <c r="AT450" i="61"/>
  <c r="AV450" i="61" s="1"/>
  <c r="AU450" i="61"/>
  <c r="AW450" i="61"/>
  <c r="V451" i="61"/>
  <c r="W451" i="61"/>
  <c r="X451" i="61"/>
  <c r="Y451" i="61"/>
  <c r="Z451" i="61"/>
  <c r="AA451" i="61"/>
  <c r="AB451" i="61"/>
  <c r="AC451" i="61"/>
  <c r="AF451" i="61"/>
  <c r="AH451" i="61"/>
  <c r="AR451" i="61"/>
  <c r="AT451" i="61"/>
  <c r="AU451" i="61"/>
  <c r="AW451" i="61"/>
  <c r="V452" i="61"/>
  <c r="W452" i="61"/>
  <c r="X452" i="61"/>
  <c r="Y452" i="61"/>
  <c r="Z452" i="61"/>
  <c r="AA452" i="61"/>
  <c r="AB452" i="61"/>
  <c r="AC452" i="61"/>
  <c r="AF452" i="61"/>
  <c r="AH452" i="61"/>
  <c r="AR452" i="61"/>
  <c r="AT452" i="61"/>
  <c r="AU452" i="61"/>
  <c r="AV452" i="61" s="1"/>
  <c r="AW452" i="61"/>
  <c r="V453" i="61"/>
  <c r="W453" i="61"/>
  <c r="X453" i="61"/>
  <c r="Y453" i="61"/>
  <c r="Z453" i="61"/>
  <c r="AA453" i="61"/>
  <c r="AB453" i="61"/>
  <c r="AC453" i="61"/>
  <c r="AF453" i="61"/>
  <c r="AM453" i="61" s="1"/>
  <c r="AH453" i="61"/>
  <c r="AR453" i="61"/>
  <c r="AT453" i="61"/>
  <c r="AU453" i="61"/>
  <c r="AW453" i="61"/>
  <c r="V454" i="61"/>
  <c r="W454" i="61"/>
  <c r="X454" i="61"/>
  <c r="Y454" i="61"/>
  <c r="Z454" i="61"/>
  <c r="AA454" i="61"/>
  <c r="AD454" i="61"/>
  <c r="AB454" i="61"/>
  <c r="AC454" i="61"/>
  <c r="AF454" i="61"/>
  <c r="AH454" i="61"/>
  <c r="AR454" i="61"/>
  <c r="AT454" i="61"/>
  <c r="AV454" i="61" s="1"/>
  <c r="AU454" i="61"/>
  <c r="AW454" i="61"/>
  <c r="V455" i="61"/>
  <c r="W455" i="61"/>
  <c r="X455" i="61"/>
  <c r="Y455" i="61"/>
  <c r="Z455" i="61"/>
  <c r="AA455" i="61"/>
  <c r="AD455" i="61" s="1"/>
  <c r="AB455" i="61"/>
  <c r="AC455" i="61"/>
  <c r="AF455" i="61"/>
  <c r="AH455" i="61"/>
  <c r="AR455" i="61"/>
  <c r="AT455" i="61"/>
  <c r="AU455" i="61"/>
  <c r="AW455" i="61"/>
  <c r="V456" i="61"/>
  <c r="W456" i="61"/>
  <c r="X456" i="61"/>
  <c r="Y456" i="61"/>
  <c r="Z456" i="61"/>
  <c r="AA456" i="61"/>
  <c r="AB456" i="61"/>
  <c r="AC456" i="61"/>
  <c r="AF456" i="61"/>
  <c r="AM456" i="61" s="1"/>
  <c r="AH456" i="61"/>
  <c r="AR456" i="61"/>
  <c r="AT456" i="61"/>
  <c r="AU456" i="61"/>
  <c r="AW456" i="61"/>
  <c r="V457" i="61"/>
  <c r="W457" i="61"/>
  <c r="X457" i="61"/>
  <c r="Y457" i="61"/>
  <c r="Z457" i="61"/>
  <c r="AA457" i="61"/>
  <c r="AB457" i="61"/>
  <c r="AC457" i="61"/>
  <c r="AF457" i="61"/>
  <c r="AM457" i="61" s="1"/>
  <c r="AH457" i="61"/>
  <c r="AR457" i="61"/>
  <c r="AT457" i="61"/>
  <c r="AU457" i="61"/>
  <c r="AW457" i="61"/>
  <c r="V458" i="61"/>
  <c r="W458" i="61"/>
  <c r="X458" i="61"/>
  <c r="Y458" i="61"/>
  <c r="Z458" i="61"/>
  <c r="AA458" i="61"/>
  <c r="AB458" i="61"/>
  <c r="AC458" i="61"/>
  <c r="AF458" i="61"/>
  <c r="AJ458" i="61"/>
  <c r="AH458" i="61"/>
  <c r="AR458" i="61"/>
  <c r="AT458" i="61"/>
  <c r="AU458" i="61"/>
  <c r="AW458" i="61"/>
  <c r="V459" i="61"/>
  <c r="W459" i="61"/>
  <c r="X459" i="61"/>
  <c r="Y459" i="61"/>
  <c r="Z459" i="61"/>
  <c r="AA459" i="61"/>
  <c r="AE459" i="61" s="1"/>
  <c r="AB459" i="61"/>
  <c r="AC459" i="61"/>
  <c r="AF459" i="61"/>
  <c r="AH459" i="61"/>
  <c r="AR459" i="61"/>
  <c r="AT459" i="61"/>
  <c r="AU459" i="61"/>
  <c r="AW459" i="61"/>
  <c r="V460" i="61"/>
  <c r="W460" i="61"/>
  <c r="X460" i="61"/>
  <c r="Y460" i="61"/>
  <c r="Z460" i="61"/>
  <c r="AA460" i="61"/>
  <c r="AD460" i="61" s="1"/>
  <c r="AB460" i="61"/>
  <c r="AC460" i="61"/>
  <c r="AF460" i="61"/>
  <c r="AH460" i="61"/>
  <c r="AR460" i="61"/>
  <c r="AT460" i="61"/>
  <c r="AU460" i="61"/>
  <c r="AW460" i="61"/>
  <c r="V461" i="61"/>
  <c r="W461" i="61"/>
  <c r="X461" i="61"/>
  <c r="Y461" i="61"/>
  <c r="Z461" i="61"/>
  <c r="AA461" i="61"/>
  <c r="AD461" i="61" s="1"/>
  <c r="AE461" i="61"/>
  <c r="AO461" i="61" s="1"/>
  <c r="AB461" i="61"/>
  <c r="AC461" i="61"/>
  <c r="AF461" i="61"/>
  <c r="AM461" i="61" s="1"/>
  <c r="AH461" i="61"/>
  <c r="AR461" i="61"/>
  <c r="AT461" i="61"/>
  <c r="AU461" i="61"/>
  <c r="AV461" i="61" s="1"/>
  <c r="AW461" i="61"/>
  <c r="V462" i="61"/>
  <c r="W462" i="61"/>
  <c r="X462" i="61"/>
  <c r="Y462" i="61"/>
  <c r="Z462" i="61"/>
  <c r="AA462" i="61"/>
  <c r="AE462" i="61" s="1"/>
  <c r="AB462" i="61"/>
  <c r="AC462" i="61"/>
  <c r="AF462" i="61"/>
  <c r="AH462" i="61"/>
  <c r="AR462" i="61"/>
  <c r="AT462" i="61"/>
  <c r="AU462" i="61"/>
  <c r="AW462" i="61"/>
  <c r="V463" i="61"/>
  <c r="W463" i="61"/>
  <c r="X463" i="61"/>
  <c r="Y463" i="61"/>
  <c r="Z463" i="61"/>
  <c r="AA463" i="61"/>
  <c r="AB463" i="61"/>
  <c r="AI463" i="61" s="1"/>
  <c r="AS463" i="61" s="1"/>
  <c r="AC463" i="61"/>
  <c r="AF463" i="61"/>
  <c r="AJ463" i="61" s="1"/>
  <c r="AH463" i="61"/>
  <c r="AR463" i="61"/>
  <c r="AT463" i="61"/>
  <c r="AV463" i="61" s="1"/>
  <c r="AU463" i="61"/>
  <c r="AW463" i="61"/>
  <c r="V464" i="61"/>
  <c r="W464" i="61"/>
  <c r="X464" i="61"/>
  <c r="Y464" i="61"/>
  <c r="Z464" i="61"/>
  <c r="AA464" i="61"/>
  <c r="AE464" i="61" s="1"/>
  <c r="AB464" i="61"/>
  <c r="AC464" i="61"/>
  <c r="AF464" i="61"/>
  <c r="AH464" i="61"/>
  <c r="AR464" i="61"/>
  <c r="AT464" i="61"/>
  <c r="AU464" i="61"/>
  <c r="AW464" i="61"/>
  <c r="V465" i="61"/>
  <c r="W465" i="61"/>
  <c r="X465" i="61"/>
  <c r="Y465" i="61"/>
  <c r="AI465" i="61" s="1"/>
  <c r="AS465" i="61" s="1"/>
  <c r="Z465" i="61"/>
  <c r="AA465" i="61"/>
  <c r="AD465" i="61" s="1"/>
  <c r="AB465" i="61"/>
  <c r="AC465" i="61"/>
  <c r="AF465" i="61"/>
  <c r="AH465" i="61"/>
  <c r="AR465" i="61"/>
  <c r="AT465" i="61"/>
  <c r="AU465" i="61"/>
  <c r="AW465" i="61"/>
  <c r="V466" i="61"/>
  <c r="W466" i="61"/>
  <c r="X466" i="61"/>
  <c r="Y466" i="61"/>
  <c r="Z466" i="61"/>
  <c r="AA466" i="61"/>
  <c r="AB466" i="61"/>
  <c r="AC466" i="61"/>
  <c r="AF466" i="61"/>
  <c r="AM466" i="61"/>
  <c r="AH466" i="61"/>
  <c r="AR466" i="61"/>
  <c r="AT466" i="61"/>
  <c r="AV466" i="61" s="1"/>
  <c r="AU466" i="61"/>
  <c r="AW466" i="61"/>
  <c r="V467" i="61"/>
  <c r="W467" i="61"/>
  <c r="X467" i="61"/>
  <c r="Y467" i="61"/>
  <c r="Z467" i="61"/>
  <c r="AA467" i="61"/>
  <c r="AB467" i="61"/>
  <c r="AC467" i="61"/>
  <c r="AF467" i="61"/>
  <c r="AJ467" i="61" s="1"/>
  <c r="AH467" i="61"/>
  <c r="AR467" i="61"/>
  <c r="AT467" i="61"/>
  <c r="AU467" i="61"/>
  <c r="AW467" i="61"/>
  <c r="V468" i="61"/>
  <c r="W468" i="61"/>
  <c r="X468" i="61"/>
  <c r="Y468" i="61"/>
  <c r="Z468" i="61"/>
  <c r="AA468" i="61"/>
  <c r="AB468" i="61"/>
  <c r="AC468" i="61"/>
  <c r="AF468" i="61"/>
  <c r="AH468" i="61"/>
  <c r="AR468" i="61"/>
  <c r="AT468" i="61"/>
  <c r="AU468" i="61"/>
  <c r="AW468" i="61"/>
  <c r="V469" i="61"/>
  <c r="W469" i="61"/>
  <c r="X469" i="61"/>
  <c r="Y469" i="61"/>
  <c r="Z469" i="61"/>
  <c r="AA469" i="61"/>
  <c r="AB469" i="61"/>
  <c r="AC469" i="61"/>
  <c r="AF469" i="61"/>
  <c r="AH469" i="61"/>
  <c r="AR469" i="61"/>
  <c r="AT469" i="61"/>
  <c r="AU469" i="61"/>
  <c r="AW469" i="61"/>
  <c r="V470" i="61"/>
  <c r="W470" i="61"/>
  <c r="X470" i="61"/>
  <c r="Y470" i="61"/>
  <c r="Z470" i="61"/>
  <c r="AA470" i="61"/>
  <c r="AE470" i="61" s="1"/>
  <c r="AB470" i="61"/>
  <c r="AC470" i="61"/>
  <c r="AF470" i="61"/>
  <c r="AH470" i="61"/>
  <c r="AR470" i="61"/>
  <c r="AT470" i="61"/>
  <c r="AV470" i="61" s="1"/>
  <c r="AU470" i="61"/>
  <c r="AW470" i="61"/>
  <c r="V471" i="61"/>
  <c r="W471" i="61"/>
  <c r="X471" i="61"/>
  <c r="Y471" i="61"/>
  <c r="Z471" i="61"/>
  <c r="AA471" i="61"/>
  <c r="AB471" i="61"/>
  <c r="AC471" i="61"/>
  <c r="AF471" i="61"/>
  <c r="AH471" i="61"/>
  <c r="AR471" i="61"/>
  <c r="AT471" i="61"/>
  <c r="AU471" i="61"/>
  <c r="AW471" i="61"/>
  <c r="V472" i="61"/>
  <c r="W472" i="61"/>
  <c r="X472" i="61"/>
  <c r="Y472" i="61"/>
  <c r="Z472" i="61"/>
  <c r="AA472" i="61"/>
  <c r="AB472" i="61"/>
  <c r="AC472" i="61"/>
  <c r="AF472" i="61"/>
  <c r="AJ472" i="61" s="1"/>
  <c r="AH472" i="61"/>
  <c r="AR472" i="61"/>
  <c r="AT472" i="61"/>
  <c r="AU472" i="61"/>
  <c r="AV472" i="61"/>
  <c r="AW472" i="61"/>
  <c r="V473" i="61"/>
  <c r="W473" i="61"/>
  <c r="X473" i="61"/>
  <c r="Y473" i="61"/>
  <c r="Z473" i="61"/>
  <c r="AA473" i="61"/>
  <c r="AB473" i="61"/>
  <c r="AC473" i="61"/>
  <c r="AF473" i="61"/>
  <c r="AH473" i="61"/>
  <c r="AR473" i="61"/>
  <c r="AT473" i="61"/>
  <c r="AU473" i="61"/>
  <c r="AW473" i="61"/>
  <c r="V474" i="61"/>
  <c r="W474" i="61"/>
  <c r="X474" i="61"/>
  <c r="Y474" i="61"/>
  <c r="Z474" i="61"/>
  <c r="AA474" i="61"/>
  <c r="AB474" i="61"/>
  <c r="AC474" i="61"/>
  <c r="AF474" i="61"/>
  <c r="AJ474" i="61" s="1"/>
  <c r="AH474" i="61"/>
  <c r="AR474" i="61"/>
  <c r="AT474" i="61"/>
  <c r="AV474" i="61" s="1"/>
  <c r="AU474" i="61"/>
  <c r="AW474" i="61"/>
  <c r="V475" i="61"/>
  <c r="W475" i="61"/>
  <c r="X475" i="61"/>
  <c r="Y475" i="61"/>
  <c r="Z475" i="61"/>
  <c r="AA475" i="61"/>
  <c r="AE475" i="61" s="1"/>
  <c r="AB475" i="61"/>
  <c r="AC475" i="61"/>
  <c r="AF475" i="61"/>
  <c r="AH475" i="61"/>
  <c r="AR475" i="61"/>
  <c r="AT475" i="61"/>
  <c r="AU475" i="61"/>
  <c r="AV475" i="61" s="1"/>
  <c r="AW475" i="61"/>
  <c r="V476" i="61"/>
  <c r="W476" i="61"/>
  <c r="X476" i="61"/>
  <c r="Y476" i="61"/>
  <c r="Z476" i="61"/>
  <c r="AA476" i="61"/>
  <c r="AB476" i="61"/>
  <c r="AC476" i="61"/>
  <c r="AF476" i="61"/>
  <c r="AH476" i="61"/>
  <c r="AR476" i="61"/>
  <c r="AT476" i="61"/>
  <c r="AU476" i="61"/>
  <c r="AW476" i="61"/>
  <c r="V477" i="61"/>
  <c r="W477" i="61"/>
  <c r="X477" i="61"/>
  <c r="Y477" i="61"/>
  <c r="Z477" i="61"/>
  <c r="AA477" i="61"/>
  <c r="AB477" i="61"/>
  <c r="AC477" i="61"/>
  <c r="AF477" i="61"/>
  <c r="AH477" i="61"/>
  <c r="AR477" i="61"/>
  <c r="AT477" i="61"/>
  <c r="AU477" i="61"/>
  <c r="AW477" i="61"/>
  <c r="V478" i="61"/>
  <c r="W478" i="61"/>
  <c r="X478" i="61"/>
  <c r="Y478" i="61"/>
  <c r="Z478" i="61"/>
  <c r="AA478" i="61"/>
  <c r="AD478" i="61" s="1"/>
  <c r="AB478" i="61"/>
  <c r="AC478" i="61"/>
  <c r="AF478" i="61"/>
  <c r="AJ478" i="61" s="1"/>
  <c r="AH478" i="61"/>
  <c r="AR478" i="61"/>
  <c r="AT478" i="61"/>
  <c r="AU478" i="61"/>
  <c r="AW478" i="61"/>
  <c r="V479" i="61"/>
  <c r="W479" i="61"/>
  <c r="X479" i="61"/>
  <c r="Y479" i="61"/>
  <c r="Z479" i="61"/>
  <c r="AA479" i="61"/>
  <c r="AB479" i="61"/>
  <c r="AC479" i="61"/>
  <c r="AF479" i="61"/>
  <c r="AH479" i="61"/>
  <c r="AR479" i="61"/>
  <c r="AT479" i="61"/>
  <c r="AU479" i="61"/>
  <c r="AW479" i="61"/>
  <c r="V480" i="61"/>
  <c r="W480" i="61"/>
  <c r="X480" i="61"/>
  <c r="Y480" i="61"/>
  <c r="Z480" i="61"/>
  <c r="AA480" i="61"/>
  <c r="AB480" i="61"/>
  <c r="AC480" i="61"/>
  <c r="AF480" i="61"/>
  <c r="AM480" i="61" s="1"/>
  <c r="AH480" i="61"/>
  <c r="AR480" i="61"/>
  <c r="AT480" i="61"/>
  <c r="AV480" i="61" s="1"/>
  <c r="AU480" i="61"/>
  <c r="AW480" i="61"/>
  <c r="V481" i="61"/>
  <c r="W481" i="61"/>
  <c r="X481" i="61"/>
  <c r="Y481" i="61"/>
  <c r="Z481" i="61"/>
  <c r="AA481" i="61"/>
  <c r="AB481" i="61"/>
  <c r="AC481" i="61"/>
  <c r="AF481" i="61"/>
  <c r="AH481" i="61"/>
  <c r="AR481" i="61"/>
  <c r="AT481" i="61"/>
  <c r="AU481" i="61"/>
  <c r="AW481" i="61"/>
  <c r="V482" i="61"/>
  <c r="W482" i="61"/>
  <c r="X482" i="61"/>
  <c r="Y482" i="61"/>
  <c r="AI482" i="61" s="1"/>
  <c r="AS482" i="61" s="1"/>
  <c r="Z482" i="61"/>
  <c r="AA482" i="61"/>
  <c r="AB482" i="61"/>
  <c r="AC482" i="61"/>
  <c r="AF482" i="61"/>
  <c r="AJ482" i="61" s="1"/>
  <c r="AH482" i="61"/>
  <c r="AR482" i="61"/>
  <c r="AT482" i="61"/>
  <c r="AV482" i="61" s="1"/>
  <c r="AU482" i="61"/>
  <c r="AW482" i="61"/>
  <c r="V483" i="61"/>
  <c r="W483" i="61"/>
  <c r="X483" i="61"/>
  <c r="Y483" i="61"/>
  <c r="Z483" i="61"/>
  <c r="AA483" i="61"/>
  <c r="AB483" i="61"/>
  <c r="AC483" i="61"/>
  <c r="AF483" i="61"/>
  <c r="AH483" i="61"/>
  <c r="AR483" i="61"/>
  <c r="AT483" i="61"/>
  <c r="AU483" i="61"/>
  <c r="AW483" i="61"/>
  <c r="V484" i="61"/>
  <c r="W484" i="61"/>
  <c r="X484" i="61"/>
  <c r="Y484" i="61"/>
  <c r="Z484" i="61"/>
  <c r="AA484" i="61"/>
  <c r="AB484" i="61"/>
  <c r="AC484" i="61"/>
  <c r="AF484" i="61"/>
  <c r="AM484" i="61" s="1"/>
  <c r="AH484" i="61"/>
  <c r="AR484" i="61"/>
  <c r="AT484" i="61"/>
  <c r="AU484" i="61"/>
  <c r="AW484" i="61"/>
  <c r="V485" i="61"/>
  <c r="W485" i="61"/>
  <c r="X485" i="61"/>
  <c r="Y485" i="61"/>
  <c r="Z485" i="61"/>
  <c r="AA485" i="61"/>
  <c r="AB485" i="61"/>
  <c r="AC485" i="61"/>
  <c r="AF485" i="61"/>
  <c r="AM485" i="61"/>
  <c r="AH485" i="61"/>
  <c r="AR485" i="61"/>
  <c r="AT485" i="61"/>
  <c r="AU485" i="61"/>
  <c r="AV485" i="61" s="1"/>
  <c r="AW485" i="61"/>
  <c r="V486" i="61"/>
  <c r="W486" i="61"/>
  <c r="X486" i="61"/>
  <c r="Y486" i="61"/>
  <c r="Z486" i="61"/>
  <c r="AA486" i="61"/>
  <c r="AB486" i="61"/>
  <c r="AC486" i="61"/>
  <c r="AF486" i="61"/>
  <c r="AH486" i="61"/>
  <c r="AR486" i="61"/>
  <c r="AT486" i="61"/>
  <c r="AU486" i="61"/>
  <c r="AW486" i="61"/>
  <c r="V487" i="61"/>
  <c r="W487" i="61"/>
  <c r="X487" i="61"/>
  <c r="Y487" i="61"/>
  <c r="Z487" i="61"/>
  <c r="AA487" i="61"/>
  <c r="AB487" i="61"/>
  <c r="AC487" i="61"/>
  <c r="AF487" i="61"/>
  <c r="AJ487" i="61" s="1"/>
  <c r="AH487" i="61"/>
  <c r="AR487" i="61"/>
  <c r="AT487" i="61"/>
  <c r="AU487" i="61"/>
  <c r="AV487" i="61" s="1"/>
  <c r="AW487" i="61"/>
  <c r="V488" i="61"/>
  <c r="W488" i="61"/>
  <c r="X488" i="61"/>
  <c r="Y488" i="61"/>
  <c r="Z488" i="61"/>
  <c r="AA488" i="61"/>
  <c r="AB488" i="61"/>
  <c r="AI488" i="61" s="1"/>
  <c r="AS488" i="61" s="1"/>
  <c r="AC488" i="61"/>
  <c r="AF488" i="61"/>
  <c r="AH488" i="61"/>
  <c r="AR488" i="61"/>
  <c r="AT488" i="61"/>
  <c r="AU488" i="61"/>
  <c r="AW488" i="61"/>
  <c r="V489" i="61"/>
  <c r="W489" i="61"/>
  <c r="X489" i="61"/>
  <c r="Y489" i="61"/>
  <c r="Z489" i="61"/>
  <c r="AA489" i="61"/>
  <c r="AB489" i="61"/>
  <c r="AC489" i="61"/>
  <c r="AF489" i="61"/>
  <c r="AJ489" i="61" s="1"/>
  <c r="AH489" i="61"/>
  <c r="AR489" i="61"/>
  <c r="AT489" i="61"/>
  <c r="AU489" i="61"/>
  <c r="AW489" i="61"/>
  <c r="V490" i="61"/>
  <c r="W490" i="61"/>
  <c r="X490" i="61"/>
  <c r="Y490" i="61"/>
  <c r="Z490" i="61"/>
  <c r="AA490" i="61"/>
  <c r="AB490" i="61"/>
  <c r="AC490" i="61"/>
  <c r="AF490" i="61"/>
  <c r="AH490" i="61"/>
  <c r="AR490" i="61"/>
  <c r="AT490" i="61"/>
  <c r="AU490" i="61"/>
  <c r="AW490" i="61"/>
  <c r="V491" i="61"/>
  <c r="W491" i="61"/>
  <c r="X491" i="61"/>
  <c r="Y491" i="61"/>
  <c r="Z491" i="61"/>
  <c r="AA491" i="61"/>
  <c r="AB491" i="61"/>
  <c r="AC491" i="61"/>
  <c r="AF491" i="61"/>
  <c r="AH491" i="61"/>
  <c r="AR491" i="61"/>
  <c r="AT491" i="61"/>
  <c r="AU491" i="61"/>
  <c r="AV491" i="61" s="1"/>
  <c r="AW491" i="61"/>
  <c r="V492" i="61"/>
  <c r="W492" i="61"/>
  <c r="X492" i="61"/>
  <c r="Y492" i="61"/>
  <c r="Z492" i="61"/>
  <c r="AA492" i="61"/>
  <c r="AB492" i="61"/>
  <c r="AI492" i="61" s="1"/>
  <c r="AS492" i="61" s="1"/>
  <c r="AC492" i="61"/>
  <c r="AF492" i="61"/>
  <c r="AH492" i="61"/>
  <c r="AR492" i="61"/>
  <c r="AT492" i="61"/>
  <c r="AU492" i="61"/>
  <c r="AW492" i="61"/>
  <c r="V493" i="61"/>
  <c r="W493" i="61"/>
  <c r="X493" i="61"/>
  <c r="Y493" i="61"/>
  <c r="Z493" i="61"/>
  <c r="AA493" i="61"/>
  <c r="AB493" i="61"/>
  <c r="AC493" i="61"/>
  <c r="AF493" i="61"/>
  <c r="AH493" i="61"/>
  <c r="AR493" i="61"/>
  <c r="AT493" i="61"/>
  <c r="AU493" i="61"/>
  <c r="AW493" i="61"/>
  <c r="V494" i="61"/>
  <c r="W494" i="61"/>
  <c r="X494" i="61"/>
  <c r="Y494" i="61"/>
  <c r="Z494" i="61"/>
  <c r="AA494" i="61"/>
  <c r="AB494" i="61"/>
  <c r="AC494" i="61"/>
  <c r="AF494" i="61"/>
  <c r="AH494" i="61"/>
  <c r="AR494" i="61"/>
  <c r="AT494" i="61"/>
  <c r="AV494" i="61"/>
  <c r="AU494" i="61"/>
  <c r="AW494" i="61"/>
  <c r="V495" i="61"/>
  <c r="W495" i="61"/>
  <c r="X495" i="61"/>
  <c r="Y495" i="61"/>
  <c r="AI495" i="61" s="1"/>
  <c r="AS495" i="61" s="1"/>
  <c r="Z495" i="61"/>
  <c r="AA495" i="61"/>
  <c r="AB495" i="61"/>
  <c r="AC495" i="61"/>
  <c r="AF495" i="61"/>
  <c r="AH495" i="61"/>
  <c r="AR495" i="61"/>
  <c r="AT495" i="61"/>
  <c r="AV495" i="61" s="1"/>
  <c r="AU495" i="61"/>
  <c r="AW495" i="61"/>
  <c r="V496" i="61"/>
  <c r="W496" i="61"/>
  <c r="X496" i="61"/>
  <c r="Y496" i="61"/>
  <c r="Z496" i="61"/>
  <c r="AA496" i="61"/>
  <c r="AB496" i="61"/>
  <c r="AC496" i="61"/>
  <c r="AF496" i="61"/>
  <c r="AH496" i="61"/>
  <c r="AR496" i="61"/>
  <c r="AT496" i="61"/>
  <c r="AU496" i="61"/>
  <c r="AW496" i="61"/>
  <c r="V497" i="61"/>
  <c r="W497" i="61"/>
  <c r="X497" i="61"/>
  <c r="Y497" i="61"/>
  <c r="Z497" i="61"/>
  <c r="AA497" i="61"/>
  <c r="AB497" i="61"/>
  <c r="AC497" i="61"/>
  <c r="AF497" i="61"/>
  <c r="AM497" i="61" s="1"/>
  <c r="AH497" i="61"/>
  <c r="AR497" i="61"/>
  <c r="AT497" i="61"/>
  <c r="AV497" i="61" s="1"/>
  <c r="AU497" i="61"/>
  <c r="AW497" i="61"/>
  <c r="V498" i="61"/>
  <c r="W498" i="61"/>
  <c r="X498" i="61"/>
  <c r="Y498" i="61"/>
  <c r="Z498" i="61"/>
  <c r="AA498" i="61"/>
  <c r="AB498" i="61"/>
  <c r="AC498" i="61"/>
  <c r="AF498" i="61"/>
  <c r="AJ498" i="61" s="1"/>
  <c r="AH498" i="61"/>
  <c r="AR498" i="61"/>
  <c r="AT498" i="61"/>
  <c r="AU498" i="61"/>
  <c r="AW498" i="61"/>
  <c r="V499" i="61"/>
  <c r="W499" i="61"/>
  <c r="X499" i="61"/>
  <c r="Y499" i="61"/>
  <c r="AI499" i="61" s="1"/>
  <c r="AS499" i="61" s="1"/>
  <c r="Z499" i="61"/>
  <c r="AA499" i="61"/>
  <c r="AB499" i="61"/>
  <c r="AC499" i="61"/>
  <c r="AF499" i="61"/>
  <c r="AM499" i="61"/>
  <c r="AH499" i="61"/>
  <c r="AR499" i="61"/>
  <c r="AT499" i="61"/>
  <c r="AU499" i="61"/>
  <c r="AW499" i="61"/>
  <c r="V500" i="61"/>
  <c r="W500" i="61"/>
  <c r="X500" i="61"/>
  <c r="Y500" i="61"/>
  <c r="Z500" i="61"/>
  <c r="AA500" i="61"/>
  <c r="AB500" i="61"/>
  <c r="AC500" i="61"/>
  <c r="AF500" i="61"/>
  <c r="AH500" i="61"/>
  <c r="AR500" i="61"/>
  <c r="AT500" i="61"/>
  <c r="AU500" i="61"/>
  <c r="AV500" i="61" s="1"/>
  <c r="AW500" i="61"/>
  <c r="V501" i="61"/>
  <c r="W501" i="61"/>
  <c r="X501" i="61"/>
  <c r="Y501" i="61"/>
  <c r="Z501" i="61"/>
  <c r="AA501" i="61"/>
  <c r="AB501" i="61"/>
  <c r="AI501" i="61" s="1"/>
  <c r="AS501" i="61" s="1"/>
  <c r="AC501" i="61"/>
  <c r="AF501" i="61"/>
  <c r="AH501" i="61"/>
  <c r="AR501" i="61"/>
  <c r="AT501" i="61"/>
  <c r="AU501" i="61"/>
  <c r="AW501" i="61"/>
  <c r="V502" i="61"/>
  <c r="W502" i="61"/>
  <c r="X502" i="61"/>
  <c r="Y502" i="61"/>
  <c r="Z502" i="61"/>
  <c r="AA502" i="61"/>
  <c r="AB502" i="61"/>
  <c r="AC502" i="61"/>
  <c r="AF502" i="61"/>
  <c r="AH502" i="61"/>
  <c r="AR502" i="61"/>
  <c r="AT502" i="61"/>
  <c r="AU502" i="61"/>
  <c r="AV502" i="61" s="1"/>
  <c r="AW502" i="61"/>
  <c r="V503" i="61"/>
  <c r="W503" i="61"/>
  <c r="X503" i="61"/>
  <c r="Y503" i="61"/>
  <c r="Z503" i="61"/>
  <c r="AA503" i="61"/>
  <c r="AD503" i="61" s="1"/>
  <c r="AB503" i="61"/>
  <c r="AC503" i="61"/>
  <c r="AF503" i="61"/>
  <c r="AM503" i="61" s="1"/>
  <c r="AH503" i="61"/>
  <c r="AR503" i="61"/>
  <c r="AT503" i="61"/>
  <c r="AU503" i="61"/>
  <c r="AW503" i="61"/>
  <c r="V504" i="61"/>
  <c r="W504" i="61"/>
  <c r="X504" i="61"/>
  <c r="Y504" i="61"/>
  <c r="Z504" i="61"/>
  <c r="AA504" i="61"/>
  <c r="AB504" i="61"/>
  <c r="AC504" i="61"/>
  <c r="AF504" i="61"/>
  <c r="AJ504" i="61" s="1"/>
  <c r="AH504" i="61"/>
  <c r="AR504" i="61"/>
  <c r="AT504" i="61"/>
  <c r="AV504" i="61"/>
  <c r="AU504" i="61"/>
  <c r="AW504" i="61"/>
  <c r="V505" i="61"/>
  <c r="W505" i="61"/>
  <c r="X505" i="61"/>
  <c r="Y505" i="61"/>
  <c r="Z505" i="61"/>
  <c r="AA505" i="61"/>
  <c r="AB505" i="61"/>
  <c r="AC505" i="61"/>
  <c r="AF505" i="61"/>
  <c r="AJ505" i="61" s="1"/>
  <c r="AH505" i="61"/>
  <c r="AR505" i="61"/>
  <c r="AT505" i="61"/>
  <c r="AU505" i="61"/>
  <c r="AW505" i="61"/>
  <c r="V506" i="61"/>
  <c r="W506" i="61"/>
  <c r="X506" i="61"/>
  <c r="Y506" i="61"/>
  <c r="Z506" i="61"/>
  <c r="AA506" i="61"/>
  <c r="AB506" i="61"/>
  <c r="AC506" i="61"/>
  <c r="AF506" i="61"/>
  <c r="AH506" i="61"/>
  <c r="AR506" i="61"/>
  <c r="AT506" i="61"/>
  <c r="AU506" i="61"/>
  <c r="AW506" i="61"/>
  <c r="V507" i="61"/>
  <c r="W507" i="61"/>
  <c r="X507" i="61"/>
  <c r="Y507" i="61"/>
  <c r="Z507" i="61"/>
  <c r="AA507" i="61"/>
  <c r="AE507" i="61" s="1"/>
  <c r="AB507" i="61"/>
  <c r="AC507" i="61"/>
  <c r="AF507" i="61"/>
  <c r="AM507" i="61" s="1"/>
  <c r="AH507" i="61"/>
  <c r="AR507" i="61"/>
  <c r="AT507" i="61"/>
  <c r="AU507" i="61"/>
  <c r="AW507" i="61"/>
  <c r="V508" i="61"/>
  <c r="W508" i="61"/>
  <c r="X508" i="61"/>
  <c r="Y508" i="61"/>
  <c r="AI508" i="61" s="1"/>
  <c r="AS508" i="61" s="1"/>
  <c r="Z508" i="61"/>
  <c r="AA508" i="61"/>
  <c r="AB508" i="61"/>
  <c r="AC508" i="61"/>
  <c r="AF508" i="61"/>
  <c r="AJ508" i="61"/>
  <c r="AH508" i="61"/>
  <c r="AR508" i="61"/>
  <c r="AT508" i="61"/>
  <c r="AU508" i="61"/>
  <c r="AW508" i="61"/>
  <c r="V509" i="61"/>
  <c r="W509" i="61"/>
  <c r="X509" i="61"/>
  <c r="Y509" i="61"/>
  <c r="Z509" i="61"/>
  <c r="AA509" i="61"/>
  <c r="AB509" i="61"/>
  <c r="AC509" i="61"/>
  <c r="AF509" i="61"/>
  <c r="AM509" i="61" s="1"/>
  <c r="AH509" i="61"/>
  <c r="AR509" i="61"/>
  <c r="AT509" i="61"/>
  <c r="AV509" i="61" s="1"/>
  <c r="AU509" i="61"/>
  <c r="AW509" i="61"/>
  <c r="V510" i="61"/>
  <c r="W510" i="61"/>
  <c r="X510" i="61"/>
  <c r="Y510" i="61"/>
  <c r="Z510" i="61"/>
  <c r="AA510" i="61"/>
  <c r="AB510" i="61"/>
  <c r="AC510" i="61"/>
  <c r="AF510" i="61"/>
  <c r="AH510" i="61"/>
  <c r="AR510" i="61"/>
  <c r="AT510" i="61"/>
  <c r="AU510" i="61"/>
  <c r="AW510" i="61"/>
  <c r="V511" i="61"/>
  <c r="W511" i="61"/>
  <c r="X511" i="61"/>
  <c r="Y511" i="61"/>
  <c r="Z511" i="61"/>
  <c r="AA511" i="61"/>
  <c r="AB511" i="61"/>
  <c r="AC511" i="61"/>
  <c r="AF511" i="61"/>
  <c r="AM511" i="61" s="1"/>
  <c r="AH511" i="61"/>
  <c r="AR511" i="61"/>
  <c r="AT511" i="61"/>
  <c r="AU511" i="61"/>
  <c r="AW511" i="61"/>
  <c r="V512" i="61"/>
  <c r="W512" i="61"/>
  <c r="X512" i="61"/>
  <c r="Y512" i="61"/>
  <c r="Z512" i="61"/>
  <c r="AA512" i="61"/>
  <c r="AB512" i="61"/>
  <c r="AC512" i="61"/>
  <c r="AF512" i="61"/>
  <c r="AH512" i="61"/>
  <c r="AR512" i="61"/>
  <c r="AT512" i="61"/>
  <c r="AV512" i="61"/>
  <c r="AU512" i="61"/>
  <c r="AW512" i="61"/>
  <c r="V513" i="61"/>
  <c r="W513" i="61"/>
  <c r="X513" i="61"/>
  <c r="Y513" i="61"/>
  <c r="Z513" i="61"/>
  <c r="AA513" i="61"/>
  <c r="AE513" i="61" s="1"/>
  <c r="AB513" i="61"/>
  <c r="AC513" i="61"/>
  <c r="AF513" i="61"/>
  <c r="AM513" i="61" s="1"/>
  <c r="AH513" i="61"/>
  <c r="AR513" i="61"/>
  <c r="AT513" i="61"/>
  <c r="AU513" i="61"/>
  <c r="AW513" i="61"/>
  <c r="V514" i="61"/>
  <c r="W514" i="61"/>
  <c r="X514" i="61"/>
  <c r="Y514" i="61"/>
  <c r="Z514" i="61"/>
  <c r="AA514" i="61"/>
  <c r="AD514" i="61" s="1"/>
  <c r="AB514" i="61"/>
  <c r="AC514" i="61"/>
  <c r="AF514" i="61"/>
  <c r="AH514" i="61"/>
  <c r="AR514" i="61"/>
  <c r="AT514" i="61"/>
  <c r="AV514" i="61" s="1"/>
  <c r="AU514" i="61"/>
  <c r="AW514" i="61"/>
  <c r="V515" i="61"/>
  <c r="W515" i="61"/>
  <c r="X515" i="61"/>
  <c r="Y515" i="61"/>
  <c r="Z515" i="61"/>
  <c r="AA515" i="61"/>
  <c r="AB515" i="61"/>
  <c r="AC515" i="61"/>
  <c r="AF515" i="61"/>
  <c r="AM515" i="61" s="1"/>
  <c r="AH515" i="61"/>
  <c r="AR515" i="61"/>
  <c r="AT515" i="61"/>
  <c r="AU515" i="61"/>
  <c r="AW515" i="61"/>
  <c r="I18" i="60"/>
  <c r="I19" i="60"/>
  <c r="I24" i="60"/>
  <c r="I26" i="55"/>
  <c r="P6" i="58"/>
  <c r="Q6" i="58"/>
  <c r="P7" i="58"/>
  <c r="Q7" i="58"/>
  <c r="P8" i="58"/>
  <c r="Q8" i="58"/>
  <c r="Q19" i="58" s="1"/>
  <c r="P9" i="58"/>
  <c r="Q9" i="58"/>
  <c r="P10" i="58"/>
  <c r="Q10" i="58"/>
  <c r="P11" i="58"/>
  <c r="Q11" i="58"/>
  <c r="P12" i="58"/>
  <c r="Q12" i="58"/>
  <c r="P13" i="58"/>
  <c r="Q13" i="58"/>
  <c r="P14" i="58"/>
  <c r="Q14" i="58"/>
  <c r="P15" i="58"/>
  <c r="Q15" i="58"/>
  <c r="P16" i="58"/>
  <c r="Q16" i="58"/>
  <c r="P17" i="58"/>
  <c r="Q17" i="58"/>
  <c r="P18" i="58"/>
  <c r="Q18" i="58"/>
  <c r="F19" i="58"/>
  <c r="G19" i="58"/>
  <c r="H19" i="58"/>
  <c r="I19" i="58"/>
  <c r="J19" i="58"/>
  <c r="K19" i="58"/>
  <c r="L19" i="58"/>
  <c r="M19" i="58"/>
  <c r="N19" i="58"/>
  <c r="O19" i="58"/>
  <c r="F20" i="58"/>
  <c r="G20" i="58"/>
  <c r="H20" i="58"/>
  <c r="I20" i="58"/>
  <c r="J20" i="58"/>
  <c r="K20" i="58"/>
  <c r="L20" i="58"/>
  <c r="M20" i="58"/>
  <c r="N20" i="58"/>
  <c r="O20" i="58"/>
  <c r="P21" i="58"/>
  <c r="Q21" i="58"/>
  <c r="V16" i="56"/>
  <c r="W16" i="56"/>
  <c r="X16" i="56"/>
  <c r="Y16" i="56"/>
  <c r="Z16" i="56"/>
  <c r="AC16" i="56"/>
  <c r="AO16" i="56"/>
  <c r="AQ16" i="56"/>
  <c r="AR16" i="56"/>
  <c r="U17" i="56"/>
  <c r="V17" i="56"/>
  <c r="W17" i="56"/>
  <c r="X17" i="56"/>
  <c r="AA17" i="56" s="1"/>
  <c r="Y17" i="56"/>
  <c r="Z17" i="56"/>
  <c r="AC17" i="56"/>
  <c r="AO17" i="56"/>
  <c r="AQ17" i="56"/>
  <c r="AR17" i="56"/>
  <c r="U18" i="56"/>
  <c r="V18" i="56"/>
  <c r="W18" i="56"/>
  <c r="X18" i="56"/>
  <c r="AB18" i="56" s="1"/>
  <c r="AM18" i="56" s="1"/>
  <c r="Y18" i="56"/>
  <c r="Z18" i="56"/>
  <c r="AC18" i="56"/>
  <c r="AO18" i="56"/>
  <c r="AQ18" i="56"/>
  <c r="AR18" i="56"/>
  <c r="U19" i="56"/>
  <c r="V19" i="56"/>
  <c r="W19" i="56"/>
  <c r="X19" i="56"/>
  <c r="Y19" i="56"/>
  <c r="Z19" i="56"/>
  <c r="AC19" i="56"/>
  <c r="AO19" i="56"/>
  <c r="AQ19" i="56"/>
  <c r="AR19" i="56"/>
  <c r="U20" i="56"/>
  <c r="V20" i="56"/>
  <c r="W20" i="56"/>
  <c r="X20" i="56"/>
  <c r="AA20" i="56" s="1"/>
  <c r="AE20" i="56" s="1"/>
  <c r="Y20" i="56"/>
  <c r="Z20" i="56"/>
  <c r="AC20" i="56"/>
  <c r="AO20" i="56"/>
  <c r="AQ20" i="56"/>
  <c r="AR20" i="56"/>
  <c r="U21" i="56"/>
  <c r="V21" i="56"/>
  <c r="W21" i="56"/>
  <c r="X21" i="56"/>
  <c r="AB21" i="56" s="1"/>
  <c r="Y21" i="56"/>
  <c r="Z21" i="56"/>
  <c r="AC21" i="56"/>
  <c r="AO21" i="56"/>
  <c r="AQ21" i="56"/>
  <c r="AS21" i="56" s="1"/>
  <c r="AR21" i="56"/>
  <c r="U22" i="56"/>
  <c r="V22" i="56"/>
  <c r="W22" i="56"/>
  <c r="X22" i="56"/>
  <c r="AB22" i="56" s="1"/>
  <c r="Y22" i="56"/>
  <c r="Z22" i="56"/>
  <c r="AC22" i="56"/>
  <c r="AO22" i="56"/>
  <c r="AQ22" i="56"/>
  <c r="AR22" i="56"/>
  <c r="U23" i="56"/>
  <c r="V23" i="56"/>
  <c r="W23" i="56"/>
  <c r="X23" i="56"/>
  <c r="Y23" i="56"/>
  <c r="Z23" i="56"/>
  <c r="AC23" i="56"/>
  <c r="AO23" i="56"/>
  <c r="AQ23" i="56"/>
  <c r="AR23" i="56"/>
  <c r="U24" i="56"/>
  <c r="V24" i="56"/>
  <c r="W24" i="56"/>
  <c r="X24" i="56"/>
  <c r="AB24" i="56" s="1"/>
  <c r="AI24" i="56" s="1"/>
  <c r="Y24" i="56"/>
  <c r="Z24" i="56"/>
  <c r="AC24" i="56"/>
  <c r="AO24" i="56"/>
  <c r="AQ24" i="56"/>
  <c r="AR24" i="56"/>
  <c r="U25" i="56"/>
  <c r="V25" i="56"/>
  <c r="W25" i="56"/>
  <c r="X25" i="56"/>
  <c r="AB25" i="56" s="1"/>
  <c r="Y25" i="56"/>
  <c r="Z25" i="56"/>
  <c r="AC25" i="56"/>
  <c r="AO25" i="56"/>
  <c r="AQ25" i="56"/>
  <c r="AR25" i="56"/>
  <c r="U26" i="56"/>
  <c r="V26" i="56"/>
  <c r="W26" i="56"/>
  <c r="X26" i="56"/>
  <c r="Y26" i="56"/>
  <c r="Z26" i="56"/>
  <c r="AC26" i="56"/>
  <c r="AO26" i="56"/>
  <c r="AQ26" i="56"/>
  <c r="AR26" i="56"/>
  <c r="U27" i="56"/>
  <c r="V27" i="56"/>
  <c r="W27" i="56"/>
  <c r="X27" i="56"/>
  <c r="AA27" i="56" s="1"/>
  <c r="Y27" i="56"/>
  <c r="Z27" i="56"/>
  <c r="AC27" i="56"/>
  <c r="AO27" i="56"/>
  <c r="AQ27" i="56"/>
  <c r="AR27" i="56"/>
  <c r="U28" i="56"/>
  <c r="V28" i="56"/>
  <c r="W28" i="56"/>
  <c r="X28" i="56"/>
  <c r="AB28" i="56" s="1"/>
  <c r="Y28" i="56"/>
  <c r="Z28" i="56"/>
  <c r="AC28" i="56"/>
  <c r="AO28" i="56"/>
  <c r="AQ28" i="56"/>
  <c r="AR28" i="56"/>
  <c r="U29" i="56"/>
  <c r="V29" i="56"/>
  <c r="W29" i="56"/>
  <c r="X29" i="56"/>
  <c r="Y29" i="56"/>
  <c r="Z29" i="56"/>
  <c r="AC29" i="56"/>
  <c r="AO29" i="56"/>
  <c r="AQ29" i="56"/>
  <c r="AR29" i="56"/>
  <c r="U30" i="56"/>
  <c r="V30" i="56"/>
  <c r="W30" i="56"/>
  <c r="X30" i="56"/>
  <c r="AB30" i="56" s="1"/>
  <c r="Y30" i="56"/>
  <c r="Z30" i="56"/>
  <c r="AC30" i="56"/>
  <c r="AO30" i="56"/>
  <c r="AQ30" i="56"/>
  <c r="AS30" i="56" s="1"/>
  <c r="AR30" i="56"/>
  <c r="U31" i="56"/>
  <c r="V31" i="56"/>
  <c r="W31" i="56"/>
  <c r="X31" i="56"/>
  <c r="AA31" i="56" s="1"/>
  <c r="Y31" i="56"/>
  <c r="Z31" i="56"/>
  <c r="AC31" i="56"/>
  <c r="AF31" i="56" s="1"/>
  <c r="AO31" i="56"/>
  <c r="AQ31" i="56"/>
  <c r="AR31" i="56"/>
  <c r="U32" i="56"/>
  <c r="V32" i="56"/>
  <c r="W32" i="56"/>
  <c r="X32" i="56"/>
  <c r="AA32" i="56" s="1"/>
  <c r="Y32" i="56"/>
  <c r="Z32" i="56"/>
  <c r="AC32" i="56"/>
  <c r="AO32" i="56"/>
  <c r="AQ32" i="56"/>
  <c r="AR32" i="56"/>
  <c r="U33" i="56"/>
  <c r="V33" i="56"/>
  <c r="W33" i="56"/>
  <c r="X33" i="56"/>
  <c r="AB33" i="56" s="1"/>
  <c r="Y33" i="56"/>
  <c r="Z33" i="56"/>
  <c r="AC33" i="56"/>
  <c r="AO33" i="56"/>
  <c r="AQ33" i="56"/>
  <c r="AR33" i="56"/>
  <c r="U34" i="56"/>
  <c r="V34" i="56"/>
  <c r="W34" i="56"/>
  <c r="X34" i="56"/>
  <c r="AA34" i="56" s="1"/>
  <c r="AE34" i="56" s="1"/>
  <c r="Y34" i="56"/>
  <c r="Z34" i="56"/>
  <c r="AC34" i="56"/>
  <c r="AO34" i="56"/>
  <c r="AQ34" i="56"/>
  <c r="AR34" i="56"/>
  <c r="U35" i="56"/>
  <c r="V35" i="56"/>
  <c r="W35" i="56"/>
  <c r="X35" i="56"/>
  <c r="AA35" i="56" s="1"/>
  <c r="Y35" i="56"/>
  <c r="Z35" i="56"/>
  <c r="AC35" i="56"/>
  <c r="AO35" i="56"/>
  <c r="AQ35" i="56"/>
  <c r="AR35" i="56"/>
  <c r="U36" i="56"/>
  <c r="V36" i="56"/>
  <c r="W36" i="56"/>
  <c r="X36" i="56"/>
  <c r="Y36" i="56"/>
  <c r="Z36" i="56"/>
  <c r="AC36" i="56"/>
  <c r="AO36" i="56"/>
  <c r="AQ36" i="56"/>
  <c r="AR36" i="56"/>
  <c r="U37" i="56"/>
  <c r="V37" i="56"/>
  <c r="W37" i="56"/>
  <c r="X37" i="56"/>
  <c r="AA37" i="56" s="1"/>
  <c r="Y37" i="56"/>
  <c r="Z37" i="56"/>
  <c r="AC37" i="56"/>
  <c r="AE37" i="56"/>
  <c r="AO37" i="56"/>
  <c r="AQ37" i="56"/>
  <c r="AR37" i="56"/>
  <c r="U38" i="56"/>
  <c r="V38" i="56"/>
  <c r="W38" i="56"/>
  <c r="X38" i="56"/>
  <c r="Y38" i="56"/>
  <c r="Z38" i="56"/>
  <c r="AC38" i="56"/>
  <c r="AO38" i="56"/>
  <c r="AQ38" i="56"/>
  <c r="AR38" i="56"/>
  <c r="U39" i="56"/>
  <c r="V39" i="56"/>
  <c r="W39" i="56"/>
  <c r="X39" i="56"/>
  <c r="AA39" i="56" s="1"/>
  <c r="Y39" i="56"/>
  <c r="Z39" i="56"/>
  <c r="AC39" i="56"/>
  <c r="AE39" i="56"/>
  <c r="AO39" i="56"/>
  <c r="AQ39" i="56"/>
  <c r="AR39" i="56"/>
  <c r="U40" i="56"/>
  <c r="V40" i="56"/>
  <c r="W40" i="56"/>
  <c r="X40" i="56"/>
  <c r="AA40" i="56" s="1"/>
  <c r="Y40" i="56"/>
  <c r="Z40" i="56"/>
  <c r="AC40" i="56"/>
  <c r="AE40" i="56"/>
  <c r="AO40" i="56"/>
  <c r="AQ40" i="56"/>
  <c r="AR40" i="56"/>
  <c r="AS40" i="56" s="1"/>
  <c r="U41" i="56"/>
  <c r="V41" i="56"/>
  <c r="W41" i="56"/>
  <c r="X41" i="56"/>
  <c r="AA41" i="56" s="1"/>
  <c r="Y41" i="56"/>
  <c r="Z41" i="56"/>
  <c r="AC41" i="56"/>
  <c r="AE41" i="56"/>
  <c r="AO41" i="56"/>
  <c r="AQ41" i="56"/>
  <c r="AR41" i="56"/>
  <c r="U42" i="56"/>
  <c r="V42" i="56"/>
  <c r="W42" i="56"/>
  <c r="X42" i="56"/>
  <c r="AB42" i="56" s="1"/>
  <c r="Y42" i="56"/>
  <c r="AF42" i="56" s="1"/>
  <c r="AP42" i="56" s="1"/>
  <c r="Z42" i="56"/>
  <c r="AC42" i="56"/>
  <c r="AO42" i="56"/>
  <c r="AQ42" i="56"/>
  <c r="AR42" i="56"/>
  <c r="U43" i="56"/>
  <c r="V43" i="56"/>
  <c r="W43" i="56"/>
  <c r="X43" i="56"/>
  <c r="Y43" i="56"/>
  <c r="Z43" i="56"/>
  <c r="AC43" i="56"/>
  <c r="AO43" i="56"/>
  <c r="AQ43" i="56"/>
  <c r="AR43" i="56"/>
  <c r="U44" i="56"/>
  <c r="V44" i="56"/>
  <c r="W44" i="56"/>
  <c r="X44" i="56"/>
  <c r="Y44" i="56"/>
  <c r="Z44" i="56"/>
  <c r="AC44" i="56"/>
  <c r="AO44" i="56"/>
  <c r="AQ44" i="56"/>
  <c r="AR44" i="56"/>
  <c r="U45" i="56"/>
  <c r="V45" i="56"/>
  <c r="W45" i="56"/>
  <c r="X45" i="56"/>
  <c r="AA45" i="56" s="1"/>
  <c r="Y45" i="56"/>
  <c r="Z45" i="56"/>
  <c r="AC45" i="56"/>
  <c r="AE45" i="56"/>
  <c r="AO45" i="56"/>
  <c r="AQ45" i="56"/>
  <c r="AR45" i="56"/>
  <c r="U46" i="56"/>
  <c r="V46" i="56"/>
  <c r="W46" i="56"/>
  <c r="X46" i="56"/>
  <c r="AA46" i="56" s="1"/>
  <c r="Y46" i="56"/>
  <c r="Z46" i="56"/>
  <c r="AC46" i="56"/>
  <c r="AO46" i="56"/>
  <c r="AQ46" i="56"/>
  <c r="AR46" i="56"/>
  <c r="U47" i="56"/>
  <c r="V47" i="56"/>
  <c r="AF47" i="56" s="1"/>
  <c r="W47" i="56"/>
  <c r="X47" i="56"/>
  <c r="AB47" i="56" s="1"/>
  <c r="AL47" i="56" s="1"/>
  <c r="Y47" i="56"/>
  <c r="Z47" i="56"/>
  <c r="AC47" i="56"/>
  <c r="AO47" i="56"/>
  <c r="AQ47" i="56"/>
  <c r="AR47" i="56"/>
  <c r="U48" i="56"/>
  <c r="V48" i="56"/>
  <c r="W48" i="56"/>
  <c r="X48" i="56"/>
  <c r="AA48" i="56" s="1"/>
  <c r="Y48" i="56"/>
  <c r="Z48" i="56"/>
  <c r="AC48" i="56"/>
  <c r="AE48" i="56"/>
  <c r="AO48" i="56"/>
  <c r="AQ48" i="56"/>
  <c r="AR48" i="56"/>
  <c r="U49" i="56"/>
  <c r="V49" i="56"/>
  <c r="W49" i="56"/>
  <c r="X49" i="56"/>
  <c r="AA49" i="56" s="1"/>
  <c r="Y49" i="56"/>
  <c r="Z49" i="56"/>
  <c r="AC49" i="56"/>
  <c r="AE49" i="56"/>
  <c r="AO49" i="56"/>
  <c r="AQ49" i="56"/>
  <c r="AR49" i="56"/>
  <c r="U50" i="56"/>
  <c r="V50" i="56"/>
  <c r="W50" i="56"/>
  <c r="X50" i="56"/>
  <c r="AB50" i="56" s="1"/>
  <c r="AM50" i="56" s="1"/>
  <c r="Y50" i="56"/>
  <c r="Z50" i="56"/>
  <c r="AC50" i="56"/>
  <c r="AO50" i="56"/>
  <c r="AQ50" i="56"/>
  <c r="AR50" i="56"/>
  <c r="U51" i="56"/>
  <c r="V51" i="56"/>
  <c r="W51" i="56"/>
  <c r="X51" i="56"/>
  <c r="Y51" i="56"/>
  <c r="Z51" i="56"/>
  <c r="AC51" i="56"/>
  <c r="AO51" i="56"/>
  <c r="AQ51" i="56"/>
  <c r="AR51" i="56"/>
  <c r="U52" i="56"/>
  <c r="V52" i="56"/>
  <c r="W52" i="56"/>
  <c r="X52" i="56"/>
  <c r="AB52" i="56" s="1"/>
  <c r="Y52" i="56"/>
  <c r="Z52" i="56"/>
  <c r="AC52" i="56"/>
  <c r="AO52" i="56"/>
  <c r="AQ52" i="56"/>
  <c r="AR52" i="56"/>
  <c r="U53" i="56"/>
  <c r="V53" i="56"/>
  <c r="W53" i="56"/>
  <c r="X53" i="56"/>
  <c r="Y53" i="56"/>
  <c r="Z53" i="56"/>
  <c r="AC53" i="56"/>
  <c r="AO53" i="56"/>
  <c r="AQ53" i="56"/>
  <c r="AR53" i="56"/>
  <c r="U54" i="56"/>
  <c r="V54" i="56"/>
  <c r="W54" i="56"/>
  <c r="X54" i="56"/>
  <c r="Y54" i="56"/>
  <c r="Z54" i="56"/>
  <c r="AC54" i="56"/>
  <c r="AO54" i="56"/>
  <c r="AQ54" i="56"/>
  <c r="AR54" i="56"/>
  <c r="U55" i="56"/>
  <c r="V55" i="56"/>
  <c r="W55" i="56"/>
  <c r="X55" i="56"/>
  <c r="AB55" i="56" s="1"/>
  <c r="AN55" i="56" s="1"/>
  <c r="Y55" i="56"/>
  <c r="Z55" i="56"/>
  <c r="AC55" i="56"/>
  <c r="AO55" i="56"/>
  <c r="AQ55" i="56"/>
  <c r="AR55" i="56"/>
  <c r="U56" i="56"/>
  <c r="V56" i="56"/>
  <c r="W56" i="56"/>
  <c r="X56" i="56"/>
  <c r="AA56" i="56" s="1"/>
  <c r="Y56" i="56"/>
  <c r="Z56" i="56"/>
  <c r="AC56" i="56"/>
  <c r="AE56" i="56"/>
  <c r="AO56" i="56"/>
  <c r="AQ56" i="56"/>
  <c r="AS56" i="56" s="1"/>
  <c r="AR56" i="56"/>
  <c r="U57" i="56"/>
  <c r="V57" i="56"/>
  <c r="W57" i="56"/>
  <c r="X57" i="56"/>
  <c r="AA57" i="56" s="1"/>
  <c r="Y57" i="56"/>
  <c r="Z57" i="56"/>
  <c r="AC57" i="56"/>
  <c r="AE57" i="56"/>
  <c r="AO57" i="56"/>
  <c r="AQ57" i="56"/>
  <c r="AR57" i="56"/>
  <c r="AS57" i="56" s="1"/>
  <c r="U58" i="56"/>
  <c r="V58" i="56"/>
  <c r="W58" i="56"/>
  <c r="X58" i="56"/>
  <c r="Y58" i="56"/>
  <c r="Z58" i="56"/>
  <c r="AC58" i="56"/>
  <c r="AO58" i="56"/>
  <c r="AQ58" i="56"/>
  <c r="AR58" i="56"/>
  <c r="U59" i="56"/>
  <c r="V59" i="56"/>
  <c r="W59" i="56"/>
  <c r="X59" i="56"/>
  <c r="AA59" i="56" s="1"/>
  <c r="Y59" i="56"/>
  <c r="Z59" i="56"/>
  <c r="AC59" i="56"/>
  <c r="AE59" i="56"/>
  <c r="AO59" i="56"/>
  <c r="AQ59" i="56"/>
  <c r="AR59" i="56"/>
  <c r="U60" i="56"/>
  <c r="V60" i="56"/>
  <c r="W60" i="56"/>
  <c r="X60" i="56"/>
  <c r="AB60" i="56" s="1"/>
  <c r="Y60" i="56"/>
  <c r="Z60" i="56"/>
  <c r="AC60" i="56"/>
  <c r="AO60" i="56"/>
  <c r="AQ60" i="56"/>
  <c r="AR60" i="56"/>
  <c r="U61" i="56"/>
  <c r="V61" i="56"/>
  <c r="W61" i="56"/>
  <c r="X61" i="56"/>
  <c r="Y61" i="56"/>
  <c r="Z61" i="56"/>
  <c r="AC61" i="56"/>
  <c r="AO61" i="56"/>
  <c r="AQ61" i="56"/>
  <c r="AR61" i="56"/>
  <c r="U62" i="56"/>
  <c r="V62" i="56"/>
  <c r="W62" i="56"/>
  <c r="X62" i="56"/>
  <c r="AB62" i="56" s="1"/>
  <c r="Y62" i="56"/>
  <c r="Z62" i="56"/>
  <c r="AC62" i="56"/>
  <c r="AO62" i="56"/>
  <c r="AQ62" i="56"/>
  <c r="AR62" i="56"/>
  <c r="U63" i="56"/>
  <c r="V63" i="56"/>
  <c r="W63" i="56"/>
  <c r="X63" i="56"/>
  <c r="AB63" i="56" s="1"/>
  <c r="Y63" i="56"/>
  <c r="Z63" i="56"/>
  <c r="AC63" i="56"/>
  <c r="AO63" i="56"/>
  <c r="AQ63" i="56"/>
  <c r="AS63" i="56" s="1"/>
  <c r="AR63" i="56"/>
  <c r="U64" i="56"/>
  <c r="V64" i="56"/>
  <c r="W64" i="56"/>
  <c r="X64" i="56"/>
  <c r="AA64" i="56" s="1"/>
  <c r="AE64" i="56" s="1"/>
  <c r="Y64" i="56"/>
  <c r="Z64" i="56"/>
  <c r="AC64" i="56"/>
  <c r="AO64" i="56"/>
  <c r="AQ64" i="56"/>
  <c r="AR64" i="56"/>
  <c r="U65" i="56"/>
  <c r="V65" i="56"/>
  <c r="W65" i="56"/>
  <c r="X65" i="56"/>
  <c r="Y65" i="56"/>
  <c r="Z65" i="56"/>
  <c r="AC65" i="56"/>
  <c r="AO65" i="56"/>
  <c r="AQ65" i="56"/>
  <c r="AR65" i="56"/>
  <c r="U66" i="56"/>
  <c r="V66" i="56"/>
  <c r="W66" i="56"/>
  <c r="X66" i="56"/>
  <c r="Y66" i="56"/>
  <c r="Z66" i="56"/>
  <c r="AC66" i="56"/>
  <c r="AO66" i="56"/>
  <c r="AQ66" i="56"/>
  <c r="AR66" i="56"/>
  <c r="U67" i="56"/>
  <c r="V67" i="56"/>
  <c r="W67" i="56"/>
  <c r="X67" i="56"/>
  <c r="Y67" i="56"/>
  <c r="AF67" i="56" s="1"/>
  <c r="Z67" i="56"/>
  <c r="AC67" i="56"/>
  <c r="AO67" i="56"/>
  <c r="AQ67" i="56"/>
  <c r="AR67" i="56"/>
  <c r="U68" i="56"/>
  <c r="V68" i="56"/>
  <c r="W68" i="56"/>
  <c r="X68" i="56"/>
  <c r="AA68" i="56" s="1"/>
  <c r="Y68" i="56"/>
  <c r="Z68" i="56"/>
  <c r="AC68" i="56"/>
  <c r="AE68" i="56"/>
  <c r="AO68" i="56"/>
  <c r="AQ68" i="56"/>
  <c r="AR68" i="56"/>
  <c r="U69" i="56"/>
  <c r="V69" i="56"/>
  <c r="W69" i="56"/>
  <c r="X69" i="56"/>
  <c r="Y69" i="56"/>
  <c r="Z69" i="56"/>
  <c r="AC69" i="56"/>
  <c r="AO69" i="56"/>
  <c r="AQ69" i="56"/>
  <c r="AR69" i="56"/>
  <c r="U70" i="56"/>
  <c r="V70" i="56"/>
  <c r="W70" i="56"/>
  <c r="X70" i="56"/>
  <c r="AA70" i="56" s="1"/>
  <c r="Y70" i="56"/>
  <c r="Z70" i="56"/>
  <c r="AC70" i="56"/>
  <c r="AO70" i="56"/>
  <c r="AQ70" i="56"/>
  <c r="AR70" i="56"/>
  <c r="U71" i="56"/>
  <c r="V71" i="56"/>
  <c r="W71" i="56"/>
  <c r="X71" i="56"/>
  <c r="Y71" i="56"/>
  <c r="Z71" i="56"/>
  <c r="AC71" i="56"/>
  <c r="AO71" i="56"/>
  <c r="AQ71" i="56"/>
  <c r="AR71" i="56"/>
  <c r="U72" i="56"/>
  <c r="V72" i="56"/>
  <c r="W72" i="56"/>
  <c r="X72" i="56"/>
  <c r="AA72" i="56" s="1"/>
  <c r="Y72" i="56"/>
  <c r="Z72" i="56"/>
  <c r="AC72" i="56"/>
  <c r="AE72" i="56"/>
  <c r="AO72" i="56"/>
  <c r="AQ72" i="56"/>
  <c r="AR72" i="56"/>
  <c r="U73" i="56"/>
  <c r="V73" i="56"/>
  <c r="W73" i="56"/>
  <c r="X73" i="56"/>
  <c r="Y73" i="56"/>
  <c r="Z73" i="56"/>
  <c r="AC73" i="56"/>
  <c r="AO73" i="56"/>
  <c r="AQ73" i="56"/>
  <c r="AR73" i="56"/>
  <c r="U74" i="56"/>
  <c r="V74" i="56"/>
  <c r="W74" i="56"/>
  <c r="X74" i="56"/>
  <c r="AA74" i="56" s="1"/>
  <c r="AE74" i="56" s="1"/>
  <c r="Y74" i="56"/>
  <c r="AF74" i="56" s="1"/>
  <c r="Z74" i="56"/>
  <c r="AC74" i="56"/>
  <c r="AO74" i="56"/>
  <c r="AQ74" i="56"/>
  <c r="AR74" i="56"/>
  <c r="U75" i="56"/>
  <c r="V75" i="56"/>
  <c r="W75" i="56"/>
  <c r="X75" i="56"/>
  <c r="AB75" i="56" s="1"/>
  <c r="AM75" i="56" s="1"/>
  <c r="Y75" i="56"/>
  <c r="Z75" i="56"/>
  <c r="AC75" i="56"/>
  <c r="AO75" i="56"/>
  <c r="AQ75" i="56"/>
  <c r="AR75" i="56"/>
  <c r="U76" i="56"/>
  <c r="V76" i="56"/>
  <c r="W76" i="56"/>
  <c r="X76" i="56"/>
  <c r="Y76" i="56"/>
  <c r="Z76" i="56"/>
  <c r="AC76" i="56"/>
  <c r="AO76" i="56"/>
  <c r="AQ76" i="56"/>
  <c r="AS76" i="56" s="1"/>
  <c r="AR76" i="56"/>
  <c r="U77" i="56"/>
  <c r="V77" i="56"/>
  <c r="W77" i="56"/>
  <c r="X77" i="56"/>
  <c r="AA77" i="56" s="1"/>
  <c r="Y77" i="56"/>
  <c r="Z77" i="56"/>
  <c r="AC77" i="56"/>
  <c r="AF77" i="56" s="1"/>
  <c r="AO77" i="56"/>
  <c r="AQ77" i="56"/>
  <c r="AR77" i="56"/>
  <c r="U78" i="56"/>
  <c r="V78" i="56"/>
  <c r="W78" i="56"/>
  <c r="X78" i="56"/>
  <c r="Y78" i="56"/>
  <c r="Z78" i="56"/>
  <c r="AC78" i="56"/>
  <c r="AO78" i="56"/>
  <c r="AQ78" i="56"/>
  <c r="AR78" i="56"/>
  <c r="U79" i="56"/>
  <c r="V79" i="56"/>
  <c r="W79" i="56"/>
  <c r="X79" i="56"/>
  <c r="Y79" i="56"/>
  <c r="Z79" i="56"/>
  <c r="AC79" i="56"/>
  <c r="AO79" i="56"/>
  <c r="AQ79" i="56"/>
  <c r="AR79" i="56"/>
  <c r="U80" i="56"/>
  <c r="V80" i="56"/>
  <c r="W80" i="56"/>
  <c r="X80" i="56"/>
  <c r="AB80" i="56" s="1"/>
  <c r="AL80" i="56" s="1"/>
  <c r="Y80" i="56"/>
  <c r="Z80" i="56"/>
  <c r="AC80" i="56"/>
  <c r="AO80" i="56"/>
  <c r="AQ80" i="56"/>
  <c r="AS80" i="56" s="1"/>
  <c r="AR80" i="56"/>
  <c r="U81" i="56"/>
  <c r="V81" i="56"/>
  <c r="W81" i="56"/>
  <c r="X81" i="56"/>
  <c r="AA81" i="56" s="1"/>
  <c r="AE81" i="56" s="1"/>
  <c r="Y81" i="56"/>
  <c r="Z81" i="56"/>
  <c r="AC81" i="56"/>
  <c r="AO81" i="56"/>
  <c r="AQ81" i="56"/>
  <c r="AR81" i="56"/>
  <c r="U82" i="56"/>
  <c r="V82" i="56"/>
  <c r="W82" i="56"/>
  <c r="X82" i="56"/>
  <c r="AA82" i="56" s="1"/>
  <c r="Y82" i="56"/>
  <c r="AF82" i="56" s="1"/>
  <c r="Z82" i="56"/>
  <c r="AC82" i="56"/>
  <c r="AO82" i="56"/>
  <c r="AQ82" i="56"/>
  <c r="AR82" i="56"/>
  <c r="U83" i="56"/>
  <c r="V83" i="56"/>
  <c r="W83" i="56"/>
  <c r="X83" i="56"/>
  <c r="AA83" i="56" s="1"/>
  <c r="AE83" i="56" s="1"/>
  <c r="Y83" i="56"/>
  <c r="Z83" i="56"/>
  <c r="AC83" i="56"/>
  <c r="AO83" i="56"/>
  <c r="AQ83" i="56"/>
  <c r="AS83" i="56" s="1"/>
  <c r="AR83" i="56"/>
  <c r="U84" i="56"/>
  <c r="V84" i="56"/>
  <c r="W84" i="56"/>
  <c r="X84" i="56"/>
  <c r="AA84" i="56" s="1"/>
  <c r="AE84" i="56" s="1"/>
  <c r="Y84" i="56"/>
  <c r="Z84" i="56"/>
  <c r="AC84" i="56"/>
  <c r="AO84" i="56"/>
  <c r="AQ84" i="56"/>
  <c r="AS84" i="56" s="1"/>
  <c r="AR84" i="56"/>
  <c r="U85" i="56"/>
  <c r="V85" i="56"/>
  <c r="W85" i="56"/>
  <c r="X85" i="56"/>
  <c r="AA85" i="56" s="1"/>
  <c r="Y85" i="56"/>
  <c r="Z85" i="56"/>
  <c r="AC85" i="56"/>
  <c r="AO85" i="56"/>
  <c r="AQ85" i="56"/>
  <c r="AR85" i="56"/>
  <c r="U86" i="56"/>
  <c r="V86" i="56"/>
  <c r="W86" i="56"/>
  <c r="X86" i="56"/>
  <c r="AA86" i="56" s="1"/>
  <c r="Y86" i="56"/>
  <c r="Z86" i="56"/>
  <c r="AC86" i="56"/>
  <c r="AO86" i="56"/>
  <c r="AQ86" i="56"/>
  <c r="AR86" i="56"/>
  <c r="U87" i="56"/>
  <c r="V87" i="56"/>
  <c r="W87" i="56"/>
  <c r="X87" i="56"/>
  <c r="AA87" i="56" s="1"/>
  <c r="AE87" i="56" s="1"/>
  <c r="Y87" i="56"/>
  <c r="Z87" i="56"/>
  <c r="AC87" i="56"/>
  <c r="AO87" i="56"/>
  <c r="AQ87" i="56"/>
  <c r="AS87" i="56" s="1"/>
  <c r="AR87" i="56"/>
  <c r="U88" i="56"/>
  <c r="V88" i="56"/>
  <c r="W88" i="56"/>
  <c r="X88" i="56"/>
  <c r="Y88" i="56"/>
  <c r="Z88" i="56"/>
  <c r="AC88" i="56"/>
  <c r="AO88" i="56"/>
  <c r="AQ88" i="56"/>
  <c r="AS88" i="56" s="1"/>
  <c r="AR88" i="56"/>
  <c r="U89" i="56"/>
  <c r="V89" i="56"/>
  <c r="W89" i="56"/>
  <c r="X89" i="56"/>
  <c r="AA89" i="56" s="1"/>
  <c r="Y89" i="56"/>
  <c r="Z89" i="56"/>
  <c r="AC89" i="56"/>
  <c r="AO89" i="56"/>
  <c r="AQ89" i="56"/>
  <c r="AS89" i="56" s="1"/>
  <c r="AR89" i="56"/>
  <c r="U90" i="56"/>
  <c r="V90" i="56"/>
  <c r="W90" i="56"/>
  <c r="X90" i="56"/>
  <c r="AA90" i="56" s="1"/>
  <c r="AE90" i="56" s="1"/>
  <c r="Y90" i="56"/>
  <c r="Z90" i="56"/>
  <c r="AC90" i="56"/>
  <c r="AO90" i="56"/>
  <c r="AQ90" i="56"/>
  <c r="AR90" i="56"/>
  <c r="U91" i="56"/>
  <c r="V91" i="56"/>
  <c r="W91" i="56"/>
  <c r="X91" i="56"/>
  <c r="Y91" i="56"/>
  <c r="Z91" i="56"/>
  <c r="AC91" i="56"/>
  <c r="AO91" i="56"/>
  <c r="AQ91" i="56"/>
  <c r="AS91" i="56" s="1"/>
  <c r="AR91" i="56"/>
  <c r="U92" i="56"/>
  <c r="V92" i="56"/>
  <c r="W92" i="56"/>
  <c r="X92" i="56"/>
  <c r="Y92" i="56"/>
  <c r="Z92" i="56"/>
  <c r="AC92" i="56"/>
  <c r="AO92" i="56"/>
  <c r="AQ92" i="56"/>
  <c r="AR92" i="56"/>
  <c r="U93" i="56"/>
  <c r="V93" i="56"/>
  <c r="W93" i="56"/>
  <c r="X93" i="56"/>
  <c r="AA93" i="56" s="1"/>
  <c r="AE93" i="56" s="1"/>
  <c r="Y93" i="56"/>
  <c r="Z93" i="56"/>
  <c r="AC93" i="56"/>
  <c r="AO93" i="56"/>
  <c r="AQ93" i="56"/>
  <c r="AS93" i="56" s="1"/>
  <c r="AR93" i="56"/>
  <c r="U94" i="56"/>
  <c r="V94" i="56"/>
  <c r="W94" i="56"/>
  <c r="X94" i="56"/>
  <c r="AB94" i="56" s="1"/>
  <c r="AI94" i="56" s="1"/>
  <c r="Y94" i="56"/>
  <c r="Z94" i="56"/>
  <c r="AC94" i="56"/>
  <c r="AO94" i="56"/>
  <c r="AQ94" i="56"/>
  <c r="AR94" i="56"/>
  <c r="U95" i="56"/>
  <c r="V95" i="56"/>
  <c r="W95" i="56"/>
  <c r="X95" i="56"/>
  <c r="Y95" i="56"/>
  <c r="Z95" i="56"/>
  <c r="AC95" i="56"/>
  <c r="AO95" i="56"/>
  <c r="AQ95" i="56"/>
  <c r="AR95" i="56"/>
  <c r="U96" i="56"/>
  <c r="V96" i="56"/>
  <c r="W96" i="56"/>
  <c r="X96" i="56"/>
  <c r="Y96" i="56"/>
  <c r="Z96" i="56"/>
  <c r="AC96" i="56"/>
  <c r="AO96" i="56"/>
  <c r="AQ96" i="56"/>
  <c r="AR96" i="56"/>
  <c r="U97" i="56"/>
  <c r="V97" i="56"/>
  <c r="W97" i="56"/>
  <c r="X97" i="56"/>
  <c r="AB97" i="56" s="1"/>
  <c r="AI97" i="56" s="1"/>
  <c r="Y97" i="56"/>
  <c r="Z97" i="56"/>
  <c r="AC97" i="56"/>
  <c r="AO97" i="56"/>
  <c r="AQ97" i="56"/>
  <c r="AS97" i="56" s="1"/>
  <c r="AR97" i="56"/>
  <c r="U98" i="56"/>
  <c r="V98" i="56"/>
  <c r="W98" i="56"/>
  <c r="X98" i="56"/>
  <c r="Y98" i="56"/>
  <c r="Z98" i="56"/>
  <c r="AC98" i="56"/>
  <c r="AO98" i="56"/>
  <c r="AQ98" i="56"/>
  <c r="AR98" i="56"/>
  <c r="U99" i="56"/>
  <c r="V99" i="56"/>
  <c r="W99" i="56"/>
  <c r="X99" i="56"/>
  <c r="Y99" i="56"/>
  <c r="Z99" i="56"/>
  <c r="AC99" i="56"/>
  <c r="AE99" i="56"/>
  <c r="AO99" i="56"/>
  <c r="AQ99" i="56"/>
  <c r="AR99" i="56"/>
  <c r="AS99" i="56" s="1"/>
  <c r="U100" i="56"/>
  <c r="V100" i="56"/>
  <c r="W100" i="56"/>
  <c r="X100" i="56"/>
  <c r="AA100" i="56" s="1"/>
  <c r="AE100" i="56" s="1"/>
  <c r="Y100" i="56"/>
  <c r="Z100" i="56"/>
  <c r="AC100" i="56"/>
  <c r="AO100" i="56"/>
  <c r="AQ100" i="56"/>
  <c r="AR100" i="56"/>
  <c r="U101" i="56"/>
  <c r="V101" i="56"/>
  <c r="W101" i="56"/>
  <c r="X101" i="56"/>
  <c r="Y101" i="56"/>
  <c r="Z101" i="56"/>
  <c r="AC101" i="56"/>
  <c r="AE101" i="56"/>
  <c r="AO101" i="56"/>
  <c r="AQ101" i="56"/>
  <c r="AR101" i="56"/>
  <c r="U102" i="56"/>
  <c r="V102" i="56"/>
  <c r="W102" i="56"/>
  <c r="X102" i="56"/>
  <c r="AB102" i="56" s="1"/>
  <c r="AM102" i="56" s="1"/>
  <c r="Y102" i="56"/>
  <c r="Z102" i="56"/>
  <c r="AC102" i="56"/>
  <c r="AE102" i="56"/>
  <c r="AO102" i="56"/>
  <c r="AQ102" i="56"/>
  <c r="AR102" i="56"/>
  <c r="U103" i="56"/>
  <c r="V103" i="56"/>
  <c r="W103" i="56"/>
  <c r="X103" i="56"/>
  <c r="Y103" i="56"/>
  <c r="Z103" i="56"/>
  <c r="AC103" i="56"/>
  <c r="AJ103" i="56" s="1"/>
  <c r="AE103" i="56"/>
  <c r="AO103" i="56"/>
  <c r="AQ103" i="56"/>
  <c r="AR103" i="56"/>
  <c r="U104" i="56"/>
  <c r="V104" i="56"/>
  <c r="W104" i="56"/>
  <c r="X104" i="56"/>
  <c r="Y104" i="56"/>
  <c r="Z104" i="56"/>
  <c r="AC104" i="56"/>
  <c r="AO104" i="56"/>
  <c r="AQ104" i="56"/>
  <c r="AR104" i="56"/>
  <c r="U105" i="56"/>
  <c r="V105" i="56"/>
  <c r="W105" i="56"/>
  <c r="X105" i="56"/>
  <c r="Y105" i="56"/>
  <c r="Z105" i="56"/>
  <c r="AC105" i="56"/>
  <c r="AO105" i="56"/>
  <c r="AQ105" i="56"/>
  <c r="AR105" i="56"/>
  <c r="U106" i="56"/>
  <c r="V106" i="56"/>
  <c r="W106" i="56"/>
  <c r="X106" i="56"/>
  <c r="AB106" i="56" s="1"/>
  <c r="AN106" i="56" s="1"/>
  <c r="Y106" i="56"/>
  <c r="Z106" i="56"/>
  <c r="AC106" i="56"/>
  <c r="AO106" i="56"/>
  <c r="AQ106" i="56"/>
  <c r="AS106" i="56" s="1"/>
  <c r="AR106" i="56"/>
  <c r="U107" i="56"/>
  <c r="V107" i="56"/>
  <c r="W107" i="56"/>
  <c r="X107" i="56"/>
  <c r="AA107" i="56" s="1"/>
  <c r="AE107" i="56" s="1"/>
  <c r="Y107" i="56"/>
  <c r="Z107" i="56"/>
  <c r="AC107" i="56"/>
  <c r="AO107" i="56"/>
  <c r="AQ107" i="56"/>
  <c r="AS107" i="56" s="1"/>
  <c r="AR107" i="56"/>
  <c r="U108" i="56"/>
  <c r="V108" i="56"/>
  <c r="W108" i="56"/>
  <c r="X108" i="56"/>
  <c r="Y108" i="56"/>
  <c r="Z108" i="56"/>
  <c r="AC108" i="56"/>
  <c r="AO108" i="56"/>
  <c r="AQ108" i="56"/>
  <c r="AR108" i="56"/>
  <c r="U109" i="56"/>
  <c r="V109" i="56"/>
  <c r="W109" i="56"/>
  <c r="X109" i="56"/>
  <c r="AA109" i="56"/>
  <c r="Y109" i="56"/>
  <c r="Z109" i="56"/>
  <c r="AC109" i="56"/>
  <c r="AE109" i="56"/>
  <c r="AO109" i="56"/>
  <c r="AQ109" i="56"/>
  <c r="AS109" i="56" s="1"/>
  <c r="AR109" i="56"/>
  <c r="U110" i="56"/>
  <c r="V110" i="56"/>
  <c r="W110" i="56"/>
  <c r="X110" i="56"/>
  <c r="AB110" i="56" s="1"/>
  <c r="Y110" i="56"/>
  <c r="Z110" i="56"/>
  <c r="AC110" i="56"/>
  <c r="AF110" i="56" s="1"/>
  <c r="AO110" i="56"/>
  <c r="AQ110" i="56"/>
  <c r="AS110" i="56" s="1"/>
  <c r="AR110" i="56"/>
  <c r="U111" i="56"/>
  <c r="V111" i="56"/>
  <c r="W111" i="56"/>
  <c r="X111" i="56"/>
  <c r="AA111" i="56" s="1"/>
  <c r="AE111" i="56" s="1"/>
  <c r="Y111" i="56"/>
  <c r="Z111" i="56"/>
  <c r="AC111" i="56"/>
  <c r="AO111" i="56"/>
  <c r="AQ111" i="56"/>
  <c r="AR111" i="56"/>
  <c r="U112" i="56"/>
  <c r="V112" i="56"/>
  <c r="W112" i="56"/>
  <c r="X112" i="56"/>
  <c r="AA112" i="56" s="1"/>
  <c r="AE112" i="56" s="1"/>
  <c r="Y112" i="56"/>
  <c r="Z112" i="56"/>
  <c r="AC112" i="56"/>
  <c r="AO112" i="56"/>
  <c r="AQ112" i="56"/>
  <c r="AS112" i="56" s="1"/>
  <c r="AR112" i="56"/>
  <c r="U113" i="56"/>
  <c r="V113" i="56"/>
  <c r="W113" i="56"/>
  <c r="X113" i="56"/>
  <c r="Y113" i="56"/>
  <c r="Z113" i="56"/>
  <c r="AC113" i="56"/>
  <c r="AO113" i="56"/>
  <c r="AQ113" i="56"/>
  <c r="AR113" i="56"/>
  <c r="U114" i="56"/>
  <c r="V114" i="56"/>
  <c r="W114" i="56"/>
  <c r="X114" i="56"/>
  <c r="AB114" i="56" s="1"/>
  <c r="AL114" i="56" s="1"/>
  <c r="Y114" i="56"/>
  <c r="Z114" i="56"/>
  <c r="AC114" i="56"/>
  <c r="AO114" i="56"/>
  <c r="AQ114" i="56"/>
  <c r="AR114" i="56"/>
  <c r="U115" i="56"/>
  <c r="V115" i="56"/>
  <c r="W115" i="56"/>
  <c r="X115" i="56"/>
  <c r="AB115" i="56" s="1"/>
  <c r="AM115" i="56" s="1"/>
  <c r="Y115" i="56"/>
  <c r="Z115" i="56"/>
  <c r="AC115" i="56"/>
  <c r="AO115" i="56"/>
  <c r="AQ115" i="56"/>
  <c r="AR115" i="56"/>
  <c r="U116" i="56"/>
  <c r="V116" i="56"/>
  <c r="W116" i="56"/>
  <c r="X116" i="56"/>
  <c r="AB116" i="56" s="1"/>
  <c r="AN116" i="56" s="1"/>
  <c r="Y116" i="56"/>
  <c r="Z116" i="56"/>
  <c r="AC116" i="56"/>
  <c r="AO116" i="56"/>
  <c r="AQ116" i="56"/>
  <c r="AS116" i="56" s="1"/>
  <c r="AR116" i="56"/>
  <c r="U117" i="56"/>
  <c r="V117" i="56"/>
  <c r="W117" i="56"/>
  <c r="X117" i="56"/>
  <c r="Y117" i="56"/>
  <c r="Z117" i="56"/>
  <c r="AC117" i="56"/>
  <c r="AO117" i="56"/>
  <c r="AQ117" i="56"/>
  <c r="AS117" i="56" s="1"/>
  <c r="AR117" i="56"/>
  <c r="U118" i="56"/>
  <c r="V118" i="56"/>
  <c r="W118" i="56"/>
  <c r="X118" i="56"/>
  <c r="AB118" i="56" s="1"/>
  <c r="Y118" i="56"/>
  <c r="Z118" i="56"/>
  <c r="AC118" i="56"/>
  <c r="AO118" i="56"/>
  <c r="AQ118" i="56"/>
  <c r="AS118" i="56" s="1"/>
  <c r="AR118" i="56"/>
  <c r="U119" i="56"/>
  <c r="V119" i="56"/>
  <c r="W119" i="56"/>
  <c r="X119" i="56"/>
  <c r="AA119" i="56" s="1"/>
  <c r="AE119" i="56" s="1"/>
  <c r="Y119" i="56"/>
  <c r="Z119" i="56"/>
  <c r="AC119" i="56"/>
  <c r="AO119" i="56"/>
  <c r="AQ119" i="56"/>
  <c r="AR119" i="56"/>
  <c r="U120" i="56"/>
  <c r="V120" i="56"/>
  <c r="W120" i="56"/>
  <c r="X120" i="56"/>
  <c r="AA120" i="56" s="1"/>
  <c r="AE120" i="56" s="1"/>
  <c r="Y120" i="56"/>
  <c r="Z120" i="56"/>
  <c r="AC120" i="56"/>
  <c r="AO120" i="56"/>
  <c r="AQ120" i="56"/>
  <c r="AR120" i="56"/>
  <c r="U121" i="56"/>
  <c r="V121" i="56"/>
  <c r="W121" i="56"/>
  <c r="X121" i="56"/>
  <c r="Y121" i="56"/>
  <c r="Z121" i="56"/>
  <c r="AC121" i="56"/>
  <c r="AO121" i="56"/>
  <c r="AQ121" i="56"/>
  <c r="AS121" i="56" s="1"/>
  <c r="AR121" i="56"/>
  <c r="U122" i="56"/>
  <c r="V122" i="56"/>
  <c r="W122" i="56"/>
  <c r="X122" i="56"/>
  <c r="Y122" i="56"/>
  <c r="Z122" i="56"/>
  <c r="AC122" i="56"/>
  <c r="AO122" i="56"/>
  <c r="AQ122" i="56"/>
  <c r="AS122" i="56" s="1"/>
  <c r="AR122" i="56"/>
  <c r="U123" i="56"/>
  <c r="V123" i="56"/>
  <c r="W123" i="56"/>
  <c r="X123" i="56"/>
  <c r="Y123" i="56"/>
  <c r="AF123" i="56" s="1"/>
  <c r="Z123" i="56"/>
  <c r="AC123" i="56"/>
  <c r="AO123" i="56"/>
  <c r="AQ123" i="56"/>
  <c r="AR123" i="56"/>
  <c r="U124" i="56"/>
  <c r="V124" i="56"/>
  <c r="W124" i="56"/>
  <c r="X124" i="56"/>
  <c r="Y124" i="56"/>
  <c r="Z124" i="56"/>
  <c r="AC124" i="56"/>
  <c r="AO124" i="56"/>
  <c r="AQ124" i="56"/>
  <c r="AR124" i="56"/>
  <c r="U125" i="56"/>
  <c r="V125" i="56"/>
  <c r="W125" i="56"/>
  <c r="X125" i="56"/>
  <c r="Y125" i="56"/>
  <c r="Z125" i="56"/>
  <c r="AC125" i="56"/>
  <c r="AO125" i="56"/>
  <c r="AQ125" i="56"/>
  <c r="AR125" i="56"/>
  <c r="U126" i="56"/>
  <c r="V126" i="56"/>
  <c r="W126" i="56"/>
  <c r="X126" i="56"/>
  <c r="AB126" i="56" s="1"/>
  <c r="AM126" i="56" s="1"/>
  <c r="Y126" i="56"/>
  <c r="Z126" i="56"/>
  <c r="AC126" i="56"/>
  <c r="AO126" i="56"/>
  <c r="AQ126" i="56"/>
  <c r="AR126" i="56"/>
  <c r="U127" i="56"/>
  <c r="V127" i="56"/>
  <c r="W127" i="56"/>
  <c r="X127" i="56"/>
  <c r="AA127" i="56" s="1"/>
  <c r="Y127" i="56"/>
  <c r="AF127" i="56" s="1"/>
  <c r="AP127" i="56" s="1"/>
  <c r="Z127" i="56"/>
  <c r="AC127" i="56"/>
  <c r="AO127" i="56"/>
  <c r="AQ127" i="56"/>
  <c r="AR127" i="56"/>
  <c r="U128" i="56"/>
  <c r="V128" i="56"/>
  <c r="W128" i="56"/>
  <c r="X128" i="56"/>
  <c r="AA128" i="56" s="1"/>
  <c r="AE128" i="56" s="1"/>
  <c r="Y128" i="56"/>
  <c r="Z128" i="56"/>
  <c r="AC128" i="56"/>
  <c r="AO128" i="56"/>
  <c r="AQ128" i="56"/>
  <c r="AR128" i="56"/>
  <c r="U129" i="56"/>
  <c r="V129" i="56"/>
  <c r="W129" i="56"/>
  <c r="X129" i="56"/>
  <c r="AA129" i="56" s="1"/>
  <c r="AE129" i="56" s="1"/>
  <c r="Y129" i="56"/>
  <c r="Z129" i="56"/>
  <c r="AC129" i="56"/>
  <c r="AO129" i="56"/>
  <c r="AQ129" i="56"/>
  <c r="AR129" i="56"/>
  <c r="U130" i="56"/>
  <c r="V130" i="56"/>
  <c r="W130" i="56"/>
  <c r="X130" i="56"/>
  <c r="Y130" i="56"/>
  <c r="Z130" i="56"/>
  <c r="AC130" i="56"/>
  <c r="AO130" i="56"/>
  <c r="AQ130" i="56"/>
  <c r="AS130" i="56" s="1"/>
  <c r="AR130" i="56"/>
  <c r="U131" i="56"/>
  <c r="V131" i="56"/>
  <c r="W131" i="56"/>
  <c r="X131" i="56"/>
  <c r="Y131" i="56"/>
  <c r="Z131" i="56"/>
  <c r="AC131" i="56"/>
  <c r="AO131" i="56"/>
  <c r="AQ131" i="56"/>
  <c r="AR131" i="56"/>
  <c r="U132" i="56"/>
  <c r="V132" i="56"/>
  <c r="W132" i="56"/>
  <c r="X132" i="56"/>
  <c r="AB132" i="56" s="1"/>
  <c r="Y132" i="56"/>
  <c r="Z132" i="56"/>
  <c r="AC132" i="56"/>
  <c r="AO132" i="56"/>
  <c r="AQ132" i="56"/>
  <c r="AR132" i="56"/>
  <c r="U133" i="56"/>
  <c r="V133" i="56"/>
  <c r="W133" i="56"/>
  <c r="X133" i="56"/>
  <c r="AB133" i="56" s="1"/>
  <c r="Y133" i="56"/>
  <c r="Z133" i="56"/>
  <c r="AC133" i="56"/>
  <c r="AO133" i="56"/>
  <c r="AQ133" i="56"/>
  <c r="AR133" i="56"/>
  <c r="U134" i="56"/>
  <c r="V134" i="56"/>
  <c r="W134" i="56"/>
  <c r="X134" i="56"/>
  <c r="Y134" i="56"/>
  <c r="Z134" i="56"/>
  <c r="AC134" i="56"/>
  <c r="AE134" i="56"/>
  <c r="AO134" i="56"/>
  <c r="AQ134" i="56"/>
  <c r="AR134" i="56"/>
  <c r="U135" i="56"/>
  <c r="V135" i="56"/>
  <c r="W135" i="56"/>
  <c r="X135" i="56"/>
  <c r="Y135" i="56"/>
  <c r="Z135" i="56"/>
  <c r="AC135" i="56"/>
  <c r="AE135" i="56"/>
  <c r="AO135" i="56"/>
  <c r="AQ135" i="56"/>
  <c r="AR135" i="56"/>
  <c r="U136" i="56"/>
  <c r="V136" i="56"/>
  <c r="W136" i="56"/>
  <c r="X136" i="56"/>
  <c r="AB136" i="56" s="1"/>
  <c r="Y136" i="56"/>
  <c r="Z136" i="56"/>
  <c r="AC136" i="56"/>
  <c r="AO136" i="56"/>
  <c r="AQ136" i="56"/>
  <c r="AR136" i="56"/>
  <c r="U137" i="56"/>
  <c r="V137" i="56"/>
  <c r="W137" i="56"/>
  <c r="X137" i="56"/>
  <c r="AA137" i="56" s="1"/>
  <c r="Y137" i="56"/>
  <c r="Z137" i="56"/>
  <c r="AC137" i="56"/>
  <c r="AE137" i="56"/>
  <c r="AO137" i="56"/>
  <c r="AQ137" i="56"/>
  <c r="AR137" i="56"/>
  <c r="U138" i="56"/>
  <c r="V138" i="56"/>
  <c r="W138" i="56"/>
  <c r="X138" i="56"/>
  <c r="Y138" i="56"/>
  <c r="Z138" i="56"/>
  <c r="AC138" i="56"/>
  <c r="AO138" i="56"/>
  <c r="AQ138" i="56"/>
  <c r="AR138" i="56"/>
  <c r="U139" i="56"/>
  <c r="V139" i="56"/>
  <c r="W139" i="56"/>
  <c r="X139" i="56"/>
  <c r="AB139" i="56" s="1"/>
  <c r="Y139" i="56"/>
  <c r="Z139" i="56"/>
  <c r="AC139" i="56"/>
  <c r="AO139" i="56"/>
  <c r="AQ139" i="56"/>
  <c r="AR139" i="56"/>
  <c r="U140" i="56"/>
  <c r="V140" i="56"/>
  <c r="W140" i="56"/>
  <c r="X140" i="56"/>
  <c r="Y140" i="56"/>
  <c r="Z140" i="56"/>
  <c r="AC140" i="56"/>
  <c r="AE140" i="56"/>
  <c r="AO140" i="56"/>
  <c r="AQ140" i="56"/>
  <c r="AR140" i="56"/>
  <c r="U141" i="56"/>
  <c r="V141" i="56"/>
  <c r="W141" i="56"/>
  <c r="X141" i="56"/>
  <c r="AA141" i="56" s="1"/>
  <c r="AE141" i="56" s="1"/>
  <c r="Y141" i="56"/>
  <c r="Z141" i="56"/>
  <c r="AC141" i="56"/>
  <c r="AO141" i="56"/>
  <c r="AQ141" i="56"/>
  <c r="AR141" i="56"/>
  <c r="U142" i="56"/>
  <c r="V142" i="56"/>
  <c r="W142" i="56"/>
  <c r="X142" i="56"/>
  <c r="Y142" i="56"/>
  <c r="Z142" i="56"/>
  <c r="AC142" i="56"/>
  <c r="AO142" i="56"/>
  <c r="AQ142" i="56"/>
  <c r="AS142" i="56" s="1"/>
  <c r="AR142" i="56"/>
  <c r="U143" i="56"/>
  <c r="V143" i="56"/>
  <c r="W143" i="56"/>
  <c r="X143" i="56"/>
  <c r="AA143" i="56" s="1"/>
  <c r="Y143" i="56"/>
  <c r="Z143" i="56"/>
  <c r="AC143" i="56"/>
  <c r="AE143" i="56"/>
  <c r="AO143" i="56"/>
  <c r="AQ143" i="56"/>
  <c r="AR143" i="56"/>
  <c r="U144" i="56"/>
  <c r="V144" i="56"/>
  <c r="W144" i="56"/>
  <c r="X144" i="56"/>
  <c r="AA144" i="56" s="1"/>
  <c r="Y144" i="56"/>
  <c r="Z144" i="56"/>
  <c r="AC144" i="56"/>
  <c r="AE144" i="56"/>
  <c r="AO144" i="56"/>
  <c r="AQ144" i="56"/>
  <c r="AR144" i="56"/>
  <c r="U145" i="56"/>
  <c r="V145" i="56"/>
  <c r="W145" i="56"/>
  <c r="X145" i="56"/>
  <c r="AB145" i="56" s="1"/>
  <c r="AN145" i="56" s="1"/>
  <c r="Y145" i="56"/>
  <c r="Z145" i="56"/>
  <c r="AC145" i="56"/>
  <c r="AO145" i="56"/>
  <c r="AQ145" i="56"/>
  <c r="AS145" i="56" s="1"/>
  <c r="AR145" i="56"/>
  <c r="U146" i="56"/>
  <c r="V146" i="56"/>
  <c r="W146" i="56"/>
  <c r="X146" i="56"/>
  <c r="Y146" i="56"/>
  <c r="Z146" i="56"/>
  <c r="AC146" i="56"/>
  <c r="AO146" i="56"/>
  <c r="AQ146" i="56"/>
  <c r="AS146" i="56" s="1"/>
  <c r="AR146" i="56"/>
  <c r="U147" i="56"/>
  <c r="V147" i="56"/>
  <c r="W147" i="56"/>
  <c r="X147" i="56"/>
  <c r="Y147" i="56"/>
  <c r="Z147" i="56"/>
  <c r="AC147" i="56"/>
  <c r="AF147" i="56" s="1"/>
  <c r="AP147" i="56" s="1"/>
  <c r="AO147" i="56"/>
  <c r="AQ147" i="56"/>
  <c r="AR147" i="56"/>
  <c r="U148" i="56"/>
  <c r="V148" i="56"/>
  <c r="W148" i="56"/>
  <c r="X148" i="56"/>
  <c r="Y148" i="56"/>
  <c r="Z148" i="56"/>
  <c r="AC148" i="56"/>
  <c r="AO148" i="56"/>
  <c r="AQ148" i="56"/>
  <c r="AR148" i="56"/>
  <c r="U149" i="56"/>
  <c r="V149" i="56"/>
  <c r="W149" i="56"/>
  <c r="X149" i="56"/>
  <c r="Y149" i="56"/>
  <c r="Z149" i="56"/>
  <c r="AC149" i="56"/>
  <c r="AO149" i="56"/>
  <c r="AQ149" i="56"/>
  <c r="AR149" i="56"/>
  <c r="U150" i="56"/>
  <c r="V150" i="56"/>
  <c r="W150" i="56"/>
  <c r="X150" i="56"/>
  <c r="Y150" i="56"/>
  <c r="Z150" i="56"/>
  <c r="AC150" i="56"/>
  <c r="AO150" i="56"/>
  <c r="AQ150" i="56"/>
  <c r="AS150" i="56" s="1"/>
  <c r="AR150" i="56"/>
  <c r="U151" i="56"/>
  <c r="V151" i="56"/>
  <c r="W151" i="56"/>
  <c r="X151" i="56"/>
  <c r="Y151" i="56"/>
  <c r="Z151" i="56"/>
  <c r="AC151" i="56"/>
  <c r="AF151" i="56" s="1"/>
  <c r="AP151" i="56" s="1"/>
  <c r="AO151" i="56"/>
  <c r="AQ151" i="56"/>
  <c r="AS151" i="56" s="1"/>
  <c r="AR151" i="56"/>
  <c r="U152" i="56"/>
  <c r="V152" i="56"/>
  <c r="W152" i="56"/>
  <c r="X152" i="56"/>
  <c r="AA152" i="56" s="1"/>
  <c r="Y152" i="56"/>
  <c r="Z152" i="56"/>
  <c r="AC152" i="56"/>
  <c r="AE152" i="56"/>
  <c r="AO152" i="56"/>
  <c r="AQ152" i="56"/>
  <c r="AR152" i="56"/>
  <c r="U153" i="56"/>
  <c r="V153" i="56"/>
  <c r="W153" i="56"/>
  <c r="X153" i="56"/>
  <c r="Y153" i="56"/>
  <c r="Z153" i="56"/>
  <c r="AC153" i="56"/>
  <c r="AE153" i="56"/>
  <c r="AO153" i="56"/>
  <c r="AQ153" i="56"/>
  <c r="AR153" i="56"/>
  <c r="U154" i="56"/>
  <c r="V154" i="56"/>
  <c r="W154" i="56"/>
  <c r="X154" i="56"/>
  <c r="AA154" i="56" s="1"/>
  <c r="Y154" i="56"/>
  <c r="Z154" i="56"/>
  <c r="AC154" i="56"/>
  <c r="AO154" i="56"/>
  <c r="AQ154" i="56"/>
  <c r="AR154" i="56"/>
  <c r="U155" i="56"/>
  <c r="V155" i="56"/>
  <c r="W155" i="56"/>
  <c r="X155" i="56"/>
  <c r="AB155" i="56" s="1"/>
  <c r="Y155" i="56"/>
  <c r="AF155" i="56" s="1"/>
  <c r="AP155" i="56" s="1"/>
  <c r="Z155" i="56"/>
  <c r="AC155" i="56"/>
  <c r="AO155" i="56"/>
  <c r="AQ155" i="56"/>
  <c r="AR155" i="56"/>
  <c r="U156" i="56"/>
  <c r="V156" i="56"/>
  <c r="W156" i="56"/>
  <c r="X156" i="56"/>
  <c r="Y156" i="56"/>
  <c r="Z156" i="56"/>
  <c r="AC156" i="56"/>
  <c r="AO156" i="56"/>
  <c r="AQ156" i="56"/>
  <c r="AR156" i="56"/>
  <c r="U157" i="56"/>
  <c r="V157" i="56"/>
  <c r="W157" i="56"/>
  <c r="X157" i="56"/>
  <c r="Y157" i="56"/>
  <c r="Z157" i="56"/>
  <c r="AC157" i="56"/>
  <c r="AJ157" i="56" s="1"/>
  <c r="AE157" i="56"/>
  <c r="AO157" i="56"/>
  <c r="AQ157" i="56"/>
  <c r="AR157" i="56"/>
  <c r="U158" i="56"/>
  <c r="V158" i="56"/>
  <c r="W158" i="56"/>
  <c r="X158" i="56"/>
  <c r="AA158" i="56" s="1"/>
  <c r="AE158" i="56" s="1"/>
  <c r="Y158" i="56"/>
  <c r="Z158" i="56"/>
  <c r="AC158" i="56"/>
  <c r="AO158" i="56"/>
  <c r="AQ158" i="56"/>
  <c r="AS158" i="56" s="1"/>
  <c r="AR158" i="56"/>
  <c r="U159" i="56"/>
  <c r="V159" i="56"/>
  <c r="W159" i="56"/>
  <c r="X159" i="56"/>
  <c r="AB159" i="56" s="1"/>
  <c r="Y159" i="56"/>
  <c r="Z159" i="56"/>
  <c r="AC159" i="56"/>
  <c r="AE159" i="56"/>
  <c r="AO159" i="56"/>
  <c r="AQ159" i="56"/>
  <c r="AR159" i="56"/>
  <c r="U160" i="56"/>
  <c r="V160" i="56"/>
  <c r="W160" i="56"/>
  <c r="X160" i="56"/>
  <c r="AA160" i="56" s="1"/>
  <c r="Y160" i="56"/>
  <c r="Z160" i="56"/>
  <c r="AC160" i="56"/>
  <c r="AE160" i="56"/>
  <c r="AO160" i="56"/>
  <c r="AQ160" i="56"/>
  <c r="AR160" i="56"/>
  <c r="U161" i="56"/>
  <c r="V161" i="56"/>
  <c r="W161" i="56"/>
  <c r="X161" i="56"/>
  <c r="Y161" i="56"/>
  <c r="Z161" i="56"/>
  <c r="AC161" i="56"/>
  <c r="AE161" i="56"/>
  <c r="AO161" i="56"/>
  <c r="AQ161" i="56"/>
  <c r="AR161" i="56"/>
  <c r="AS161" i="56" s="1"/>
  <c r="U162" i="56"/>
  <c r="V162" i="56"/>
  <c r="W162" i="56"/>
  <c r="X162" i="56"/>
  <c r="Y162" i="56"/>
  <c r="Z162" i="56"/>
  <c r="AC162" i="56"/>
  <c r="AE162" i="56"/>
  <c r="AO162" i="56"/>
  <c r="AQ162" i="56"/>
  <c r="AR162" i="56"/>
  <c r="U163" i="56"/>
  <c r="V163" i="56"/>
  <c r="W163" i="56"/>
  <c r="X163" i="56"/>
  <c r="AA163" i="56" s="1"/>
  <c r="Y163" i="56"/>
  <c r="Z163" i="56"/>
  <c r="AC163" i="56"/>
  <c r="AJ163" i="56" s="1"/>
  <c r="AE163" i="56"/>
  <c r="AO163" i="56"/>
  <c r="AQ163" i="56"/>
  <c r="AR163" i="56"/>
  <c r="U164" i="56"/>
  <c r="V164" i="56"/>
  <c r="W164" i="56"/>
  <c r="X164" i="56"/>
  <c r="Y164" i="56"/>
  <c r="Z164" i="56"/>
  <c r="AC164" i="56"/>
  <c r="AG164" i="56" s="1"/>
  <c r="AE164" i="56"/>
  <c r="AO164" i="56"/>
  <c r="AQ164" i="56"/>
  <c r="AR164" i="56"/>
  <c r="U165" i="56"/>
  <c r="V165" i="56"/>
  <c r="W165" i="56"/>
  <c r="X165" i="56"/>
  <c r="AA165" i="56" s="1"/>
  <c r="Y165" i="56"/>
  <c r="Z165" i="56"/>
  <c r="AC165" i="56"/>
  <c r="AJ165" i="56" s="1"/>
  <c r="AE165" i="56"/>
  <c r="AO165" i="56"/>
  <c r="AQ165" i="56"/>
  <c r="AS165" i="56"/>
  <c r="AR165" i="56"/>
  <c r="U166" i="56"/>
  <c r="V166" i="56"/>
  <c r="W166" i="56"/>
  <c r="X166" i="56"/>
  <c r="Y166" i="56"/>
  <c r="Z166" i="56"/>
  <c r="AC166" i="56"/>
  <c r="AG166" i="56" s="1"/>
  <c r="AE166" i="56"/>
  <c r="AO166" i="56"/>
  <c r="AQ166" i="56"/>
  <c r="AR166" i="56"/>
  <c r="U167" i="56"/>
  <c r="V167" i="56"/>
  <c r="W167" i="56"/>
  <c r="X167" i="56"/>
  <c r="Y167" i="56"/>
  <c r="Z167" i="56"/>
  <c r="AC167" i="56"/>
  <c r="AO167" i="56"/>
  <c r="AQ167" i="56"/>
  <c r="AR167" i="56"/>
  <c r="U168" i="56"/>
  <c r="V168" i="56"/>
  <c r="W168" i="56"/>
  <c r="X168" i="56"/>
  <c r="Y168" i="56"/>
  <c r="Z168" i="56"/>
  <c r="AC168" i="56"/>
  <c r="AO168" i="56"/>
  <c r="AQ168" i="56"/>
  <c r="AR168" i="56"/>
  <c r="U169" i="56"/>
  <c r="V169" i="56"/>
  <c r="W169" i="56"/>
  <c r="X169" i="56"/>
  <c r="Y169" i="56"/>
  <c r="Z169" i="56"/>
  <c r="AC169" i="56"/>
  <c r="AO169" i="56"/>
  <c r="AQ169" i="56"/>
  <c r="AS169" i="56" s="1"/>
  <c r="AR169" i="56"/>
  <c r="U170" i="56"/>
  <c r="V170" i="56"/>
  <c r="W170" i="56"/>
  <c r="X170" i="56"/>
  <c r="Y170" i="56"/>
  <c r="Z170" i="56"/>
  <c r="AC170" i="56"/>
  <c r="AO170" i="56"/>
  <c r="AQ170" i="56"/>
  <c r="AR170" i="56"/>
  <c r="U171" i="56"/>
  <c r="V171" i="56"/>
  <c r="W171" i="56"/>
  <c r="X171" i="56"/>
  <c r="AB171" i="56" s="1"/>
  <c r="AI171" i="56" s="1"/>
  <c r="Y171" i="56"/>
  <c r="Z171" i="56"/>
  <c r="AC171" i="56"/>
  <c r="AO171" i="56"/>
  <c r="AQ171" i="56"/>
  <c r="AR171" i="56"/>
  <c r="U172" i="56"/>
  <c r="V172" i="56"/>
  <c r="W172" i="56"/>
  <c r="X172" i="56"/>
  <c r="AB172" i="56" s="1"/>
  <c r="Y172" i="56"/>
  <c r="Z172" i="56"/>
  <c r="AC172" i="56"/>
  <c r="AO172" i="56"/>
  <c r="AQ172" i="56"/>
  <c r="AR172" i="56"/>
  <c r="AS172" i="56" s="1"/>
  <c r="U173" i="56"/>
  <c r="V173" i="56"/>
  <c r="W173" i="56"/>
  <c r="X173" i="56"/>
  <c r="Y173" i="56"/>
  <c r="Z173" i="56"/>
  <c r="AC173" i="56"/>
  <c r="AO173" i="56"/>
  <c r="AQ173" i="56"/>
  <c r="AR173" i="56"/>
  <c r="U174" i="56"/>
  <c r="V174" i="56"/>
  <c r="W174" i="56"/>
  <c r="X174" i="56"/>
  <c r="Y174" i="56"/>
  <c r="Z174" i="56"/>
  <c r="AC174" i="56"/>
  <c r="AO174" i="56"/>
  <c r="AQ174" i="56"/>
  <c r="AR174" i="56"/>
  <c r="U175" i="56"/>
  <c r="V175" i="56"/>
  <c r="W175" i="56"/>
  <c r="X175" i="56"/>
  <c r="AB175" i="56" s="1"/>
  <c r="AI175" i="56" s="1"/>
  <c r="Y175" i="56"/>
  <c r="Z175" i="56"/>
  <c r="AC175" i="56"/>
  <c r="AO175" i="56"/>
  <c r="AQ175" i="56"/>
  <c r="AR175" i="56"/>
  <c r="AS175" i="56" s="1"/>
  <c r="U176" i="56"/>
  <c r="V176" i="56"/>
  <c r="W176" i="56"/>
  <c r="X176" i="56"/>
  <c r="AB176" i="56" s="1"/>
  <c r="AI176" i="56" s="1"/>
  <c r="Y176" i="56"/>
  <c r="Z176" i="56"/>
  <c r="AC176" i="56"/>
  <c r="AO176" i="56"/>
  <c r="AQ176" i="56"/>
  <c r="AR176" i="56"/>
  <c r="U177" i="56"/>
  <c r="V177" i="56"/>
  <c r="W177" i="56"/>
  <c r="X177" i="56"/>
  <c r="Y177" i="56"/>
  <c r="Z177" i="56"/>
  <c r="AC177" i="56"/>
  <c r="AO177" i="56"/>
  <c r="AQ177" i="56"/>
  <c r="AR177" i="56"/>
  <c r="U178" i="56"/>
  <c r="V178" i="56"/>
  <c r="W178" i="56"/>
  <c r="X178" i="56"/>
  <c r="AA178" i="56" s="1"/>
  <c r="AE178" i="56" s="1"/>
  <c r="Y178" i="56"/>
  <c r="Z178" i="56"/>
  <c r="AC178" i="56"/>
  <c r="AO178" i="56"/>
  <c r="AQ178" i="56"/>
  <c r="AR178" i="56"/>
  <c r="U179" i="56"/>
  <c r="V179" i="56"/>
  <c r="W179" i="56"/>
  <c r="X179" i="56"/>
  <c r="Y179" i="56"/>
  <c r="Z179" i="56"/>
  <c r="AC179" i="56"/>
  <c r="AO179" i="56"/>
  <c r="AQ179" i="56"/>
  <c r="AS179" i="56"/>
  <c r="AR179" i="56"/>
  <c r="U180" i="56"/>
  <c r="V180" i="56"/>
  <c r="W180" i="56"/>
  <c r="X180" i="56"/>
  <c r="AA180" i="56" s="1"/>
  <c r="AE180" i="56" s="1"/>
  <c r="Y180" i="56"/>
  <c r="Z180" i="56"/>
  <c r="AC180" i="56"/>
  <c r="AO180" i="56"/>
  <c r="AQ180" i="56"/>
  <c r="AR180" i="56"/>
  <c r="AS180" i="56" s="1"/>
  <c r="U181" i="56"/>
  <c r="V181" i="56"/>
  <c r="W181" i="56"/>
  <c r="X181" i="56"/>
  <c r="AB181" i="56"/>
  <c r="Y181" i="56"/>
  <c r="Z181" i="56"/>
  <c r="AC181" i="56"/>
  <c r="AO181" i="56"/>
  <c r="AQ181" i="56"/>
  <c r="AR181" i="56"/>
  <c r="U182" i="56"/>
  <c r="V182" i="56"/>
  <c r="W182" i="56"/>
  <c r="X182" i="56"/>
  <c r="Y182" i="56"/>
  <c r="Z182" i="56"/>
  <c r="AC182" i="56"/>
  <c r="AO182" i="56"/>
  <c r="AQ182" i="56"/>
  <c r="AR182" i="56"/>
  <c r="AS182" i="56" s="1"/>
  <c r="U183" i="56"/>
  <c r="V183" i="56"/>
  <c r="W183" i="56"/>
  <c r="X183" i="56"/>
  <c r="Y183" i="56"/>
  <c r="Z183" i="56"/>
  <c r="AC183" i="56"/>
  <c r="AO183" i="56"/>
  <c r="AQ183" i="56"/>
  <c r="AR183" i="56"/>
  <c r="U184" i="56"/>
  <c r="V184" i="56"/>
  <c r="W184" i="56"/>
  <c r="X184" i="56"/>
  <c r="Y184" i="56"/>
  <c r="Z184" i="56"/>
  <c r="AC184" i="56"/>
  <c r="AO184" i="56"/>
  <c r="AQ184" i="56"/>
  <c r="AR184" i="56"/>
  <c r="U185" i="56"/>
  <c r="V185" i="56"/>
  <c r="W185" i="56"/>
  <c r="X185" i="56"/>
  <c r="Y185" i="56"/>
  <c r="Z185" i="56"/>
  <c r="AC185" i="56"/>
  <c r="AO185" i="56"/>
  <c r="AQ185" i="56"/>
  <c r="AR185" i="56"/>
  <c r="U186" i="56"/>
  <c r="V186" i="56"/>
  <c r="W186" i="56"/>
  <c r="X186" i="56"/>
  <c r="Y186" i="56"/>
  <c r="Z186" i="56"/>
  <c r="AC186" i="56"/>
  <c r="AO186" i="56"/>
  <c r="AQ186" i="56"/>
  <c r="AR186" i="56"/>
  <c r="U187" i="56"/>
  <c r="V187" i="56"/>
  <c r="W187" i="56"/>
  <c r="X187" i="56"/>
  <c r="Y187" i="56"/>
  <c r="Z187" i="56"/>
  <c r="AC187" i="56"/>
  <c r="AO187" i="56"/>
  <c r="AQ187" i="56"/>
  <c r="AR187" i="56"/>
  <c r="U188" i="56"/>
  <c r="V188" i="56"/>
  <c r="W188" i="56"/>
  <c r="X188" i="56"/>
  <c r="Y188" i="56"/>
  <c r="Z188" i="56"/>
  <c r="AC188" i="56"/>
  <c r="AO188" i="56"/>
  <c r="AQ188" i="56"/>
  <c r="AR188" i="56"/>
  <c r="U189" i="56"/>
  <c r="V189" i="56"/>
  <c r="W189" i="56"/>
  <c r="X189" i="56"/>
  <c r="Y189" i="56"/>
  <c r="Z189" i="56"/>
  <c r="AC189" i="56"/>
  <c r="AO189" i="56"/>
  <c r="AQ189" i="56"/>
  <c r="AR189" i="56"/>
  <c r="U190" i="56"/>
  <c r="V190" i="56"/>
  <c r="W190" i="56"/>
  <c r="X190" i="56"/>
  <c r="Y190" i="56"/>
  <c r="Z190" i="56"/>
  <c r="AC190" i="56"/>
  <c r="AO190" i="56"/>
  <c r="AQ190" i="56"/>
  <c r="AR190" i="56"/>
  <c r="U191" i="56"/>
  <c r="V191" i="56"/>
  <c r="W191" i="56"/>
  <c r="X191" i="56"/>
  <c r="Y191" i="56"/>
  <c r="Z191" i="56"/>
  <c r="AC191" i="56"/>
  <c r="AO191" i="56"/>
  <c r="AQ191" i="56"/>
  <c r="AR191" i="56"/>
  <c r="U192" i="56"/>
  <c r="V192" i="56"/>
  <c r="W192" i="56"/>
  <c r="X192" i="56"/>
  <c r="Y192" i="56"/>
  <c r="Z192" i="56"/>
  <c r="AC192" i="56"/>
  <c r="AO192" i="56"/>
  <c r="AQ192" i="56"/>
  <c r="AR192" i="56"/>
  <c r="U193" i="56"/>
  <c r="V193" i="56"/>
  <c r="W193" i="56"/>
  <c r="X193" i="56"/>
  <c r="Y193" i="56"/>
  <c r="Z193" i="56"/>
  <c r="AC193" i="56"/>
  <c r="AO193" i="56"/>
  <c r="AQ193" i="56"/>
  <c r="AR193" i="56"/>
  <c r="U194" i="56"/>
  <c r="V194" i="56"/>
  <c r="W194" i="56"/>
  <c r="X194" i="56"/>
  <c r="Y194" i="56"/>
  <c r="Z194" i="56"/>
  <c r="AC194" i="56"/>
  <c r="AO194" i="56"/>
  <c r="AQ194" i="56"/>
  <c r="AR194" i="56"/>
  <c r="U195" i="56"/>
  <c r="V195" i="56"/>
  <c r="W195" i="56"/>
  <c r="X195" i="56"/>
  <c r="AB195" i="56" s="1"/>
  <c r="Y195" i="56"/>
  <c r="Z195" i="56"/>
  <c r="AC195" i="56"/>
  <c r="AO195" i="56"/>
  <c r="AQ195" i="56"/>
  <c r="AR195" i="56"/>
  <c r="U196" i="56"/>
  <c r="V196" i="56"/>
  <c r="W196" i="56"/>
  <c r="X196" i="56"/>
  <c r="Y196" i="56"/>
  <c r="Z196" i="56"/>
  <c r="AC196" i="56"/>
  <c r="AO196" i="56"/>
  <c r="AQ196" i="56"/>
  <c r="AR196" i="56"/>
  <c r="U197" i="56"/>
  <c r="V197" i="56"/>
  <c r="W197" i="56"/>
  <c r="X197" i="56"/>
  <c r="Y197" i="56"/>
  <c r="Z197" i="56"/>
  <c r="AC197" i="56"/>
  <c r="AO197" i="56"/>
  <c r="AQ197" i="56"/>
  <c r="AR197" i="56"/>
  <c r="U198" i="56"/>
  <c r="V198" i="56"/>
  <c r="W198" i="56"/>
  <c r="X198" i="56"/>
  <c r="AB198" i="56" s="1"/>
  <c r="Y198" i="56"/>
  <c r="Z198" i="56"/>
  <c r="AC198" i="56"/>
  <c r="AO198" i="56"/>
  <c r="AQ198" i="56"/>
  <c r="AR198" i="56"/>
  <c r="U199" i="56"/>
  <c r="V199" i="56"/>
  <c r="W199" i="56"/>
  <c r="X199" i="56"/>
  <c r="AA199" i="56" s="1"/>
  <c r="Y199" i="56"/>
  <c r="Z199" i="56"/>
  <c r="AC199" i="56"/>
  <c r="AE199" i="56"/>
  <c r="AO199" i="56"/>
  <c r="AQ199" i="56"/>
  <c r="AR199" i="56"/>
  <c r="U200" i="56"/>
  <c r="V200" i="56"/>
  <c r="W200" i="56"/>
  <c r="X200" i="56"/>
  <c r="Y200" i="56"/>
  <c r="Z200" i="56"/>
  <c r="AC200" i="56"/>
  <c r="AO200" i="56"/>
  <c r="AQ200" i="56"/>
  <c r="AR200" i="56"/>
  <c r="U201" i="56"/>
  <c r="V201" i="56"/>
  <c r="W201" i="56"/>
  <c r="X201" i="56"/>
  <c r="Y201" i="56"/>
  <c r="Z201" i="56"/>
  <c r="AC201" i="56"/>
  <c r="AE201" i="56"/>
  <c r="AO201" i="56"/>
  <c r="AQ201" i="56"/>
  <c r="AR201" i="56"/>
  <c r="AS201" i="56" s="1"/>
  <c r="U202" i="56"/>
  <c r="V202" i="56"/>
  <c r="W202" i="56"/>
  <c r="X202" i="56"/>
  <c r="Y202" i="56"/>
  <c r="Z202" i="56"/>
  <c r="AC202" i="56"/>
  <c r="AO202" i="56"/>
  <c r="AQ202" i="56"/>
  <c r="AR202" i="56"/>
  <c r="U203" i="56"/>
  <c r="V203" i="56"/>
  <c r="W203" i="56"/>
  <c r="X203" i="56"/>
  <c r="Y203" i="56"/>
  <c r="Z203" i="56"/>
  <c r="AC203" i="56"/>
  <c r="AO203" i="56"/>
  <c r="AQ203" i="56"/>
  <c r="AR203" i="56"/>
  <c r="U204" i="56"/>
  <c r="V204" i="56"/>
  <c r="W204" i="56"/>
  <c r="X204" i="56"/>
  <c r="Y204" i="56"/>
  <c r="Z204" i="56"/>
  <c r="AC204" i="56"/>
  <c r="AO204" i="56"/>
  <c r="AQ204" i="56"/>
  <c r="AR204" i="56"/>
  <c r="AS204" i="56" s="1"/>
  <c r="U205" i="56"/>
  <c r="V205" i="56"/>
  <c r="W205" i="56"/>
  <c r="X205" i="56"/>
  <c r="AB205" i="56" s="1"/>
  <c r="AM205" i="56" s="1"/>
  <c r="Y205" i="56"/>
  <c r="Z205" i="56"/>
  <c r="AC205" i="56"/>
  <c r="AO205" i="56"/>
  <c r="AQ205" i="56"/>
  <c r="AR205" i="56"/>
  <c r="U206" i="56"/>
  <c r="V206" i="56"/>
  <c r="W206" i="56"/>
  <c r="X206" i="56"/>
  <c r="AB206" i="56" s="1"/>
  <c r="Y206" i="56"/>
  <c r="Z206" i="56"/>
  <c r="AC206" i="56"/>
  <c r="AE206" i="56"/>
  <c r="AO206" i="56"/>
  <c r="AQ206" i="56"/>
  <c r="AR206" i="56"/>
  <c r="AS206" i="56" s="1"/>
  <c r="U207" i="56"/>
  <c r="V207" i="56"/>
  <c r="W207" i="56"/>
  <c r="X207" i="56"/>
  <c r="AB207" i="56" s="1"/>
  <c r="AM207" i="56" s="1"/>
  <c r="Y207" i="56"/>
  <c r="Z207" i="56"/>
  <c r="AC207" i="56"/>
  <c r="AO207" i="56"/>
  <c r="AQ207" i="56"/>
  <c r="AR207" i="56"/>
  <c r="U208" i="56"/>
  <c r="V208" i="56"/>
  <c r="W208" i="56"/>
  <c r="X208" i="56"/>
  <c r="Y208" i="56"/>
  <c r="Z208" i="56"/>
  <c r="AC208" i="56"/>
  <c r="AO208" i="56"/>
  <c r="AQ208" i="56"/>
  <c r="AR208" i="56"/>
  <c r="AS208" i="56" s="1"/>
  <c r="U209" i="56"/>
  <c r="V209" i="56"/>
  <c r="AF209" i="56" s="1"/>
  <c r="AP209" i="56" s="1"/>
  <c r="W209" i="56"/>
  <c r="X209" i="56"/>
  <c r="Y209" i="56"/>
  <c r="Z209" i="56"/>
  <c r="AC209" i="56"/>
  <c r="AO209" i="56"/>
  <c r="AQ209" i="56"/>
  <c r="AR209" i="56"/>
  <c r="U210" i="56"/>
  <c r="V210" i="56"/>
  <c r="W210" i="56"/>
  <c r="X210" i="56"/>
  <c r="Y210" i="56"/>
  <c r="Z210" i="56"/>
  <c r="AC210" i="56"/>
  <c r="AO210" i="56"/>
  <c r="AQ210" i="56"/>
  <c r="AR210" i="56"/>
  <c r="AS210" i="56" s="1"/>
  <c r="U211" i="56"/>
  <c r="V211" i="56"/>
  <c r="W211" i="56"/>
  <c r="X211" i="56"/>
  <c r="Y211" i="56"/>
  <c r="Z211" i="56"/>
  <c r="AC211" i="56"/>
  <c r="AE211" i="56"/>
  <c r="AO211" i="56"/>
  <c r="AQ211" i="56"/>
  <c r="AR211" i="56"/>
  <c r="AS211" i="56" s="1"/>
  <c r="U212" i="56"/>
  <c r="V212" i="56"/>
  <c r="W212" i="56"/>
  <c r="X212" i="56"/>
  <c r="Y212" i="56"/>
  <c r="Z212" i="56"/>
  <c r="AC212" i="56"/>
  <c r="AE212" i="56"/>
  <c r="AO212" i="56"/>
  <c r="AQ212" i="56"/>
  <c r="AR212" i="56"/>
  <c r="AS212" i="56" s="1"/>
  <c r="U213" i="56"/>
  <c r="V213" i="56"/>
  <c r="W213" i="56"/>
  <c r="X213" i="56"/>
  <c r="AA213" i="56" s="1"/>
  <c r="AE213" i="56" s="1"/>
  <c r="Y213" i="56"/>
  <c r="Z213" i="56"/>
  <c r="AC213" i="56"/>
  <c r="AO213" i="56"/>
  <c r="AQ213" i="56"/>
  <c r="AR213" i="56"/>
  <c r="AS213" i="56" s="1"/>
  <c r="U214" i="56"/>
  <c r="V214" i="56"/>
  <c r="W214" i="56"/>
  <c r="X214" i="56"/>
  <c r="Y214" i="56"/>
  <c r="Z214" i="56"/>
  <c r="AC214" i="56"/>
  <c r="AE214" i="56"/>
  <c r="AO214" i="56"/>
  <c r="AQ214" i="56"/>
  <c r="AR214" i="56"/>
  <c r="U215" i="56"/>
  <c r="V215" i="56"/>
  <c r="W215" i="56"/>
  <c r="X215" i="56"/>
  <c r="AA215" i="56" s="1"/>
  <c r="Y215" i="56"/>
  <c r="Z215" i="56"/>
  <c r="AC215" i="56"/>
  <c r="AO215" i="56"/>
  <c r="AQ215" i="56"/>
  <c r="AR215" i="56"/>
  <c r="U216" i="56"/>
  <c r="V216" i="56"/>
  <c r="W216" i="56"/>
  <c r="X216" i="56"/>
  <c r="AB216" i="56" s="1"/>
  <c r="AA216" i="56"/>
  <c r="Y216" i="56"/>
  <c r="Z216" i="56"/>
  <c r="AC216" i="56"/>
  <c r="AE216" i="56"/>
  <c r="AO216" i="56"/>
  <c r="AQ216" i="56"/>
  <c r="AS216" i="56" s="1"/>
  <c r="AR216" i="56"/>
  <c r="U217" i="56"/>
  <c r="V217" i="56"/>
  <c r="W217" i="56"/>
  <c r="X217" i="56"/>
  <c r="Y217" i="56"/>
  <c r="Z217" i="56"/>
  <c r="AC217" i="56"/>
  <c r="AO217" i="56"/>
  <c r="AQ217" i="56"/>
  <c r="AS217" i="56" s="1"/>
  <c r="AR217" i="56"/>
  <c r="U218" i="56"/>
  <c r="V218" i="56"/>
  <c r="W218" i="56"/>
  <c r="X218" i="56"/>
  <c r="Y218" i="56"/>
  <c r="Z218" i="56"/>
  <c r="AC218" i="56"/>
  <c r="AO218" i="56"/>
  <c r="AQ218" i="56"/>
  <c r="AR218" i="56"/>
  <c r="AS218" i="56" s="1"/>
  <c r="U219" i="56"/>
  <c r="V219" i="56"/>
  <c r="W219" i="56"/>
  <c r="X219" i="56"/>
  <c r="Y219" i="56"/>
  <c r="Z219" i="56"/>
  <c r="AC219" i="56"/>
  <c r="AO219" i="56"/>
  <c r="AQ219" i="56"/>
  <c r="AR219" i="56"/>
  <c r="U220" i="56"/>
  <c r="V220" i="56"/>
  <c r="W220" i="56"/>
  <c r="X220" i="56"/>
  <c r="AB220" i="56" s="1"/>
  <c r="AL220" i="56"/>
  <c r="Y220" i="56"/>
  <c r="Z220" i="56"/>
  <c r="AC220" i="56"/>
  <c r="AO220" i="56"/>
  <c r="AQ220" i="56"/>
  <c r="AR220" i="56"/>
  <c r="U221" i="56"/>
  <c r="V221" i="56"/>
  <c r="W221" i="56"/>
  <c r="X221" i="56"/>
  <c r="Y221" i="56"/>
  <c r="Z221" i="56"/>
  <c r="AC221" i="56"/>
  <c r="AO221" i="56"/>
  <c r="AQ221" i="56"/>
  <c r="AS221" i="56"/>
  <c r="AR221" i="56"/>
  <c r="U222" i="56"/>
  <c r="V222" i="56"/>
  <c r="W222" i="56"/>
  <c r="X222" i="56"/>
  <c r="AA222" i="56" s="1"/>
  <c r="Y222" i="56"/>
  <c r="Z222" i="56"/>
  <c r="AC222" i="56"/>
  <c r="AO222" i="56"/>
  <c r="AQ222" i="56"/>
  <c r="AR222" i="56"/>
  <c r="U223" i="56"/>
  <c r="V223" i="56"/>
  <c r="W223" i="56"/>
  <c r="X223" i="56"/>
  <c r="Y223" i="56"/>
  <c r="Z223" i="56"/>
  <c r="AC223" i="56"/>
  <c r="AO223" i="56"/>
  <c r="AQ223" i="56"/>
  <c r="AS223" i="56" s="1"/>
  <c r="AR223" i="56"/>
  <c r="U224" i="56"/>
  <c r="V224" i="56"/>
  <c r="W224" i="56"/>
  <c r="X224" i="56"/>
  <c r="AE224" i="56" s="1"/>
  <c r="Y224" i="56"/>
  <c r="Z224" i="56"/>
  <c r="AC224" i="56"/>
  <c r="AO224" i="56"/>
  <c r="AQ224" i="56"/>
  <c r="AR224" i="56"/>
  <c r="U225" i="56"/>
  <c r="V225" i="56"/>
  <c r="W225" i="56"/>
  <c r="X225" i="56"/>
  <c r="AA225" i="56" s="1"/>
  <c r="Y225" i="56"/>
  <c r="Z225" i="56"/>
  <c r="AC225" i="56"/>
  <c r="AJ225" i="56" s="1"/>
  <c r="AE225" i="56"/>
  <c r="AO225" i="56"/>
  <c r="AQ225" i="56"/>
  <c r="AR225" i="56"/>
  <c r="U226" i="56"/>
  <c r="V226" i="56"/>
  <c r="W226" i="56"/>
  <c r="X226" i="56"/>
  <c r="AB226" i="56" s="1"/>
  <c r="Y226" i="56"/>
  <c r="Z226" i="56"/>
  <c r="AC226" i="56"/>
  <c r="AO226" i="56"/>
  <c r="AQ226" i="56"/>
  <c r="AR226" i="56"/>
  <c r="U227" i="56"/>
  <c r="V227" i="56"/>
  <c r="W227" i="56"/>
  <c r="X227" i="56"/>
  <c r="Y227" i="56"/>
  <c r="Z227" i="56"/>
  <c r="AC227" i="56"/>
  <c r="AO227" i="56"/>
  <c r="AQ227" i="56"/>
  <c r="AR227" i="56"/>
  <c r="U228" i="56"/>
  <c r="V228" i="56"/>
  <c r="W228" i="56"/>
  <c r="X228" i="56"/>
  <c r="Y228" i="56"/>
  <c r="Z228" i="56"/>
  <c r="AC228" i="56"/>
  <c r="AO228" i="56"/>
  <c r="AQ228" i="56"/>
  <c r="AR228" i="56"/>
  <c r="U229" i="56"/>
  <c r="V229" i="56"/>
  <c r="W229" i="56"/>
  <c r="X229" i="56"/>
  <c r="AB229" i="56" s="1"/>
  <c r="Y229" i="56"/>
  <c r="Z229" i="56"/>
  <c r="AC229" i="56"/>
  <c r="AO229" i="56"/>
  <c r="AQ229" i="56"/>
  <c r="AR229" i="56"/>
  <c r="U230" i="56"/>
  <c r="V230" i="56"/>
  <c r="W230" i="56"/>
  <c r="X230" i="56"/>
  <c r="Y230" i="56"/>
  <c r="Z230" i="56"/>
  <c r="AC230" i="56"/>
  <c r="AO230" i="56"/>
  <c r="AQ230" i="56"/>
  <c r="AS230" i="56"/>
  <c r="AR230" i="56"/>
  <c r="U231" i="56"/>
  <c r="V231" i="56"/>
  <c r="W231" i="56"/>
  <c r="X231" i="56"/>
  <c r="Y231" i="56"/>
  <c r="Z231" i="56"/>
  <c r="AC231" i="56"/>
  <c r="AO231" i="56"/>
  <c r="AQ231" i="56"/>
  <c r="AS231" i="56" s="1"/>
  <c r="AR231" i="56"/>
  <c r="U232" i="56"/>
  <c r="V232" i="56"/>
  <c r="W232" i="56"/>
  <c r="X232" i="56"/>
  <c r="AB232" i="56" s="1"/>
  <c r="Y232" i="56"/>
  <c r="Z232" i="56"/>
  <c r="AC232" i="56"/>
  <c r="AO232" i="56"/>
  <c r="AQ232" i="56"/>
  <c r="AS232" i="56" s="1"/>
  <c r="AR232" i="56"/>
  <c r="U233" i="56"/>
  <c r="V233" i="56"/>
  <c r="W233" i="56"/>
  <c r="X233" i="56"/>
  <c r="AB233" i="56"/>
  <c r="Y233" i="56"/>
  <c r="Z233" i="56"/>
  <c r="AC233" i="56"/>
  <c r="AE233" i="56"/>
  <c r="AO233" i="56"/>
  <c r="AQ233" i="56"/>
  <c r="AR233" i="56"/>
  <c r="U234" i="56"/>
  <c r="V234" i="56"/>
  <c r="W234" i="56"/>
  <c r="X234" i="56"/>
  <c r="AB234" i="56" s="1"/>
  <c r="Y234" i="56"/>
  <c r="Z234" i="56"/>
  <c r="AC234" i="56"/>
  <c r="AO234" i="56"/>
  <c r="AQ234" i="56"/>
  <c r="AS234" i="56" s="1"/>
  <c r="AR234" i="56"/>
  <c r="U235" i="56"/>
  <c r="V235" i="56"/>
  <c r="W235" i="56"/>
  <c r="X235" i="56"/>
  <c r="AB235" i="56" s="1"/>
  <c r="Y235" i="56"/>
  <c r="Z235" i="56"/>
  <c r="AC235" i="56"/>
  <c r="AO235" i="56"/>
  <c r="AQ235" i="56"/>
  <c r="AR235" i="56"/>
  <c r="U236" i="56"/>
  <c r="V236" i="56"/>
  <c r="W236" i="56"/>
  <c r="X236" i="56"/>
  <c r="Y236" i="56"/>
  <c r="Z236" i="56"/>
  <c r="AC236" i="56"/>
  <c r="AO236" i="56"/>
  <c r="AQ236" i="56"/>
  <c r="AS236" i="56" s="1"/>
  <c r="AR236" i="56"/>
  <c r="U237" i="56"/>
  <c r="V237" i="56"/>
  <c r="W237" i="56"/>
  <c r="X237" i="56"/>
  <c r="Y237" i="56"/>
  <c r="Z237" i="56"/>
  <c r="AC237" i="56"/>
  <c r="AO237" i="56"/>
  <c r="AQ237" i="56"/>
  <c r="AR237" i="56"/>
  <c r="U238" i="56"/>
  <c r="V238" i="56"/>
  <c r="W238" i="56"/>
  <c r="X238" i="56"/>
  <c r="Y238" i="56"/>
  <c r="Z238" i="56"/>
  <c r="AC238" i="56"/>
  <c r="AO238" i="56"/>
  <c r="AQ238" i="56"/>
  <c r="AS238" i="56" s="1"/>
  <c r="AR238" i="56"/>
  <c r="U239" i="56"/>
  <c r="V239" i="56"/>
  <c r="W239" i="56"/>
  <c r="X239" i="56"/>
  <c r="AB239" i="56"/>
  <c r="AL239" i="56" s="1"/>
  <c r="Y239" i="56"/>
  <c r="Z239" i="56"/>
  <c r="AC239" i="56"/>
  <c r="AE239" i="56"/>
  <c r="AO239" i="56"/>
  <c r="AQ239" i="56"/>
  <c r="AR239" i="56"/>
  <c r="U240" i="56"/>
  <c r="V240" i="56"/>
  <c r="W240" i="56"/>
  <c r="X240" i="56"/>
  <c r="Y240" i="56"/>
  <c r="Z240" i="56"/>
  <c r="AC240" i="56"/>
  <c r="AO240" i="56"/>
  <c r="AQ240" i="56"/>
  <c r="AR240" i="56"/>
  <c r="U241" i="56"/>
  <c r="V241" i="56"/>
  <c r="W241" i="56"/>
  <c r="X241" i="56"/>
  <c r="Y241" i="56"/>
  <c r="Z241" i="56"/>
  <c r="AC241" i="56"/>
  <c r="AO241" i="56"/>
  <c r="AQ241" i="56"/>
  <c r="AS241" i="56" s="1"/>
  <c r="AR241" i="56"/>
  <c r="U242" i="56"/>
  <c r="V242" i="56"/>
  <c r="W242" i="56"/>
  <c r="X242" i="56"/>
  <c r="AB242" i="56" s="1"/>
  <c r="Y242" i="56"/>
  <c r="Z242" i="56"/>
  <c r="AC242" i="56"/>
  <c r="AO242" i="56"/>
  <c r="AQ242" i="56"/>
  <c r="AR242" i="56"/>
  <c r="U243" i="56"/>
  <c r="V243" i="56"/>
  <c r="W243" i="56"/>
  <c r="X243" i="56"/>
  <c r="AA243" i="56"/>
  <c r="Y243" i="56"/>
  <c r="Z243" i="56"/>
  <c r="AC243" i="56"/>
  <c r="AE243" i="56"/>
  <c r="AO243" i="56"/>
  <c r="AQ243" i="56"/>
  <c r="AR243" i="56"/>
  <c r="U244" i="56"/>
  <c r="V244" i="56"/>
  <c r="W244" i="56"/>
  <c r="X244" i="56"/>
  <c r="Y244" i="56"/>
  <c r="Z244" i="56"/>
  <c r="AC244" i="56"/>
  <c r="AJ244" i="56" s="1"/>
  <c r="AE244" i="56"/>
  <c r="AO244" i="56"/>
  <c r="AQ244" i="56"/>
  <c r="AR244" i="56"/>
  <c r="U245" i="56"/>
  <c r="V245" i="56"/>
  <c r="W245" i="56"/>
  <c r="X245" i="56"/>
  <c r="Y245" i="56"/>
  <c r="Z245" i="56"/>
  <c r="AC245" i="56"/>
  <c r="AG245" i="56" s="1"/>
  <c r="AE245" i="56"/>
  <c r="AO245" i="56"/>
  <c r="AQ245" i="56"/>
  <c r="AR245" i="56"/>
  <c r="AS245" i="56" s="1"/>
  <c r="U246" i="56"/>
  <c r="V246" i="56"/>
  <c r="W246" i="56"/>
  <c r="X246" i="56"/>
  <c r="Y246" i="56"/>
  <c r="Z246" i="56"/>
  <c r="AC246" i="56"/>
  <c r="AJ246" i="56" s="1"/>
  <c r="AE246" i="56"/>
  <c r="AO246" i="56"/>
  <c r="AQ246" i="56"/>
  <c r="AR246" i="56"/>
  <c r="U247" i="56"/>
  <c r="V247" i="56"/>
  <c r="W247" i="56"/>
  <c r="X247" i="56"/>
  <c r="Y247" i="56"/>
  <c r="Z247" i="56"/>
  <c r="AC247" i="56"/>
  <c r="AE247" i="56"/>
  <c r="AO247" i="56"/>
  <c r="AQ247" i="56"/>
  <c r="AS247" i="56"/>
  <c r="AR247" i="56"/>
  <c r="U248" i="56"/>
  <c r="V248" i="56"/>
  <c r="W248" i="56"/>
  <c r="X248" i="56"/>
  <c r="Y248" i="56"/>
  <c r="Z248" i="56"/>
  <c r="AC248" i="56"/>
  <c r="AE248" i="56"/>
  <c r="AO248" i="56"/>
  <c r="AQ248" i="56"/>
  <c r="AR248" i="56"/>
  <c r="U249" i="56"/>
  <c r="V249" i="56"/>
  <c r="W249" i="56"/>
  <c r="X249" i="56"/>
  <c r="Y249" i="56"/>
  <c r="Z249" i="56"/>
  <c r="AC249" i="56"/>
  <c r="AJ249" i="56"/>
  <c r="AE249" i="56"/>
  <c r="AO249" i="56"/>
  <c r="AQ249" i="56"/>
  <c r="AR249" i="56"/>
  <c r="U250" i="56"/>
  <c r="V250" i="56"/>
  <c r="W250" i="56"/>
  <c r="X250" i="56"/>
  <c r="Y250" i="56"/>
  <c r="Z250" i="56"/>
  <c r="AC250" i="56"/>
  <c r="AJ250" i="56"/>
  <c r="AE250" i="56"/>
  <c r="AO250" i="56"/>
  <c r="AQ250" i="56"/>
  <c r="AR250" i="56"/>
  <c r="U251" i="56"/>
  <c r="V251" i="56"/>
  <c r="W251" i="56"/>
  <c r="X251" i="56"/>
  <c r="Y251" i="56"/>
  <c r="Z251" i="56"/>
  <c r="AC251" i="56"/>
  <c r="AE251" i="56"/>
  <c r="AO251" i="56"/>
  <c r="AQ251" i="56"/>
  <c r="AR251" i="56"/>
  <c r="AS251" i="56" s="1"/>
  <c r="U252" i="56"/>
  <c r="V252" i="56"/>
  <c r="W252" i="56"/>
  <c r="X252" i="56"/>
  <c r="Y252" i="56"/>
  <c r="Z252" i="56"/>
  <c r="AC252" i="56"/>
  <c r="AJ252" i="56"/>
  <c r="AE252" i="56"/>
  <c r="AO252" i="56"/>
  <c r="AQ252" i="56"/>
  <c r="AR252" i="56"/>
  <c r="U253" i="56"/>
  <c r="V253" i="56"/>
  <c r="W253" i="56"/>
  <c r="X253" i="56"/>
  <c r="AA253" i="56" s="1"/>
  <c r="Y253" i="56"/>
  <c r="Z253" i="56"/>
  <c r="AC253" i="56"/>
  <c r="AJ253" i="56" s="1"/>
  <c r="AG253" i="56"/>
  <c r="AE253" i="56"/>
  <c r="AO253" i="56"/>
  <c r="AQ253" i="56"/>
  <c r="AR253" i="56"/>
  <c r="U254" i="56"/>
  <c r="V254" i="56"/>
  <c r="W254" i="56"/>
  <c r="X254" i="56"/>
  <c r="AA254" i="56" s="1"/>
  <c r="Y254" i="56"/>
  <c r="Z254" i="56"/>
  <c r="AC254" i="56"/>
  <c r="AJ254" i="56"/>
  <c r="AE254" i="56"/>
  <c r="AO254" i="56"/>
  <c r="AQ254" i="56"/>
  <c r="AR254" i="56"/>
  <c r="AS254" i="56"/>
  <c r="U255" i="56"/>
  <c r="V255" i="56"/>
  <c r="W255" i="56"/>
  <c r="X255" i="56"/>
  <c r="Y255" i="56"/>
  <c r="Z255" i="56"/>
  <c r="AC255" i="56"/>
  <c r="AE255" i="56"/>
  <c r="AO255" i="56"/>
  <c r="AQ255" i="56"/>
  <c r="AS255" i="56"/>
  <c r="AR255" i="56"/>
  <c r="U256" i="56"/>
  <c r="V256" i="56"/>
  <c r="W256" i="56"/>
  <c r="X256" i="56"/>
  <c r="AB256" i="56" s="1"/>
  <c r="Y256" i="56"/>
  <c r="Z256" i="56"/>
  <c r="AC256" i="56"/>
  <c r="AJ256" i="56"/>
  <c r="AE256" i="56"/>
  <c r="AO256" i="56"/>
  <c r="AQ256" i="56"/>
  <c r="AS256" i="56" s="1"/>
  <c r="AR256" i="56"/>
  <c r="U257" i="56"/>
  <c r="V257" i="56"/>
  <c r="W257" i="56"/>
  <c r="X257" i="56"/>
  <c r="Y257" i="56"/>
  <c r="AF257" i="56" s="1"/>
  <c r="Z257" i="56"/>
  <c r="AC257" i="56"/>
  <c r="AE257" i="56"/>
  <c r="AO257" i="56"/>
  <c r="AQ257" i="56"/>
  <c r="AR257" i="56"/>
  <c r="U258" i="56"/>
  <c r="V258" i="56"/>
  <c r="AF258" i="56" s="1"/>
  <c r="W258" i="56"/>
  <c r="X258" i="56"/>
  <c r="Y258" i="56"/>
  <c r="Z258" i="56"/>
  <c r="AC258" i="56"/>
  <c r="AE258" i="56"/>
  <c r="AO258" i="56"/>
  <c r="AQ258" i="56"/>
  <c r="AS258" i="56"/>
  <c r="AR258" i="56"/>
  <c r="U259" i="56"/>
  <c r="V259" i="56"/>
  <c r="W259" i="56"/>
  <c r="X259" i="56"/>
  <c r="AB259" i="56"/>
  <c r="Y259" i="56"/>
  <c r="AF259" i="56" s="1"/>
  <c r="Z259" i="56"/>
  <c r="AC259" i="56"/>
  <c r="AE259" i="56"/>
  <c r="AO259" i="56"/>
  <c r="AQ259" i="56"/>
  <c r="AR259" i="56"/>
  <c r="U260" i="56"/>
  <c r="V260" i="56"/>
  <c r="AF260" i="56" s="1"/>
  <c r="W260" i="56"/>
  <c r="X260" i="56"/>
  <c r="Y260" i="56"/>
  <c r="Z260" i="56"/>
  <c r="AC260" i="56"/>
  <c r="AJ260" i="56" s="1"/>
  <c r="AE260" i="56"/>
  <c r="AO260" i="56"/>
  <c r="AQ260" i="56"/>
  <c r="AS260" i="56" s="1"/>
  <c r="AR260" i="56"/>
  <c r="U261" i="56"/>
  <c r="V261" i="56"/>
  <c r="W261" i="56"/>
  <c r="X261" i="56"/>
  <c r="Y261" i="56"/>
  <c r="Z261" i="56"/>
  <c r="AC261" i="56"/>
  <c r="AE261" i="56"/>
  <c r="AO261" i="56"/>
  <c r="AQ261" i="56"/>
  <c r="AR261" i="56"/>
  <c r="U262" i="56"/>
  <c r="V262" i="56"/>
  <c r="W262" i="56"/>
  <c r="X262" i="56"/>
  <c r="Y262" i="56"/>
  <c r="Z262" i="56"/>
  <c r="AC262" i="56"/>
  <c r="AJ262" i="56"/>
  <c r="AE262" i="56"/>
  <c r="AO262" i="56"/>
  <c r="AQ262" i="56"/>
  <c r="AR262" i="56"/>
  <c r="U263" i="56"/>
  <c r="V263" i="56"/>
  <c r="W263" i="56"/>
  <c r="X263" i="56"/>
  <c r="AB263" i="56" s="1"/>
  <c r="Y263" i="56"/>
  <c r="Z263" i="56"/>
  <c r="AC263" i="56"/>
  <c r="AJ263" i="56"/>
  <c r="AE263" i="56"/>
  <c r="AO263" i="56"/>
  <c r="AQ263" i="56"/>
  <c r="AR263" i="56"/>
  <c r="U264" i="56"/>
  <c r="V264" i="56"/>
  <c r="W264" i="56"/>
  <c r="X264" i="56"/>
  <c r="AA264" i="56" s="1"/>
  <c r="Y264" i="56"/>
  <c r="Z264" i="56"/>
  <c r="AC264" i="56"/>
  <c r="AG264" i="56"/>
  <c r="AE264" i="56"/>
  <c r="AO264" i="56"/>
  <c r="AQ264" i="56"/>
  <c r="AR264" i="56"/>
  <c r="AS264" i="56" s="1"/>
  <c r="U265" i="56"/>
  <c r="V265" i="56"/>
  <c r="W265" i="56"/>
  <c r="X265" i="56"/>
  <c r="Y265" i="56"/>
  <c r="Z265" i="56"/>
  <c r="AC265" i="56"/>
  <c r="AE265" i="56"/>
  <c r="AO265" i="56"/>
  <c r="AQ265" i="56"/>
  <c r="AR265" i="56"/>
  <c r="AS265" i="56" s="1"/>
  <c r="U266" i="56"/>
  <c r="V266" i="56"/>
  <c r="W266" i="56"/>
  <c r="X266" i="56"/>
  <c r="AB266" i="56" s="1"/>
  <c r="AI266" i="56" s="1"/>
  <c r="Y266" i="56"/>
  <c r="Z266" i="56"/>
  <c r="AC266" i="56"/>
  <c r="AE266" i="56"/>
  <c r="AO266" i="56"/>
  <c r="AQ266" i="56"/>
  <c r="AR266" i="56"/>
  <c r="AS266" i="56" s="1"/>
  <c r="U267" i="56"/>
  <c r="V267" i="56"/>
  <c r="W267" i="56"/>
  <c r="X267" i="56"/>
  <c r="Y267" i="56"/>
  <c r="Z267" i="56"/>
  <c r="AC267" i="56"/>
  <c r="AG267" i="56"/>
  <c r="AE267" i="56"/>
  <c r="AO267" i="56"/>
  <c r="AQ267" i="56"/>
  <c r="AS267" i="56" s="1"/>
  <c r="AR267" i="56"/>
  <c r="U268" i="56"/>
  <c r="V268" i="56"/>
  <c r="W268" i="56"/>
  <c r="X268" i="56"/>
  <c r="Y268" i="56"/>
  <c r="Z268" i="56"/>
  <c r="AC268" i="56"/>
  <c r="AE268" i="56"/>
  <c r="AO268" i="56"/>
  <c r="AQ268" i="56"/>
  <c r="AR268" i="56"/>
  <c r="U269" i="56"/>
  <c r="V269" i="56"/>
  <c r="W269" i="56"/>
  <c r="X269" i="56"/>
  <c r="AA269" i="56" s="1"/>
  <c r="Y269" i="56"/>
  <c r="Z269" i="56"/>
  <c r="AC269" i="56"/>
  <c r="AE269" i="56"/>
  <c r="AO269" i="56"/>
  <c r="AQ269" i="56"/>
  <c r="AR269" i="56"/>
  <c r="U270" i="56"/>
  <c r="V270" i="56"/>
  <c r="W270" i="56"/>
  <c r="X270" i="56"/>
  <c r="Y270" i="56"/>
  <c r="Z270" i="56"/>
  <c r="AC270" i="56"/>
  <c r="AE270" i="56"/>
  <c r="AO270" i="56"/>
  <c r="AQ270" i="56"/>
  <c r="AR270" i="56"/>
  <c r="U271" i="56"/>
  <c r="V271" i="56"/>
  <c r="W271" i="56"/>
  <c r="X271" i="56"/>
  <c r="Y271" i="56"/>
  <c r="Z271" i="56"/>
  <c r="AC271" i="56"/>
  <c r="AE271" i="56"/>
  <c r="AO271" i="56"/>
  <c r="AQ271" i="56"/>
  <c r="AR271" i="56"/>
  <c r="U272" i="56"/>
  <c r="V272" i="56"/>
  <c r="W272" i="56"/>
  <c r="X272" i="56"/>
  <c r="Y272" i="56"/>
  <c r="Z272" i="56"/>
  <c r="AC272" i="56"/>
  <c r="AE272" i="56"/>
  <c r="AO272" i="56"/>
  <c r="AQ272" i="56"/>
  <c r="AR272" i="56"/>
  <c r="U273" i="56"/>
  <c r="V273" i="56"/>
  <c r="AF273" i="56" s="1"/>
  <c r="W273" i="56"/>
  <c r="X273" i="56"/>
  <c r="AA273" i="56" s="1"/>
  <c r="AB273" i="56"/>
  <c r="Y273" i="56"/>
  <c r="Z273" i="56"/>
  <c r="AC273" i="56"/>
  <c r="AE273" i="56"/>
  <c r="AO273" i="56"/>
  <c r="AQ273" i="56"/>
  <c r="AR273" i="56"/>
  <c r="U274" i="56"/>
  <c r="V274" i="56"/>
  <c r="W274" i="56"/>
  <c r="X274" i="56"/>
  <c r="Y274" i="56"/>
  <c r="Z274" i="56"/>
  <c r="AC274" i="56"/>
  <c r="AE274" i="56"/>
  <c r="AO274" i="56"/>
  <c r="AQ274" i="56"/>
  <c r="AS274" i="56"/>
  <c r="AR274" i="56"/>
  <c r="U275" i="56"/>
  <c r="V275" i="56"/>
  <c r="W275" i="56"/>
  <c r="X275" i="56"/>
  <c r="Y275" i="56"/>
  <c r="Z275" i="56"/>
  <c r="AC275" i="56"/>
  <c r="AE275" i="56"/>
  <c r="AO275" i="56"/>
  <c r="AQ275" i="56"/>
  <c r="AS275" i="56" s="1"/>
  <c r="AR275" i="56"/>
  <c r="U276" i="56"/>
  <c r="V276" i="56"/>
  <c r="W276" i="56"/>
  <c r="X276" i="56"/>
  <c r="AA276" i="56" s="1"/>
  <c r="Y276" i="56"/>
  <c r="Z276" i="56"/>
  <c r="AC276" i="56"/>
  <c r="AJ276" i="56" s="1"/>
  <c r="AE276" i="56"/>
  <c r="AO276" i="56"/>
  <c r="AQ276" i="56"/>
  <c r="AR276" i="56"/>
  <c r="U277" i="56"/>
  <c r="V277" i="56"/>
  <c r="W277" i="56"/>
  <c r="X277" i="56"/>
  <c r="Y277" i="56"/>
  <c r="Z277" i="56"/>
  <c r="AC277" i="56"/>
  <c r="AG277" i="56" s="1"/>
  <c r="AE277" i="56"/>
  <c r="AO277" i="56"/>
  <c r="AQ277" i="56"/>
  <c r="AR277" i="56"/>
  <c r="U278" i="56"/>
  <c r="V278" i="56"/>
  <c r="W278" i="56"/>
  <c r="X278" i="56"/>
  <c r="Y278" i="56"/>
  <c r="Z278" i="56"/>
  <c r="AC278" i="56"/>
  <c r="AE278" i="56"/>
  <c r="AO278" i="56"/>
  <c r="AQ278" i="56"/>
  <c r="AS278" i="56"/>
  <c r="AR278" i="56"/>
  <c r="U279" i="56"/>
  <c r="V279" i="56"/>
  <c r="W279" i="56"/>
  <c r="X279" i="56"/>
  <c r="AB279" i="56" s="1"/>
  <c r="AN279" i="56"/>
  <c r="Y279" i="56"/>
  <c r="Z279" i="56"/>
  <c r="AC279" i="56"/>
  <c r="AE279" i="56"/>
  <c r="AO279" i="56"/>
  <c r="AQ279" i="56"/>
  <c r="AS279" i="56" s="1"/>
  <c r="AR279" i="56"/>
  <c r="U280" i="56"/>
  <c r="V280" i="56"/>
  <c r="W280" i="56"/>
  <c r="X280" i="56"/>
  <c r="Y280" i="56"/>
  <c r="Z280" i="56"/>
  <c r="AC280" i="56"/>
  <c r="AE280" i="56"/>
  <c r="AO280" i="56"/>
  <c r="AQ280" i="56"/>
  <c r="AR280" i="56"/>
  <c r="U281" i="56"/>
  <c r="V281" i="56"/>
  <c r="W281" i="56"/>
  <c r="X281" i="56"/>
  <c r="Y281" i="56"/>
  <c r="Z281" i="56"/>
  <c r="AC281" i="56"/>
  <c r="AG281" i="56" s="1"/>
  <c r="AE281" i="56"/>
  <c r="AO281" i="56"/>
  <c r="AQ281" i="56"/>
  <c r="AR281" i="56"/>
  <c r="U282" i="56"/>
  <c r="V282" i="56"/>
  <c r="W282" i="56"/>
  <c r="X282" i="56"/>
  <c r="Y282" i="56"/>
  <c r="Z282" i="56"/>
  <c r="AC282" i="56"/>
  <c r="AE282" i="56"/>
  <c r="AO282" i="56"/>
  <c r="AQ282" i="56"/>
  <c r="AR282" i="56"/>
  <c r="U283" i="56"/>
  <c r="V283" i="56"/>
  <c r="W283" i="56"/>
  <c r="X283" i="56"/>
  <c r="Y283" i="56"/>
  <c r="Z283" i="56"/>
  <c r="AC283" i="56"/>
  <c r="AG283" i="56" s="1"/>
  <c r="AE283" i="56"/>
  <c r="AO283" i="56"/>
  <c r="AQ283" i="56"/>
  <c r="AR283" i="56"/>
  <c r="U284" i="56"/>
  <c r="V284" i="56"/>
  <c r="W284" i="56"/>
  <c r="X284" i="56"/>
  <c r="Y284" i="56"/>
  <c r="Z284" i="56"/>
  <c r="AC284" i="56"/>
  <c r="AJ284" i="56" s="1"/>
  <c r="AE284" i="56"/>
  <c r="AO284" i="56"/>
  <c r="AQ284" i="56"/>
  <c r="AR284" i="56"/>
  <c r="U285" i="56"/>
  <c r="V285" i="56"/>
  <c r="W285" i="56"/>
  <c r="X285" i="56"/>
  <c r="Y285" i="56"/>
  <c r="Z285" i="56"/>
  <c r="AC285" i="56"/>
  <c r="AE285" i="56"/>
  <c r="AO285" i="56"/>
  <c r="AQ285" i="56"/>
  <c r="AR285" i="56"/>
  <c r="U286" i="56"/>
  <c r="V286" i="56"/>
  <c r="W286" i="56"/>
  <c r="X286" i="56"/>
  <c r="Y286" i="56"/>
  <c r="Z286" i="56"/>
  <c r="AC286" i="56"/>
  <c r="AG286" i="56"/>
  <c r="AE286" i="56"/>
  <c r="AO286" i="56"/>
  <c r="AQ286" i="56"/>
  <c r="AR286" i="56"/>
  <c r="AS286" i="56"/>
  <c r="U287" i="56"/>
  <c r="V287" i="56"/>
  <c r="W287" i="56"/>
  <c r="X287" i="56"/>
  <c r="Y287" i="56"/>
  <c r="Z287" i="56"/>
  <c r="AC287" i="56"/>
  <c r="AE287" i="56"/>
  <c r="AO287" i="56"/>
  <c r="AQ287" i="56"/>
  <c r="AR287" i="56"/>
  <c r="U288" i="56"/>
  <c r="V288" i="56"/>
  <c r="W288" i="56"/>
  <c r="X288" i="56"/>
  <c r="Y288" i="56"/>
  <c r="Z288" i="56"/>
  <c r="AC288" i="56"/>
  <c r="AE288" i="56"/>
  <c r="AO288" i="56"/>
  <c r="AQ288" i="56"/>
  <c r="AR288" i="56"/>
  <c r="U289" i="56"/>
  <c r="V289" i="56"/>
  <c r="W289" i="56"/>
  <c r="X289" i="56"/>
  <c r="Y289" i="56"/>
  <c r="Z289" i="56"/>
  <c r="AC289" i="56"/>
  <c r="AE289" i="56"/>
  <c r="AO289" i="56"/>
  <c r="AQ289" i="56"/>
  <c r="AS289" i="56" s="1"/>
  <c r="AR289" i="56"/>
  <c r="U290" i="56"/>
  <c r="V290" i="56"/>
  <c r="W290" i="56"/>
  <c r="X290" i="56"/>
  <c r="Y290" i="56"/>
  <c r="Z290" i="56"/>
  <c r="AC290" i="56"/>
  <c r="AJ290" i="56"/>
  <c r="AE290" i="56"/>
  <c r="AO290" i="56"/>
  <c r="AQ290" i="56"/>
  <c r="AR290" i="56"/>
  <c r="U291" i="56"/>
  <c r="V291" i="56"/>
  <c r="W291" i="56"/>
  <c r="X291" i="56"/>
  <c r="AA291" i="56" s="1"/>
  <c r="Y291" i="56"/>
  <c r="Z291" i="56"/>
  <c r="AC291" i="56"/>
  <c r="AE291" i="56"/>
  <c r="AO291" i="56"/>
  <c r="AQ291" i="56"/>
  <c r="AR291" i="56"/>
  <c r="U292" i="56"/>
  <c r="V292" i="56"/>
  <c r="W292" i="56"/>
  <c r="X292" i="56"/>
  <c r="Y292" i="56"/>
  <c r="Z292" i="56"/>
  <c r="AC292" i="56"/>
  <c r="AE292" i="56"/>
  <c r="AO292" i="56"/>
  <c r="AQ292" i="56"/>
  <c r="AR292" i="56"/>
  <c r="U293" i="56"/>
  <c r="V293" i="56"/>
  <c r="W293" i="56"/>
  <c r="X293" i="56"/>
  <c r="Y293" i="56"/>
  <c r="Z293" i="56"/>
  <c r="AC293" i="56"/>
  <c r="AJ293" i="56"/>
  <c r="AE293" i="56"/>
  <c r="AO293" i="56"/>
  <c r="AQ293" i="56"/>
  <c r="AR293" i="56"/>
  <c r="U294" i="56"/>
  <c r="V294" i="56"/>
  <c r="W294" i="56"/>
  <c r="X294" i="56"/>
  <c r="AB294" i="56"/>
  <c r="Y294" i="56"/>
  <c r="Z294" i="56"/>
  <c r="AC294" i="56"/>
  <c r="AE294" i="56"/>
  <c r="AO294" i="56"/>
  <c r="AQ294" i="56"/>
  <c r="AR294" i="56"/>
  <c r="AS294" i="56"/>
  <c r="U295" i="56"/>
  <c r="V295" i="56"/>
  <c r="W295" i="56"/>
  <c r="X295" i="56"/>
  <c r="Y295" i="56"/>
  <c r="Z295" i="56"/>
  <c r="AC295" i="56"/>
  <c r="AE295" i="56"/>
  <c r="AO295" i="56"/>
  <c r="AQ295" i="56"/>
  <c r="AR295" i="56"/>
  <c r="U296" i="56"/>
  <c r="V296" i="56"/>
  <c r="W296" i="56"/>
  <c r="X296" i="56"/>
  <c r="Y296" i="56"/>
  <c r="Z296" i="56"/>
  <c r="AC296" i="56"/>
  <c r="AE296" i="56"/>
  <c r="AO296" i="56"/>
  <c r="AQ296" i="56"/>
  <c r="AS296" i="56" s="1"/>
  <c r="AR296" i="56"/>
  <c r="U297" i="56"/>
  <c r="V297" i="56"/>
  <c r="W297" i="56"/>
  <c r="X297" i="56"/>
  <c r="Y297" i="56"/>
  <c r="Z297" i="56"/>
  <c r="AC297" i="56"/>
  <c r="AE297" i="56"/>
  <c r="AO297" i="56"/>
  <c r="AQ297" i="56"/>
  <c r="AR297" i="56"/>
  <c r="U298" i="56"/>
  <c r="V298" i="56"/>
  <c r="W298" i="56"/>
  <c r="X298" i="56"/>
  <c r="AA298" i="56"/>
  <c r="Y298" i="56"/>
  <c r="Z298" i="56"/>
  <c r="AC298" i="56"/>
  <c r="AE298" i="56"/>
  <c r="AO298" i="56"/>
  <c r="AQ298" i="56"/>
  <c r="AR298" i="56"/>
  <c r="U299" i="56"/>
  <c r="V299" i="56"/>
  <c r="W299" i="56"/>
  <c r="X299" i="56"/>
  <c r="Y299" i="56"/>
  <c r="Z299" i="56"/>
  <c r="AC299" i="56"/>
  <c r="AG299" i="56"/>
  <c r="AE299" i="56"/>
  <c r="AO299" i="56"/>
  <c r="AQ299" i="56"/>
  <c r="AR299" i="56"/>
  <c r="U300" i="56"/>
  <c r="V300" i="56"/>
  <c r="W300" i="56"/>
  <c r="X300" i="56"/>
  <c r="Y300" i="56"/>
  <c r="Z300" i="56"/>
  <c r="AC300" i="56"/>
  <c r="AJ300" i="56" s="1"/>
  <c r="AE300" i="56"/>
  <c r="AO300" i="56"/>
  <c r="AQ300" i="56"/>
  <c r="AR300" i="56"/>
  <c r="U301" i="56"/>
  <c r="V301" i="56"/>
  <c r="W301" i="56"/>
  <c r="X301" i="56"/>
  <c r="Y301" i="56"/>
  <c r="Z301" i="56"/>
  <c r="AC301" i="56"/>
  <c r="AE301" i="56"/>
  <c r="AO301" i="56"/>
  <c r="AQ301" i="56"/>
  <c r="AR301" i="56"/>
  <c r="U302" i="56"/>
  <c r="V302" i="56"/>
  <c r="W302" i="56"/>
  <c r="X302" i="56"/>
  <c r="Y302" i="56"/>
  <c r="Z302" i="56"/>
  <c r="AC302" i="56"/>
  <c r="AJ302" i="56" s="1"/>
  <c r="AG302" i="56"/>
  <c r="AE302" i="56"/>
  <c r="AO302" i="56"/>
  <c r="AQ302" i="56"/>
  <c r="AR302" i="56"/>
  <c r="U303" i="56"/>
  <c r="V303" i="56"/>
  <c r="W303" i="56"/>
  <c r="X303" i="56"/>
  <c r="AB303" i="56" s="1"/>
  <c r="Y303" i="56"/>
  <c r="Z303" i="56"/>
  <c r="AC303" i="56"/>
  <c r="AE303" i="56"/>
  <c r="AO303" i="56"/>
  <c r="AQ303" i="56"/>
  <c r="AS303" i="56"/>
  <c r="AR303" i="56"/>
  <c r="U304" i="56"/>
  <c r="V304" i="56"/>
  <c r="W304" i="56"/>
  <c r="X304" i="56"/>
  <c r="Y304" i="56"/>
  <c r="Z304" i="56"/>
  <c r="AC304" i="56"/>
  <c r="AJ304" i="56" s="1"/>
  <c r="AE304" i="56"/>
  <c r="AO304" i="56"/>
  <c r="AQ304" i="56"/>
  <c r="AR304" i="56"/>
  <c r="AS304" i="56"/>
  <c r="U305" i="56"/>
  <c r="V305" i="56"/>
  <c r="W305" i="56"/>
  <c r="X305" i="56"/>
  <c r="Y305" i="56"/>
  <c r="Z305" i="56"/>
  <c r="AC305" i="56"/>
  <c r="AG305" i="56"/>
  <c r="AE305" i="56"/>
  <c r="AO305" i="56"/>
  <c r="AQ305" i="56"/>
  <c r="AS305" i="56"/>
  <c r="AR305" i="56"/>
  <c r="U306" i="56"/>
  <c r="V306" i="56"/>
  <c r="W306" i="56"/>
  <c r="X306" i="56"/>
  <c r="Y306" i="56"/>
  <c r="Z306" i="56"/>
  <c r="AC306" i="56"/>
  <c r="AJ306" i="56" s="1"/>
  <c r="AE306" i="56"/>
  <c r="AO306" i="56"/>
  <c r="AQ306" i="56"/>
  <c r="AS306" i="56"/>
  <c r="AR306" i="56"/>
  <c r="U307" i="56"/>
  <c r="V307" i="56"/>
  <c r="W307" i="56"/>
  <c r="X307" i="56"/>
  <c r="AA307" i="56"/>
  <c r="Y307" i="56"/>
  <c r="Z307" i="56"/>
  <c r="AC307" i="56"/>
  <c r="AE307" i="56"/>
  <c r="AO307" i="56"/>
  <c r="AQ307" i="56"/>
  <c r="AR307" i="56"/>
  <c r="U308" i="56"/>
  <c r="V308" i="56"/>
  <c r="W308" i="56"/>
  <c r="X308" i="56"/>
  <c r="AB308" i="56"/>
  <c r="Y308" i="56"/>
  <c r="Z308" i="56"/>
  <c r="AC308" i="56"/>
  <c r="AE308" i="56"/>
  <c r="AO308" i="56"/>
  <c r="AQ308" i="56"/>
  <c r="AS308" i="56" s="1"/>
  <c r="AR308" i="56"/>
  <c r="U309" i="56"/>
  <c r="V309" i="56"/>
  <c r="W309" i="56"/>
  <c r="X309" i="56"/>
  <c r="Y309" i="56"/>
  <c r="Z309" i="56"/>
  <c r="AC309" i="56"/>
  <c r="AE309" i="56"/>
  <c r="AO309" i="56"/>
  <c r="AQ309" i="56"/>
  <c r="AR309" i="56"/>
  <c r="U310" i="56"/>
  <c r="V310" i="56"/>
  <c r="W310" i="56"/>
  <c r="X310" i="56"/>
  <c r="AB310" i="56" s="1"/>
  <c r="Y310" i="56"/>
  <c r="Z310" i="56"/>
  <c r="AC310" i="56"/>
  <c r="AE310" i="56"/>
  <c r="AO310" i="56"/>
  <c r="AQ310" i="56"/>
  <c r="AS310" i="56" s="1"/>
  <c r="AR310" i="56"/>
  <c r="U311" i="56"/>
  <c r="V311" i="56"/>
  <c r="W311" i="56"/>
  <c r="X311" i="56"/>
  <c r="Y311" i="56"/>
  <c r="Z311" i="56"/>
  <c r="AC311" i="56"/>
  <c r="AE311" i="56"/>
  <c r="AO311" i="56"/>
  <c r="AQ311" i="56"/>
  <c r="AS311" i="56" s="1"/>
  <c r="AR311" i="56"/>
  <c r="U312" i="56"/>
  <c r="V312" i="56"/>
  <c r="W312" i="56"/>
  <c r="X312" i="56"/>
  <c r="AA312" i="56" s="1"/>
  <c r="AB312" i="56"/>
  <c r="Y312" i="56"/>
  <c r="Z312" i="56"/>
  <c r="AC312" i="56"/>
  <c r="AE312" i="56"/>
  <c r="AO312" i="56"/>
  <c r="AQ312" i="56"/>
  <c r="AR312" i="56"/>
  <c r="AS312" i="56"/>
  <c r="U313" i="56"/>
  <c r="V313" i="56"/>
  <c r="W313" i="56"/>
  <c r="X313" i="56"/>
  <c r="AB313" i="56" s="1"/>
  <c r="AM313" i="56" s="1"/>
  <c r="Y313" i="56"/>
  <c r="Z313" i="56"/>
  <c r="AC313" i="56"/>
  <c r="AG313" i="56" s="1"/>
  <c r="AE313" i="56"/>
  <c r="AO313" i="56"/>
  <c r="AQ313" i="56"/>
  <c r="AR313" i="56"/>
  <c r="U314" i="56"/>
  <c r="V314" i="56"/>
  <c r="W314" i="56"/>
  <c r="X314" i="56"/>
  <c r="AA314" i="56"/>
  <c r="Y314" i="56"/>
  <c r="Z314" i="56"/>
  <c r="AC314" i="56"/>
  <c r="AG314" i="56" s="1"/>
  <c r="AE314" i="56"/>
  <c r="AO314" i="56"/>
  <c r="AQ314" i="56"/>
  <c r="AR314" i="56"/>
  <c r="AS314" i="56"/>
  <c r="U315" i="56"/>
  <c r="V315" i="56"/>
  <c r="W315" i="56"/>
  <c r="X315" i="56"/>
  <c r="Y315" i="56"/>
  <c r="Z315" i="56"/>
  <c r="AC315" i="56"/>
  <c r="AJ315" i="56"/>
  <c r="AE315" i="56"/>
  <c r="AO315" i="56"/>
  <c r="AQ315" i="56"/>
  <c r="AR315" i="56"/>
  <c r="AS315" i="56"/>
  <c r="U316" i="56"/>
  <c r="V316" i="56"/>
  <c r="W316" i="56"/>
  <c r="X316" i="56"/>
  <c r="Y316" i="56"/>
  <c r="Z316" i="56"/>
  <c r="AC316" i="56"/>
  <c r="AE316" i="56"/>
  <c r="AO316" i="56"/>
  <c r="AQ316" i="56"/>
  <c r="AR316" i="56"/>
  <c r="U317" i="56"/>
  <c r="V317" i="56"/>
  <c r="W317" i="56"/>
  <c r="X317" i="56"/>
  <c r="Y317" i="56"/>
  <c r="Z317" i="56"/>
  <c r="AC317" i="56"/>
  <c r="AE317" i="56"/>
  <c r="AO317" i="56"/>
  <c r="AQ317" i="56"/>
  <c r="AS317" i="56" s="1"/>
  <c r="AR317" i="56"/>
  <c r="U318" i="56"/>
  <c r="V318" i="56"/>
  <c r="W318" i="56"/>
  <c r="X318" i="56"/>
  <c r="Y318" i="56"/>
  <c r="Z318" i="56"/>
  <c r="AC318" i="56"/>
  <c r="AE318" i="56"/>
  <c r="AO318" i="56"/>
  <c r="AQ318" i="56"/>
  <c r="AS318" i="56" s="1"/>
  <c r="AR318" i="56"/>
  <c r="U319" i="56"/>
  <c r="V319" i="56"/>
  <c r="W319" i="56"/>
  <c r="X319" i="56"/>
  <c r="AA319" i="56"/>
  <c r="Y319" i="56"/>
  <c r="Z319" i="56"/>
  <c r="AC319" i="56"/>
  <c r="AE319" i="56"/>
  <c r="AO319" i="56"/>
  <c r="AQ319" i="56"/>
  <c r="AR319" i="56"/>
  <c r="U320" i="56"/>
  <c r="V320" i="56"/>
  <c r="W320" i="56"/>
  <c r="X320" i="56"/>
  <c r="Y320" i="56"/>
  <c r="Z320" i="56"/>
  <c r="AC320" i="56"/>
  <c r="AE320" i="56"/>
  <c r="AO320" i="56"/>
  <c r="AQ320" i="56"/>
  <c r="AR320" i="56"/>
  <c r="U321" i="56"/>
  <c r="V321" i="56"/>
  <c r="AF321" i="56" s="1"/>
  <c r="W321" i="56"/>
  <c r="X321" i="56"/>
  <c r="AB321" i="56"/>
  <c r="Y321" i="56"/>
  <c r="Z321" i="56"/>
  <c r="AC321" i="56"/>
  <c r="AG321" i="56" s="1"/>
  <c r="AE321" i="56"/>
  <c r="AO321" i="56"/>
  <c r="AQ321" i="56"/>
  <c r="AR321" i="56"/>
  <c r="U322" i="56"/>
  <c r="V322" i="56"/>
  <c r="W322" i="56"/>
  <c r="X322" i="56"/>
  <c r="Y322" i="56"/>
  <c r="Z322" i="56"/>
  <c r="AC322" i="56"/>
  <c r="AE322" i="56"/>
  <c r="AO322" i="56"/>
  <c r="AQ322" i="56"/>
  <c r="AS322" i="56" s="1"/>
  <c r="AR322" i="56"/>
  <c r="U323" i="56"/>
  <c r="V323" i="56"/>
  <c r="AF323" i="56" s="1"/>
  <c r="W323" i="56"/>
  <c r="X323" i="56"/>
  <c r="Y323" i="56"/>
  <c r="Z323" i="56"/>
  <c r="AC323" i="56"/>
  <c r="AE323" i="56"/>
  <c r="AO323" i="56"/>
  <c r="AQ323" i="56"/>
  <c r="AS323" i="56" s="1"/>
  <c r="AR323" i="56"/>
  <c r="U324" i="56"/>
  <c r="V324" i="56"/>
  <c r="W324" i="56"/>
  <c r="X324" i="56"/>
  <c r="AB324" i="56"/>
  <c r="Y324" i="56"/>
  <c r="Z324" i="56"/>
  <c r="AC324" i="56"/>
  <c r="AE324" i="56"/>
  <c r="AO324" i="56"/>
  <c r="AQ324" i="56"/>
  <c r="AS324" i="56" s="1"/>
  <c r="AR324" i="56"/>
  <c r="U325" i="56"/>
  <c r="V325" i="56"/>
  <c r="W325" i="56"/>
  <c r="X325" i="56"/>
  <c r="Y325" i="56"/>
  <c r="Z325" i="56"/>
  <c r="AC325" i="56"/>
  <c r="AJ325" i="56"/>
  <c r="AE325" i="56"/>
  <c r="AO325" i="56"/>
  <c r="AQ325" i="56"/>
  <c r="AR325" i="56"/>
  <c r="AS325" i="56" s="1"/>
  <c r="U326" i="56"/>
  <c r="V326" i="56"/>
  <c r="W326" i="56"/>
  <c r="X326" i="56"/>
  <c r="Y326" i="56"/>
  <c r="Z326" i="56"/>
  <c r="AC326" i="56"/>
  <c r="AJ326" i="56"/>
  <c r="AE326" i="56"/>
  <c r="AO326" i="56"/>
  <c r="AQ326" i="56"/>
  <c r="AR326" i="56"/>
  <c r="U327" i="56"/>
  <c r="V327" i="56"/>
  <c r="W327" i="56"/>
  <c r="X327" i="56"/>
  <c r="Y327" i="56"/>
  <c r="Z327" i="56"/>
  <c r="AC327" i="56"/>
  <c r="AJ327" i="56" s="1"/>
  <c r="AE327" i="56"/>
  <c r="AO327" i="56"/>
  <c r="AQ327" i="56"/>
  <c r="AR327" i="56"/>
  <c r="AS327" i="56"/>
  <c r="U328" i="56"/>
  <c r="V328" i="56"/>
  <c r="W328" i="56"/>
  <c r="X328" i="56"/>
  <c r="Y328" i="56"/>
  <c r="Z328" i="56"/>
  <c r="AC328" i="56"/>
  <c r="AG328" i="56"/>
  <c r="AE328" i="56"/>
  <c r="AO328" i="56"/>
  <c r="AQ328" i="56"/>
  <c r="AR328" i="56"/>
  <c r="AS328" i="56" s="1"/>
  <c r="U329" i="56"/>
  <c r="V329" i="56"/>
  <c r="W329" i="56"/>
  <c r="X329" i="56"/>
  <c r="Y329" i="56"/>
  <c r="Z329" i="56"/>
  <c r="AC329" i="56"/>
  <c r="AE329" i="56"/>
  <c r="AO329" i="56"/>
  <c r="AQ329" i="56"/>
  <c r="AS329" i="56"/>
  <c r="AR329" i="56"/>
  <c r="U330" i="56"/>
  <c r="V330" i="56"/>
  <c r="W330" i="56"/>
  <c r="X330" i="56"/>
  <c r="Y330" i="56"/>
  <c r="Z330" i="56"/>
  <c r="AC330" i="56"/>
  <c r="AJ330" i="56" s="1"/>
  <c r="AE330" i="56"/>
  <c r="AO330" i="56"/>
  <c r="AQ330" i="56"/>
  <c r="AR330" i="56"/>
  <c r="U331" i="56"/>
  <c r="V331" i="56"/>
  <c r="W331" i="56"/>
  <c r="X331" i="56"/>
  <c r="AB331" i="56"/>
  <c r="Y331" i="56"/>
  <c r="Z331" i="56"/>
  <c r="AC331" i="56"/>
  <c r="AJ331" i="56"/>
  <c r="AG331" i="56"/>
  <c r="AE331" i="56"/>
  <c r="AO331" i="56"/>
  <c r="AQ331" i="56"/>
  <c r="AS331" i="56" s="1"/>
  <c r="AR331" i="56"/>
  <c r="U332" i="56"/>
  <c r="V332" i="56"/>
  <c r="W332" i="56"/>
  <c r="X332" i="56"/>
  <c r="AA332" i="56" s="1"/>
  <c r="Y332" i="56"/>
  <c r="Z332" i="56"/>
  <c r="AC332" i="56"/>
  <c r="AE332" i="56"/>
  <c r="AO332" i="56"/>
  <c r="AQ332" i="56"/>
  <c r="AR332" i="56"/>
  <c r="AS332" i="56" s="1"/>
  <c r="U333" i="56"/>
  <c r="V333" i="56"/>
  <c r="W333" i="56"/>
  <c r="X333" i="56"/>
  <c r="AB333" i="56"/>
  <c r="Y333" i="56"/>
  <c r="Z333" i="56"/>
  <c r="AC333" i="56"/>
  <c r="AE333" i="56"/>
  <c r="AO333" i="56"/>
  <c r="AQ333" i="56"/>
  <c r="AR333" i="56"/>
  <c r="U334" i="56"/>
  <c r="V334" i="56"/>
  <c r="W334" i="56"/>
  <c r="X334" i="56"/>
  <c r="AB334" i="56" s="1"/>
  <c r="AI334" i="56" s="1"/>
  <c r="Y334" i="56"/>
  <c r="Z334" i="56"/>
  <c r="AC334" i="56"/>
  <c r="AE334" i="56"/>
  <c r="AO334" i="56"/>
  <c r="AQ334" i="56"/>
  <c r="AR334" i="56"/>
  <c r="U335" i="56"/>
  <c r="V335" i="56"/>
  <c r="W335" i="56"/>
  <c r="X335" i="56"/>
  <c r="Y335" i="56"/>
  <c r="Z335" i="56"/>
  <c r="AC335" i="56"/>
  <c r="AE335" i="56"/>
  <c r="AO335" i="56"/>
  <c r="AQ335" i="56"/>
  <c r="AR335" i="56"/>
  <c r="U336" i="56"/>
  <c r="V336" i="56"/>
  <c r="W336" i="56"/>
  <c r="X336" i="56"/>
  <c r="Y336" i="56"/>
  <c r="Z336" i="56"/>
  <c r="AC336" i="56"/>
  <c r="AE336" i="56"/>
  <c r="AO336" i="56"/>
  <c r="AQ336" i="56"/>
  <c r="AS336" i="56" s="1"/>
  <c r="AR336" i="56"/>
  <c r="U337" i="56"/>
  <c r="V337" i="56"/>
  <c r="W337" i="56"/>
  <c r="X337" i="56"/>
  <c r="Y337" i="56"/>
  <c r="Z337" i="56"/>
  <c r="AC337" i="56"/>
  <c r="AE337" i="56"/>
  <c r="AO337" i="56"/>
  <c r="AQ337" i="56"/>
  <c r="AR337" i="56"/>
  <c r="U338" i="56"/>
  <c r="V338" i="56"/>
  <c r="W338" i="56"/>
  <c r="X338" i="56"/>
  <c r="Y338" i="56"/>
  <c r="Z338" i="56"/>
  <c r="AC338" i="56"/>
  <c r="AE338" i="56"/>
  <c r="AO338" i="56"/>
  <c r="AQ338" i="56"/>
  <c r="AS338" i="56" s="1"/>
  <c r="AR338" i="56"/>
  <c r="U339" i="56"/>
  <c r="V339" i="56"/>
  <c r="W339" i="56"/>
  <c r="X339" i="56"/>
  <c r="Y339" i="56"/>
  <c r="Z339" i="56"/>
  <c r="AC339" i="56"/>
  <c r="AE339" i="56"/>
  <c r="AO339" i="56"/>
  <c r="AQ339" i="56"/>
  <c r="AR339" i="56"/>
  <c r="U340" i="56"/>
  <c r="V340" i="56"/>
  <c r="W340" i="56"/>
  <c r="X340" i="56"/>
  <c r="Y340" i="56"/>
  <c r="Z340" i="56"/>
  <c r="AC340" i="56"/>
  <c r="AE340" i="56"/>
  <c r="AO340" i="56"/>
  <c r="AQ340" i="56"/>
  <c r="AS340" i="56"/>
  <c r="AR340" i="56"/>
  <c r="U341" i="56"/>
  <c r="V341" i="56"/>
  <c r="W341" i="56"/>
  <c r="X341" i="56"/>
  <c r="AB341" i="56"/>
  <c r="Y341" i="56"/>
  <c r="Z341" i="56"/>
  <c r="AC341" i="56"/>
  <c r="AE341" i="56"/>
  <c r="AO341" i="56"/>
  <c r="AQ341" i="56"/>
  <c r="AR341" i="56"/>
  <c r="U342" i="56"/>
  <c r="V342" i="56"/>
  <c r="W342" i="56"/>
  <c r="X342" i="56"/>
  <c r="Y342" i="56"/>
  <c r="Z342" i="56"/>
  <c r="AC342" i="56"/>
  <c r="AG342" i="56"/>
  <c r="AE342" i="56"/>
  <c r="AO342" i="56"/>
  <c r="AQ342" i="56"/>
  <c r="AR342" i="56"/>
  <c r="U343" i="56"/>
  <c r="V343" i="56"/>
  <c r="W343" i="56"/>
  <c r="X343" i="56"/>
  <c r="Y343" i="56"/>
  <c r="Z343" i="56"/>
  <c r="AC343" i="56"/>
  <c r="AE343" i="56"/>
  <c r="AO343" i="56"/>
  <c r="AQ343" i="56"/>
  <c r="AS343" i="56"/>
  <c r="AR343" i="56"/>
  <c r="U344" i="56"/>
  <c r="V344" i="56"/>
  <c r="W344" i="56"/>
  <c r="X344" i="56"/>
  <c r="AA344" i="56"/>
  <c r="Y344" i="56"/>
  <c r="Z344" i="56"/>
  <c r="AC344" i="56"/>
  <c r="AE344" i="56"/>
  <c r="AO344" i="56"/>
  <c r="AQ344" i="56"/>
  <c r="AS344" i="56" s="1"/>
  <c r="AR344" i="56"/>
  <c r="U345" i="56"/>
  <c r="V345" i="56"/>
  <c r="W345" i="56"/>
  <c r="X345" i="56"/>
  <c r="Y345" i="56"/>
  <c r="Z345" i="56"/>
  <c r="AC345" i="56"/>
  <c r="AG345" i="56"/>
  <c r="AE345" i="56"/>
  <c r="AO345" i="56"/>
  <c r="AQ345" i="56"/>
  <c r="AR345" i="56"/>
  <c r="U346" i="56"/>
  <c r="V346" i="56"/>
  <c r="W346" i="56"/>
  <c r="X346" i="56"/>
  <c r="Y346" i="56"/>
  <c r="Z346" i="56"/>
  <c r="AC346" i="56"/>
  <c r="AE346" i="56"/>
  <c r="AO346" i="56"/>
  <c r="AQ346" i="56"/>
  <c r="AR346" i="56"/>
  <c r="U347" i="56"/>
  <c r="V347" i="56"/>
  <c r="W347" i="56"/>
  <c r="X347" i="56"/>
  <c r="AA347" i="56" s="1"/>
  <c r="Y347" i="56"/>
  <c r="Z347" i="56"/>
  <c r="AC347" i="56"/>
  <c r="AE347" i="56"/>
  <c r="AO347" i="56"/>
  <c r="AQ347" i="56"/>
  <c r="AR347" i="56"/>
  <c r="U348" i="56"/>
  <c r="V348" i="56"/>
  <c r="AF348" i="56" s="1"/>
  <c r="W348" i="56"/>
  <c r="X348" i="56"/>
  <c r="AB348" i="56" s="1"/>
  <c r="Y348" i="56"/>
  <c r="Z348" i="56"/>
  <c r="AC348" i="56"/>
  <c r="AJ348" i="56"/>
  <c r="AE348" i="56"/>
  <c r="AO348" i="56"/>
  <c r="AQ348" i="56"/>
  <c r="AR348" i="56"/>
  <c r="U349" i="56"/>
  <c r="V349" i="56"/>
  <c r="W349" i="56"/>
  <c r="X349" i="56"/>
  <c r="Y349" i="56"/>
  <c r="Z349" i="56"/>
  <c r="AC349" i="56"/>
  <c r="AE349" i="56"/>
  <c r="AO349" i="56"/>
  <c r="AQ349" i="56"/>
  <c r="AR349" i="56"/>
  <c r="AS349" i="56"/>
  <c r="U350" i="56"/>
  <c r="V350" i="56"/>
  <c r="W350" i="56"/>
  <c r="X350" i="56"/>
  <c r="Y350" i="56"/>
  <c r="Z350" i="56"/>
  <c r="AC350" i="56"/>
  <c r="AG350" i="56"/>
  <c r="AE350" i="56"/>
  <c r="AO350" i="56"/>
  <c r="AQ350" i="56"/>
  <c r="AR350" i="56"/>
  <c r="AS350" i="56"/>
  <c r="U351" i="56"/>
  <c r="V351" i="56"/>
  <c r="W351" i="56"/>
  <c r="X351" i="56"/>
  <c r="AA351" i="56" s="1"/>
  <c r="Y351" i="56"/>
  <c r="Z351" i="56"/>
  <c r="AC351" i="56"/>
  <c r="AJ351" i="56"/>
  <c r="AE351" i="56"/>
  <c r="AO351" i="56"/>
  <c r="AQ351" i="56"/>
  <c r="AS351" i="56"/>
  <c r="AR351" i="56"/>
  <c r="U352" i="56"/>
  <c r="V352" i="56"/>
  <c r="W352" i="56"/>
  <c r="X352" i="56"/>
  <c r="Y352" i="56"/>
  <c r="Z352" i="56"/>
  <c r="AC352" i="56"/>
  <c r="AE352" i="56"/>
  <c r="AO352" i="56"/>
  <c r="AQ352" i="56"/>
  <c r="AR352" i="56"/>
  <c r="AS352" i="56" s="1"/>
  <c r="U353" i="56"/>
  <c r="V353" i="56"/>
  <c r="W353" i="56"/>
  <c r="X353" i="56"/>
  <c r="Y353" i="56"/>
  <c r="Z353" i="56"/>
  <c r="AC353" i="56"/>
  <c r="AG353" i="56"/>
  <c r="AE353" i="56"/>
  <c r="AO353" i="56"/>
  <c r="AQ353" i="56"/>
  <c r="AR353" i="56"/>
  <c r="U354" i="56"/>
  <c r="V354" i="56"/>
  <c r="W354" i="56"/>
  <c r="X354" i="56"/>
  <c r="AA354" i="56" s="1"/>
  <c r="Y354" i="56"/>
  <c r="Z354" i="56"/>
  <c r="AC354" i="56"/>
  <c r="AJ354" i="56" s="1"/>
  <c r="AE354" i="56"/>
  <c r="AO354" i="56"/>
  <c r="AQ354" i="56"/>
  <c r="AS354" i="56" s="1"/>
  <c r="AR354" i="56"/>
  <c r="U355" i="56"/>
  <c r="V355" i="56"/>
  <c r="W355" i="56"/>
  <c r="X355" i="56"/>
  <c r="Y355" i="56"/>
  <c r="Z355" i="56"/>
  <c r="AC355" i="56"/>
  <c r="AE355" i="56"/>
  <c r="AO355" i="56"/>
  <c r="AQ355" i="56"/>
  <c r="AS355" i="56" s="1"/>
  <c r="AR355" i="56"/>
  <c r="U356" i="56"/>
  <c r="V356" i="56"/>
  <c r="W356" i="56"/>
  <c r="X356" i="56"/>
  <c r="Y356" i="56"/>
  <c r="Z356" i="56"/>
  <c r="AC356" i="56"/>
  <c r="AE356" i="56"/>
  <c r="AO356" i="56"/>
  <c r="AQ356" i="56"/>
  <c r="AS356" i="56"/>
  <c r="AR356" i="56"/>
  <c r="U357" i="56"/>
  <c r="V357" i="56"/>
  <c r="W357" i="56"/>
  <c r="X357" i="56"/>
  <c r="Y357" i="56"/>
  <c r="Z357" i="56"/>
  <c r="AC357" i="56"/>
  <c r="AJ357" i="56" s="1"/>
  <c r="AE357" i="56"/>
  <c r="AO357" i="56"/>
  <c r="AQ357" i="56"/>
  <c r="AR357" i="56"/>
  <c r="U358" i="56"/>
  <c r="V358" i="56"/>
  <c r="W358" i="56"/>
  <c r="X358" i="56"/>
  <c r="Y358" i="56"/>
  <c r="Z358" i="56"/>
  <c r="AC358" i="56"/>
  <c r="AG358" i="56" s="1"/>
  <c r="AE358" i="56"/>
  <c r="AO358" i="56"/>
  <c r="AQ358" i="56"/>
  <c r="AR358" i="56"/>
  <c r="U359" i="56"/>
  <c r="V359" i="56"/>
  <c r="W359" i="56"/>
  <c r="X359" i="56"/>
  <c r="Y359" i="56"/>
  <c r="Z359" i="56"/>
  <c r="AC359" i="56"/>
  <c r="AE359" i="56"/>
  <c r="AO359" i="56"/>
  <c r="AQ359" i="56"/>
  <c r="AR359" i="56"/>
  <c r="U360" i="56"/>
  <c r="V360" i="56"/>
  <c r="W360" i="56"/>
  <c r="X360" i="56"/>
  <c r="AA360" i="56" s="1"/>
  <c r="Y360" i="56"/>
  <c r="Z360" i="56"/>
  <c r="AC360" i="56"/>
  <c r="AJ360" i="56" s="1"/>
  <c r="AE360" i="56"/>
  <c r="AO360" i="56"/>
  <c r="AQ360" i="56"/>
  <c r="AS360" i="56" s="1"/>
  <c r="AR360" i="56"/>
  <c r="U361" i="56"/>
  <c r="V361" i="56"/>
  <c r="W361" i="56"/>
  <c r="X361" i="56"/>
  <c r="Y361" i="56"/>
  <c r="Z361" i="56"/>
  <c r="AC361" i="56"/>
  <c r="AJ361" i="56" s="1"/>
  <c r="AE361" i="56"/>
  <c r="AO361" i="56"/>
  <c r="AQ361" i="56"/>
  <c r="AS361" i="56" s="1"/>
  <c r="AR361" i="56"/>
  <c r="U362" i="56"/>
  <c r="V362" i="56"/>
  <c r="W362" i="56"/>
  <c r="X362" i="56"/>
  <c r="Y362" i="56"/>
  <c r="Z362" i="56"/>
  <c r="AC362" i="56"/>
  <c r="AG362" i="56" s="1"/>
  <c r="AE362" i="56"/>
  <c r="AO362" i="56"/>
  <c r="AQ362" i="56"/>
  <c r="AR362" i="56"/>
  <c r="U363" i="56"/>
  <c r="V363" i="56"/>
  <c r="W363" i="56"/>
  <c r="X363" i="56"/>
  <c r="AB363" i="56" s="1"/>
  <c r="Y363" i="56"/>
  <c r="Z363" i="56"/>
  <c r="AC363" i="56"/>
  <c r="AE363" i="56"/>
  <c r="AO363" i="56"/>
  <c r="AQ363" i="56"/>
  <c r="AR363" i="56"/>
  <c r="U364" i="56"/>
  <c r="V364" i="56"/>
  <c r="W364" i="56"/>
  <c r="X364" i="56"/>
  <c r="Y364" i="56"/>
  <c r="Z364" i="56"/>
  <c r="AC364" i="56"/>
  <c r="AE364" i="56"/>
  <c r="AO364" i="56"/>
  <c r="AQ364" i="56"/>
  <c r="AR364" i="56"/>
  <c r="U365" i="56"/>
  <c r="V365" i="56"/>
  <c r="W365" i="56"/>
  <c r="X365" i="56"/>
  <c r="AA365" i="56" s="1"/>
  <c r="Y365" i="56"/>
  <c r="Z365" i="56"/>
  <c r="AC365" i="56"/>
  <c r="AJ365" i="56" s="1"/>
  <c r="AE365" i="56"/>
  <c r="AO365" i="56"/>
  <c r="AQ365" i="56"/>
  <c r="AR365" i="56"/>
  <c r="AS365" i="56"/>
  <c r="U366" i="56"/>
  <c r="V366" i="56"/>
  <c r="W366" i="56"/>
  <c r="X366" i="56"/>
  <c r="Y366" i="56"/>
  <c r="Z366" i="56"/>
  <c r="AC366" i="56"/>
  <c r="AE366" i="56"/>
  <c r="AO366" i="56"/>
  <c r="AQ366" i="56"/>
  <c r="AS366" i="56" s="1"/>
  <c r="AR366" i="56"/>
  <c r="U367" i="56"/>
  <c r="V367" i="56"/>
  <c r="AF367" i="56" s="1"/>
  <c r="W367" i="56"/>
  <c r="X367" i="56"/>
  <c r="AA367" i="56"/>
  <c r="Y367" i="56"/>
  <c r="Z367" i="56"/>
  <c r="AC367" i="56"/>
  <c r="AE367" i="56"/>
  <c r="AO367" i="56"/>
  <c r="AQ367" i="56"/>
  <c r="AR367" i="56"/>
  <c r="AS367" i="56" s="1"/>
  <c r="U368" i="56"/>
  <c r="V368" i="56"/>
  <c r="W368" i="56"/>
  <c r="X368" i="56"/>
  <c r="AB368" i="56"/>
  <c r="AL368" i="56" s="1"/>
  <c r="Y368" i="56"/>
  <c r="Z368" i="56"/>
  <c r="AC368" i="56"/>
  <c r="AE368" i="56"/>
  <c r="AO368" i="56"/>
  <c r="AQ368" i="56"/>
  <c r="AR368" i="56"/>
  <c r="AS368" i="56" s="1"/>
  <c r="U369" i="56"/>
  <c r="V369" i="56"/>
  <c r="W369" i="56"/>
  <c r="X369" i="56"/>
  <c r="Y369" i="56"/>
  <c r="Z369" i="56"/>
  <c r="AC369" i="56"/>
  <c r="AJ369" i="56" s="1"/>
  <c r="AG369" i="56"/>
  <c r="AE369" i="56"/>
  <c r="AO369" i="56"/>
  <c r="AQ369" i="56"/>
  <c r="AR369" i="56"/>
  <c r="U370" i="56"/>
  <c r="V370" i="56"/>
  <c r="W370" i="56"/>
  <c r="X370" i="56"/>
  <c r="Y370" i="56"/>
  <c r="Z370" i="56"/>
  <c r="AC370" i="56"/>
  <c r="AE370" i="56"/>
  <c r="AO370" i="56"/>
  <c r="AQ370" i="56"/>
  <c r="AR370" i="56"/>
  <c r="AS370" i="56" s="1"/>
  <c r="U371" i="56"/>
  <c r="V371" i="56"/>
  <c r="W371" i="56"/>
  <c r="X371" i="56"/>
  <c r="Y371" i="56"/>
  <c r="Z371" i="56"/>
  <c r="AC371" i="56"/>
  <c r="AE371" i="56"/>
  <c r="AO371" i="56"/>
  <c r="AQ371" i="56"/>
  <c r="AR371" i="56"/>
  <c r="AS371" i="56" s="1"/>
  <c r="U372" i="56"/>
  <c r="V372" i="56"/>
  <c r="W372" i="56"/>
  <c r="X372" i="56"/>
  <c r="Y372" i="56"/>
  <c r="Z372" i="56"/>
  <c r="AC372" i="56"/>
  <c r="AG372" i="56" s="1"/>
  <c r="AE372" i="56"/>
  <c r="AO372" i="56"/>
  <c r="AQ372" i="56"/>
  <c r="AS372" i="56"/>
  <c r="AR372" i="56"/>
  <c r="U373" i="56"/>
  <c r="V373" i="56"/>
  <c r="W373" i="56"/>
  <c r="X373" i="56"/>
  <c r="Y373" i="56"/>
  <c r="Z373" i="56"/>
  <c r="AC373" i="56"/>
  <c r="AJ373" i="56" s="1"/>
  <c r="AE373" i="56"/>
  <c r="AO373" i="56"/>
  <c r="AQ373" i="56"/>
  <c r="AR373" i="56"/>
  <c r="U374" i="56"/>
  <c r="V374" i="56"/>
  <c r="W374" i="56"/>
  <c r="X374" i="56"/>
  <c r="AB374" i="56" s="1"/>
  <c r="Y374" i="56"/>
  <c r="Z374" i="56"/>
  <c r="AC374" i="56"/>
  <c r="AE374" i="56"/>
  <c r="AO374" i="56"/>
  <c r="AQ374" i="56"/>
  <c r="AR374" i="56"/>
  <c r="U375" i="56"/>
  <c r="V375" i="56"/>
  <c r="W375" i="56"/>
  <c r="X375" i="56"/>
  <c r="Y375" i="56"/>
  <c r="Z375" i="56"/>
  <c r="AC375" i="56"/>
  <c r="AE375" i="56"/>
  <c r="AO375" i="56"/>
  <c r="AQ375" i="56"/>
  <c r="AR375" i="56"/>
  <c r="AS375" i="56" s="1"/>
  <c r="U376" i="56"/>
  <c r="V376" i="56"/>
  <c r="W376" i="56"/>
  <c r="X376" i="56"/>
  <c r="Y376" i="56"/>
  <c r="Z376" i="56"/>
  <c r="AC376" i="56"/>
  <c r="AG376" i="56" s="1"/>
  <c r="AJ376" i="56"/>
  <c r="AE376" i="56"/>
  <c r="AO376" i="56"/>
  <c r="AQ376" i="56"/>
  <c r="AR376" i="56"/>
  <c r="U377" i="56"/>
  <c r="V377" i="56"/>
  <c r="W377" i="56"/>
  <c r="X377" i="56"/>
  <c r="AB377" i="56" s="1"/>
  <c r="AL377" i="56" s="1"/>
  <c r="Y377" i="56"/>
  <c r="Z377" i="56"/>
  <c r="AC377" i="56"/>
  <c r="AE377" i="56"/>
  <c r="AO377" i="56"/>
  <c r="AQ377" i="56"/>
  <c r="AS377" i="56"/>
  <c r="AR377" i="56"/>
  <c r="U378" i="56"/>
  <c r="V378" i="56"/>
  <c r="W378" i="56"/>
  <c r="X378" i="56"/>
  <c r="Y378" i="56"/>
  <c r="Z378" i="56"/>
  <c r="AC378" i="56"/>
  <c r="AJ378" i="56"/>
  <c r="AG378" i="56"/>
  <c r="AE378" i="56"/>
  <c r="AO378" i="56"/>
  <c r="AQ378" i="56"/>
  <c r="AS378" i="56"/>
  <c r="AR378" i="56"/>
  <c r="U379" i="56"/>
  <c r="V379" i="56"/>
  <c r="W379" i="56"/>
  <c r="X379" i="56"/>
  <c r="Y379" i="56"/>
  <c r="Z379" i="56"/>
  <c r="AC379" i="56"/>
  <c r="AJ379" i="56" s="1"/>
  <c r="AE379" i="56"/>
  <c r="AO379" i="56"/>
  <c r="AQ379" i="56"/>
  <c r="AR379" i="56"/>
  <c r="U380" i="56"/>
  <c r="V380" i="56"/>
  <c r="W380" i="56"/>
  <c r="X380" i="56"/>
  <c r="AB380" i="56"/>
  <c r="Y380" i="56"/>
  <c r="Z380" i="56"/>
  <c r="AC380" i="56"/>
  <c r="AJ380" i="56"/>
  <c r="AE380" i="56"/>
  <c r="AO380" i="56"/>
  <c r="AQ380" i="56"/>
  <c r="AR380" i="56"/>
  <c r="U381" i="56"/>
  <c r="V381" i="56"/>
  <c r="W381" i="56"/>
  <c r="X381" i="56"/>
  <c r="Y381" i="56"/>
  <c r="Z381" i="56"/>
  <c r="AC381" i="56"/>
  <c r="AE381" i="56"/>
  <c r="AO381" i="56"/>
  <c r="AQ381" i="56"/>
  <c r="AR381" i="56"/>
  <c r="U382" i="56"/>
  <c r="V382" i="56"/>
  <c r="W382" i="56"/>
  <c r="X382" i="56"/>
  <c r="Y382" i="56"/>
  <c r="Z382" i="56"/>
  <c r="AC382" i="56"/>
  <c r="AE382" i="56"/>
  <c r="AO382" i="56"/>
  <c r="AQ382" i="56"/>
  <c r="AR382" i="56"/>
  <c r="U383" i="56"/>
  <c r="V383" i="56"/>
  <c r="W383" i="56"/>
  <c r="X383" i="56"/>
  <c r="AB383" i="56" s="1"/>
  <c r="AN383" i="56"/>
  <c r="Y383" i="56"/>
  <c r="Z383" i="56"/>
  <c r="AC383" i="56"/>
  <c r="AG383" i="56"/>
  <c r="AE383" i="56"/>
  <c r="AO383" i="56"/>
  <c r="AQ383" i="56"/>
  <c r="AR383" i="56"/>
  <c r="AS383" i="56" s="1"/>
  <c r="U384" i="56"/>
  <c r="V384" i="56"/>
  <c r="W384" i="56"/>
  <c r="X384" i="56"/>
  <c r="Y384" i="56"/>
  <c r="Z384" i="56"/>
  <c r="AC384" i="56"/>
  <c r="AE384" i="56"/>
  <c r="AO384" i="56"/>
  <c r="AQ384" i="56"/>
  <c r="AS384" i="56"/>
  <c r="AR384" i="56"/>
  <c r="U385" i="56"/>
  <c r="V385" i="56"/>
  <c r="W385" i="56"/>
  <c r="X385" i="56"/>
  <c r="AB385" i="56" s="1"/>
  <c r="Y385" i="56"/>
  <c r="Z385" i="56"/>
  <c r="AC385" i="56"/>
  <c r="AE385" i="56"/>
  <c r="AO385" i="56"/>
  <c r="AQ385" i="56"/>
  <c r="AS385" i="56"/>
  <c r="AR385" i="56"/>
  <c r="U386" i="56"/>
  <c r="V386" i="56"/>
  <c r="W386" i="56"/>
  <c r="X386" i="56"/>
  <c r="Y386" i="56"/>
  <c r="Z386" i="56"/>
  <c r="AC386" i="56"/>
  <c r="AE386" i="56"/>
  <c r="AO386" i="56"/>
  <c r="AQ386" i="56"/>
  <c r="AS386" i="56" s="1"/>
  <c r="AR386" i="56"/>
  <c r="U387" i="56"/>
  <c r="V387" i="56"/>
  <c r="W387" i="56"/>
  <c r="X387" i="56"/>
  <c r="AA387" i="56" s="1"/>
  <c r="Y387" i="56"/>
  <c r="Z387" i="56"/>
  <c r="AC387" i="56"/>
  <c r="AE387" i="56"/>
  <c r="AO387" i="56"/>
  <c r="AQ387" i="56"/>
  <c r="AS387" i="56"/>
  <c r="AR387" i="56"/>
  <c r="U388" i="56"/>
  <c r="V388" i="56"/>
  <c r="W388" i="56"/>
  <c r="X388" i="56"/>
  <c r="Y388" i="56"/>
  <c r="Z388" i="56"/>
  <c r="AC388" i="56"/>
  <c r="AE388" i="56"/>
  <c r="AO388" i="56"/>
  <c r="AQ388" i="56"/>
  <c r="AR388" i="56"/>
  <c r="U389" i="56"/>
  <c r="V389" i="56"/>
  <c r="W389" i="56"/>
  <c r="X389" i="56"/>
  <c r="Y389" i="56"/>
  <c r="Z389" i="56"/>
  <c r="AC389" i="56"/>
  <c r="AJ389" i="56" s="1"/>
  <c r="AE389" i="56"/>
  <c r="AO389" i="56"/>
  <c r="AQ389" i="56"/>
  <c r="AR389" i="56"/>
  <c r="U390" i="56"/>
  <c r="V390" i="56"/>
  <c r="W390" i="56"/>
  <c r="X390" i="56"/>
  <c r="AA390" i="56" s="1"/>
  <c r="Y390" i="56"/>
  <c r="Z390" i="56"/>
  <c r="AC390" i="56"/>
  <c r="AE390" i="56"/>
  <c r="AO390" i="56"/>
  <c r="AQ390" i="56"/>
  <c r="AR390" i="56"/>
  <c r="U391" i="56"/>
  <c r="V391" i="56"/>
  <c r="AF391" i="56" s="1"/>
  <c r="W391" i="56"/>
  <c r="X391" i="56"/>
  <c r="AA391" i="56" s="1"/>
  <c r="AB391" i="56"/>
  <c r="Y391" i="56"/>
  <c r="Z391" i="56"/>
  <c r="AC391" i="56"/>
  <c r="AE391" i="56"/>
  <c r="AO391" i="56"/>
  <c r="AQ391" i="56"/>
  <c r="AS391" i="56" s="1"/>
  <c r="AR391" i="56"/>
  <c r="U392" i="56"/>
  <c r="V392" i="56"/>
  <c r="W392" i="56"/>
  <c r="X392" i="56"/>
  <c r="Y392" i="56"/>
  <c r="Z392" i="56"/>
  <c r="AC392" i="56"/>
  <c r="AE392" i="56"/>
  <c r="AO392" i="56"/>
  <c r="AQ392" i="56"/>
  <c r="AR392" i="56"/>
  <c r="U393" i="56"/>
  <c r="V393" i="56"/>
  <c r="W393" i="56"/>
  <c r="X393" i="56"/>
  <c r="Y393" i="56"/>
  <c r="Z393" i="56"/>
  <c r="AC393" i="56"/>
  <c r="AG393" i="56" s="1"/>
  <c r="AE393" i="56"/>
  <c r="AO393" i="56"/>
  <c r="AQ393" i="56"/>
  <c r="AR393" i="56"/>
  <c r="U394" i="56"/>
  <c r="V394" i="56"/>
  <c r="W394" i="56"/>
  <c r="X394" i="56"/>
  <c r="AB394" i="56" s="1"/>
  <c r="AI394" i="56" s="1"/>
  <c r="Y394" i="56"/>
  <c r="AF394" i="56" s="1"/>
  <c r="Z394" i="56"/>
  <c r="AC394" i="56"/>
  <c r="AG394" i="56"/>
  <c r="AE394" i="56"/>
  <c r="AO394" i="56"/>
  <c r="AQ394" i="56"/>
  <c r="AR394" i="56"/>
  <c r="AS394" i="56" s="1"/>
  <c r="U395" i="56"/>
  <c r="V395" i="56"/>
  <c r="W395" i="56"/>
  <c r="X395" i="56"/>
  <c r="AB395" i="56" s="1"/>
  <c r="AL395" i="56" s="1"/>
  <c r="Y395" i="56"/>
  <c r="Z395" i="56"/>
  <c r="AC395" i="56"/>
  <c r="AG395" i="56" s="1"/>
  <c r="AE395" i="56"/>
  <c r="AO395" i="56"/>
  <c r="AQ395" i="56"/>
  <c r="AR395" i="56"/>
  <c r="U396" i="56"/>
  <c r="V396" i="56"/>
  <c r="W396" i="56"/>
  <c r="X396" i="56"/>
  <c r="Y396" i="56"/>
  <c r="Z396" i="56"/>
  <c r="AC396" i="56"/>
  <c r="AE396" i="56"/>
  <c r="AO396" i="56"/>
  <c r="AQ396" i="56"/>
  <c r="AR396" i="56"/>
  <c r="U397" i="56"/>
  <c r="V397" i="56"/>
  <c r="W397" i="56"/>
  <c r="X397" i="56"/>
  <c r="AA397" i="56" s="1"/>
  <c r="Y397" i="56"/>
  <c r="Z397" i="56"/>
  <c r="AC397" i="56"/>
  <c r="AJ397" i="56"/>
  <c r="AE397" i="56"/>
  <c r="AO397" i="56"/>
  <c r="AQ397" i="56"/>
  <c r="AS397" i="56" s="1"/>
  <c r="AR397" i="56"/>
  <c r="U398" i="56"/>
  <c r="V398" i="56"/>
  <c r="W398" i="56"/>
  <c r="X398" i="56"/>
  <c r="Y398" i="56"/>
  <c r="Z398" i="56"/>
  <c r="AC398" i="56"/>
  <c r="AJ398" i="56"/>
  <c r="AE398" i="56"/>
  <c r="AO398" i="56"/>
  <c r="AQ398" i="56"/>
  <c r="AS398" i="56" s="1"/>
  <c r="AR398" i="56"/>
  <c r="U399" i="56"/>
  <c r="V399" i="56"/>
  <c r="W399" i="56"/>
  <c r="X399" i="56"/>
  <c r="Y399" i="56"/>
  <c r="Z399" i="56"/>
  <c r="AC399" i="56"/>
  <c r="AE399" i="56"/>
  <c r="AO399" i="56"/>
  <c r="AQ399" i="56"/>
  <c r="AR399" i="56"/>
  <c r="U400" i="56"/>
  <c r="V400" i="56"/>
  <c r="W400" i="56"/>
  <c r="X400" i="56"/>
  <c r="Y400" i="56"/>
  <c r="Z400" i="56"/>
  <c r="AC400" i="56"/>
  <c r="AE400" i="56"/>
  <c r="AO400" i="56"/>
  <c r="AQ400" i="56"/>
  <c r="AS400" i="56" s="1"/>
  <c r="AR400" i="56"/>
  <c r="U401" i="56"/>
  <c r="V401" i="56"/>
  <c r="W401" i="56"/>
  <c r="X401" i="56"/>
  <c r="AA401" i="56" s="1"/>
  <c r="AB401" i="56"/>
  <c r="Y401" i="56"/>
  <c r="Z401" i="56"/>
  <c r="AC401" i="56"/>
  <c r="AJ401" i="56" s="1"/>
  <c r="AE401" i="56"/>
  <c r="AO401" i="56"/>
  <c r="AQ401" i="56"/>
  <c r="AS401" i="56" s="1"/>
  <c r="AR401" i="56"/>
  <c r="U402" i="56"/>
  <c r="V402" i="56"/>
  <c r="W402" i="56"/>
  <c r="X402" i="56"/>
  <c r="AB402" i="56" s="1"/>
  <c r="Y402" i="56"/>
  <c r="Z402" i="56"/>
  <c r="AC402" i="56"/>
  <c r="AE402" i="56"/>
  <c r="AO402" i="56"/>
  <c r="AQ402" i="56"/>
  <c r="AR402" i="56"/>
  <c r="U403" i="56"/>
  <c r="V403" i="56"/>
  <c r="W403" i="56"/>
  <c r="X403" i="56"/>
  <c r="Y403" i="56"/>
  <c r="Z403" i="56"/>
  <c r="AC403" i="56"/>
  <c r="AE403" i="56"/>
  <c r="AO403" i="56"/>
  <c r="AQ403" i="56"/>
  <c r="AS403" i="56"/>
  <c r="AR403" i="56"/>
  <c r="U404" i="56"/>
  <c r="V404" i="56"/>
  <c r="W404" i="56"/>
  <c r="X404" i="56"/>
  <c r="Y404" i="56"/>
  <c r="Z404" i="56"/>
  <c r="AC404" i="56"/>
  <c r="AE404" i="56"/>
  <c r="AO404" i="56"/>
  <c r="AQ404" i="56"/>
  <c r="AR404" i="56"/>
  <c r="U405" i="56"/>
  <c r="V405" i="56"/>
  <c r="W405" i="56"/>
  <c r="X405" i="56"/>
  <c r="Y405" i="56"/>
  <c r="Z405" i="56"/>
  <c r="AC405" i="56"/>
  <c r="AG405" i="56" s="1"/>
  <c r="AE405" i="56"/>
  <c r="AO405" i="56"/>
  <c r="AQ405" i="56"/>
  <c r="AR405" i="56"/>
  <c r="U406" i="56"/>
  <c r="V406" i="56"/>
  <c r="W406" i="56"/>
  <c r="X406" i="56"/>
  <c r="Y406" i="56"/>
  <c r="Z406" i="56"/>
  <c r="AC406" i="56"/>
  <c r="AE406" i="56"/>
  <c r="AO406" i="56"/>
  <c r="AQ406" i="56"/>
  <c r="AS406" i="56" s="1"/>
  <c r="AR406" i="56"/>
  <c r="U407" i="56"/>
  <c r="V407" i="56"/>
  <c r="W407" i="56"/>
  <c r="X407" i="56"/>
  <c r="AB407" i="56"/>
  <c r="Y407" i="56"/>
  <c r="Z407" i="56"/>
  <c r="AC407" i="56"/>
  <c r="AE407" i="56"/>
  <c r="AO407" i="56"/>
  <c r="AQ407" i="56"/>
  <c r="AR407" i="56"/>
  <c r="U408" i="56"/>
  <c r="V408" i="56"/>
  <c r="W408" i="56"/>
  <c r="X408" i="56"/>
  <c r="AB408" i="56"/>
  <c r="Y408" i="56"/>
  <c r="Z408" i="56"/>
  <c r="AC408" i="56"/>
  <c r="AE408" i="56"/>
  <c r="AO408" i="56"/>
  <c r="AQ408" i="56"/>
  <c r="AS408" i="56" s="1"/>
  <c r="AR408" i="56"/>
  <c r="U409" i="56"/>
  <c r="V409" i="56"/>
  <c r="W409" i="56"/>
  <c r="X409" i="56"/>
  <c r="AA409" i="56" s="1"/>
  <c r="Y409" i="56"/>
  <c r="Z409" i="56"/>
  <c r="AC409" i="56"/>
  <c r="AE409" i="56"/>
  <c r="AO409" i="56"/>
  <c r="AQ409" i="56"/>
  <c r="AS409" i="56"/>
  <c r="AR409" i="56"/>
  <c r="U410" i="56"/>
  <c r="V410" i="56"/>
  <c r="AF410" i="56" s="1"/>
  <c r="W410" i="56"/>
  <c r="X410" i="56"/>
  <c r="Y410" i="56"/>
  <c r="Z410" i="56"/>
  <c r="AC410" i="56"/>
  <c r="AJ410" i="56" s="1"/>
  <c r="AE410" i="56"/>
  <c r="AO410" i="56"/>
  <c r="AQ410" i="56"/>
  <c r="AR410" i="56"/>
  <c r="U411" i="56"/>
  <c r="V411" i="56"/>
  <c r="W411" i="56"/>
  <c r="X411" i="56"/>
  <c r="Y411" i="56"/>
  <c r="Z411" i="56"/>
  <c r="AC411" i="56"/>
  <c r="AE411" i="56"/>
  <c r="AO411" i="56"/>
  <c r="AQ411" i="56"/>
  <c r="AS411" i="56"/>
  <c r="AR411" i="56"/>
  <c r="U412" i="56"/>
  <c r="V412" i="56"/>
  <c r="W412" i="56"/>
  <c r="X412" i="56"/>
  <c r="AB412" i="56" s="1"/>
  <c r="AA412" i="56"/>
  <c r="Y412" i="56"/>
  <c r="Z412" i="56"/>
  <c r="AC412" i="56"/>
  <c r="AE412" i="56"/>
  <c r="AO412" i="56"/>
  <c r="AQ412" i="56"/>
  <c r="AR412" i="56"/>
  <c r="U413" i="56"/>
  <c r="V413" i="56"/>
  <c r="W413" i="56"/>
  <c r="X413" i="56"/>
  <c r="AB413" i="56"/>
  <c r="AL413" i="56" s="1"/>
  <c r="Y413" i="56"/>
  <c r="Z413" i="56"/>
  <c r="AC413" i="56"/>
  <c r="AJ413" i="56"/>
  <c r="AE413" i="56"/>
  <c r="AO413" i="56"/>
  <c r="AQ413" i="56"/>
  <c r="AR413" i="56"/>
  <c r="AS413" i="56" s="1"/>
  <c r="U414" i="56"/>
  <c r="V414" i="56"/>
  <c r="W414" i="56"/>
  <c r="X414" i="56"/>
  <c r="AB414" i="56" s="1"/>
  <c r="Y414" i="56"/>
  <c r="Z414" i="56"/>
  <c r="AC414" i="56"/>
  <c r="AJ414" i="56" s="1"/>
  <c r="AE414" i="56"/>
  <c r="AO414" i="56"/>
  <c r="AQ414" i="56"/>
  <c r="AR414" i="56"/>
  <c r="U415" i="56"/>
  <c r="V415" i="56"/>
  <c r="W415" i="56"/>
  <c r="X415" i="56"/>
  <c r="Y415" i="56"/>
  <c r="Z415" i="56"/>
  <c r="AC415" i="56"/>
  <c r="AG415" i="56"/>
  <c r="AE415" i="56"/>
  <c r="AO415" i="56"/>
  <c r="AQ415" i="56"/>
  <c r="AR415" i="56"/>
  <c r="U416" i="56"/>
  <c r="V416" i="56"/>
  <c r="W416" i="56"/>
  <c r="X416" i="56"/>
  <c r="Y416" i="56"/>
  <c r="Z416" i="56"/>
  <c r="AC416" i="56"/>
  <c r="AG416" i="56" s="1"/>
  <c r="AE416" i="56"/>
  <c r="AO416" i="56"/>
  <c r="AQ416" i="56"/>
  <c r="AS416" i="56"/>
  <c r="AR416" i="56"/>
  <c r="U417" i="56"/>
  <c r="V417" i="56"/>
  <c r="W417" i="56"/>
  <c r="X417" i="56"/>
  <c r="Y417" i="56"/>
  <c r="Z417" i="56"/>
  <c r="AC417" i="56"/>
  <c r="AE417" i="56"/>
  <c r="AO417" i="56"/>
  <c r="AQ417" i="56"/>
  <c r="AR417" i="56"/>
  <c r="U418" i="56"/>
  <c r="V418" i="56"/>
  <c r="W418" i="56"/>
  <c r="X418" i="56"/>
  <c r="Y418" i="56"/>
  <c r="Z418" i="56"/>
  <c r="AC418" i="56"/>
  <c r="AE418" i="56"/>
  <c r="AO418" i="56"/>
  <c r="AQ418" i="56"/>
  <c r="AR418" i="56"/>
  <c r="U419" i="56"/>
  <c r="V419" i="56"/>
  <c r="W419" i="56"/>
  <c r="X419" i="56"/>
  <c r="Y419" i="56"/>
  <c r="Z419" i="56"/>
  <c r="AC419" i="56"/>
  <c r="AG419" i="56"/>
  <c r="AE419" i="56"/>
  <c r="AO419" i="56"/>
  <c r="AQ419" i="56"/>
  <c r="AR419" i="56"/>
  <c r="U420" i="56"/>
  <c r="V420" i="56"/>
  <c r="W420" i="56"/>
  <c r="X420" i="56"/>
  <c r="Y420" i="56"/>
  <c r="Z420" i="56"/>
  <c r="AC420" i="56"/>
  <c r="AE420" i="56"/>
  <c r="AO420" i="56"/>
  <c r="AQ420" i="56"/>
  <c r="AS420" i="56" s="1"/>
  <c r="AR420" i="56"/>
  <c r="U421" i="56"/>
  <c r="V421" i="56"/>
  <c r="W421" i="56"/>
  <c r="X421" i="56"/>
  <c r="Y421" i="56"/>
  <c r="Z421" i="56"/>
  <c r="AC421" i="56"/>
  <c r="AE421" i="56"/>
  <c r="AO421" i="56"/>
  <c r="AQ421" i="56"/>
  <c r="AS421" i="56" s="1"/>
  <c r="AR421" i="56"/>
  <c r="U422" i="56"/>
  <c r="V422" i="56"/>
  <c r="W422" i="56"/>
  <c r="X422" i="56"/>
  <c r="Y422" i="56"/>
  <c r="Z422" i="56"/>
  <c r="AC422" i="56"/>
  <c r="AJ422" i="56" s="1"/>
  <c r="AE422" i="56"/>
  <c r="AO422" i="56"/>
  <c r="AQ422" i="56"/>
  <c r="AR422" i="56"/>
  <c r="U423" i="56"/>
  <c r="V423" i="56"/>
  <c r="W423" i="56"/>
  <c r="X423" i="56"/>
  <c r="Y423" i="56"/>
  <c r="Z423" i="56"/>
  <c r="AC423" i="56"/>
  <c r="AJ423" i="56" s="1"/>
  <c r="AE423" i="56"/>
  <c r="AO423" i="56"/>
  <c r="AQ423" i="56"/>
  <c r="AS423" i="56" s="1"/>
  <c r="AR423" i="56"/>
  <c r="U424" i="56"/>
  <c r="V424" i="56"/>
  <c r="W424" i="56"/>
  <c r="X424" i="56"/>
  <c r="Y424" i="56"/>
  <c r="Z424" i="56"/>
  <c r="AC424" i="56"/>
  <c r="AE424" i="56"/>
  <c r="AO424" i="56"/>
  <c r="AQ424" i="56"/>
  <c r="AR424" i="56"/>
  <c r="U425" i="56"/>
  <c r="V425" i="56"/>
  <c r="W425" i="56"/>
  <c r="X425" i="56"/>
  <c r="Y425" i="56"/>
  <c r="Z425" i="56"/>
  <c r="AC425" i="56"/>
  <c r="AE425" i="56"/>
  <c r="AO425" i="56"/>
  <c r="AQ425" i="56"/>
  <c r="AS425" i="56" s="1"/>
  <c r="AR425" i="56"/>
  <c r="U426" i="56"/>
  <c r="V426" i="56"/>
  <c r="W426" i="56"/>
  <c r="X426" i="56"/>
  <c r="AB426" i="56"/>
  <c r="AM426" i="56" s="1"/>
  <c r="Y426" i="56"/>
  <c r="Z426" i="56"/>
  <c r="AC426" i="56"/>
  <c r="AE426" i="56"/>
  <c r="AO426" i="56"/>
  <c r="AQ426" i="56"/>
  <c r="AR426" i="56"/>
  <c r="U427" i="56"/>
  <c r="V427" i="56"/>
  <c r="W427" i="56"/>
  <c r="X427" i="56"/>
  <c r="Y427" i="56"/>
  <c r="Z427" i="56"/>
  <c r="AC427" i="56"/>
  <c r="AG427" i="56" s="1"/>
  <c r="AE427" i="56"/>
  <c r="AO427" i="56"/>
  <c r="AQ427" i="56"/>
  <c r="AS427" i="56" s="1"/>
  <c r="AR427" i="56"/>
  <c r="U428" i="56"/>
  <c r="V428" i="56"/>
  <c r="W428" i="56"/>
  <c r="X428" i="56"/>
  <c r="Y428" i="56"/>
  <c r="Z428" i="56"/>
  <c r="AC428" i="56"/>
  <c r="AG428" i="56"/>
  <c r="AE428" i="56"/>
  <c r="AO428" i="56"/>
  <c r="AQ428" i="56"/>
  <c r="AR428" i="56"/>
  <c r="AS428" i="56" s="1"/>
  <c r="U429" i="56"/>
  <c r="V429" i="56"/>
  <c r="W429" i="56"/>
  <c r="X429" i="56"/>
  <c r="AB429" i="56" s="1"/>
  <c r="AA429" i="56"/>
  <c r="AN429" i="56"/>
  <c r="Y429" i="56"/>
  <c r="Z429" i="56"/>
  <c r="AC429" i="56"/>
  <c r="AG429" i="56"/>
  <c r="AE429" i="56"/>
  <c r="AO429" i="56"/>
  <c r="AQ429" i="56"/>
  <c r="AS429" i="56"/>
  <c r="AR429" i="56"/>
  <c r="U430" i="56"/>
  <c r="V430" i="56"/>
  <c r="W430" i="56"/>
  <c r="X430" i="56"/>
  <c r="Y430" i="56"/>
  <c r="Z430" i="56"/>
  <c r="AC430" i="56"/>
  <c r="AG430" i="56" s="1"/>
  <c r="AE430" i="56"/>
  <c r="AO430" i="56"/>
  <c r="AQ430" i="56"/>
  <c r="AR430" i="56"/>
  <c r="U431" i="56"/>
  <c r="V431" i="56"/>
  <c r="W431" i="56"/>
  <c r="X431" i="56"/>
  <c r="Y431" i="56"/>
  <c r="Z431" i="56"/>
  <c r="AC431" i="56"/>
  <c r="AE431" i="56"/>
  <c r="AO431" i="56"/>
  <c r="AQ431" i="56"/>
  <c r="AR431" i="56"/>
  <c r="U432" i="56"/>
  <c r="V432" i="56"/>
  <c r="W432" i="56"/>
  <c r="X432" i="56"/>
  <c r="Y432" i="56"/>
  <c r="Z432" i="56"/>
  <c r="AC432" i="56"/>
  <c r="AE432" i="56"/>
  <c r="AO432" i="56"/>
  <c r="AQ432" i="56"/>
  <c r="AS432" i="56"/>
  <c r="AR432" i="56"/>
  <c r="U433" i="56"/>
  <c r="V433" i="56"/>
  <c r="W433" i="56"/>
  <c r="X433" i="56"/>
  <c r="Y433" i="56"/>
  <c r="Z433" i="56"/>
  <c r="AC433" i="56"/>
  <c r="AG433" i="56" s="1"/>
  <c r="AE433" i="56"/>
  <c r="AO433" i="56"/>
  <c r="AQ433" i="56"/>
  <c r="AS433" i="56" s="1"/>
  <c r="AR433" i="56"/>
  <c r="U434" i="56"/>
  <c r="V434" i="56"/>
  <c r="W434" i="56"/>
  <c r="X434" i="56"/>
  <c r="Y434" i="56"/>
  <c r="Z434" i="56"/>
  <c r="AC434" i="56"/>
  <c r="AE434" i="56"/>
  <c r="AO434" i="56"/>
  <c r="AQ434" i="56"/>
  <c r="AS434" i="56" s="1"/>
  <c r="AR434" i="56"/>
  <c r="U435" i="56"/>
  <c r="V435" i="56"/>
  <c r="W435" i="56"/>
  <c r="X435" i="56"/>
  <c r="AB435" i="56" s="1"/>
  <c r="Y435" i="56"/>
  <c r="Z435" i="56"/>
  <c r="AC435" i="56"/>
  <c r="AE435" i="56"/>
  <c r="AO435" i="56"/>
  <c r="AQ435" i="56"/>
  <c r="AR435" i="56"/>
  <c r="AS435" i="56"/>
  <c r="U436" i="56"/>
  <c r="V436" i="56"/>
  <c r="W436" i="56"/>
  <c r="X436" i="56"/>
  <c r="AB436" i="56"/>
  <c r="Y436" i="56"/>
  <c r="Z436" i="56"/>
  <c r="AC436" i="56"/>
  <c r="AE436" i="56"/>
  <c r="AO436" i="56"/>
  <c r="AQ436" i="56"/>
  <c r="AR436" i="56"/>
  <c r="U437" i="56"/>
  <c r="V437" i="56"/>
  <c r="W437" i="56"/>
  <c r="X437" i="56"/>
  <c r="Y437" i="56"/>
  <c r="Z437" i="56"/>
  <c r="AC437" i="56"/>
  <c r="AE437" i="56"/>
  <c r="AO437" i="56"/>
  <c r="AQ437" i="56"/>
  <c r="AR437" i="56"/>
  <c r="U438" i="56"/>
  <c r="V438" i="56"/>
  <c r="W438" i="56"/>
  <c r="X438" i="56"/>
  <c r="Y438" i="56"/>
  <c r="Z438" i="56"/>
  <c r="AC438" i="56"/>
  <c r="AG438" i="56" s="1"/>
  <c r="AE438" i="56"/>
  <c r="AO438" i="56"/>
  <c r="AQ438" i="56"/>
  <c r="AR438" i="56"/>
  <c r="U439" i="56"/>
  <c r="V439" i="56"/>
  <c r="W439" i="56"/>
  <c r="X439" i="56"/>
  <c r="AB439" i="56" s="1"/>
  <c r="Y439" i="56"/>
  <c r="Z439" i="56"/>
  <c r="AC439" i="56"/>
  <c r="AE439" i="56"/>
  <c r="AO439" i="56"/>
  <c r="AQ439" i="56"/>
  <c r="AS439" i="56" s="1"/>
  <c r="AR439" i="56"/>
  <c r="U440" i="56"/>
  <c r="V440" i="56"/>
  <c r="W440" i="56"/>
  <c r="X440" i="56"/>
  <c r="AA440" i="56"/>
  <c r="Y440" i="56"/>
  <c r="Z440" i="56"/>
  <c r="AC440" i="56"/>
  <c r="AE440" i="56"/>
  <c r="AO440" i="56"/>
  <c r="AQ440" i="56"/>
  <c r="AR440" i="56"/>
  <c r="U441" i="56"/>
  <c r="V441" i="56"/>
  <c r="W441" i="56"/>
  <c r="X441" i="56"/>
  <c r="AA441" i="56"/>
  <c r="Y441" i="56"/>
  <c r="Z441" i="56"/>
  <c r="AC441" i="56"/>
  <c r="AE441" i="56"/>
  <c r="AO441" i="56"/>
  <c r="AQ441" i="56"/>
  <c r="AR441" i="56"/>
  <c r="U442" i="56"/>
  <c r="V442" i="56"/>
  <c r="W442" i="56"/>
  <c r="X442" i="56"/>
  <c r="AB442" i="56"/>
  <c r="AI442" i="56" s="1"/>
  <c r="Y442" i="56"/>
  <c r="Z442" i="56"/>
  <c r="AC442" i="56"/>
  <c r="AE442" i="56"/>
  <c r="AO442" i="56"/>
  <c r="AQ442" i="56"/>
  <c r="AR442" i="56"/>
  <c r="U443" i="56"/>
  <c r="V443" i="56"/>
  <c r="W443" i="56"/>
  <c r="X443" i="56"/>
  <c r="AA443" i="56"/>
  <c r="Y443" i="56"/>
  <c r="Z443" i="56"/>
  <c r="AC443" i="56"/>
  <c r="AG443" i="56"/>
  <c r="AE443" i="56"/>
  <c r="AO443" i="56"/>
  <c r="AQ443" i="56"/>
  <c r="AR443" i="56"/>
  <c r="U444" i="56"/>
  <c r="V444" i="56"/>
  <c r="W444" i="56"/>
  <c r="X444" i="56"/>
  <c r="Y444" i="56"/>
  <c r="Z444" i="56"/>
  <c r="AC444" i="56"/>
  <c r="AE444" i="56"/>
  <c r="AO444" i="56"/>
  <c r="AQ444" i="56"/>
  <c r="AR444" i="56"/>
  <c r="U445" i="56"/>
  <c r="V445" i="56"/>
  <c r="W445" i="56"/>
  <c r="X445" i="56"/>
  <c r="Y445" i="56"/>
  <c r="Z445" i="56"/>
  <c r="AC445" i="56"/>
  <c r="AE445" i="56"/>
  <c r="AO445" i="56"/>
  <c r="AQ445" i="56"/>
  <c r="AR445" i="56"/>
  <c r="U446" i="56"/>
  <c r="V446" i="56"/>
  <c r="W446" i="56"/>
  <c r="X446" i="56"/>
  <c r="Y446" i="56"/>
  <c r="Z446" i="56"/>
  <c r="AC446" i="56"/>
  <c r="AE446" i="56"/>
  <c r="AO446" i="56"/>
  <c r="AQ446" i="56"/>
  <c r="AR446" i="56"/>
  <c r="U447" i="56"/>
  <c r="V447" i="56"/>
  <c r="W447" i="56"/>
  <c r="X447" i="56"/>
  <c r="AB447" i="56"/>
  <c r="AI447" i="56" s="1"/>
  <c r="Y447" i="56"/>
  <c r="Z447" i="56"/>
  <c r="AC447" i="56"/>
  <c r="AE447" i="56"/>
  <c r="AO447" i="56"/>
  <c r="AQ447" i="56"/>
  <c r="AR447" i="56"/>
  <c r="AS447" i="56" s="1"/>
  <c r="U448" i="56"/>
  <c r="V448" i="56"/>
  <c r="W448" i="56"/>
  <c r="X448" i="56"/>
  <c r="Y448" i="56"/>
  <c r="Z448" i="56"/>
  <c r="AC448" i="56"/>
  <c r="AE448" i="56"/>
  <c r="AO448" i="56"/>
  <c r="AQ448" i="56"/>
  <c r="AR448" i="56"/>
  <c r="U449" i="56"/>
  <c r="V449" i="56"/>
  <c r="W449" i="56"/>
  <c r="X449" i="56"/>
  <c r="Y449" i="56"/>
  <c r="Z449" i="56"/>
  <c r="AC449" i="56"/>
  <c r="AG449" i="56"/>
  <c r="AE449" i="56"/>
  <c r="AO449" i="56"/>
  <c r="AQ449" i="56"/>
  <c r="AR449" i="56"/>
  <c r="U450" i="56"/>
  <c r="V450" i="56"/>
  <c r="AF450" i="56" s="1"/>
  <c r="W450" i="56"/>
  <c r="X450" i="56"/>
  <c r="Y450" i="56"/>
  <c r="Z450" i="56"/>
  <c r="AC450" i="56"/>
  <c r="AG450" i="56"/>
  <c r="AE450" i="56"/>
  <c r="AO450" i="56"/>
  <c r="AQ450" i="56"/>
  <c r="AR450" i="56"/>
  <c r="AS450" i="56" s="1"/>
  <c r="U451" i="56"/>
  <c r="V451" i="56"/>
  <c r="W451" i="56"/>
  <c r="X451" i="56"/>
  <c r="AB451" i="56"/>
  <c r="AI451" i="56" s="1"/>
  <c r="Y451" i="56"/>
  <c r="Z451" i="56"/>
  <c r="AC451" i="56"/>
  <c r="AJ451" i="56"/>
  <c r="AE451" i="56"/>
  <c r="AO451" i="56"/>
  <c r="AQ451" i="56"/>
  <c r="AS451" i="56"/>
  <c r="AR451" i="56"/>
  <c r="U452" i="56"/>
  <c r="V452" i="56"/>
  <c r="W452" i="56"/>
  <c r="X452" i="56"/>
  <c r="AA452" i="56"/>
  <c r="Y452" i="56"/>
  <c r="Z452" i="56"/>
  <c r="AC452" i="56"/>
  <c r="AG452" i="56"/>
  <c r="AE452" i="56"/>
  <c r="AO452" i="56"/>
  <c r="AQ452" i="56"/>
  <c r="AR452" i="56"/>
  <c r="U453" i="56"/>
  <c r="V453" i="56"/>
  <c r="W453" i="56"/>
  <c r="X453" i="56"/>
  <c r="Y453" i="56"/>
  <c r="Z453" i="56"/>
  <c r="AC453" i="56"/>
  <c r="AE453" i="56"/>
  <c r="AO453" i="56"/>
  <c r="AQ453" i="56"/>
  <c r="AS453" i="56" s="1"/>
  <c r="AR453" i="56"/>
  <c r="U454" i="56"/>
  <c r="V454" i="56"/>
  <c r="W454" i="56"/>
  <c r="X454" i="56"/>
  <c r="AB454" i="56"/>
  <c r="AA454" i="56"/>
  <c r="Y454" i="56"/>
  <c r="Z454" i="56"/>
  <c r="AC454" i="56"/>
  <c r="AE454" i="56"/>
  <c r="AO454" i="56"/>
  <c r="AQ454" i="56"/>
  <c r="AR454" i="56"/>
  <c r="U455" i="56"/>
  <c r="V455" i="56"/>
  <c r="W455" i="56"/>
  <c r="X455" i="56"/>
  <c r="AA455" i="56"/>
  <c r="Y455" i="56"/>
  <c r="Z455" i="56"/>
  <c r="AC455" i="56"/>
  <c r="AE455" i="56"/>
  <c r="AO455" i="56"/>
  <c r="AQ455" i="56"/>
  <c r="AR455" i="56"/>
  <c r="AS455" i="56" s="1"/>
  <c r="U456" i="56"/>
  <c r="V456" i="56"/>
  <c r="W456" i="56"/>
  <c r="X456" i="56"/>
  <c r="Y456" i="56"/>
  <c r="Z456" i="56"/>
  <c r="AC456" i="56"/>
  <c r="AJ456" i="56"/>
  <c r="AE456" i="56"/>
  <c r="AO456" i="56"/>
  <c r="AQ456" i="56"/>
  <c r="AS456" i="56" s="1"/>
  <c r="AR456" i="56"/>
  <c r="U457" i="56"/>
  <c r="V457" i="56"/>
  <c r="W457" i="56"/>
  <c r="X457" i="56"/>
  <c r="Y457" i="56"/>
  <c r="Z457" i="56"/>
  <c r="AC457" i="56"/>
  <c r="AE457" i="56"/>
  <c r="AO457" i="56"/>
  <c r="AQ457" i="56"/>
  <c r="AR457" i="56"/>
  <c r="U458" i="56"/>
  <c r="V458" i="56"/>
  <c r="W458" i="56"/>
  <c r="X458" i="56"/>
  <c r="Y458" i="56"/>
  <c r="Z458" i="56"/>
  <c r="AC458" i="56"/>
  <c r="AE458" i="56"/>
  <c r="AO458" i="56"/>
  <c r="AQ458" i="56"/>
  <c r="AS458" i="56"/>
  <c r="AR458" i="56"/>
  <c r="U459" i="56"/>
  <c r="V459" i="56"/>
  <c r="W459" i="56"/>
  <c r="X459" i="56"/>
  <c r="Y459" i="56"/>
  <c r="Z459" i="56"/>
  <c r="AC459" i="56"/>
  <c r="AG459" i="56" s="1"/>
  <c r="AE459" i="56"/>
  <c r="AO459" i="56"/>
  <c r="AQ459" i="56"/>
  <c r="AR459" i="56"/>
  <c r="AS459" i="56" s="1"/>
  <c r="U460" i="56"/>
  <c r="V460" i="56"/>
  <c r="W460" i="56"/>
  <c r="X460" i="56"/>
  <c r="Y460" i="56"/>
  <c r="Z460" i="56"/>
  <c r="AC460" i="56"/>
  <c r="AG460" i="56"/>
  <c r="AE460" i="56"/>
  <c r="AO460" i="56"/>
  <c r="AQ460" i="56"/>
  <c r="AS460" i="56"/>
  <c r="AR460" i="56"/>
  <c r="U461" i="56"/>
  <c r="V461" i="56"/>
  <c r="W461" i="56"/>
  <c r="X461" i="56"/>
  <c r="Y461" i="56"/>
  <c r="Z461" i="56"/>
  <c r="AC461" i="56"/>
  <c r="AE461" i="56"/>
  <c r="AO461" i="56"/>
  <c r="AQ461" i="56"/>
  <c r="AS461" i="56"/>
  <c r="AR461" i="56"/>
  <c r="U462" i="56"/>
  <c r="V462" i="56"/>
  <c r="W462" i="56"/>
  <c r="X462" i="56"/>
  <c r="AA462" i="56"/>
  <c r="Y462" i="56"/>
  <c r="Z462" i="56"/>
  <c r="AC462" i="56"/>
  <c r="AE462" i="56"/>
  <c r="AO462" i="56"/>
  <c r="AQ462" i="56"/>
  <c r="AR462" i="56"/>
  <c r="U463" i="56"/>
  <c r="V463" i="56"/>
  <c r="W463" i="56"/>
  <c r="X463" i="56"/>
  <c r="Y463" i="56"/>
  <c r="Z463" i="56"/>
  <c r="AC463" i="56"/>
  <c r="AE463" i="56"/>
  <c r="AO463" i="56"/>
  <c r="AQ463" i="56"/>
  <c r="AR463" i="56"/>
  <c r="U464" i="56"/>
  <c r="V464" i="56"/>
  <c r="W464" i="56"/>
  <c r="X464" i="56"/>
  <c r="AA464" i="56"/>
  <c r="Y464" i="56"/>
  <c r="Z464" i="56"/>
  <c r="AC464" i="56"/>
  <c r="AG464" i="56" s="1"/>
  <c r="AE464" i="56"/>
  <c r="AO464" i="56"/>
  <c r="AQ464" i="56"/>
  <c r="AR464" i="56"/>
  <c r="U465" i="56"/>
  <c r="V465" i="56"/>
  <c r="W465" i="56"/>
  <c r="X465" i="56"/>
  <c r="Y465" i="56"/>
  <c r="Z465" i="56"/>
  <c r="AC465" i="56"/>
  <c r="AE465" i="56"/>
  <c r="AO465" i="56"/>
  <c r="AQ465" i="56"/>
  <c r="AS465" i="56"/>
  <c r="AR465" i="56"/>
  <c r="U466" i="56"/>
  <c r="V466" i="56"/>
  <c r="W466" i="56"/>
  <c r="X466" i="56"/>
  <c r="AA466" i="56" s="1"/>
  <c r="Y466" i="56"/>
  <c r="Z466" i="56"/>
  <c r="AC466" i="56"/>
  <c r="AE466" i="56"/>
  <c r="AO466" i="56"/>
  <c r="AQ466" i="56"/>
  <c r="AS466" i="56"/>
  <c r="AR466" i="56"/>
  <c r="U467" i="56"/>
  <c r="V467" i="56"/>
  <c r="W467" i="56"/>
  <c r="X467" i="56"/>
  <c r="AA467" i="56"/>
  <c r="Y467" i="56"/>
  <c r="Z467" i="56"/>
  <c r="AC467" i="56"/>
  <c r="AG467" i="56"/>
  <c r="AE467" i="56"/>
  <c r="AO467" i="56"/>
  <c r="AQ467" i="56"/>
  <c r="AS467" i="56"/>
  <c r="AR467" i="56"/>
  <c r="U468" i="56"/>
  <c r="V468" i="56"/>
  <c r="W468" i="56"/>
  <c r="X468" i="56"/>
  <c r="AA468" i="56" s="1"/>
  <c r="AB468" i="56"/>
  <c r="Y468" i="56"/>
  <c r="Z468" i="56"/>
  <c r="AC468" i="56"/>
  <c r="AE468" i="56"/>
  <c r="AO468" i="56"/>
  <c r="AQ468" i="56"/>
  <c r="AS468" i="56" s="1"/>
  <c r="AR468" i="56"/>
  <c r="U469" i="56"/>
  <c r="V469" i="56"/>
  <c r="W469" i="56"/>
  <c r="X469" i="56"/>
  <c r="AB469" i="56"/>
  <c r="Y469" i="56"/>
  <c r="Z469" i="56"/>
  <c r="AC469" i="56"/>
  <c r="AG469" i="56"/>
  <c r="AE469" i="56"/>
  <c r="AO469" i="56"/>
  <c r="AQ469" i="56"/>
  <c r="AR469" i="56"/>
  <c r="AS469" i="56"/>
  <c r="U470" i="56"/>
  <c r="V470" i="56"/>
  <c r="W470" i="56"/>
  <c r="X470" i="56"/>
  <c r="Y470" i="56"/>
  <c r="Z470" i="56"/>
  <c r="AC470" i="56"/>
  <c r="AJ470" i="56"/>
  <c r="AE470" i="56"/>
  <c r="AO470" i="56"/>
  <c r="AQ470" i="56"/>
  <c r="AR470" i="56"/>
  <c r="U471" i="56"/>
  <c r="V471" i="56"/>
  <c r="W471" i="56"/>
  <c r="X471" i="56"/>
  <c r="Y471" i="56"/>
  <c r="Z471" i="56"/>
  <c r="AC471" i="56"/>
  <c r="AE471" i="56"/>
  <c r="AO471" i="56"/>
  <c r="AQ471" i="56"/>
  <c r="AR471" i="56"/>
  <c r="AS471" i="56" s="1"/>
  <c r="U472" i="56"/>
  <c r="V472" i="56"/>
  <c r="W472" i="56"/>
  <c r="X472" i="56"/>
  <c r="AA472" i="56"/>
  <c r="Y472" i="56"/>
  <c r="Z472" i="56"/>
  <c r="AC472" i="56"/>
  <c r="AE472" i="56"/>
  <c r="AO472" i="56"/>
  <c r="AQ472" i="56"/>
  <c r="AS472" i="56" s="1"/>
  <c r="AR472" i="56"/>
  <c r="U473" i="56"/>
  <c r="V473" i="56"/>
  <c r="W473" i="56"/>
  <c r="X473" i="56"/>
  <c r="Y473" i="56"/>
  <c r="Z473" i="56"/>
  <c r="AC473" i="56"/>
  <c r="AE473" i="56"/>
  <c r="AO473" i="56"/>
  <c r="AQ473" i="56"/>
  <c r="AR473" i="56"/>
  <c r="U474" i="56"/>
  <c r="V474" i="56"/>
  <c r="W474" i="56"/>
  <c r="X474" i="56"/>
  <c r="Y474" i="56"/>
  <c r="Z474" i="56"/>
  <c r="AC474" i="56"/>
  <c r="AE474" i="56"/>
  <c r="AO474" i="56"/>
  <c r="AQ474" i="56"/>
  <c r="AR474" i="56"/>
  <c r="U475" i="56"/>
  <c r="V475" i="56"/>
  <c r="W475" i="56"/>
  <c r="X475" i="56"/>
  <c r="AB475" i="56" s="1"/>
  <c r="AL475" i="56" s="1"/>
  <c r="Y475" i="56"/>
  <c r="Z475" i="56"/>
  <c r="AC475" i="56"/>
  <c r="AE475" i="56"/>
  <c r="AO475" i="56"/>
  <c r="AQ475" i="56"/>
  <c r="AS475" i="56" s="1"/>
  <c r="AR475" i="56"/>
  <c r="U476" i="56"/>
  <c r="V476" i="56"/>
  <c r="W476" i="56"/>
  <c r="X476" i="56"/>
  <c r="Y476" i="56"/>
  <c r="Z476" i="56"/>
  <c r="AC476" i="56"/>
  <c r="AE476" i="56"/>
  <c r="AO476" i="56"/>
  <c r="AQ476" i="56"/>
  <c r="AR476" i="56"/>
  <c r="U477" i="56"/>
  <c r="V477" i="56"/>
  <c r="W477" i="56"/>
  <c r="X477" i="56"/>
  <c r="Y477" i="56"/>
  <c r="Z477" i="56"/>
  <c r="AC477" i="56"/>
  <c r="AE477" i="56"/>
  <c r="AO477" i="56"/>
  <c r="AQ477" i="56"/>
  <c r="AR477" i="56"/>
  <c r="U478" i="56"/>
  <c r="V478" i="56"/>
  <c r="AF478" i="56" s="1"/>
  <c r="W478" i="56"/>
  <c r="X478" i="56"/>
  <c r="Y478" i="56"/>
  <c r="Z478" i="56"/>
  <c r="AC478" i="56"/>
  <c r="AJ478" i="56"/>
  <c r="AG478" i="56"/>
  <c r="AE478" i="56"/>
  <c r="AO478" i="56"/>
  <c r="AQ478" i="56"/>
  <c r="AS478" i="56"/>
  <c r="AR478" i="56"/>
  <c r="U479" i="56"/>
  <c r="V479" i="56"/>
  <c r="W479" i="56"/>
  <c r="X479" i="56"/>
  <c r="Y479" i="56"/>
  <c r="Z479" i="56"/>
  <c r="AC479" i="56"/>
  <c r="AE479" i="56"/>
  <c r="AO479" i="56"/>
  <c r="AQ479" i="56"/>
  <c r="AR479" i="56"/>
  <c r="U480" i="56"/>
  <c r="V480" i="56"/>
  <c r="W480" i="56"/>
  <c r="X480" i="56"/>
  <c r="Y480" i="56"/>
  <c r="Z480" i="56"/>
  <c r="AC480" i="56"/>
  <c r="AE480" i="56"/>
  <c r="AO480" i="56"/>
  <c r="AQ480" i="56"/>
  <c r="AR480" i="56"/>
  <c r="AS480" i="56" s="1"/>
  <c r="U481" i="56"/>
  <c r="V481" i="56"/>
  <c r="W481" i="56"/>
  <c r="X481" i="56"/>
  <c r="Y481" i="56"/>
  <c r="Z481" i="56"/>
  <c r="AC481" i="56"/>
  <c r="AE481" i="56"/>
  <c r="AO481" i="56"/>
  <c r="AQ481" i="56"/>
  <c r="AR481" i="56"/>
  <c r="U482" i="56"/>
  <c r="V482" i="56"/>
  <c r="W482" i="56"/>
  <c r="X482" i="56"/>
  <c r="Y482" i="56"/>
  <c r="Z482" i="56"/>
  <c r="AC482" i="56"/>
  <c r="AE482" i="56"/>
  <c r="AO482" i="56"/>
  <c r="AQ482" i="56"/>
  <c r="AR482" i="56"/>
  <c r="U483" i="56"/>
  <c r="V483" i="56"/>
  <c r="W483" i="56"/>
  <c r="X483" i="56"/>
  <c r="Y483" i="56"/>
  <c r="Z483" i="56"/>
  <c r="AC483" i="56"/>
  <c r="AJ483" i="56" s="1"/>
  <c r="AG483" i="56"/>
  <c r="AE483" i="56"/>
  <c r="AO483" i="56"/>
  <c r="AQ483" i="56"/>
  <c r="AR483" i="56"/>
  <c r="U484" i="56"/>
  <c r="V484" i="56"/>
  <c r="AF484" i="56" s="1"/>
  <c r="W484" i="56"/>
  <c r="X484" i="56"/>
  <c r="AB484" i="56" s="1"/>
  <c r="Y484" i="56"/>
  <c r="Z484" i="56"/>
  <c r="AC484" i="56"/>
  <c r="AJ484" i="56" s="1"/>
  <c r="AE484" i="56"/>
  <c r="AO484" i="56"/>
  <c r="AQ484" i="56"/>
  <c r="AS484" i="56" s="1"/>
  <c r="AR484" i="56"/>
  <c r="U485" i="56"/>
  <c r="V485" i="56"/>
  <c r="W485" i="56"/>
  <c r="X485" i="56"/>
  <c r="AA485" i="56"/>
  <c r="Y485" i="56"/>
  <c r="Z485" i="56"/>
  <c r="AC485" i="56"/>
  <c r="AE485" i="56"/>
  <c r="AO485" i="56"/>
  <c r="AQ485" i="56"/>
  <c r="AR485" i="56"/>
  <c r="AS485" i="56" s="1"/>
  <c r="U486" i="56"/>
  <c r="V486" i="56"/>
  <c r="W486" i="56"/>
  <c r="X486" i="56"/>
  <c r="Y486" i="56"/>
  <c r="Z486" i="56"/>
  <c r="AC486" i="56"/>
  <c r="AE486" i="56"/>
  <c r="AO486" i="56"/>
  <c r="AQ486" i="56"/>
  <c r="AS486" i="56" s="1"/>
  <c r="AR486" i="56"/>
  <c r="U487" i="56"/>
  <c r="V487" i="56"/>
  <c r="W487" i="56"/>
  <c r="X487" i="56"/>
  <c r="AB487" i="56" s="1"/>
  <c r="Y487" i="56"/>
  <c r="Z487" i="56"/>
  <c r="AC487" i="56"/>
  <c r="AE487" i="56"/>
  <c r="AO487" i="56"/>
  <c r="AQ487" i="56"/>
  <c r="AR487" i="56"/>
  <c r="U488" i="56"/>
  <c r="V488" i="56"/>
  <c r="W488" i="56"/>
  <c r="X488" i="56"/>
  <c r="Y488" i="56"/>
  <c r="Z488" i="56"/>
  <c r="AC488" i="56"/>
  <c r="AG488" i="56"/>
  <c r="AE488" i="56"/>
  <c r="AO488" i="56"/>
  <c r="AQ488" i="56"/>
  <c r="AR488" i="56"/>
  <c r="U489" i="56"/>
  <c r="V489" i="56"/>
  <c r="W489" i="56"/>
  <c r="X489" i="56"/>
  <c r="Y489" i="56"/>
  <c r="Z489" i="56"/>
  <c r="AC489" i="56"/>
  <c r="AE489" i="56"/>
  <c r="AO489" i="56"/>
  <c r="AQ489" i="56"/>
  <c r="AS489" i="56" s="1"/>
  <c r="AR489" i="56"/>
  <c r="U490" i="56"/>
  <c r="V490" i="56"/>
  <c r="W490" i="56"/>
  <c r="X490" i="56"/>
  <c r="AB490" i="56"/>
  <c r="AF490" i="56"/>
  <c r="Y490" i="56"/>
  <c r="Z490" i="56"/>
  <c r="AC490" i="56"/>
  <c r="AE490" i="56"/>
  <c r="AO490" i="56"/>
  <c r="AQ490" i="56"/>
  <c r="AR490" i="56"/>
  <c r="U491" i="56"/>
  <c r="V491" i="56"/>
  <c r="W491" i="56"/>
  <c r="X491" i="56"/>
  <c r="AA491" i="56"/>
  <c r="AB491" i="56"/>
  <c r="Y491" i="56"/>
  <c r="Z491" i="56"/>
  <c r="AC491" i="56"/>
  <c r="AG491" i="56" s="1"/>
  <c r="AE491" i="56"/>
  <c r="AO491" i="56"/>
  <c r="AQ491" i="56"/>
  <c r="AS491" i="56"/>
  <c r="AR491" i="56"/>
  <c r="U492" i="56"/>
  <c r="V492" i="56"/>
  <c r="W492" i="56"/>
  <c r="X492" i="56"/>
  <c r="AB492" i="56" s="1"/>
  <c r="AL492" i="56" s="1"/>
  <c r="Y492" i="56"/>
  <c r="Z492" i="56"/>
  <c r="AC492" i="56"/>
  <c r="AE492" i="56"/>
  <c r="AO492" i="56"/>
  <c r="AQ492" i="56"/>
  <c r="AR492" i="56"/>
  <c r="U493" i="56"/>
  <c r="V493" i="56"/>
  <c r="W493" i="56"/>
  <c r="X493" i="56"/>
  <c r="Y493" i="56"/>
  <c r="Z493" i="56"/>
  <c r="AC493" i="56"/>
  <c r="AE493" i="56"/>
  <c r="AO493" i="56"/>
  <c r="AQ493" i="56"/>
  <c r="AR493" i="56"/>
  <c r="AS493" i="56" s="1"/>
  <c r="U494" i="56"/>
  <c r="V494" i="56"/>
  <c r="W494" i="56"/>
  <c r="X494" i="56"/>
  <c r="AB494" i="56" s="1"/>
  <c r="AL494" i="56"/>
  <c r="Y494" i="56"/>
  <c r="Z494" i="56"/>
  <c r="AC494" i="56"/>
  <c r="AE494" i="56"/>
  <c r="AO494" i="56"/>
  <c r="AQ494" i="56"/>
  <c r="AS494" i="56" s="1"/>
  <c r="AR494" i="56"/>
  <c r="U495" i="56"/>
  <c r="V495" i="56"/>
  <c r="W495" i="56"/>
  <c r="X495" i="56"/>
  <c r="Y495" i="56"/>
  <c r="Z495" i="56"/>
  <c r="AC495" i="56"/>
  <c r="AG495" i="56"/>
  <c r="AE495" i="56"/>
  <c r="AO495" i="56"/>
  <c r="AQ495" i="56"/>
  <c r="AS495" i="56" s="1"/>
  <c r="AR495" i="56"/>
  <c r="U496" i="56"/>
  <c r="V496" i="56"/>
  <c r="W496" i="56"/>
  <c r="X496" i="56"/>
  <c r="AA496" i="56" s="1"/>
  <c r="Y496" i="56"/>
  <c r="Z496" i="56"/>
  <c r="AC496" i="56"/>
  <c r="AE496" i="56"/>
  <c r="AO496" i="56"/>
  <c r="AQ496" i="56"/>
  <c r="AS496" i="56"/>
  <c r="AR496" i="56"/>
  <c r="U497" i="56"/>
  <c r="V497" i="56"/>
  <c r="W497" i="56"/>
  <c r="X497" i="56"/>
  <c r="AB497" i="56" s="1"/>
  <c r="Y497" i="56"/>
  <c r="Z497" i="56"/>
  <c r="AC497" i="56"/>
  <c r="AG497" i="56" s="1"/>
  <c r="AE497" i="56"/>
  <c r="AO497" i="56"/>
  <c r="AQ497" i="56"/>
  <c r="AR497" i="56"/>
  <c r="U498" i="56"/>
  <c r="V498" i="56"/>
  <c r="W498" i="56"/>
  <c r="X498" i="56"/>
  <c r="Y498" i="56"/>
  <c r="Z498" i="56"/>
  <c r="AC498" i="56"/>
  <c r="AE498" i="56"/>
  <c r="AO498" i="56"/>
  <c r="AQ498" i="56"/>
  <c r="AR498" i="56"/>
  <c r="AS498" i="56" s="1"/>
  <c r="U499" i="56"/>
  <c r="V499" i="56"/>
  <c r="AF499" i="56" s="1"/>
  <c r="W499" i="56"/>
  <c r="X499" i="56"/>
  <c r="AB499" i="56"/>
  <c r="Y499" i="56"/>
  <c r="Z499" i="56"/>
  <c r="AC499" i="56"/>
  <c r="AJ499" i="56" s="1"/>
  <c r="AG499" i="56"/>
  <c r="AE499" i="56"/>
  <c r="AO499" i="56"/>
  <c r="AQ499" i="56"/>
  <c r="AS499" i="56" s="1"/>
  <c r="AR499" i="56"/>
  <c r="U500" i="56"/>
  <c r="V500" i="56"/>
  <c r="W500" i="56"/>
  <c r="X500" i="56"/>
  <c r="Y500" i="56"/>
  <c r="Z500" i="56"/>
  <c r="AC500" i="56"/>
  <c r="AJ500" i="56"/>
  <c r="AE500" i="56"/>
  <c r="AO500" i="56"/>
  <c r="AQ500" i="56"/>
  <c r="AS500" i="56" s="1"/>
  <c r="AR500" i="56"/>
  <c r="U501" i="56"/>
  <c r="V501" i="56"/>
  <c r="W501" i="56"/>
  <c r="X501" i="56"/>
  <c r="Y501" i="56"/>
  <c r="Z501" i="56"/>
  <c r="AC501" i="56"/>
  <c r="AE501" i="56"/>
  <c r="AO501" i="56"/>
  <c r="AQ501" i="56"/>
  <c r="AR501" i="56"/>
  <c r="AS501" i="56" s="1"/>
  <c r="U502" i="56"/>
  <c r="V502" i="56"/>
  <c r="W502" i="56"/>
  <c r="X502" i="56"/>
  <c r="AA502" i="56"/>
  <c r="Y502" i="56"/>
  <c r="Z502" i="56"/>
  <c r="AC502" i="56"/>
  <c r="AE502" i="56"/>
  <c r="AO502" i="56"/>
  <c r="AQ502" i="56"/>
  <c r="AR502" i="56"/>
  <c r="U503" i="56"/>
  <c r="V503" i="56"/>
  <c r="W503" i="56"/>
  <c r="X503" i="56"/>
  <c r="Y503" i="56"/>
  <c r="Z503" i="56"/>
  <c r="AC503" i="56"/>
  <c r="AE503" i="56"/>
  <c r="AO503" i="56"/>
  <c r="AQ503" i="56"/>
  <c r="AR503" i="56"/>
  <c r="U504" i="56"/>
  <c r="V504" i="56"/>
  <c r="W504" i="56"/>
  <c r="X504" i="56"/>
  <c r="Y504" i="56"/>
  <c r="Z504" i="56"/>
  <c r="AC504" i="56"/>
  <c r="AE504" i="56"/>
  <c r="AO504" i="56"/>
  <c r="AQ504" i="56"/>
  <c r="AS504" i="56"/>
  <c r="AR504" i="56"/>
  <c r="U505" i="56"/>
  <c r="V505" i="56"/>
  <c r="W505" i="56"/>
  <c r="X505" i="56"/>
  <c r="Y505" i="56"/>
  <c r="Z505" i="56"/>
  <c r="AC505" i="56"/>
  <c r="AG505" i="56"/>
  <c r="AE505" i="56"/>
  <c r="AO505" i="56"/>
  <c r="AQ505" i="56"/>
  <c r="AS505" i="56" s="1"/>
  <c r="AR505" i="56"/>
  <c r="U506" i="56"/>
  <c r="V506" i="56"/>
  <c r="W506" i="56"/>
  <c r="X506" i="56"/>
  <c r="AB506" i="56"/>
  <c r="Y506" i="56"/>
  <c r="Z506" i="56"/>
  <c r="AC506" i="56"/>
  <c r="AE506" i="56"/>
  <c r="AO506" i="56"/>
  <c r="AQ506" i="56"/>
  <c r="AR506" i="56"/>
  <c r="U507" i="56"/>
  <c r="V507" i="56"/>
  <c r="W507" i="56"/>
  <c r="X507" i="56"/>
  <c r="AA507" i="56"/>
  <c r="Y507" i="56"/>
  <c r="Z507" i="56"/>
  <c r="AC507" i="56"/>
  <c r="AG507" i="56"/>
  <c r="AJ507" i="56"/>
  <c r="AE507" i="56"/>
  <c r="AO507" i="56"/>
  <c r="AQ507" i="56"/>
  <c r="AS507" i="56"/>
  <c r="AR507" i="56"/>
  <c r="U508" i="56"/>
  <c r="V508" i="56"/>
  <c r="W508" i="56"/>
  <c r="X508" i="56"/>
  <c r="AA508" i="56" s="1"/>
  <c r="Y508" i="56"/>
  <c r="Z508" i="56"/>
  <c r="AC508" i="56"/>
  <c r="AE508" i="56"/>
  <c r="AO508" i="56"/>
  <c r="AQ508" i="56"/>
  <c r="AR508" i="56"/>
  <c r="AS508" i="56"/>
  <c r="U509" i="56"/>
  <c r="V509" i="56"/>
  <c r="W509" i="56"/>
  <c r="X509" i="56"/>
  <c r="Y509" i="56"/>
  <c r="Z509" i="56"/>
  <c r="AC509" i="56"/>
  <c r="AE509" i="56"/>
  <c r="AO509" i="56"/>
  <c r="AQ509" i="56"/>
  <c r="AR509" i="56"/>
  <c r="U510" i="56"/>
  <c r="V510" i="56"/>
  <c r="W510" i="56"/>
  <c r="X510" i="56"/>
  <c r="Y510" i="56"/>
  <c r="Z510" i="56"/>
  <c r="AC510" i="56"/>
  <c r="AE510" i="56"/>
  <c r="AO510" i="56"/>
  <c r="AQ510" i="56"/>
  <c r="AR510" i="56"/>
  <c r="AS510" i="56" s="1"/>
  <c r="U511" i="56"/>
  <c r="V511" i="56"/>
  <c r="W511" i="56"/>
  <c r="X511" i="56"/>
  <c r="AB511" i="56" s="1"/>
  <c r="Y511" i="56"/>
  <c r="Z511" i="56"/>
  <c r="AC511" i="56"/>
  <c r="AJ511" i="56"/>
  <c r="AE511" i="56"/>
  <c r="AO511" i="56"/>
  <c r="AQ511" i="56"/>
  <c r="AR511" i="56"/>
  <c r="AS511" i="56" s="1"/>
  <c r="U512" i="56"/>
  <c r="V512" i="56"/>
  <c r="W512" i="56"/>
  <c r="X512" i="56"/>
  <c r="AB512" i="56"/>
  <c r="Y512" i="56"/>
  <c r="Z512" i="56"/>
  <c r="AC512" i="56"/>
  <c r="AJ512" i="56" s="1"/>
  <c r="AE512" i="56"/>
  <c r="AO512" i="56"/>
  <c r="AQ512" i="56"/>
  <c r="AR512" i="56"/>
  <c r="U513" i="56"/>
  <c r="V513" i="56"/>
  <c r="AF513" i="56" s="1"/>
  <c r="W513" i="56"/>
  <c r="X513" i="56"/>
  <c r="AA513" i="56"/>
  <c r="Y513" i="56"/>
  <c r="Z513" i="56"/>
  <c r="AC513" i="56"/>
  <c r="AE513" i="56"/>
  <c r="AO513" i="56"/>
  <c r="AQ513" i="56"/>
  <c r="AR513" i="56"/>
  <c r="U514" i="56"/>
  <c r="V514" i="56"/>
  <c r="W514" i="56"/>
  <c r="X514" i="56"/>
  <c r="Y514" i="56"/>
  <c r="Z514" i="56"/>
  <c r="AC514" i="56"/>
  <c r="AG514" i="56"/>
  <c r="AE514" i="56"/>
  <c r="AO514" i="56"/>
  <c r="AQ514" i="56"/>
  <c r="AR514" i="56"/>
  <c r="U515" i="56"/>
  <c r="V515" i="56"/>
  <c r="W515" i="56"/>
  <c r="X515" i="56"/>
  <c r="Y515" i="56"/>
  <c r="Z515" i="56"/>
  <c r="AC515" i="56"/>
  <c r="AJ515" i="56"/>
  <c r="AE515" i="56"/>
  <c r="AO515" i="56"/>
  <c r="AQ515" i="56"/>
  <c r="AS515" i="56"/>
  <c r="AR515" i="56"/>
  <c r="I18" i="55"/>
  <c r="I19" i="55"/>
  <c r="I24" i="55"/>
  <c r="AB384" i="56"/>
  <c r="AA384" i="56"/>
  <c r="AM380" i="56"/>
  <c r="AA380" i="56"/>
  <c r="AG373" i="56"/>
  <c r="AJ393" i="56"/>
  <c r="AG365" i="56"/>
  <c r="AA333" i="56"/>
  <c r="AG303" i="56"/>
  <c r="AJ303" i="56"/>
  <c r="AG262" i="56"/>
  <c r="AJ505" i="56"/>
  <c r="AB452" i="56"/>
  <c r="AG300" i="56"/>
  <c r="AG276" i="56"/>
  <c r="AJ271" i="56"/>
  <c r="AG271" i="56"/>
  <c r="AA153" i="56"/>
  <c r="AB153" i="56"/>
  <c r="AA75" i="56"/>
  <c r="AE75" i="56" s="1"/>
  <c r="AB403" i="56"/>
  <c r="AA403" i="56"/>
  <c r="AG348" i="56"/>
  <c r="AA343" i="56"/>
  <c r="AB343" i="56"/>
  <c r="AB119" i="56"/>
  <c r="AA368" i="56"/>
  <c r="AA356" i="56"/>
  <c r="AB356" i="56"/>
  <c r="AG354" i="56"/>
  <c r="AB178" i="56"/>
  <c r="AI178" i="56" s="1"/>
  <c r="AJ514" i="56"/>
  <c r="AG406" i="56"/>
  <c r="AJ406" i="56"/>
  <c r="AA80" i="56"/>
  <c r="AJ394" i="56"/>
  <c r="AA363" i="56"/>
  <c r="AG244" i="56"/>
  <c r="AB90" i="56"/>
  <c r="AM90" i="56" s="1"/>
  <c r="AB100" i="56"/>
  <c r="AS488" i="56"/>
  <c r="AS309" i="56"/>
  <c r="AB347" i="56"/>
  <c r="AB281" i="56"/>
  <c r="AA281" i="56"/>
  <c r="AB68" i="56"/>
  <c r="AM68" i="56" s="1"/>
  <c r="AS290" i="56"/>
  <c r="AS272" i="56"/>
  <c r="AA131" i="56"/>
  <c r="AA55" i="56"/>
  <c r="AE55" i="56" s="1"/>
  <c r="AG252" i="56"/>
  <c r="AA395" i="56"/>
  <c r="AG432" i="56"/>
  <c r="AJ432" i="56"/>
  <c r="AB113" i="56"/>
  <c r="AI113" i="56" s="1"/>
  <c r="AB457" i="56"/>
  <c r="AL457" i="56" s="1"/>
  <c r="AA457" i="56"/>
  <c r="AG500" i="56"/>
  <c r="AB496" i="56"/>
  <c r="AJ385" i="56"/>
  <c r="AJ415" i="56"/>
  <c r="AB513" i="56"/>
  <c r="AJ419" i="56"/>
  <c r="AG349" i="56"/>
  <c r="AJ349" i="56"/>
  <c r="AJ358" i="56"/>
  <c r="AJ350" i="56"/>
  <c r="AG326" i="56"/>
  <c r="AA286" i="56"/>
  <c r="AB286" i="56"/>
  <c r="AA242" i="56"/>
  <c r="AE242" i="56" s="1"/>
  <c r="AB467" i="56"/>
  <c r="AM467" i="56" s="1"/>
  <c r="AJ449" i="56"/>
  <c r="AA408" i="56"/>
  <c r="AB344" i="56"/>
  <c r="AJ430" i="56"/>
  <c r="AB243" i="56"/>
  <c r="AB179" i="56"/>
  <c r="AA179" i="56"/>
  <c r="AA499" i="56"/>
  <c r="AL439" i="56"/>
  <c r="AA439" i="56"/>
  <c r="AJ491" i="56"/>
  <c r="AG325" i="56"/>
  <c r="AJ248" i="56"/>
  <c r="AG248" i="56"/>
  <c r="AB180" i="56"/>
  <c r="AJ460" i="56"/>
  <c r="AA447" i="56"/>
  <c r="AB409" i="56"/>
  <c r="AJ405" i="56"/>
  <c r="AJ402" i="56"/>
  <c r="AG402" i="56"/>
  <c r="AA377" i="56"/>
  <c r="AA321" i="56"/>
  <c r="AB305" i="56"/>
  <c r="AA305" i="56"/>
  <c r="AB444" i="56"/>
  <c r="AA444" i="56"/>
  <c r="AJ407" i="56"/>
  <c r="AB397" i="56"/>
  <c r="AB387" i="56"/>
  <c r="AB167" i="56"/>
  <c r="AA167" i="56"/>
  <c r="AE167" i="56" s="1"/>
  <c r="AJ433" i="56"/>
  <c r="AA308" i="56"/>
  <c r="AJ497" i="56"/>
  <c r="AJ299" i="56"/>
  <c r="AB296" i="56"/>
  <c r="AA296" i="56"/>
  <c r="AG293" i="56"/>
  <c r="AG278" i="56"/>
  <c r="AS405" i="56"/>
  <c r="AG344" i="56"/>
  <c r="AJ344" i="56"/>
  <c r="AG279" i="56"/>
  <c r="AJ279" i="56"/>
  <c r="AA234" i="56"/>
  <c r="AB109" i="56"/>
  <c r="AJ102" i="56"/>
  <c r="AM94" i="56"/>
  <c r="AB77" i="56"/>
  <c r="AE31" i="56"/>
  <c r="AB31" i="56"/>
  <c r="AM31" i="56" s="1"/>
  <c r="AG330" i="56"/>
  <c r="AA294" i="56"/>
  <c r="AB123" i="56"/>
  <c r="AA123" i="56"/>
  <c r="AE123" i="56" s="1"/>
  <c r="AS381" i="56"/>
  <c r="AA256" i="56"/>
  <c r="AB244" i="56"/>
  <c r="AA244" i="56"/>
  <c r="AA186" i="56"/>
  <c r="AE186" i="56" s="1"/>
  <c r="AB186" i="56"/>
  <c r="AA331" i="56"/>
  <c r="AA279" i="56"/>
  <c r="AG263" i="56"/>
  <c r="AA239" i="56"/>
  <c r="AB203" i="56"/>
  <c r="AA203" i="56"/>
  <c r="AE203" i="56" s="1"/>
  <c r="AB199" i="56"/>
  <c r="AM199" i="56" s="1"/>
  <c r="AB163" i="56"/>
  <c r="AA136" i="56"/>
  <c r="AE136" i="56" s="1"/>
  <c r="AA195" i="56"/>
  <c r="AE195" i="56" s="1"/>
  <c r="AB319" i="56"/>
  <c r="AB144" i="56"/>
  <c r="AF144" i="56" s="1"/>
  <c r="AP144" i="56" s="1"/>
  <c r="AB143" i="56"/>
  <c r="AN143" i="56" s="1"/>
  <c r="AA22" i="56"/>
  <c r="AG310" i="56"/>
  <c r="AJ310" i="56"/>
  <c r="AA176" i="56"/>
  <c r="AE176" i="56" s="1"/>
  <c r="AA24" i="56"/>
  <c r="AA226" i="56"/>
  <c r="AE226" i="56" s="1"/>
  <c r="AF226" i="56"/>
  <c r="AE35" i="56"/>
  <c r="AS281" i="56"/>
  <c r="AS243" i="56"/>
  <c r="AA224" i="56"/>
  <c r="AB224" i="56"/>
  <c r="AL224" i="56" s="1"/>
  <c r="AA207" i="56"/>
  <c r="AB152" i="56"/>
  <c r="AB39" i="56"/>
  <c r="AA61" i="56"/>
  <c r="AE61" i="56" s="1"/>
  <c r="AB61" i="56"/>
  <c r="AS176" i="56"/>
  <c r="AA115" i="56"/>
  <c r="AE115" i="56" s="1"/>
  <c r="AB64" i="56"/>
  <c r="AI64" i="56" s="1"/>
  <c r="AG509" i="56"/>
  <c r="AJ509" i="56"/>
  <c r="AJ438" i="56"/>
  <c r="AA394" i="56"/>
  <c r="AJ362" i="56"/>
  <c r="AA442" i="56"/>
  <c r="AJ464" i="56"/>
  <c r="AG306" i="56"/>
  <c r="AJ469" i="56"/>
  <c r="AJ421" i="56"/>
  <c r="AG421" i="56"/>
  <c r="AB360" i="56"/>
  <c r="AJ427" i="56"/>
  <c r="AG379" i="56"/>
  <c r="AS261" i="56"/>
  <c r="AJ425" i="56"/>
  <c r="AG425" i="56"/>
  <c r="AJ334" i="56"/>
  <c r="AG334" i="56"/>
  <c r="AS449" i="56"/>
  <c r="AG359" i="56"/>
  <c r="AJ359" i="56"/>
  <c r="AA335" i="56"/>
  <c r="AB335" i="56"/>
  <c r="AJ275" i="56"/>
  <c r="AG275" i="56"/>
  <c r="AG260" i="56"/>
  <c r="AB367" i="56"/>
  <c r="AL367" i="56" s="1"/>
  <c r="AJ345" i="56"/>
  <c r="AG513" i="56"/>
  <c r="AJ513" i="56"/>
  <c r="AJ495" i="56"/>
  <c r="AJ428" i="56"/>
  <c r="AI408" i="56"/>
  <c r="AI368" i="56"/>
  <c r="AB354" i="56"/>
  <c r="AG471" i="56"/>
  <c r="AJ471" i="56"/>
  <c r="AG413" i="56"/>
  <c r="AG511" i="56"/>
  <c r="AG456" i="56"/>
  <c r="AJ448" i="56"/>
  <c r="AG448" i="56"/>
  <c r="AA313" i="56"/>
  <c r="AB291" i="56"/>
  <c r="AG380" i="56"/>
  <c r="AG447" i="56"/>
  <c r="AJ447" i="56"/>
  <c r="AS392" i="56"/>
  <c r="AB225" i="56"/>
  <c r="AN225" i="56" s="1"/>
  <c r="AB253" i="56"/>
  <c r="AJ353" i="56"/>
  <c r="AJ338" i="56"/>
  <c r="AG338" i="56"/>
  <c r="AJ320" i="56"/>
  <c r="AG320" i="56"/>
  <c r="AG297" i="56"/>
  <c r="AJ297" i="56"/>
  <c r="AJ288" i="56"/>
  <c r="AA280" i="56"/>
  <c r="AB280" i="56"/>
  <c r="AM280" i="56" s="1"/>
  <c r="AA315" i="56"/>
  <c r="AB315" i="56"/>
  <c r="AF315" i="56"/>
  <c r="AB298" i="56"/>
  <c r="AL273" i="56"/>
  <c r="AI273" i="56"/>
  <c r="AG337" i="56"/>
  <c r="AJ337" i="56"/>
  <c r="AG290" i="56"/>
  <c r="AJ313" i="56"/>
  <c r="AB254" i="56"/>
  <c r="AI254" i="56"/>
  <c r="AG249" i="56"/>
  <c r="AA150" i="56"/>
  <c r="AE150" i="56" s="1"/>
  <c r="AB150" i="56"/>
  <c r="AL150" i="56" s="1"/>
  <c r="AJ328" i="56"/>
  <c r="AJ267" i="56"/>
  <c r="AB251" i="56"/>
  <c r="AF251" i="56" s="1"/>
  <c r="AA251" i="56"/>
  <c r="AA233" i="56"/>
  <c r="AG329" i="56"/>
  <c r="AJ329" i="56"/>
  <c r="AG304" i="56"/>
  <c r="AG282" i="56"/>
  <c r="AJ282" i="56"/>
  <c r="AG274" i="56"/>
  <c r="AJ274" i="56"/>
  <c r="AS270" i="56"/>
  <c r="AJ281" i="56"/>
  <c r="AI244" i="56"/>
  <c r="AJ164" i="56"/>
  <c r="AB141" i="56"/>
  <c r="AM141" i="56" s="1"/>
  <c r="AB82" i="56"/>
  <c r="AB74" i="56"/>
  <c r="AB56" i="56"/>
  <c r="AM56" i="56" s="1"/>
  <c r="AA114" i="56"/>
  <c r="AE114" i="56" s="1"/>
  <c r="AJ166" i="56"/>
  <c r="AB86" i="56"/>
  <c r="AM86" i="56" s="1"/>
  <c r="AN94" i="56"/>
  <c r="AA62" i="56"/>
  <c r="AE62" i="56" s="1"/>
  <c r="AB112" i="56"/>
  <c r="AM106" i="56"/>
  <c r="AB84" i="56"/>
  <c r="AE32" i="56"/>
  <c r="AB85" i="56"/>
  <c r="AF308" i="56"/>
  <c r="AN380" i="56"/>
  <c r="AL244" i="56"/>
  <c r="AM244" i="56"/>
  <c r="AL313" i="56"/>
  <c r="AN313" i="56"/>
  <c r="AI348" i="56"/>
  <c r="AN348" i="56"/>
  <c r="AL394" i="56"/>
  <c r="AM394" i="56"/>
  <c r="AN394" i="56"/>
  <c r="AI233" i="56"/>
  <c r="AA18" i="56"/>
  <c r="AE18" i="56"/>
  <c r="AH33" i="61"/>
  <c r="AH31" i="61"/>
  <c r="AH21" i="61"/>
  <c r="AH18" i="61"/>
  <c r="AH22" i="61"/>
  <c r="AE24" i="56"/>
  <c r="AE22" i="56"/>
  <c r="AM231" i="61"/>
  <c r="AM504" i="61"/>
  <c r="AE485" i="61"/>
  <c r="AD485" i="61"/>
  <c r="AJ391" i="61"/>
  <c r="AD490" i="61"/>
  <c r="AE490" i="61"/>
  <c r="AE460" i="61"/>
  <c r="AJ507" i="61"/>
  <c r="AD462" i="61"/>
  <c r="AE120" i="61"/>
  <c r="AI120" i="61" s="1"/>
  <c r="AS120" i="61" s="1"/>
  <c r="AD120" i="61"/>
  <c r="AJ515" i="61"/>
  <c r="AE514" i="61"/>
  <c r="AD508" i="61"/>
  <c r="AE508" i="61"/>
  <c r="AQ508" i="61" s="1"/>
  <c r="AM472" i="61"/>
  <c r="AD468" i="61"/>
  <c r="AE468" i="61"/>
  <c r="AQ468" i="61" s="1"/>
  <c r="AM505" i="61"/>
  <c r="AJ497" i="61"/>
  <c r="AM474" i="61"/>
  <c r="AD232" i="61"/>
  <c r="AE232" i="61"/>
  <c r="AJ396" i="61"/>
  <c r="AM186" i="61"/>
  <c r="AJ186" i="61"/>
  <c r="AE234" i="61"/>
  <c r="AD234" i="61"/>
  <c r="AJ513" i="61"/>
  <c r="AM487" i="61"/>
  <c r="AM479" i="61"/>
  <c r="AJ479" i="61"/>
  <c r="AD463" i="61"/>
  <c r="AE463" i="61"/>
  <c r="AO463" i="61" s="1"/>
  <c r="AM449" i="61"/>
  <c r="AM413" i="61"/>
  <c r="AD346" i="61"/>
  <c r="AE346" i="61"/>
  <c r="AJ301" i="61"/>
  <c r="AE280" i="61"/>
  <c r="AI280" i="61" s="1"/>
  <c r="AJ490" i="61"/>
  <c r="AM490" i="61"/>
  <c r="AD488" i="61"/>
  <c r="AE488" i="61"/>
  <c r="AP488" i="61"/>
  <c r="AJ451" i="61"/>
  <c r="AM451" i="61"/>
  <c r="AJ437" i="61"/>
  <c r="AJ418" i="61"/>
  <c r="AJ258" i="61"/>
  <c r="AM258" i="61"/>
  <c r="AD498" i="61"/>
  <c r="AE498" i="61"/>
  <c r="AI498" i="61" s="1"/>
  <c r="AJ434" i="61"/>
  <c r="AM434" i="61"/>
  <c r="AE356" i="61"/>
  <c r="AE327" i="61"/>
  <c r="AP327" i="61" s="1"/>
  <c r="AD327" i="61"/>
  <c r="AE218" i="61"/>
  <c r="AD218" i="61"/>
  <c r="AD262" i="61"/>
  <c r="AE262" i="61"/>
  <c r="AD205" i="61"/>
  <c r="AE205" i="61"/>
  <c r="AI205" i="61" s="1"/>
  <c r="AV478" i="61"/>
  <c r="AD426" i="61"/>
  <c r="AE426" i="61"/>
  <c r="AQ426" i="61" s="1"/>
  <c r="AD364" i="61"/>
  <c r="AE364" i="61"/>
  <c r="AP364" i="61" s="1"/>
  <c r="AM293" i="61"/>
  <c r="AJ293" i="61"/>
  <c r="AM257" i="61"/>
  <c r="AJ257" i="61"/>
  <c r="AV492" i="61"/>
  <c r="AJ453" i="61"/>
  <c r="AD296" i="61"/>
  <c r="AE296" i="61"/>
  <c r="AP296" i="61" s="1"/>
  <c r="AJ282" i="61"/>
  <c r="AM282" i="61"/>
  <c r="AE252" i="61"/>
  <c r="AI252" i="61" s="1"/>
  <c r="AJ251" i="61"/>
  <c r="AM251" i="61"/>
  <c r="AE454" i="61"/>
  <c r="AI454" i="61" s="1"/>
  <c r="AJ432" i="61"/>
  <c r="AM432" i="61"/>
  <c r="AE431" i="61"/>
  <c r="AE359" i="61"/>
  <c r="AP359" i="61" s="1"/>
  <c r="AM253" i="61"/>
  <c r="AJ253" i="61"/>
  <c r="AM229" i="61"/>
  <c r="AJ229" i="61"/>
  <c r="AM498" i="61"/>
  <c r="AV434" i="61"/>
  <c r="AM401" i="61"/>
  <c r="AM369" i="61"/>
  <c r="AJ347" i="61"/>
  <c r="AJ448" i="61"/>
  <c r="AM448" i="61"/>
  <c r="AM421" i="61"/>
  <c r="AO411" i="61"/>
  <c r="AD402" i="61"/>
  <c r="AD400" i="61"/>
  <c r="AE400" i="61"/>
  <c r="AI400" i="61" s="1"/>
  <c r="AD383" i="61"/>
  <c r="AD374" i="61"/>
  <c r="AE374" i="61"/>
  <c r="AM333" i="61"/>
  <c r="AJ333" i="61"/>
  <c r="AD277" i="61"/>
  <c r="AJ158" i="61"/>
  <c r="AM158" i="61"/>
  <c r="AL156" i="61"/>
  <c r="AO156" i="61"/>
  <c r="AP156" i="61"/>
  <c r="AD150" i="61"/>
  <c r="AE150" i="61"/>
  <c r="AJ429" i="61"/>
  <c r="AV426" i="61"/>
  <c r="AJ424" i="61"/>
  <c r="AJ379" i="61"/>
  <c r="AM378" i="61"/>
  <c r="AJ240" i="61"/>
  <c r="AM240" i="61"/>
  <c r="AP402" i="61"/>
  <c r="AO402" i="61"/>
  <c r="AO383" i="61"/>
  <c r="AQ383" i="61"/>
  <c r="AI383" i="61"/>
  <c r="AS383" i="61"/>
  <c r="AP383" i="61"/>
  <c r="AJ337" i="61"/>
  <c r="AM337" i="61"/>
  <c r="AL333" i="61"/>
  <c r="AD333" i="61"/>
  <c r="AJ296" i="61"/>
  <c r="AM296" i="61"/>
  <c r="AJ272" i="61"/>
  <c r="AM272" i="61"/>
  <c r="AJ442" i="61"/>
  <c r="AM442" i="61"/>
  <c r="AD413" i="61"/>
  <c r="AD336" i="61"/>
  <c r="AE336" i="61"/>
  <c r="AD328" i="61"/>
  <c r="AL312" i="61"/>
  <c r="AO267" i="61"/>
  <c r="AQ267" i="61"/>
  <c r="AL267" i="61"/>
  <c r="AP267" i="61"/>
  <c r="AE231" i="61"/>
  <c r="AQ231" i="61"/>
  <c r="AD231" i="61"/>
  <c r="AE180" i="61"/>
  <c r="AD180" i="61"/>
  <c r="AJ456" i="61"/>
  <c r="AD432" i="61"/>
  <c r="AE432" i="61"/>
  <c r="AD424" i="61"/>
  <c r="AJ341" i="61"/>
  <c r="AM341" i="61"/>
  <c r="AJ338" i="61"/>
  <c r="AE295" i="61"/>
  <c r="AL295" i="61" s="1"/>
  <c r="AD295" i="61"/>
  <c r="AE279" i="61"/>
  <c r="AD279" i="61"/>
  <c r="AD260" i="61"/>
  <c r="AV250" i="61"/>
  <c r="AJ241" i="61"/>
  <c r="AM241" i="61"/>
  <c r="AE210" i="61"/>
  <c r="AP210" i="61" s="1"/>
  <c r="AD210" i="61"/>
  <c r="AE177" i="61"/>
  <c r="AL177" i="61" s="1"/>
  <c r="AD177" i="61"/>
  <c r="AQ417" i="61"/>
  <c r="AJ386" i="61"/>
  <c r="AM386" i="61"/>
  <c r="AV364" i="61"/>
  <c r="AE354" i="61"/>
  <c r="AQ354" i="61" s="1"/>
  <c r="AE311" i="61"/>
  <c r="AD311" i="61"/>
  <c r="AE285" i="61"/>
  <c r="AP285" i="61"/>
  <c r="AD269" i="61"/>
  <c r="AE229" i="61"/>
  <c r="AM214" i="61"/>
  <c r="AJ214" i="61"/>
  <c r="AE72" i="61"/>
  <c r="AD72" i="61"/>
  <c r="AH72" i="61" s="1"/>
  <c r="AJ461" i="61"/>
  <c r="AJ440" i="61"/>
  <c r="AM365" i="61"/>
  <c r="AM320" i="61"/>
  <c r="AE308" i="61"/>
  <c r="AI308" i="61" s="1"/>
  <c r="AD308" i="61"/>
  <c r="AJ248" i="61"/>
  <c r="AM248" i="61"/>
  <c r="AE245" i="61"/>
  <c r="AD245" i="61"/>
  <c r="AE147" i="61"/>
  <c r="AE324" i="61"/>
  <c r="AD322" i="61"/>
  <c r="AE322" i="61"/>
  <c r="AM315" i="61"/>
  <c r="AJ315" i="61"/>
  <c r="AE221" i="61"/>
  <c r="AD221" i="61"/>
  <c r="AJ208" i="61"/>
  <c r="AM208" i="61"/>
  <c r="AE163" i="61"/>
  <c r="AD163" i="61"/>
  <c r="AE155" i="61"/>
  <c r="AQ155" i="61" s="1"/>
  <c r="AD155" i="61"/>
  <c r="AJ73" i="61"/>
  <c r="AM73" i="61"/>
  <c r="AD348" i="61"/>
  <c r="AE348" i="61"/>
  <c r="AD342" i="61"/>
  <c r="AE342" i="61"/>
  <c r="AJ330" i="61"/>
  <c r="AM330" i="61"/>
  <c r="AJ328" i="61"/>
  <c r="AM328" i="61"/>
  <c r="AV308" i="61"/>
  <c r="AJ299" i="61"/>
  <c r="AJ291" i="61"/>
  <c r="AJ280" i="61"/>
  <c r="AM274" i="61"/>
  <c r="AE271" i="61"/>
  <c r="AD271" i="61"/>
  <c r="AE268" i="61"/>
  <c r="AD268" i="61"/>
  <c r="AE247" i="61"/>
  <c r="AJ218" i="61"/>
  <c r="AJ202" i="61"/>
  <c r="AM325" i="61"/>
  <c r="AJ325" i="61"/>
  <c r="AP303" i="61"/>
  <c r="AL303" i="61"/>
  <c r="AJ298" i="61"/>
  <c r="AM298" i="61"/>
  <c r="AJ290" i="61"/>
  <c r="AM290" i="61"/>
  <c r="AE287" i="61"/>
  <c r="AD287" i="61"/>
  <c r="AD272" i="61"/>
  <c r="AE237" i="61"/>
  <c r="AO237" i="61" s="1"/>
  <c r="AD237" i="61"/>
  <c r="AI339" i="61"/>
  <c r="AJ279" i="61"/>
  <c r="AJ271" i="61"/>
  <c r="AE226" i="61"/>
  <c r="AD219" i="61"/>
  <c r="AJ206" i="61"/>
  <c r="AJ197" i="61"/>
  <c r="AM197" i="61"/>
  <c r="AE165" i="61"/>
  <c r="AO165" i="61" s="1"/>
  <c r="AD165" i="61"/>
  <c r="AD142" i="61"/>
  <c r="AE142" i="61"/>
  <c r="AV138" i="61"/>
  <c r="AD131" i="61"/>
  <c r="AD123" i="61"/>
  <c r="AE123" i="61"/>
  <c r="AP123" i="61"/>
  <c r="AE261" i="61"/>
  <c r="AO261" i="61"/>
  <c r="AD261" i="61"/>
  <c r="AD227" i="61"/>
  <c r="AE227" i="61"/>
  <c r="AL227" i="61"/>
  <c r="AE223" i="61"/>
  <c r="AD223" i="61"/>
  <c r="AE220" i="61"/>
  <c r="AD220" i="61"/>
  <c r="AD213" i="61"/>
  <c r="AE213" i="61"/>
  <c r="AE202" i="61"/>
  <c r="AD202" i="61"/>
  <c r="AJ200" i="61"/>
  <c r="AM200" i="61"/>
  <c r="AJ177" i="61"/>
  <c r="AM177" i="61"/>
  <c r="AD152" i="61"/>
  <c r="AE152" i="61"/>
  <c r="AO152" i="61" s="1"/>
  <c r="AE93" i="61"/>
  <c r="AD93" i="61"/>
  <c r="AM79" i="61"/>
  <c r="AJ79" i="61"/>
  <c r="AM335" i="61"/>
  <c r="AJ335" i="61"/>
  <c r="AV276" i="61"/>
  <c r="AJ75" i="61"/>
  <c r="AM75" i="61"/>
  <c r="AV223" i="61"/>
  <c r="AE204" i="61"/>
  <c r="AO204" i="61" s="1"/>
  <c r="AD204" i="61"/>
  <c r="AM194" i="61"/>
  <c r="AJ194" i="61"/>
  <c r="AJ89" i="61"/>
  <c r="AM89" i="61"/>
  <c r="AJ88" i="61"/>
  <c r="AM88" i="61"/>
  <c r="AV278" i="61"/>
  <c r="AV260" i="61"/>
  <c r="AV236" i="61"/>
  <c r="AE196" i="61"/>
  <c r="AO196" i="61" s="1"/>
  <c r="AI196" i="61"/>
  <c r="AD196" i="61"/>
  <c r="AD179" i="61"/>
  <c r="AE179" i="61"/>
  <c r="AL179" i="61" s="1"/>
  <c r="AD162" i="61"/>
  <c r="AM149" i="61"/>
  <c r="AJ149" i="61"/>
  <c r="AJ136" i="61"/>
  <c r="AM136" i="61"/>
  <c r="AD115" i="61"/>
  <c r="AE115" i="61"/>
  <c r="AJ205" i="61"/>
  <c r="AM205" i="61"/>
  <c r="AD197" i="61"/>
  <c r="AE197" i="61"/>
  <c r="AD175" i="61"/>
  <c r="AE175" i="61"/>
  <c r="AL175" i="61" s="1"/>
  <c r="AJ163" i="61"/>
  <c r="AJ96" i="61"/>
  <c r="AM96" i="61"/>
  <c r="AJ221" i="61"/>
  <c r="AM221" i="61"/>
  <c r="AV220" i="61"/>
  <c r="AJ213" i="61"/>
  <c r="AM213" i="61"/>
  <c r="AJ188" i="61"/>
  <c r="AM188" i="61"/>
  <c r="AD184" i="61"/>
  <c r="AE184" i="61"/>
  <c r="AQ184" i="61" s="1"/>
  <c r="AV145" i="61"/>
  <c r="AE107" i="61"/>
  <c r="AD107" i="61"/>
  <c r="AJ95" i="61"/>
  <c r="AM95" i="61"/>
  <c r="AD174" i="61"/>
  <c r="AM166" i="61"/>
  <c r="AE164" i="61"/>
  <c r="AI164" i="61" s="1"/>
  <c r="AJ110" i="61"/>
  <c r="AM110" i="61"/>
  <c r="AM141" i="61"/>
  <c r="AJ141" i="61"/>
  <c r="AM124" i="61"/>
  <c r="AJ124" i="61"/>
  <c r="AM107" i="61"/>
  <c r="AJ107" i="61"/>
  <c r="AJ102" i="61"/>
  <c r="AM102" i="61"/>
  <c r="AD101" i="61"/>
  <c r="AJ80" i="61"/>
  <c r="AM80" i="61"/>
  <c r="AE77" i="61"/>
  <c r="AO77" i="61" s="1"/>
  <c r="AD77" i="61"/>
  <c r="AE133" i="61"/>
  <c r="AP133" i="61" s="1"/>
  <c r="AD133" i="61"/>
  <c r="AD119" i="61"/>
  <c r="AE119" i="61"/>
  <c r="AE110" i="61"/>
  <c r="AD110" i="61"/>
  <c r="AE91" i="61"/>
  <c r="AO91" i="61" s="1"/>
  <c r="AD91" i="61"/>
  <c r="AD149" i="61"/>
  <c r="AE134" i="61"/>
  <c r="AE132" i="61"/>
  <c r="AO132" i="61" s="1"/>
  <c r="AE96" i="61"/>
  <c r="AD39" i="61"/>
  <c r="AH39" i="61" s="1"/>
  <c r="AD36" i="61"/>
  <c r="AH36" i="61" s="1"/>
  <c r="AE36" i="61"/>
  <c r="AE118" i="61"/>
  <c r="AD118" i="61"/>
  <c r="AO99" i="61"/>
  <c r="AP99" i="61"/>
  <c r="AL99" i="61"/>
  <c r="AD80" i="61"/>
  <c r="AE80" i="61"/>
  <c r="AP80" i="61" s="1"/>
  <c r="AE61" i="61"/>
  <c r="AP61" i="61" s="1"/>
  <c r="AM115" i="61"/>
  <c r="AV112" i="61"/>
  <c r="AD94" i="61"/>
  <c r="AE94" i="61"/>
  <c r="AP94" i="61" s="1"/>
  <c r="AD86" i="61"/>
  <c r="AV45" i="61"/>
  <c r="AV117" i="61"/>
  <c r="AD102" i="61"/>
  <c r="AJ86" i="61"/>
  <c r="AM86" i="61"/>
  <c r="AV82" i="61"/>
  <c r="AE66" i="61"/>
  <c r="AD66" i="61"/>
  <c r="AH66" i="61" s="1"/>
  <c r="AE73" i="61"/>
  <c r="AD50" i="61"/>
  <c r="AH50" i="61" s="1"/>
  <c r="AE49" i="61"/>
  <c r="AP49" i="61" s="1"/>
  <c r="AH19" i="61"/>
  <c r="AH25" i="61"/>
  <c r="AV46" i="61"/>
  <c r="AD42" i="61"/>
  <c r="AH42" i="61" s="1"/>
  <c r="AL42" i="61"/>
  <c r="AI367" i="56"/>
  <c r="AA486" i="56"/>
  <c r="AB486" i="56"/>
  <c r="AM486" i="56" s="1"/>
  <c r="AI486" i="56"/>
  <c r="AJ305" i="56"/>
  <c r="AG285" i="56"/>
  <c r="AJ285" i="56"/>
  <c r="AB215" i="56"/>
  <c r="AL215" i="56" s="1"/>
  <c r="AB81" i="56"/>
  <c r="AL81" i="56" s="1"/>
  <c r="AI239" i="56"/>
  <c r="AM513" i="56"/>
  <c r="AJ247" i="56"/>
  <c r="AG247" i="56"/>
  <c r="AI391" i="56"/>
  <c r="AJ339" i="56"/>
  <c r="AG339" i="56"/>
  <c r="AJ245" i="56"/>
  <c r="AB154" i="56"/>
  <c r="AN154" i="56" s="1"/>
  <c r="AI335" i="56"/>
  <c r="AN341" i="56"/>
  <c r="AJ439" i="56"/>
  <c r="AG439" i="56"/>
  <c r="AJ416" i="56"/>
  <c r="AA358" i="56"/>
  <c r="AB358" i="56"/>
  <c r="AF358" i="56"/>
  <c r="AM358" i="56"/>
  <c r="AA258" i="56"/>
  <c r="AB258" i="56"/>
  <c r="AB191" i="56"/>
  <c r="AA191" i="56"/>
  <c r="AE191" i="56" s="1"/>
  <c r="AA310" i="56"/>
  <c r="AJ278" i="56"/>
  <c r="AB271" i="56"/>
  <c r="AF271" i="56"/>
  <c r="AA271" i="56"/>
  <c r="AM243" i="56"/>
  <c r="AN334" i="56"/>
  <c r="AA459" i="56"/>
  <c r="AB459" i="56"/>
  <c r="AL459" i="56" s="1"/>
  <c r="AG316" i="56"/>
  <c r="AJ316" i="56"/>
  <c r="AG498" i="56"/>
  <c r="AJ498" i="56"/>
  <c r="AG371" i="56"/>
  <c r="AJ371" i="56"/>
  <c r="AG515" i="56"/>
  <c r="AL496" i="56"/>
  <c r="AG287" i="56"/>
  <c r="AJ287" i="56"/>
  <c r="AS283" i="56"/>
  <c r="AI492" i="56"/>
  <c r="AA492" i="56"/>
  <c r="AJ488" i="56"/>
  <c r="AG398" i="56"/>
  <c r="AS359" i="56"/>
  <c r="AS414" i="56"/>
  <c r="AB240" i="56"/>
  <c r="AM240" i="56" s="1"/>
  <c r="AA240" i="56"/>
  <c r="AE240" i="56" s="1"/>
  <c r="AS426" i="56"/>
  <c r="AA374" i="56"/>
  <c r="AJ314" i="56"/>
  <c r="AB276" i="56"/>
  <c r="AS244" i="56"/>
  <c r="AB390" i="56"/>
  <c r="AG357" i="56"/>
  <c r="AS339" i="56"/>
  <c r="AS326" i="56"/>
  <c r="AS237" i="56"/>
  <c r="AB165" i="56"/>
  <c r="AA198" i="56"/>
  <c r="AS302" i="56"/>
  <c r="AS227" i="56"/>
  <c r="AF298" i="56"/>
  <c r="AJ255" i="56"/>
  <c r="AG255" i="56"/>
  <c r="AA102" i="56"/>
  <c r="AB67" i="56"/>
  <c r="AL67" i="56" s="1"/>
  <c r="AE19" i="56"/>
  <c r="AI360" i="56"/>
  <c r="AA475" i="56"/>
  <c r="AB463" i="56"/>
  <c r="AF463" i="56" s="1"/>
  <c r="AA463" i="56"/>
  <c r="AA426" i="56"/>
  <c r="AG259" i="56"/>
  <c r="AJ259" i="56"/>
  <c r="AL251" i="56"/>
  <c r="AN206" i="56"/>
  <c r="AI401" i="56"/>
  <c r="AN226" i="56"/>
  <c r="AA487" i="56"/>
  <c r="AJ452" i="56"/>
  <c r="AB376" i="56"/>
  <c r="AA376" i="56"/>
  <c r="AJ372" i="56"/>
  <c r="AA506" i="56"/>
  <c r="AI454" i="56"/>
  <c r="AA406" i="56"/>
  <c r="AB406" i="56"/>
  <c r="AA402" i="56"/>
  <c r="AL402" i="56"/>
  <c r="AG397" i="56"/>
  <c r="AG307" i="56"/>
  <c r="AJ307" i="56"/>
  <c r="AB301" i="56"/>
  <c r="AA301" i="56"/>
  <c r="AA205" i="56"/>
  <c r="AE205" i="56" s="1"/>
  <c r="AB228" i="56"/>
  <c r="AA228" i="56"/>
  <c r="AE228" i="56" s="1"/>
  <c r="AJ418" i="56"/>
  <c r="AG418" i="56"/>
  <c r="AA293" i="56"/>
  <c r="AB293" i="56"/>
  <c r="AL293" i="56" s="1"/>
  <c r="AJ458" i="56"/>
  <c r="AG458" i="56"/>
  <c r="AA263" i="56"/>
  <c r="AG336" i="56"/>
  <c r="AJ336" i="56"/>
  <c r="AA275" i="56"/>
  <c r="AB275" i="56"/>
  <c r="AA300" i="56"/>
  <c r="AB300" i="56"/>
  <c r="AJ269" i="56"/>
  <c r="AG269" i="56"/>
  <c r="AA303" i="56"/>
  <c r="AB168" i="56"/>
  <c r="AM168" i="56" s="1"/>
  <c r="AA110" i="56"/>
  <c r="AE110" i="56" s="1"/>
  <c r="AB507" i="56"/>
  <c r="AB332" i="56"/>
  <c r="AA302" i="56"/>
  <c r="AB302" i="56"/>
  <c r="AI302" i="56" s="1"/>
  <c r="AB160" i="56"/>
  <c r="AS347" i="56"/>
  <c r="AA259" i="56"/>
  <c r="AB127" i="56"/>
  <c r="AL127" i="56" s="1"/>
  <c r="AB41" i="56"/>
  <c r="AB37" i="56"/>
  <c r="AJ286" i="56"/>
  <c r="AJ264" i="56"/>
  <c r="AG246" i="56"/>
  <c r="AE16" i="56"/>
  <c r="AP260" i="61"/>
  <c r="AL260" i="61"/>
  <c r="AO260" i="61"/>
  <c r="AQ260" i="61"/>
  <c r="AO432" i="61"/>
  <c r="AQ285" i="61"/>
  <c r="AQ102" i="61"/>
  <c r="AQ86" i="61"/>
  <c r="AP197" i="61"/>
  <c r="AL162" i="61"/>
  <c r="AI162" i="61"/>
  <c r="AO162" i="61"/>
  <c r="AO327" i="61"/>
  <c r="AO118" i="61"/>
  <c r="AL426" i="61"/>
  <c r="AP131" i="61"/>
  <c r="AL131" i="61"/>
  <c r="AL272" i="61"/>
  <c r="AQ413" i="61"/>
  <c r="AI413" i="61"/>
  <c r="AS413" i="61" s="1"/>
  <c r="AP232" i="61"/>
  <c r="AP179" i="61"/>
  <c r="AQ179" i="61"/>
  <c r="AI324" i="61"/>
  <c r="AO219" i="61"/>
  <c r="AP150" i="61"/>
  <c r="AQ165" i="61"/>
  <c r="AL165" i="61"/>
  <c r="AL234" i="61"/>
  <c r="AI234" i="61"/>
  <c r="AP468" i="61"/>
  <c r="AL468" i="61"/>
  <c r="AI276" i="56"/>
  <c r="AM276" i="56"/>
  <c r="AI358" i="56"/>
  <c r="AN358" i="56"/>
  <c r="AI165" i="56"/>
  <c r="AN507" i="56"/>
  <c r="AF263" i="56"/>
  <c r="AN263" i="56"/>
  <c r="AI332" i="56"/>
  <c r="AM110" i="56"/>
  <c r="AI160" i="56"/>
  <c r="AM303" i="56"/>
  <c r="AM47" i="56"/>
  <c r="AM487" i="56"/>
  <c r="AN426" i="56"/>
  <c r="AL426" i="56"/>
  <c r="AI426" i="56"/>
  <c r="AL506" i="56"/>
  <c r="AI506" i="56"/>
  <c r="AN506" i="56"/>
  <c r="AE31" i="61"/>
  <c r="AD34" i="61"/>
  <c r="AH34" i="61" s="1"/>
  <c r="AE34" i="61"/>
  <c r="AE33" i="61"/>
  <c r="AL35" i="61"/>
  <c r="AD35" i="61"/>
  <c r="AH35" i="61" s="1"/>
  <c r="AL255" i="61"/>
  <c r="AO342" i="61"/>
  <c r="AD255" i="61"/>
  <c r="AE71" i="61"/>
  <c r="AO71" i="61" s="1"/>
  <c r="AD71" i="61"/>
  <c r="AH71" i="61" s="1"/>
  <c r="AO94" i="61"/>
  <c r="AL94" i="61"/>
  <c r="AD253" i="61"/>
  <c r="AE41" i="61"/>
  <c r="AD41" i="61"/>
  <c r="AH41" i="61" s="1"/>
  <c r="AE182" i="61"/>
  <c r="AE28" i="61"/>
  <c r="AD28" i="61"/>
  <c r="AH28" i="61" s="1"/>
  <c r="AJ288" i="61"/>
  <c r="AM288" i="61"/>
  <c r="AJ368" i="61"/>
  <c r="AM368" i="61"/>
  <c r="AE113" i="61"/>
  <c r="AI113" i="61"/>
  <c r="AS113" i="61" s="1"/>
  <c r="AD113" i="61"/>
  <c r="AD92" i="61"/>
  <c r="AE92" i="61"/>
  <c r="AD63" i="61"/>
  <c r="AM179" i="61"/>
  <c r="AJ179" i="61"/>
  <c r="AV35" i="61"/>
  <c r="AP424" i="61"/>
  <c r="AP346" i="61"/>
  <c r="AD405" i="61"/>
  <c r="AE405" i="61"/>
  <c r="AP403" i="61"/>
  <c r="AM277" i="61"/>
  <c r="AJ277" i="61"/>
  <c r="AP263" i="61"/>
  <c r="AD256" i="61"/>
  <c r="AE256" i="61"/>
  <c r="AL253" i="61"/>
  <c r="AO253" i="61"/>
  <c r="AQ253" i="61"/>
  <c r="AJ249" i="61"/>
  <c r="AM249" i="61"/>
  <c r="AJ247" i="61"/>
  <c r="AM247" i="61"/>
  <c r="AJ201" i="61"/>
  <c r="AM201" i="61"/>
  <c r="AD193" i="61"/>
  <c r="AE193" i="61"/>
  <c r="AE127" i="61"/>
  <c r="AD127" i="61"/>
  <c r="AD125" i="61"/>
  <c r="AE125" i="61"/>
  <c r="AM117" i="61"/>
  <c r="AJ117" i="61"/>
  <c r="AM116" i="61"/>
  <c r="AJ116" i="61"/>
  <c r="AE23" i="61"/>
  <c r="AD23" i="61"/>
  <c r="AH23" i="61" s="1"/>
  <c r="AE173" i="61"/>
  <c r="AE84" i="61"/>
  <c r="AD84" i="61"/>
  <c r="AL247" i="61"/>
  <c r="AD398" i="61"/>
  <c r="AE398" i="61"/>
  <c r="AE381" i="61"/>
  <c r="AQ381" i="61"/>
  <c r="AD381" i="61"/>
  <c r="AM367" i="61"/>
  <c r="AJ367" i="61"/>
  <c r="AJ342" i="61"/>
  <c r="AM342" i="61"/>
  <c r="AD334" i="61"/>
  <c r="AE250" i="61"/>
  <c r="AD249" i="61"/>
  <c r="AE249" i="61"/>
  <c r="AV184" i="61"/>
  <c r="AE145" i="61"/>
  <c r="AO145" i="61" s="1"/>
  <c r="AD145" i="61"/>
  <c r="AE144" i="61"/>
  <c r="AD144" i="61"/>
  <c r="AJ99" i="61"/>
  <c r="AM99" i="61"/>
  <c r="AE83" i="61"/>
  <c r="AD83" i="61"/>
  <c r="AD59" i="61"/>
  <c r="AE47" i="61"/>
  <c r="AQ47" i="61" s="1"/>
  <c r="AP253" i="61"/>
  <c r="AQ91" i="61"/>
  <c r="AQ35" i="61"/>
  <c r="AD32" i="61"/>
  <c r="AH32" i="61" s="1"/>
  <c r="AP162" i="61"/>
  <c r="AQ162" i="61"/>
  <c r="AQ219" i="61"/>
  <c r="AP219" i="61"/>
  <c r="AP180" i="61"/>
  <c r="AD319" i="61"/>
  <c r="AE319" i="61"/>
  <c r="AL319" i="61" s="1"/>
  <c r="AE397" i="61"/>
  <c r="AD397" i="61"/>
  <c r="AD377" i="61"/>
  <c r="AE377" i="61"/>
  <c r="AM494" i="61"/>
  <c r="AJ494" i="61"/>
  <c r="AJ492" i="61"/>
  <c r="AM492" i="61"/>
  <c r="AJ417" i="61"/>
  <c r="AI417" i="61"/>
  <c r="AM417" i="61"/>
  <c r="AJ284" i="61"/>
  <c r="AE515" i="61"/>
  <c r="AL515" i="61" s="1"/>
  <c r="AD515" i="61"/>
  <c r="AM496" i="61"/>
  <c r="AJ496" i="61"/>
  <c r="AD294" i="61"/>
  <c r="AE294" i="61"/>
  <c r="AP294" i="61"/>
  <c r="AM215" i="61"/>
  <c r="AD206" i="61"/>
  <c r="AE206" i="61"/>
  <c r="AQ206" i="61" s="1"/>
  <c r="AJ160" i="61"/>
  <c r="AM160" i="61"/>
  <c r="AD464" i="61"/>
  <c r="AD459" i="61"/>
  <c r="AD385" i="61"/>
  <c r="AE385" i="61"/>
  <c r="AQ385" i="61" s="1"/>
  <c r="AE494" i="61"/>
  <c r="AI494" i="61" s="1"/>
  <c r="AS494" i="61" s="1"/>
  <c r="AD494" i="61"/>
  <c r="AE484" i="61"/>
  <c r="AD484" i="61"/>
  <c r="AE474" i="61"/>
  <c r="AD474" i="61"/>
  <c r="AM354" i="61"/>
  <c r="AJ354" i="61"/>
  <c r="AD160" i="61"/>
  <c r="AE160" i="61"/>
  <c r="AP160" i="61" s="1"/>
  <c r="AV97" i="61"/>
  <c r="AM76" i="61"/>
  <c r="AJ76" i="61"/>
  <c r="AV511" i="61"/>
  <c r="AV501" i="61"/>
  <c r="AD470" i="61"/>
  <c r="AV391" i="61"/>
  <c r="AV314" i="61"/>
  <c r="AM196" i="61"/>
  <c r="AJ196" i="61"/>
  <c r="AE446" i="61"/>
  <c r="AD446" i="61"/>
  <c r="AV172" i="61"/>
  <c r="AJ457" i="61"/>
  <c r="AV428" i="61"/>
  <c r="AV424" i="61"/>
  <c r="AV422" i="61"/>
  <c r="AD411" i="61"/>
  <c r="AV386" i="61"/>
  <c r="AM334" i="61"/>
  <c r="AM329" i="61"/>
  <c r="AJ329" i="61"/>
  <c r="AM324" i="61"/>
  <c r="AJ264" i="61"/>
  <c r="AM264" i="61"/>
  <c r="AM226" i="61"/>
  <c r="AV222" i="61"/>
  <c r="AD199" i="61"/>
  <c r="AD198" i="61"/>
  <c r="AE198" i="61"/>
  <c r="AJ468" i="61"/>
  <c r="AM468" i="61"/>
  <c r="AJ380" i="61"/>
  <c r="AD347" i="61"/>
  <c r="AE347" i="61"/>
  <c r="AL347" i="61" s="1"/>
  <c r="AM281" i="61"/>
  <c r="AJ281" i="61"/>
  <c r="AJ235" i="61"/>
  <c r="AM235" i="61"/>
  <c r="AM223" i="61"/>
  <c r="AJ223" i="61"/>
  <c r="AV217" i="61"/>
  <c r="AD212" i="61"/>
  <c r="AE212" i="61"/>
  <c r="AO212" i="61" s="1"/>
  <c r="AV198" i="61"/>
  <c r="AV177" i="61"/>
  <c r="AJ171" i="61"/>
  <c r="AM171" i="61"/>
  <c r="AV167" i="61"/>
  <c r="AV140" i="61"/>
  <c r="AV134" i="61"/>
  <c r="AD74" i="61"/>
  <c r="AE74" i="61"/>
  <c r="AD512" i="61"/>
  <c r="AE512" i="61"/>
  <c r="AV506" i="61"/>
  <c r="AV439" i="61"/>
  <c r="AD373" i="61"/>
  <c r="AE373" i="61"/>
  <c r="AI373" i="61" s="1"/>
  <c r="AJ268" i="61"/>
  <c r="AM268" i="61"/>
  <c r="AM255" i="61"/>
  <c r="AJ255" i="61"/>
  <c r="AV165" i="61"/>
  <c r="AV513" i="61"/>
  <c r="AV498" i="61"/>
  <c r="AJ466" i="61"/>
  <c r="AV432" i="61"/>
  <c r="AJ312" i="61"/>
  <c r="AM312" i="61"/>
  <c r="AE278" i="61"/>
  <c r="AD278" i="61"/>
  <c r="AV251" i="61"/>
  <c r="AD230" i="61"/>
  <c r="AV192" i="61"/>
  <c r="AV152" i="61"/>
  <c r="AJ143" i="61"/>
  <c r="AV479" i="61"/>
  <c r="AV449" i="61"/>
  <c r="AI424" i="61"/>
  <c r="AE362" i="61"/>
  <c r="AD362" i="61"/>
  <c r="AV350" i="61"/>
  <c r="AD242" i="61"/>
  <c r="AE242" i="61"/>
  <c r="AP242" i="61" s="1"/>
  <c r="AV232" i="61"/>
  <c r="AV231" i="61"/>
  <c r="AE185" i="61"/>
  <c r="AD185" i="61"/>
  <c r="AV157" i="61"/>
  <c r="AV106" i="61"/>
  <c r="AV32" i="61"/>
  <c r="AD339" i="61"/>
  <c r="AV328" i="61"/>
  <c r="AM316" i="61"/>
  <c r="AJ307" i="61"/>
  <c r="AJ302" i="61"/>
  <c r="AV287" i="61"/>
  <c r="AV246" i="61"/>
  <c r="AV237" i="61"/>
  <c r="AM217" i="61"/>
  <c r="AV206" i="61"/>
  <c r="AV201" i="61"/>
  <c r="AE178" i="61"/>
  <c r="AI178" i="61" s="1"/>
  <c r="AJ133" i="61"/>
  <c r="AV113" i="61"/>
  <c r="AV150" i="61"/>
  <c r="AV130" i="61"/>
  <c r="AV33" i="61"/>
  <c r="AV361" i="61"/>
  <c r="AV311" i="61"/>
  <c r="AV272" i="61"/>
  <c r="AV218" i="61"/>
  <c r="AV79" i="61"/>
  <c r="AE157" i="61"/>
  <c r="AI157" i="61" s="1"/>
  <c r="AD157" i="61"/>
  <c r="AO123" i="61"/>
  <c r="AJ404" i="61"/>
  <c r="AM404" i="61"/>
  <c r="AJ397" i="61"/>
  <c r="AM392" i="61"/>
  <c r="AJ392" i="61"/>
  <c r="AJ374" i="61"/>
  <c r="AD89" i="61"/>
  <c r="AE20" i="61"/>
  <c r="AQ20" i="61" s="1"/>
  <c r="AD20" i="61"/>
  <c r="AH20" i="61" s="1"/>
  <c r="AD17" i="61"/>
  <c r="AH17" i="61" s="1"/>
  <c r="AE17" i="61"/>
  <c r="AP17" i="61" s="1"/>
  <c r="AM506" i="61"/>
  <c r="AJ506" i="61"/>
  <c r="AE154" i="61"/>
  <c r="AQ154" i="61" s="1"/>
  <c r="AD154" i="61"/>
  <c r="AM82" i="61"/>
  <c r="AJ82" i="61"/>
  <c r="AJ81" i="61"/>
  <c r="AM81" i="61"/>
  <c r="AD408" i="61"/>
  <c r="AE408" i="61"/>
  <c r="AM403" i="61"/>
  <c r="AJ403" i="61"/>
  <c r="AJ343" i="61"/>
  <c r="AM343" i="61"/>
  <c r="AV341" i="61"/>
  <c r="AP102" i="61"/>
  <c r="AL102" i="61"/>
  <c r="AI102" i="61"/>
  <c r="AO102" i="61"/>
  <c r="AQ92" i="61"/>
  <c r="AE85" i="61"/>
  <c r="AL213" i="61"/>
  <c r="AD415" i="61"/>
  <c r="AM363" i="61"/>
  <c r="AJ363" i="61"/>
  <c r="AE344" i="61"/>
  <c r="AD344" i="61"/>
  <c r="AM331" i="61"/>
  <c r="AJ331" i="61"/>
  <c r="AM309" i="61"/>
  <c r="AJ309" i="61"/>
  <c r="AE466" i="61"/>
  <c r="AD466" i="61"/>
  <c r="AJ438" i="61"/>
  <c r="AE429" i="61"/>
  <c r="AD429" i="61"/>
  <c r="AM508" i="61"/>
  <c r="AJ485" i="61"/>
  <c r="AI86" i="61"/>
  <c r="AP333" i="61"/>
  <c r="AO333" i="61"/>
  <c r="AQ333" i="61"/>
  <c r="AL110" i="61"/>
  <c r="AM475" i="61"/>
  <c r="AJ475" i="61"/>
  <c r="AD414" i="61"/>
  <c r="AE414" i="61"/>
  <c r="AJ259" i="61"/>
  <c r="AM259" i="61"/>
  <c r="AE195" i="61"/>
  <c r="AD439" i="61"/>
  <c r="AE439" i="61"/>
  <c r="AO439" i="61" s="1"/>
  <c r="AM483" i="61"/>
  <c r="AJ483" i="61"/>
  <c r="AJ481" i="61"/>
  <c r="AM481" i="61"/>
  <c r="AJ138" i="61"/>
  <c r="AM138" i="61"/>
  <c r="AE109" i="61"/>
  <c r="AP109" i="61" s="1"/>
  <c r="AD109" i="61"/>
  <c r="AO134" i="61"/>
  <c r="AO334" i="61"/>
  <c r="AM405" i="61"/>
  <c r="AJ405" i="61"/>
  <c r="AD284" i="61"/>
  <c r="AE284" i="61"/>
  <c r="AO284" i="61" s="1"/>
  <c r="AE281" i="61"/>
  <c r="AI281" i="61" s="1"/>
  <c r="AS281" i="61" s="1"/>
  <c r="AD281" i="61"/>
  <c r="AJ274" i="61"/>
  <c r="AQ436" i="61"/>
  <c r="AD420" i="61"/>
  <c r="AE420" i="61"/>
  <c r="AM250" i="61"/>
  <c r="AJ250" i="61"/>
  <c r="AD442" i="61"/>
  <c r="AE442" i="61"/>
  <c r="AE427" i="61"/>
  <c r="AO427" i="61" s="1"/>
  <c r="AD427" i="61"/>
  <c r="AE396" i="61"/>
  <c r="AO396" i="61" s="1"/>
  <c r="AD396" i="61"/>
  <c r="AD310" i="61"/>
  <c r="AE310" i="61"/>
  <c r="AO310" i="61" s="1"/>
  <c r="AJ237" i="61"/>
  <c r="AJ185" i="61"/>
  <c r="AM185" i="61"/>
  <c r="AE489" i="61"/>
  <c r="AO489" i="61" s="1"/>
  <c r="AD489" i="61"/>
  <c r="AD416" i="61"/>
  <c r="AE416" i="61"/>
  <c r="AO416" i="61" s="1"/>
  <c r="AD302" i="61"/>
  <c r="AE302" i="61"/>
  <c r="AL302" i="61" s="1"/>
  <c r="AM267" i="61"/>
  <c r="AJ267" i="61"/>
  <c r="AJ246" i="61"/>
  <c r="AM246" i="61"/>
  <c r="AJ216" i="61"/>
  <c r="AM216" i="61"/>
  <c r="AD355" i="61"/>
  <c r="AE355" i="61"/>
  <c r="AO355" i="61" s="1"/>
  <c r="AE240" i="61"/>
  <c r="AD240" i="61"/>
  <c r="AD151" i="61"/>
  <c r="AE151" i="61"/>
  <c r="AI151" i="61" s="1"/>
  <c r="AS151" i="61" s="1"/>
  <c r="AM134" i="61"/>
  <c r="AJ134" i="61"/>
  <c r="AD95" i="61"/>
  <c r="AE95" i="61"/>
  <c r="AL95" i="61" s="1"/>
  <c r="AD38" i="61"/>
  <c r="AH38" i="61" s="1"/>
  <c r="AE506" i="61"/>
  <c r="AD506" i="61"/>
  <c r="AM470" i="61"/>
  <c r="AJ470" i="61"/>
  <c r="AD425" i="61"/>
  <c r="AJ422" i="61"/>
  <c r="AE299" i="61"/>
  <c r="AI299" i="61" s="1"/>
  <c r="AD299" i="61"/>
  <c r="AM125" i="61"/>
  <c r="AJ125" i="61"/>
  <c r="AE117" i="61"/>
  <c r="AV471" i="61"/>
  <c r="AJ431" i="61"/>
  <c r="AM431" i="61"/>
  <c r="AJ398" i="61"/>
  <c r="AJ357" i="61"/>
  <c r="AM306" i="61"/>
  <c r="AJ306" i="61"/>
  <c r="AV505" i="61"/>
  <c r="AV371" i="61"/>
  <c r="AV339" i="61"/>
  <c r="AJ336" i="61"/>
  <c r="AM336" i="61"/>
  <c r="AE217" i="61"/>
  <c r="AD217" i="61"/>
  <c r="AE203" i="61"/>
  <c r="AI203" i="61" s="1"/>
  <c r="AD203" i="61"/>
  <c r="AE186" i="61"/>
  <c r="AI186" i="61" s="1"/>
  <c r="AD186" i="61"/>
  <c r="AJ106" i="61"/>
  <c r="AM106" i="61"/>
  <c r="AV64" i="61"/>
  <c r="AD46" i="61"/>
  <c r="AH46" i="61" s="1"/>
  <c r="AE46" i="61"/>
  <c r="AJ499" i="61"/>
  <c r="AE478" i="61"/>
  <c r="AO478" i="61" s="1"/>
  <c r="AQ461" i="61"/>
  <c r="AL461" i="61"/>
  <c r="AE437" i="61"/>
  <c r="AQ437" i="61" s="1"/>
  <c r="AD437" i="61"/>
  <c r="AJ430" i="61"/>
  <c r="AM430" i="61"/>
  <c r="AJ409" i="61"/>
  <c r="AM409" i="61"/>
  <c r="AV381" i="61"/>
  <c r="AV370" i="61"/>
  <c r="AM352" i="61"/>
  <c r="AJ340" i="61"/>
  <c r="AM340" i="61"/>
  <c r="AE258" i="61"/>
  <c r="AL258" i="61" s="1"/>
  <c r="AD258" i="61"/>
  <c r="AD257" i="61"/>
  <c r="AE257" i="61"/>
  <c r="AE251" i="61"/>
  <c r="AD251" i="61"/>
  <c r="AJ187" i="61"/>
  <c r="AM187" i="61"/>
  <c r="AM181" i="61"/>
  <c r="AJ130" i="61"/>
  <c r="AM130" i="61"/>
  <c r="AM111" i="61"/>
  <c r="AJ111" i="61"/>
  <c r="AJ101" i="61"/>
  <c r="AM101" i="61"/>
  <c r="AV427" i="61"/>
  <c r="AJ300" i="61"/>
  <c r="AE241" i="61"/>
  <c r="AQ241" i="61" s="1"/>
  <c r="AD241" i="61"/>
  <c r="AJ190" i="61"/>
  <c r="AM190" i="61"/>
  <c r="AV73" i="61"/>
  <c r="AV510" i="61"/>
  <c r="AV468" i="61"/>
  <c r="AV406" i="61"/>
  <c r="AD365" i="61"/>
  <c r="AE365" i="61"/>
  <c r="AD337" i="61"/>
  <c r="AE337" i="61"/>
  <c r="AL337" i="61" s="1"/>
  <c r="AE325" i="61"/>
  <c r="AL325" i="61" s="1"/>
  <c r="AD307" i="61"/>
  <c r="AE307" i="61"/>
  <c r="AO307" i="61" s="1"/>
  <c r="AD290" i="61"/>
  <c r="AE290" i="61"/>
  <c r="AJ262" i="61"/>
  <c r="AM262" i="61"/>
  <c r="AV188" i="61"/>
  <c r="AJ168" i="61"/>
  <c r="AM168" i="61"/>
  <c r="AJ90" i="61"/>
  <c r="AM90" i="61"/>
  <c r="AV83" i="61"/>
  <c r="AD62" i="61"/>
  <c r="AH62" i="61" s="1"/>
  <c r="AE62" i="61"/>
  <c r="AP62" i="61" s="1"/>
  <c r="AV490" i="61"/>
  <c r="AJ460" i="61"/>
  <c r="AM460" i="61"/>
  <c r="AV446" i="61"/>
  <c r="AV443" i="61"/>
  <c r="AE422" i="61"/>
  <c r="AP422" i="61" s="1"/>
  <c r="AD422" i="61"/>
  <c r="AM370" i="61"/>
  <c r="AE369" i="61"/>
  <c r="AD369" i="61"/>
  <c r="AE341" i="61"/>
  <c r="AD341" i="61"/>
  <c r="AJ319" i="61"/>
  <c r="AD273" i="61"/>
  <c r="AE273" i="61"/>
  <c r="AL273" i="61" s="1"/>
  <c r="AM260" i="61"/>
  <c r="AV219" i="61"/>
  <c r="AV207" i="61"/>
  <c r="AD207" i="61"/>
  <c r="AE207" i="61"/>
  <c r="AM204" i="61"/>
  <c r="AD146" i="61"/>
  <c r="AE146" i="61"/>
  <c r="AJ118" i="61"/>
  <c r="AM118" i="61"/>
  <c r="AV51" i="61"/>
  <c r="AM464" i="61"/>
  <c r="AJ464" i="61"/>
  <c r="AV411" i="61"/>
  <c r="AE382" i="61"/>
  <c r="AQ382" i="61" s="1"/>
  <c r="AD382" i="61"/>
  <c r="AD297" i="61"/>
  <c r="AE297" i="61"/>
  <c r="AE236" i="61"/>
  <c r="AP236" i="61" s="1"/>
  <c r="AD236" i="61"/>
  <c r="AJ234" i="61"/>
  <c r="AM234" i="61"/>
  <c r="AV190" i="61"/>
  <c r="AV181" i="61"/>
  <c r="AE168" i="61"/>
  <c r="AQ168" i="61" s="1"/>
  <c r="AD168" i="61"/>
  <c r="AD105" i="61"/>
  <c r="AE105" i="61"/>
  <c r="AQ105" i="61" s="1"/>
  <c r="AV365" i="61"/>
  <c r="AV354" i="61"/>
  <c r="AV299" i="61"/>
  <c r="AJ294" i="61"/>
  <c r="AM294" i="61"/>
  <c r="AE282" i="61"/>
  <c r="AD282" i="61"/>
  <c r="AV275" i="61"/>
  <c r="AV257" i="61"/>
  <c r="AV213" i="61"/>
  <c r="AJ175" i="61"/>
  <c r="AM175" i="61"/>
  <c r="AV154" i="61"/>
  <c r="AV142" i="61"/>
  <c r="AE141" i="61"/>
  <c r="AO141" i="61" s="1"/>
  <c r="AD141" i="61"/>
  <c r="AM128" i="61"/>
  <c r="AJ128" i="61"/>
  <c r="AM84" i="61"/>
  <c r="AJ84" i="61"/>
  <c r="AV77" i="61"/>
  <c r="AE51" i="61"/>
  <c r="AL51" i="61" s="1"/>
  <c r="AD51" i="61"/>
  <c r="AH51" i="61" s="1"/>
  <c r="AV30" i="61"/>
  <c r="AV338" i="61"/>
  <c r="AD329" i="61"/>
  <c r="AE329" i="61"/>
  <c r="AP329" i="61" s="1"/>
  <c r="AD312" i="61"/>
  <c r="AV285" i="61"/>
  <c r="AV215" i="61"/>
  <c r="AD201" i="61"/>
  <c r="AE201" i="61"/>
  <c r="AV187" i="61"/>
  <c r="AD170" i="61"/>
  <c r="AD129" i="61"/>
  <c r="AE129" i="61"/>
  <c r="AV105" i="61"/>
  <c r="AV102" i="61"/>
  <c r="AV86" i="61"/>
  <c r="AV81" i="61"/>
  <c r="AM317" i="61"/>
  <c r="AJ317" i="61"/>
  <c r="AE314" i="61"/>
  <c r="AO314" i="61" s="1"/>
  <c r="AD314" i="61"/>
  <c r="AE266" i="61"/>
  <c r="AO266" i="61" s="1"/>
  <c r="AD266" i="61"/>
  <c r="AE254" i="61"/>
  <c r="AD254" i="61"/>
  <c r="AE239" i="61"/>
  <c r="AD239" i="61"/>
  <c r="AV146" i="61"/>
  <c r="AV128" i="61"/>
  <c r="AV127" i="61"/>
  <c r="AM113" i="61"/>
  <c r="AV57" i="61"/>
  <c r="AV352" i="61"/>
  <c r="AV327" i="61"/>
  <c r="AV324" i="61"/>
  <c r="AV301" i="61"/>
  <c r="AJ270" i="61"/>
  <c r="AM270" i="61"/>
  <c r="AV234" i="61"/>
  <c r="AV205" i="61"/>
  <c r="AV199" i="61"/>
  <c r="AD183" i="61"/>
  <c r="AE183" i="61"/>
  <c r="AP183" i="61" s="1"/>
  <c r="AV122" i="61"/>
  <c r="AD100" i="61"/>
  <c r="AE100" i="61"/>
  <c r="AV60" i="61"/>
  <c r="AV430" i="61"/>
  <c r="AV375" i="61"/>
  <c r="AV316" i="61"/>
  <c r="AV258" i="61"/>
  <c r="AM238" i="61"/>
  <c r="AV233" i="61"/>
  <c r="AJ212" i="61"/>
  <c r="AM212" i="61"/>
  <c r="AV155" i="61"/>
  <c r="AV131" i="61"/>
  <c r="AV103" i="61"/>
  <c r="AV99" i="61"/>
  <c r="AE69" i="61"/>
  <c r="AP69" i="61" s="1"/>
  <c r="AD69" i="61"/>
  <c r="AH69" i="61" s="1"/>
  <c r="AV214" i="61"/>
  <c r="AV159" i="61"/>
  <c r="AI149" i="61"/>
  <c r="AS149" i="61" s="1"/>
  <c r="AV139" i="61"/>
  <c r="AV115" i="61"/>
  <c r="AV53" i="61"/>
  <c r="AV50" i="61"/>
  <c r="AV469" i="61"/>
  <c r="AI436" i="61"/>
  <c r="AV418" i="61"/>
  <c r="AV396" i="61"/>
  <c r="AV380" i="61"/>
  <c r="AV367" i="61"/>
  <c r="AV319" i="61"/>
  <c r="AV312" i="61"/>
  <c r="AV304" i="61"/>
  <c r="AV247" i="61"/>
  <c r="AV200" i="61"/>
  <c r="AV197" i="61"/>
  <c r="AV174" i="61"/>
  <c r="AV123" i="61"/>
  <c r="AV101" i="61"/>
  <c r="AV96" i="61"/>
  <c r="AV92" i="61"/>
  <c r="AV89" i="61"/>
  <c r="AV74" i="61"/>
  <c r="AV59" i="61"/>
  <c r="AS328" i="61"/>
  <c r="AO328" i="61"/>
  <c r="AL328" i="61"/>
  <c r="AM100" i="61"/>
  <c r="AI237" i="61"/>
  <c r="AS237" i="61" s="1"/>
  <c r="AP50" i="61"/>
  <c r="AQ50" i="61"/>
  <c r="AL50" i="61"/>
  <c r="AM436" i="61"/>
  <c r="AM429" i="61"/>
  <c r="AJ242" i="61"/>
  <c r="AM242" i="61"/>
  <c r="AI50" i="61"/>
  <c r="AS50" i="61" s="1"/>
  <c r="AL277" i="61"/>
  <c r="AP93" i="61"/>
  <c r="AO205" i="61"/>
  <c r="AM510" i="61"/>
  <c r="AJ510" i="61"/>
  <c r="AM469" i="61"/>
  <c r="AJ469" i="61"/>
  <c r="AE380" i="61"/>
  <c r="AO380" i="61" s="1"/>
  <c r="AD380" i="61"/>
  <c r="AM358" i="61"/>
  <c r="AJ358" i="61"/>
  <c r="AD507" i="61"/>
  <c r="AQ115" i="61"/>
  <c r="AI277" i="61"/>
  <c r="AI302" i="61"/>
  <c r="AS302" i="61" s="1"/>
  <c r="AQ93" i="61"/>
  <c r="AL431" i="61"/>
  <c r="AO101" i="61"/>
  <c r="AI101" i="61"/>
  <c r="AQ101" i="61"/>
  <c r="AP101" i="61"/>
  <c r="AM471" i="61"/>
  <c r="AJ471" i="61"/>
  <c r="AM244" i="61"/>
  <c r="AJ244" i="61"/>
  <c r="AQ242" i="61"/>
  <c r="AJ184" i="61"/>
  <c r="AM184" i="61"/>
  <c r="AE499" i="61"/>
  <c r="AD499" i="61"/>
  <c r="AE338" i="61"/>
  <c r="AD338" i="61"/>
  <c r="AJ142" i="61"/>
  <c r="AM142" i="61"/>
  <c r="AD343" i="61"/>
  <c r="AE343" i="61"/>
  <c r="AQ277" i="61"/>
  <c r="AO93" i="61"/>
  <c r="AQ144" i="61"/>
  <c r="AO271" i="61"/>
  <c r="AO508" i="61"/>
  <c r="AP508" i="61"/>
  <c r="AM383" i="61"/>
  <c r="AJ383" i="61"/>
  <c r="AJ372" i="61"/>
  <c r="AM372" i="61"/>
  <c r="AE335" i="61"/>
  <c r="AQ335" i="61" s="1"/>
  <c r="AD335" i="61"/>
  <c r="AD309" i="61"/>
  <c r="AE309" i="61"/>
  <c r="AL309" i="61" s="1"/>
  <c r="AP277" i="61"/>
  <c r="AL93" i="61"/>
  <c r="AO72" i="61"/>
  <c r="AO42" i="61"/>
  <c r="AJ503" i="61"/>
  <c r="AM476" i="61"/>
  <c r="AJ476" i="61"/>
  <c r="AD509" i="61"/>
  <c r="AE509" i="61"/>
  <c r="AD409" i="61"/>
  <c r="AE409" i="61"/>
  <c r="AE361" i="61"/>
  <c r="AL361" i="61" s="1"/>
  <c r="AD361" i="61"/>
  <c r="AM326" i="61"/>
  <c r="AJ326" i="61"/>
  <c r="AJ305" i="61"/>
  <c r="AM305" i="61"/>
  <c r="AE233" i="61"/>
  <c r="AD233" i="61"/>
  <c r="AJ148" i="61"/>
  <c r="AM148" i="61"/>
  <c r="AJ484" i="61"/>
  <c r="AD452" i="61"/>
  <c r="AE452" i="61"/>
  <c r="AO452" i="61" s="1"/>
  <c r="AD350" i="61"/>
  <c r="AE350" i="61"/>
  <c r="AQ350" i="61"/>
  <c r="AJ193" i="61"/>
  <c r="AM193" i="61"/>
  <c r="AE87" i="61"/>
  <c r="AQ87" i="61" s="1"/>
  <c r="AD87" i="61"/>
  <c r="AD75" i="61"/>
  <c r="AE75" i="61"/>
  <c r="AJ74" i="61"/>
  <c r="AM74" i="61"/>
  <c r="AD445" i="61"/>
  <c r="AE445" i="61"/>
  <c r="AJ423" i="61"/>
  <c r="AM423" i="61"/>
  <c r="AJ276" i="61"/>
  <c r="AM276" i="61"/>
  <c r="AL230" i="61"/>
  <c r="AQ230" i="61"/>
  <c r="AP230" i="61"/>
  <c r="AM488" i="61"/>
  <c r="AJ488" i="61"/>
  <c r="AJ486" i="61"/>
  <c r="AM486" i="61"/>
  <c r="AM236" i="61"/>
  <c r="AM182" i="61"/>
  <c r="AJ182" i="61"/>
  <c r="AE116" i="61"/>
  <c r="AL116" i="61" s="1"/>
  <c r="AD116" i="61"/>
  <c r="AD502" i="61"/>
  <c r="AE502" i="61"/>
  <c r="AQ502" i="61" s="1"/>
  <c r="AE492" i="61"/>
  <c r="AD492" i="61"/>
  <c r="AM465" i="61"/>
  <c r="AJ465" i="61"/>
  <c r="AE451" i="61"/>
  <c r="AI451" i="61" s="1"/>
  <c r="AD451" i="61"/>
  <c r="AD370" i="61"/>
  <c r="AE370" i="61"/>
  <c r="AJ351" i="61"/>
  <c r="AM351" i="61"/>
  <c r="AM263" i="61"/>
  <c r="AJ263" i="61"/>
  <c r="AD78" i="61"/>
  <c r="AE78" i="61"/>
  <c r="AD458" i="61"/>
  <c r="AE458" i="61"/>
  <c r="AD412" i="61"/>
  <c r="AE412" i="61"/>
  <c r="AO412" i="61" s="1"/>
  <c r="AD399" i="61"/>
  <c r="AE399" i="61"/>
  <c r="AP399" i="61" s="1"/>
  <c r="AL395" i="61"/>
  <c r="AQ395" i="61"/>
  <c r="AJ387" i="61"/>
  <c r="AM387" i="61"/>
  <c r="AJ384" i="61"/>
  <c r="AM374" i="61"/>
  <c r="AD366" i="61"/>
  <c r="AE366" i="61"/>
  <c r="AQ366" i="61" s="1"/>
  <c r="AV322" i="61"/>
  <c r="AD317" i="61"/>
  <c r="AE317" i="61"/>
  <c r="AJ230" i="61"/>
  <c r="AM230" i="61"/>
  <c r="AJ228" i="61"/>
  <c r="AM228" i="61"/>
  <c r="AP225" i="61"/>
  <c r="AQ225" i="61"/>
  <c r="AD194" i="61"/>
  <c r="AE194" i="61"/>
  <c r="AP174" i="61"/>
  <c r="AL174" i="61"/>
  <c r="AQ174" i="61"/>
  <c r="AO174" i="61"/>
  <c r="AL160" i="61"/>
  <c r="AM156" i="61"/>
  <c r="AE43" i="61"/>
  <c r="AL43" i="61" s="1"/>
  <c r="AV460" i="61"/>
  <c r="AD456" i="61"/>
  <c r="AE456" i="61"/>
  <c r="AQ456" i="61" s="1"/>
  <c r="AM439" i="61"/>
  <c r="AJ439" i="61"/>
  <c r="AM433" i="61"/>
  <c r="AJ433" i="61"/>
  <c r="AD379" i="61"/>
  <c r="AE379" i="61"/>
  <c r="AP379" i="61"/>
  <c r="AD320" i="61"/>
  <c r="AM289" i="61"/>
  <c r="AJ289" i="61"/>
  <c r="AJ139" i="61"/>
  <c r="AM139" i="61"/>
  <c r="AL38" i="61"/>
  <c r="AO38" i="61"/>
  <c r="AJ509" i="61"/>
  <c r="AM500" i="61"/>
  <c r="AJ500" i="61"/>
  <c r="AM426" i="61"/>
  <c r="AD387" i="61"/>
  <c r="AE387" i="61"/>
  <c r="AL387" i="61" s="1"/>
  <c r="AM356" i="61"/>
  <c r="AJ297" i="61"/>
  <c r="AM297" i="61"/>
  <c r="AJ292" i="61"/>
  <c r="AM254" i="61"/>
  <c r="AJ252" i="61"/>
  <c r="AM252" i="61"/>
  <c r="AD189" i="61"/>
  <c r="AE189" i="61"/>
  <c r="AI189" i="61"/>
  <c r="AI160" i="61"/>
  <c r="AS160" i="61" s="1"/>
  <c r="AD159" i="61"/>
  <c r="AE159" i="61"/>
  <c r="AQ159" i="61" s="1"/>
  <c r="AM147" i="61"/>
  <c r="AJ147" i="61"/>
  <c r="AE124" i="61"/>
  <c r="AD124" i="61"/>
  <c r="AD57" i="61"/>
  <c r="AH57" i="61" s="1"/>
  <c r="AE57" i="61"/>
  <c r="AM454" i="61"/>
  <c r="AJ454" i="61"/>
  <c r="AE418" i="61"/>
  <c r="AD418" i="61"/>
  <c r="AJ382" i="61"/>
  <c r="AM382" i="61"/>
  <c r="AD332" i="61"/>
  <c r="AE332" i="61"/>
  <c r="AL332" i="61" s="1"/>
  <c r="AL286" i="61"/>
  <c r="AO286" i="61"/>
  <c r="AE270" i="61"/>
  <c r="AI270" i="61" s="1"/>
  <c r="AS270" i="61" s="1"/>
  <c r="AD270" i="61"/>
  <c r="AJ266" i="61"/>
  <c r="AM266" i="61"/>
  <c r="AM243" i="61"/>
  <c r="AJ243" i="61"/>
  <c r="AO225" i="61"/>
  <c r="AJ155" i="61"/>
  <c r="AM155" i="61"/>
  <c r="AD82" i="61"/>
  <c r="AE82" i="61"/>
  <c r="AP82" i="61"/>
  <c r="AD60" i="61"/>
  <c r="AH60" i="61" s="1"/>
  <c r="AI484" i="61"/>
  <c r="AS484" i="61" s="1"/>
  <c r="AD457" i="61"/>
  <c r="AE457" i="61"/>
  <c r="AD417" i="61"/>
  <c r="AD403" i="61"/>
  <c r="AL402" i="61"/>
  <c r="AD395" i="61"/>
  <c r="AE390" i="61"/>
  <c r="AO390" i="61" s="1"/>
  <c r="AD378" i="61"/>
  <c r="AE378" i="61"/>
  <c r="AL378" i="61" s="1"/>
  <c r="AE368" i="61"/>
  <c r="AE248" i="61"/>
  <c r="AD248" i="61"/>
  <c r="AM239" i="61"/>
  <c r="AJ239" i="61"/>
  <c r="AE235" i="61"/>
  <c r="AP235" i="61" s="1"/>
  <c r="AL225" i="61"/>
  <c r="AM224" i="61"/>
  <c r="AJ224" i="61"/>
  <c r="AE222" i="61"/>
  <c r="AE216" i="61"/>
  <c r="AL216" i="61" s="1"/>
  <c r="AD216" i="61"/>
  <c r="AP212" i="61"/>
  <c r="AQ212" i="61"/>
  <c r="AL212" i="61"/>
  <c r="AM191" i="61"/>
  <c r="AJ191" i="61"/>
  <c r="AO190" i="61"/>
  <c r="AQ190" i="61"/>
  <c r="AL190" i="61"/>
  <c r="AP190" i="61"/>
  <c r="AM157" i="61"/>
  <c r="AJ157" i="61"/>
  <c r="AD137" i="61"/>
  <c r="AE137" i="61"/>
  <c r="AM129" i="61"/>
  <c r="AJ129" i="61"/>
  <c r="AV503" i="61"/>
  <c r="AV473" i="61"/>
  <c r="AP461" i="61"/>
  <c r="AV441" i="61"/>
  <c r="AJ428" i="61"/>
  <c r="AM414" i="61"/>
  <c r="AE401" i="61"/>
  <c r="AD401" i="61"/>
  <c r="AJ373" i="61"/>
  <c r="AM373" i="61"/>
  <c r="AV360" i="61"/>
  <c r="AD360" i="61"/>
  <c r="AE360" i="61"/>
  <c r="AL360" i="61" s="1"/>
  <c r="AL351" i="61"/>
  <c r="AQ351" i="61"/>
  <c r="AV349" i="61"/>
  <c r="AM346" i="61"/>
  <c r="AJ303" i="61"/>
  <c r="AJ278" i="61"/>
  <c r="AJ273" i="61"/>
  <c r="AM273" i="61"/>
  <c r="AV266" i="61"/>
  <c r="AD263" i="61"/>
  <c r="AJ245" i="61"/>
  <c r="AM245" i="61"/>
  <c r="AJ209" i="61"/>
  <c r="AD200" i="61"/>
  <c r="AE200" i="61"/>
  <c r="AJ192" i="61"/>
  <c r="AM192" i="61"/>
  <c r="AJ161" i="61"/>
  <c r="AM161" i="61"/>
  <c r="AJ145" i="61"/>
  <c r="AM145" i="61"/>
  <c r="AD135" i="61"/>
  <c r="AE135" i="61"/>
  <c r="AJ112" i="61"/>
  <c r="AL105" i="61"/>
  <c r="AJ103" i="61"/>
  <c r="AM103" i="61"/>
  <c r="AV40" i="61"/>
  <c r="AD500" i="61"/>
  <c r="AE500" i="61"/>
  <c r="AV465" i="61"/>
  <c r="AJ322" i="61"/>
  <c r="AV279" i="61"/>
  <c r="AE265" i="61"/>
  <c r="AO265" i="61" s="1"/>
  <c r="AD265" i="61"/>
  <c r="AV183" i="61"/>
  <c r="AJ154" i="61"/>
  <c r="AM154" i="61"/>
  <c r="AJ108" i="61"/>
  <c r="AM108" i="61"/>
  <c r="AE58" i="61"/>
  <c r="AD58" i="61"/>
  <c r="AH58" i="61" s="1"/>
  <c r="AV433" i="61"/>
  <c r="AV417" i="61"/>
  <c r="AV267" i="61"/>
  <c r="AQ263" i="61"/>
  <c r="AL263" i="61"/>
  <c r="AV221" i="61"/>
  <c r="AV189" i="61"/>
  <c r="AM140" i="61"/>
  <c r="AJ140" i="61"/>
  <c r="AV116" i="61"/>
  <c r="AJ85" i="61"/>
  <c r="AM85" i="61"/>
  <c r="AE54" i="61"/>
  <c r="AP54" i="61" s="1"/>
  <c r="AD513" i="61"/>
  <c r="AI439" i="61"/>
  <c r="AV399" i="61"/>
  <c r="AD351" i="61"/>
  <c r="AV337" i="61"/>
  <c r="AV334" i="61"/>
  <c r="AV313" i="61"/>
  <c r="AD298" i="61"/>
  <c r="AI263" i="61"/>
  <c r="AS263" i="61" s="1"/>
  <c r="AE259" i="61"/>
  <c r="AE243" i="61"/>
  <c r="AM225" i="61"/>
  <c r="AV211" i="61"/>
  <c r="AD211" i="61"/>
  <c r="AD167" i="61"/>
  <c r="AE167" i="61"/>
  <c r="AJ151" i="61"/>
  <c r="AM151" i="61"/>
  <c r="AO149" i="61"/>
  <c r="AJ146" i="61"/>
  <c r="AM146" i="61"/>
  <c r="AM132" i="61"/>
  <c r="AJ132" i="61"/>
  <c r="AD128" i="61"/>
  <c r="AE128" i="61"/>
  <c r="AE122" i="61"/>
  <c r="AQ122" i="61" s="1"/>
  <c r="AD122" i="61"/>
  <c r="AJ109" i="61"/>
  <c r="AM109" i="61"/>
  <c r="AD98" i="61"/>
  <c r="AE98" i="61"/>
  <c r="AQ98" i="61" s="1"/>
  <c r="AV72" i="61"/>
  <c r="AE70" i="61"/>
  <c r="AO70" i="61" s="1"/>
  <c r="AD68" i="61"/>
  <c r="AH68" i="61" s="1"/>
  <c r="AE68" i="61"/>
  <c r="AL68" i="61" s="1"/>
  <c r="AQ55" i="61"/>
  <c r="AO55" i="61"/>
  <c r="AV488" i="61"/>
  <c r="AI461" i="61"/>
  <c r="AS461" i="61" s="1"/>
  <c r="AV400" i="61"/>
  <c r="AI199" i="61"/>
  <c r="AD188" i="61"/>
  <c r="AE188" i="61"/>
  <c r="AO188" i="61" s="1"/>
  <c r="AV185" i="61"/>
  <c r="AL185" i="61"/>
  <c r="AO185" i="61"/>
  <c r="AP185" i="61"/>
  <c r="AV182" i="61"/>
  <c r="AV169" i="61"/>
  <c r="AJ162" i="61"/>
  <c r="AM162" i="61"/>
  <c r="AJ144" i="61"/>
  <c r="AM144" i="61"/>
  <c r="AJ92" i="61"/>
  <c r="AM92" i="61"/>
  <c r="AD88" i="61"/>
  <c r="AE88" i="61"/>
  <c r="AV457" i="61"/>
  <c r="AV264" i="61"/>
  <c r="AV208" i="61"/>
  <c r="AJ203" i="61"/>
  <c r="AM203" i="61"/>
  <c r="AJ195" i="61"/>
  <c r="AM195" i="61"/>
  <c r="AV164" i="61"/>
  <c r="AJ150" i="61"/>
  <c r="AM150" i="61"/>
  <c r="AE126" i="61"/>
  <c r="AD126" i="61"/>
  <c r="AJ120" i="61"/>
  <c r="AM120" i="61"/>
  <c r="AE65" i="61"/>
  <c r="AQ65" i="61" s="1"/>
  <c r="AJ227" i="61"/>
  <c r="AM227" i="61"/>
  <c r="AO186" i="61"/>
  <c r="AP186" i="61"/>
  <c r="AD158" i="61"/>
  <c r="AE158" i="61"/>
  <c r="AD114" i="61"/>
  <c r="AE114" i="61"/>
  <c r="AP114" i="61" s="1"/>
  <c r="AD112" i="61"/>
  <c r="AE112" i="61"/>
  <c r="AP112" i="61" s="1"/>
  <c r="AD97" i="61"/>
  <c r="AE97" i="61"/>
  <c r="AO97" i="61" s="1"/>
  <c r="AD90" i="61"/>
  <c r="AE90" i="61"/>
  <c r="AO90" i="61" s="1"/>
  <c r="AQ90" i="61"/>
  <c r="AV27" i="61"/>
  <c r="AM198" i="61"/>
  <c r="AM180" i="61"/>
  <c r="AM172" i="61"/>
  <c r="AM164" i="61"/>
  <c r="AM119" i="61"/>
  <c r="AM104" i="61"/>
  <c r="AD30" i="61"/>
  <c r="AH30" i="61" s="1"/>
  <c r="AI110" i="56"/>
  <c r="AL216" i="56"/>
  <c r="AL358" i="56"/>
  <c r="AJ404" i="56"/>
  <c r="AG404" i="56"/>
  <c r="AB365" i="56"/>
  <c r="AJ347" i="56"/>
  <c r="AG347" i="56"/>
  <c r="AB151" i="56"/>
  <c r="AN151" i="56" s="1"/>
  <c r="AA151" i="56"/>
  <c r="AE151" i="56" s="1"/>
  <c r="AB142" i="56"/>
  <c r="AA142" i="56"/>
  <c r="AE142" i="56" s="1"/>
  <c r="AB122" i="56"/>
  <c r="AA122" i="56"/>
  <c r="AE122" i="56" s="1"/>
  <c r="AI507" i="56"/>
  <c r="AM507" i="56"/>
  <c r="AL507" i="56"/>
  <c r="AI116" i="56"/>
  <c r="AG496" i="56"/>
  <c r="AJ496" i="56"/>
  <c r="AJ476" i="56"/>
  <c r="AG476" i="56"/>
  <c r="AJ474" i="56"/>
  <c r="AG474" i="56"/>
  <c r="AL253" i="56"/>
  <c r="AN253" i="56"/>
  <c r="AB250" i="56"/>
  <c r="AM250" i="56" s="1"/>
  <c r="AA250" i="56"/>
  <c r="AB236" i="56"/>
  <c r="AA236" i="56"/>
  <c r="AE236" i="56" s="1"/>
  <c r="AA204" i="56"/>
  <c r="AE204" i="56" s="1"/>
  <c r="AB204" i="56"/>
  <c r="AN110" i="56"/>
  <c r="AF507" i="56"/>
  <c r="AL302" i="56"/>
  <c r="AL86" i="56"/>
  <c r="AA323" i="56"/>
  <c r="AB323" i="56"/>
  <c r="AJ312" i="56"/>
  <c r="AG312" i="56"/>
  <c r="AA169" i="56"/>
  <c r="AE169" i="56" s="1"/>
  <c r="AB169" i="56"/>
  <c r="AA103" i="56"/>
  <c r="AB103" i="56"/>
  <c r="AM360" i="56"/>
  <c r="AJ161" i="56"/>
  <c r="AG161" i="56"/>
  <c r="AB149" i="56"/>
  <c r="AA149" i="56"/>
  <c r="AE149" i="56" s="1"/>
  <c r="AB147" i="56"/>
  <c r="AA147" i="56"/>
  <c r="AE147" i="56" s="1"/>
  <c r="AL145" i="56"/>
  <c r="AM145" i="56"/>
  <c r="AB129" i="56"/>
  <c r="AN129" i="56" s="1"/>
  <c r="AB400" i="56"/>
  <c r="AA400" i="56"/>
  <c r="AG396" i="56"/>
  <c r="AJ396" i="56"/>
  <c r="AA392" i="56"/>
  <c r="AB392" i="56"/>
  <c r="AF392" i="56" s="1"/>
  <c r="AG254" i="56"/>
  <c r="AM220" i="56"/>
  <c r="AI220" i="56"/>
  <c r="AF220" i="56"/>
  <c r="AN220" i="56"/>
  <c r="AN251" i="56"/>
  <c r="AI145" i="56"/>
  <c r="AA297" i="56"/>
  <c r="AB297" i="56"/>
  <c r="AF297" i="56"/>
  <c r="AB295" i="56"/>
  <c r="AI295" i="56"/>
  <c r="AA295" i="56"/>
  <c r="AA288" i="56"/>
  <c r="AB288" i="56"/>
  <c r="AM288" i="56"/>
  <c r="AG257" i="56"/>
  <c r="AJ257" i="56"/>
  <c r="AA218" i="56"/>
  <c r="AE218" i="56" s="1"/>
  <c r="AB218" i="56"/>
  <c r="AN218" i="56" s="1"/>
  <c r="AA76" i="56"/>
  <c r="AB76" i="56"/>
  <c r="AL76" i="56" s="1"/>
  <c r="AA52" i="56"/>
  <c r="AE52" i="56" s="1"/>
  <c r="AA145" i="56"/>
  <c r="AN281" i="56"/>
  <c r="AL356" i="56"/>
  <c r="AB346" i="56"/>
  <c r="AN346" i="56" s="1"/>
  <c r="AA346" i="56"/>
  <c r="AG311" i="56"/>
  <c r="AJ311" i="56"/>
  <c r="AJ298" i="56"/>
  <c r="AG298" i="56"/>
  <c r="AJ294" i="56"/>
  <c r="AG294" i="56"/>
  <c r="AL206" i="56"/>
  <c r="AN343" i="56"/>
  <c r="AI343" i="56"/>
  <c r="AL343" i="56"/>
  <c r="AM343" i="56"/>
  <c r="AB503" i="56"/>
  <c r="AA503" i="56"/>
  <c r="AA159" i="56"/>
  <c r="AA66" i="56"/>
  <c r="AE66" i="56" s="1"/>
  <c r="AB66" i="56"/>
  <c r="AL64" i="56"/>
  <c r="AI413" i="56"/>
  <c r="AM413" i="56"/>
  <c r="AB362" i="56"/>
  <c r="AA362" i="56"/>
  <c r="AJ355" i="56"/>
  <c r="AG355" i="56"/>
  <c r="AG352" i="56"/>
  <c r="AJ352" i="56"/>
  <c r="AM348" i="56"/>
  <c r="AL348" i="56"/>
  <c r="AF331" i="56"/>
  <c r="AG308" i="56"/>
  <c r="AJ308" i="56"/>
  <c r="AA177" i="56"/>
  <c r="AE177" i="56" s="1"/>
  <c r="AB177" i="56"/>
  <c r="AM177" i="56" s="1"/>
  <c r="AN452" i="56"/>
  <c r="AA493" i="56"/>
  <c r="AB493" i="56"/>
  <c r="AA488" i="56"/>
  <c r="AB488" i="56"/>
  <c r="AF488" i="56"/>
  <c r="AB478" i="56"/>
  <c r="AA478" i="56"/>
  <c r="AF452" i="56"/>
  <c r="AA375" i="56"/>
  <c r="AB375" i="56"/>
  <c r="AG333" i="56"/>
  <c r="AJ333" i="56"/>
  <c r="AG323" i="56"/>
  <c r="AJ323" i="56"/>
  <c r="AB261" i="56"/>
  <c r="AA261" i="56"/>
  <c r="AB245" i="56"/>
  <c r="AN245" i="56" s="1"/>
  <c r="AA245" i="56"/>
  <c r="AA193" i="56"/>
  <c r="AB193" i="56"/>
  <c r="AA181" i="56"/>
  <c r="AE181" i="56" s="1"/>
  <c r="AA42" i="56"/>
  <c r="AE42" i="56" s="1"/>
  <c r="AI100" i="56"/>
  <c r="AG468" i="56"/>
  <c r="AJ468" i="56"/>
  <c r="AG465" i="56"/>
  <c r="AJ465" i="56"/>
  <c r="AG461" i="56"/>
  <c r="AJ461" i="56"/>
  <c r="AB450" i="56"/>
  <c r="AA450" i="56"/>
  <c r="AJ442" i="56"/>
  <c r="AG442" i="56"/>
  <c r="AL335" i="56"/>
  <c r="AN335" i="56"/>
  <c r="AF335" i="56"/>
  <c r="AM335" i="56"/>
  <c r="AM511" i="56"/>
  <c r="AA511" i="56"/>
  <c r="AS464" i="56"/>
  <c r="AN368" i="56"/>
  <c r="AS249" i="56"/>
  <c r="AA229" i="56"/>
  <c r="AE229" i="56" s="1"/>
  <c r="AB107" i="56"/>
  <c r="AN439" i="56"/>
  <c r="AI439" i="56"/>
  <c r="AN391" i="56"/>
  <c r="AL391" i="56"/>
  <c r="AL380" i="56"/>
  <c r="AI380" i="56"/>
  <c r="AB289" i="56"/>
  <c r="AM289" i="56" s="1"/>
  <c r="AA289" i="56"/>
  <c r="AA132" i="56"/>
  <c r="AE132" i="56" s="1"/>
  <c r="AI115" i="56"/>
  <c r="AB35" i="56"/>
  <c r="AA30" i="56"/>
  <c r="AE30" i="56" s="1"/>
  <c r="AB502" i="56"/>
  <c r="AA449" i="56"/>
  <c r="AB449" i="56"/>
  <c r="AS442" i="56"/>
  <c r="AA369" i="56"/>
  <c r="AB369" i="56"/>
  <c r="AI369" i="56"/>
  <c r="AF369" i="56"/>
  <c r="AS337" i="56"/>
  <c r="AF294" i="56"/>
  <c r="AP294" i="56" s="1"/>
  <c r="AL24" i="56"/>
  <c r="AM24" i="56"/>
  <c r="AM491" i="56"/>
  <c r="AN491" i="56"/>
  <c r="AS452" i="56"/>
  <c r="AB440" i="56"/>
  <c r="AF440" i="56"/>
  <c r="AS395" i="56"/>
  <c r="AS380" i="56"/>
  <c r="AB351" i="56"/>
  <c r="AN351" i="56" s="1"/>
  <c r="AF351" i="56"/>
  <c r="AS348" i="56"/>
  <c r="AF176" i="56"/>
  <c r="AG160" i="56"/>
  <c r="AJ160" i="56"/>
  <c r="AS27" i="56"/>
  <c r="AM271" i="56"/>
  <c r="AL271" i="56"/>
  <c r="AF143" i="56"/>
  <c r="AP143" i="56" s="1"/>
  <c r="AI344" i="56"/>
  <c r="AM344" i="56"/>
  <c r="AB453" i="56"/>
  <c r="AM453" i="56" s="1"/>
  <c r="AA453" i="56"/>
  <c r="AJ382" i="56"/>
  <c r="AG382" i="56"/>
  <c r="AB361" i="56"/>
  <c r="AF361" i="56" s="1"/>
  <c r="AA361" i="56"/>
  <c r="AS220" i="56"/>
  <c r="AB158" i="56"/>
  <c r="AL158" i="56" s="1"/>
  <c r="AA105" i="56"/>
  <c r="AE105" i="56" s="1"/>
  <c r="AB105" i="56"/>
  <c r="AS104" i="56"/>
  <c r="AS45" i="56"/>
  <c r="AB307" i="56"/>
  <c r="AL307" i="56" s="1"/>
  <c r="AS342" i="56"/>
  <c r="AA337" i="56"/>
  <c r="AB337" i="56"/>
  <c r="AF337" i="56" s="1"/>
  <c r="AS307" i="56"/>
  <c r="AG256" i="56"/>
  <c r="AA96" i="56"/>
  <c r="AB96" i="56"/>
  <c r="AF497" i="56"/>
  <c r="AS454" i="56"/>
  <c r="AS448" i="56"/>
  <c r="AS388" i="56"/>
  <c r="AA329" i="56"/>
  <c r="AB329" i="56"/>
  <c r="AA28" i="56"/>
  <c r="AE28" i="56" s="1"/>
  <c r="AS490" i="56"/>
  <c r="AS487" i="56"/>
  <c r="AS482" i="56"/>
  <c r="AS418" i="56"/>
  <c r="AS415" i="56"/>
  <c r="AF380" i="56"/>
  <c r="AS345" i="56"/>
  <c r="AS277" i="56"/>
  <c r="AS271" i="56"/>
  <c r="AS252" i="56"/>
  <c r="AS203" i="56"/>
  <c r="AS149" i="56"/>
  <c r="AS131" i="56"/>
  <c r="AS115" i="56"/>
  <c r="AS509" i="56"/>
  <c r="AS440" i="56"/>
  <c r="AF401" i="56"/>
  <c r="AS293" i="56"/>
  <c r="AS259" i="56"/>
  <c r="AS250" i="56"/>
  <c r="AS67" i="56"/>
  <c r="AS422" i="56"/>
  <c r="AS412" i="56"/>
  <c r="AS399" i="56"/>
  <c r="AS330" i="56"/>
  <c r="AS320" i="56"/>
  <c r="AS284" i="56"/>
  <c r="AS190" i="56"/>
  <c r="AS492" i="56"/>
  <c r="AS407" i="56"/>
  <c r="AS363" i="56"/>
  <c r="AS341" i="56"/>
  <c r="AS321" i="56"/>
  <c r="AS186" i="56"/>
  <c r="AS77" i="56"/>
  <c r="AS73" i="56"/>
  <c r="AA92" i="56"/>
  <c r="AE92" i="56" s="1"/>
  <c r="AB92" i="56"/>
  <c r="AL92" i="56" s="1"/>
  <c r="AB87" i="56"/>
  <c r="AM87" i="56" s="1"/>
  <c r="AN286" i="56"/>
  <c r="AN486" i="56"/>
  <c r="AA78" i="56"/>
  <c r="AE78" i="56" s="1"/>
  <c r="AB78" i="56"/>
  <c r="AN78" i="56" s="1"/>
  <c r="AN205" i="56"/>
  <c r="AL486" i="56"/>
  <c r="AM377" i="56"/>
  <c r="AN377" i="56"/>
  <c r="AI377" i="56"/>
  <c r="AF377" i="56"/>
  <c r="AI436" i="56"/>
  <c r="AJ475" i="56"/>
  <c r="AG475" i="56"/>
  <c r="AM158" i="56"/>
  <c r="AN158" i="56"/>
  <c r="AB40" i="56"/>
  <c r="AF40" i="56" s="1"/>
  <c r="AL205" i="56"/>
  <c r="AI224" i="56"/>
  <c r="AM224" i="56"/>
  <c r="AN224" i="56"/>
  <c r="AJ482" i="56"/>
  <c r="AG482" i="56"/>
  <c r="AA481" i="56"/>
  <c r="AB481" i="56"/>
  <c r="AA469" i="56"/>
  <c r="AI205" i="56"/>
  <c r="AB285" i="56"/>
  <c r="AA285" i="56"/>
  <c r="AG165" i="56"/>
  <c r="AF205" i="56"/>
  <c r="AP205" i="56" s="1"/>
  <c r="AM354" i="56"/>
  <c r="AN354" i="56"/>
  <c r="AF354" i="56"/>
  <c r="AJ343" i="56"/>
  <c r="AG343" i="56"/>
  <c r="AJ340" i="56"/>
  <c r="AG340" i="56"/>
  <c r="AA465" i="56"/>
  <c r="AB465" i="56"/>
  <c r="AF465" i="56" s="1"/>
  <c r="AG374" i="56"/>
  <c r="AJ374" i="56"/>
  <c r="AM492" i="56"/>
  <c r="AM308" i="56"/>
  <c r="AN308" i="56"/>
  <c r="AL308" i="56"/>
  <c r="AI308" i="56"/>
  <c r="AN468" i="56"/>
  <c r="AM468" i="56"/>
  <c r="AL250" i="56"/>
  <c r="AN250" i="56"/>
  <c r="AI321" i="56"/>
  <c r="AN321" i="56"/>
  <c r="AI387" i="56"/>
  <c r="AL387" i="56"/>
  <c r="AI169" i="56"/>
  <c r="AG414" i="56"/>
  <c r="AF414" i="56"/>
  <c r="AJ412" i="56"/>
  <c r="AG412" i="56"/>
  <c r="AA427" i="56"/>
  <c r="AB427" i="56"/>
  <c r="AF427" i="56" s="1"/>
  <c r="AB416" i="56"/>
  <c r="AN416" i="56"/>
  <c r="AA416" i="56"/>
  <c r="AA371" i="56"/>
  <c r="AB371" i="56"/>
  <c r="AF371" i="56" s="1"/>
  <c r="AN118" i="56"/>
  <c r="AS436" i="56"/>
  <c r="AA422" i="56"/>
  <c r="AB422" i="56"/>
  <c r="AL315" i="56"/>
  <c r="AM315" i="56"/>
  <c r="AN315" i="56"/>
  <c r="AI315" i="56"/>
  <c r="AL478" i="56"/>
  <c r="AN478" i="56"/>
  <c r="AM239" i="56"/>
  <c r="AN239" i="56"/>
  <c r="AM362" i="56"/>
  <c r="AL288" i="56"/>
  <c r="AL403" i="56"/>
  <c r="AF403" i="56"/>
  <c r="AM403" i="56"/>
  <c r="AI75" i="56"/>
  <c r="AL75" i="56"/>
  <c r="AG470" i="56"/>
  <c r="AJ454" i="56"/>
  <c r="AG454" i="56"/>
  <c r="AB386" i="56"/>
  <c r="AL386" i="56" s="1"/>
  <c r="AA386" i="56"/>
  <c r="AA249" i="56"/>
  <c r="AB249" i="56"/>
  <c r="AM85" i="56"/>
  <c r="AI85" i="56"/>
  <c r="AM62" i="56"/>
  <c r="AL199" i="56"/>
  <c r="AN199" i="56"/>
  <c r="AI199" i="56"/>
  <c r="AJ503" i="56"/>
  <c r="AG503" i="56"/>
  <c r="AA484" i="56"/>
  <c r="AA399" i="56"/>
  <c r="AB399" i="56"/>
  <c r="AI399" i="56"/>
  <c r="AG387" i="56"/>
  <c r="AJ387" i="56"/>
  <c r="AJ370" i="56"/>
  <c r="AI195" i="56"/>
  <c r="AL195" i="56"/>
  <c r="AL281" i="56"/>
  <c r="AM363" i="56"/>
  <c r="AM119" i="56"/>
  <c r="AN119" i="56"/>
  <c r="AB508" i="56"/>
  <c r="AA490" i="56"/>
  <c r="AB482" i="56"/>
  <c r="AN482" i="56" s="1"/>
  <c r="AA482" i="56"/>
  <c r="AG400" i="56"/>
  <c r="AJ400" i="56"/>
  <c r="AA33" i="56"/>
  <c r="AE33" i="56" s="1"/>
  <c r="AA26" i="56"/>
  <c r="AE26" i="56" s="1"/>
  <c r="AB26" i="56"/>
  <c r="AI26" i="56" s="1"/>
  <c r="AM294" i="56"/>
  <c r="AM153" i="56"/>
  <c r="AB485" i="56"/>
  <c r="AN485" i="56"/>
  <c r="AI485" i="56"/>
  <c r="AA425" i="56"/>
  <c r="AB425" i="56"/>
  <c r="AG375" i="56"/>
  <c r="AJ375" i="56"/>
  <c r="AG367" i="56"/>
  <c r="AJ367" i="56"/>
  <c r="AL334" i="56"/>
  <c r="AF334" i="56"/>
  <c r="AM334" i="56"/>
  <c r="AJ317" i="56"/>
  <c r="AG317" i="56"/>
  <c r="AN333" i="56"/>
  <c r="AL333" i="56"/>
  <c r="AJ457" i="56"/>
  <c r="AG457" i="56"/>
  <c r="AN412" i="56"/>
  <c r="AL412" i="56"/>
  <c r="AJ368" i="56"/>
  <c r="AG368" i="56"/>
  <c r="AG364" i="56"/>
  <c r="AJ364" i="56"/>
  <c r="AS362" i="56"/>
  <c r="AG361" i="56"/>
  <c r="AG360" i="56"/>
  <c r="AA292" i="56"/>
  <c r="AB292" i="56"/>
  <c r="AN292" i="56" s="1"/>
  <c r="AA265" i="56"/>
  <c r="AB265" i="56"/>
  <c r="AP226" i="56"/>
  <c r="AA334" i="56"/>
  <c r="AL180" i="56"/>
  <c r="AN467" i="56"/>
  <c r="AI467" i="56"/>
  <c r="AL467" i="56"/>
  <c r="AG401" i="56"/>
  <c r="AJ443" i="56"/>
  <c r="AB473" i="56"/>
  <c r="AI473" i="56" s="1"/>
  <c r="AA473" i="56"/>
  <c r="AB462" i="56"/>
  <c r="AN462" i="56" s="1"/>
  <c r="AI450" i="56"/>
  <c r="AM450" i="56"/>
  <c r="AN450" i="56"/>
  <c r="AG410" i="56"/>
  <c r="AG351" i="56"/>
  <c r="AM346" i="56"/>
  <c r="AI346" i="56"/>
  <c r="AN319" i="56"/>
  <c r="AL319" i="56"/>
  <c r="AN409" i="56"/>
  <c r="AL243" i="56"/>
  <c r="AN243" i="56"/>
  <c r="AI243" i="56"/>
  <c r="AL68" i="56"/>
  <c r="AA278" i="56"/>
  <c r="AB278" i="56"/>
  <c r="AG273" i="56"/>
  <c r="AJ273" i="56"/>
  <c r="AA126" i="56"/>
  <c r="AE126" i="56" s="1"/>
  <c r="AA480" i="56"/>
  <c r="AB480" i="56"/>
  <c r="AF480" i="56" s="1"/>
  <c r="AS479" i="56"/>
  <c r="AN454" i="56"/>
  <c r="AL454" i="56"/>
  <c r="AA435" i="56"/>
  <c r="AA357" i="56"/>
  <c r="AB357" i="56"/>
  <c r="AL357" i="56" s="1"/>
  <c r="AS353" i="56"/>
  <c r="AN337" i="56"/>
  <c r="AB326" i="56"/>
  <c r="AA326" i="56"/>
  <c r="AF281" i="56"/>
  <c r="AL226" i="56"/>
  <c r="AI226" i="56"/>
  <c r="AM226" i="56"/>
  <c r="AI144" i="56"/>
  <c r="AF413" i="56"/>
  <c r="AN413" i="56"/>
  <c r="AM179" i="56"/>
  <c r="AN179" i="56"/>
  <c r="AG506" i="56"/>
  <c r="AJ506" i="56"/>
  <c r="AG424" i="56"/>
  <c r="AJ424" i="56"/>
  <c r="AB372" i="56"/>
  <c r="AM372" i="56" s="1"/>
  <c r="AA372" i="56"/>
  <c r="AN297" i="56"/>
  <c r="AA257" i="56"/>
  <c r="AB257" i="56"/>
  <c r="AL257" i="56"/>
  <c r="AG251" i="56"/>
  <c r="AJ251" i="56"/>
  <c r="AI392" i="56"/>
  <c r="AM439" i="56"/>
  <c r="AG512" i="56"/>
  <c r="AA418" i="56"/>
  <c r="AB418" i="56"/>
  <c r="AB345" i="56"/>
  <c r="AM345" i="56" s="1"/>
  <c r="AF345" i="56"/>
  <c r="AP345" i="56"/>
  <c r="AA345" i="56"/>
  <c r="AB339" i="56"/>
  <c r="AA339" i="56"/>
  <c r="AG315" i="56"/>
  <c r="AG261" i="56"/>
  <c r="AJ261" i="56"/>
  <c r="AA260" i="56"/>
  <c r="AB260" i="56"/>
  <c r="AS319" i="56"/>
  <c r="AA309" i="56"/>
  <c r="AB309" i="56"/>
  <c r="AF309" i="56" s="1"/>
  <c r="AB443" i="56"/>
  <c r="AA420" i="56"/>
  <c r="AB420" i="56"/>
  <c r="AF420" i="56" s="1"/>
  <c r="AS295" i="56"/>
  <c r="AA88" i="56"/>
  <c r="AE88" i="56" s="1"/>
  <c r="AB88" i="56"/>
  <c r="AL88" i="56" s="1"/>
  <c r="AJ277" i="56"/>
  <c r="AJ459" i="56"/>
  <c r="AJ429" i="56"/>
  <c r="AG399" i="56"/>
  <c r="AJ399" i="56"/>
  <c r="AG385" i="56"/>
  <c r="AB336" i="56"/>
  <c r="AN336" i="56" s="1"/>
  <c r="AF336" i="56"/>
  <c r="AA336" i="56"/>
  <c r="AI331" i="56"/>
  <c r="AA324" i="56"/>
  <c r="AG103" i="56"/>
  <c r="AG284" i="56"/>
  <c r="AI103" i="56"/>
  <c r="AS477" i="56"/>
  <c r="AS474" i="56"/>
  <c r="AA287" i="56"/>
  <c r="AB287" i="56"/>
  <c r="AN287" i="56" s="1"/>
  <c r="AS273" i="56"/>
  <c r="AS246" i="56"/>
  <c r="AS185" i="56"/>
  <c r="AA220" i="56"/>
  <c r="AE220" i="56" s="1"/>
  <c r="AO494" i="61"/>
  <c r="AP334" i="61"/>
  <c r="AL334" i="61"/>
  <c r="AQ334" i="61"/>
  <c r="AP199" i="61"/>
  <c r="AL199" i="61"/>
  <c r="AO199" i="61"/>
  <c r="AQ199" i="61"/>
  <c r="AL249" i="61"/>
  <c r="AP249" i="61"/>
  <c r="AQ515" i="61"/>
  <c r="AQ319" i="61"/>
  <c r="AO319" i="61"/>
  <c r="AP319" i="61"/>
  <c r="AQ145" i="61"/>
  <c r="AL145" i="61"/>
  <c r="AI145" i="61"/>
  <c r="AS145" i="61" s="1"/>
  <c r="AQ185" i="61"/>
  <c r="AI185" i="61"/>
  <c r="AP385" i="61"/>
  <c r="AS424" i="61"/>
  <c r="AQ198" i="61"/>
  <c r="AI198" i="61"/>
  <c r="AP398" i="61"/>
  <c r="AO398" i="61"/>
  <c r="AQ398" i="61"/>
  <c r="AL74" i="61"/>
  <c r="AQ74" i="61"/>
  <c r="AP74" i="61"/>
  <c r="AO459" i="61"/>
  <c r="AL459" i="61"/>
  <c r="AP206" i="61"/>
  <c r="AI206" i="61"/>
  <c r="AL206" i="61"/>
  <c r="AO206" i="61"/>
  <c r="AP71" i="61"/>
  <c r="AQ23" i="61"/>
  <c r="AO242" i="61"/>
  <c r="AL242" i="61"/>
  <c r="AP278" i="61"/>
  <c r="AL278" i="61"/>
  <c r="AQ484" i="61"/>
  <c r="AP484" i="61"/>
  <c r="AL484" i="61"/>
  <c r="AO484" i="61"/>
  <c r="AP129" i="61"/>
  <c r="AI129" i="61"/>
  <c r="AL129" i="61"/>
  <c r="AO129" i="61"/>
  <c r="AQ129" i="61"/>
  <c r="AL310" i="61"/>
  <c r="AP310" i="61"/>
  <c r="AP415" i="61"/>
  <c r="AQ415" i="61"/>
  <c r="AL415" i="61"/>
  <c r="AO415" i="61"/>
  <c r="AO51" i="61"/>
  <c r="AQ51" i="61"/>
  <c r="AP51" i="61"/>
  <c r="AP307" i="61"/>
  <c r="AQ365" i="61"/>
  <c r="AI478" i="61"/>
  <c r="AP478" i="61"/>
  <c r="AL46" i="61"/>
  <c r="AQ46" i="61"/>
  <c r="AQ186" i="61"/>
  <c r="AI284" i="61"/>
  <c r="AS284" i="61" s="1"/>
  <c r="AL284" i="61"/>
  <c r="AQ284" i="61"/>
  <c r="AP284" i="61"/>
  <c r="AP89" i="61"/>
  <c r="AQ89" i="61"/>
  <c r="AL89" i="61"/>
  <c r="AO89" i="61"/>
  <c r="AI89" i="61"/>
  <c r="AS89" i="61" s="1"/>
  <c r="AL266" i="61"/>
  <c r="AQ266" i="61"/>
  <c r="AO341" i="61"/>
  <c r="AL341" i="61"/>
  <c r="AL151" i="61"/>
  <c r="AL489" i="61"/>
  <c r="AP439" i="61"/>
  <c r="AQ439" i="61"/>
  <c r="AL439" i="61"/>
  <c r="AL396" i="61"/>
  <c r="AQ396" i="61"/>
  <c r="AP396" i="61"/>
  <c r="AP157" i="61"/>
  <c r="AP325" i="61"/>
  <c r="AO325" i="61"/>
  <c r="AQ325" i="61"/>
  <c r="AQ257" i="61"/>
  <c r="AL257" i="61"/>
  <c r="AO299" i="61"/>
  <c r="AL299" i="61"/>
  <c r="AQ299" i="61"/>
  <c r="AP302" i="61"/>
  <c r="AO302" i="61"/>
  <c r="AL109" i="61"/>
  <c r="AO109" i="61"/>
  <c r="AQ302" i="61"/>
  <c r="AQ314" i="61"/>
  <c r="AO201" i="61"/>
  <c r="AO236" i="61"/>
  <c r="AI236" i="61"/>
  <c r="AL236" i="61"/>
  <c r="AQ236" i="61"/>
  <c r="AP217" i="61"/>
  <c r="AQ38" i="61"/>
  <c r="AL240" i="61"/>
  <c r="AQ427" i="61"/>
  <c r="AP466" i="61"/>
  <c r="AQ466" i="61"/>
  <c r="AL466" i="61"/>
  <c r="AO382" i="61"/>
  <c r="AL382" i="61"/>
  <c r="AP382" i="61"/>
  <c r="AL146" i="61"/>
  <c r="AQ146" i="61"/>
  <c r="AP146" i="61"/>
  <c r="AO146" i="61"/>
  <c r="AI146" i="61"/>
  <c r="AS146" i="61" s="1"/>
  <c r="AI257" i="61"/>
  <c r="AQ416" i="61"/>
  <c r="AL414" i="61"/>
  <c r="AQ414" i="61"/>
  <c r="AP414" i="61"/>
  <c r="AO414" i="61"/>
  <c r="AP429" i="61"/>
  <c r="AQ429" i="61"/>
  <c r="AQ85" i="61"/>
  <c r="AQ183" i="61"/>
  <c r="AL183" i="61"/>
  <c r="AO297" i="61"/>
  <c r="AP290" i="61"/>
  <c r="AQ290" i="61"/>
  <c r="AI290" i="61"/>
  <c r="AP258" i="61"/>
  <c r="AQ258" i="61"/>
  <c r="AI258" i="61"/>
  <c r="AS258" i="61" s="1"/>
  <c r="AO258" i="61"/>
  <c r="AL420" i="61"/>
  <c r="AP420" i="61"/>
  <c r="AP154" i="61"/>
  <c r="AL154" i="61"/>
  <c r="AI90" i="61"/>
  <c r="AS90" i="61" s="1"/>
  <c r="AL90" i="61"/>
  <c r="AQ70" i="61"/>
  <c r="AL70" i="61"/>
  <c r="AO500" i="61"/>
  <c r="AO116" i="61"/>
  <c r="AI114" i="61"/>
  <c r="AO114" i="61"/>
  <c r="AQ167" i="61"/>
  <c r="AQ137" i="61"/>
  <c r="AP137" i="61"/>
  <c r="AO137" i="61"/>
  <c r="AP457" i="61"/>
  <c r="AP194" i="61"/>
  <c r="AL194" i="61"/>
  <c r="AO194" i="61"/>
  <c r="AO350" i="61"/>
  <c r="AL350" i="61"/>
  <c r="AP350" i="61"/>
  <c r="AS101" i="61"/>
  <c r="AO343" i="61"/>
  <c r="AQ124" i="61"/>
  <c r="AL124" i="61"/>
  <c r="AL456" i="61"/>
  <c r="AO456" i="61"/>
  <c r="AP456" i="61"/>
  <c r="AQ458" i="61"/>
  <c r="AP458" i="61"/>
  <c r="AL458" i="61"/>
  <c r="AO458" i="61"/>
  <c r="AQ445" i="61"/>
  <c r="AL445" i="61"/>
  <c r="AP445" i="61"/>
  <c r="AO445" i="61"/>
  <c r="AQ188" i="61"/>
  <c r="AI188" i="61"/>
  <c r="AP188" i="61"/>
  <c r="AL188" i="61"/>
  <c r="AP128" i="61"/>
  <c r="AO128" i="61"/>
  <c r="AP492" i="61"/>
  <c r="AL492" i="61"/>
  <c r="AO492" i="61"/>
  <c r="AQ492" i="61"/>
  <c r="AQ75" i="61"/>
  <c r="AO75" i="61"/>
  <c r="AL75" i="61"/>
  <c r="AP75" i="61"/>
  <c r="AI452" i="61"/>
  <c r="AS452" i="61" s="1"/>
  <c r="AQ211" i="61"/>
  <c r="AL211" i="61"/>
  <c r="AO211" i="61"/>
  <c r="AP211" i="61"/>
  <c r="AI211" i="61"/>
  <c r="AL259" i="61"/>
  <c r="AQ248" i="61"/>
  <c r="AP502" i="61"/>
  <c r="AO502" i="61"/>
  <c r="AQ54" i="61"/>
  <c r="AO320" i="61"/>
  <c r="AQ320" i="61"/>
  <c r="AQ399" i="61"/>
  <c r="AL399" i="61"/>
  <c r="AQ78" i="61"/>
  <c r="AO451" i="61"/>
  <c r="AP451" i="61"/>
  <c r="AQ451" i="61"/>
  <c r="AO338" i="61"/>
  <c r="AP338" i="61"/>
  <c r="AL335" i="61"/>
  <c r="AP335" i="61"/>
  <c r="AL222" i="61"/>
  <c r="AO222" i="61"/>
  <c r="AL135" i="61"/>
  <c r="AL200" i="61"/>
  <c r="AO200" i="61"/>
  <c r="AP390" i="61"/>
  <c r="AL390" i="61"/>
  <c r="AQ390" i="61"/>
  <c r="AP87" i="61"/>
  <c r="AO87" i="61"/>
  <c r="AQ309" i="61"/>
  <c r="AO309" i="61"/>
  <c r="AI309" i="61"/>
  <c r="AP309" i="61"/>
  <c r="AI456" i="61"/>
  <c r="AS456" i="61" s="1"/>
  <c r="AO68" i="61"/>
  <c r="AO379" i="61"/>
  <c r="AL379" i="61"/>
  <c r="AS277" i="61"/>
  <c r="AQ380" i="61"/>
  <c r="AP380" i="61"/>
  <c r="AI478" i="56"/>
  <c r="AM478" i="56"/>
  <c r="AL28" i="56"/>
  <c r="AM28" i="56"/>
  <c r="AL450" i="56"/>
  <c r="AL375" i="56"/>
  <c r="AL147" i="56"/>
  <c r="AN147" i="56"/>
  <c r="AI147" i="56"/>
  <c r="AM147" i="56"/>
  <c r="AN103" i="56"/>
  <c r="AL414" i="56"/>
  <c r="AM414" i="56"/>
  <c r="AN502" i="56"/>
  <c r="AM502" i="56"/>
  <c r="AF346" i="56"/>
  <c r="AL346" i="56"/>
  <c r="AM76" i="56"/>
  <c r="AI158" i="56"/>
  <c r="AI511" i="56"/>
  <c r="AN511" i="56"/>
  <c r="AI323" i="56"/>
  <c r="AN323" i="56"/>
  <c r="AI493" i="56"/>
  <c r="AF52" i="56"/>
  <c r="AI218" i="56"/>
  <c r="AL218" i="56"/>
  <c r="AL122" i="56"/>
  <c r="AN453" i="56"/>
  <c r="AP348" i="56"/>
  <c r="AM369" i="56"/>
  <c r="AN369" i="56"/>
  <c r="AM181" i="56"/>
  <c r="AN236" i="56"/>
  <c r="AM236" i="56"/>
  <c r="AF365" i="56"/>
  <c r="AM365" i="56"/>
  <c r="AM435" i="56"/>
  <c r="AN435" i="56"/>
  <c r="AL484" i="56"/>
  <c r="AN484" i="56"/>
  <c r="AM484" i="56"/>
  <c r="AI484" i="56"/>
  <c r="AF416" i="56"/>
  <c r="AP416" i="56"/>
  <c r="AN443" i="56"/>
  <c r="AM443" i="56"/>
  <c r="AI443" i="56"/>
  <c r="AL443" i="56"/>
  <c r="AF443" i="56"/>
  <c r="AN339" i="56"/>
  <c r="AM285" i="56"/>
  <c r="AL285" i="56"/>
  <c r="AM399" i="56"/>
  <c r="AL399" i="56"/>
  <c r="AN490" i="56"/>
  <c r="AM386" i="56"/>
  <c r="AN386" i="56"/>
  <c r="AL336" i="56"/>
  <c r="AN469" i="56"/>
  <c r="AM469" i="56"/>
  <c r="AM78" i="56"/>
  <c r="AN420" i="56"/>
  <c r="AM260" i="56"/>
  <c r="AM418" i="56"/>
  <c r="AN265" i="56"/>
  <c r="AM481" i="56"/>
  <c r="AN481" i="56"/>
  <c r="AF481" i="56"/>
  <c r="AI481" i="56"/>
  <c r="AL481" i="56"/>
  <c r="AI257" i="56"/>
  <c r="AI462" i="56"/>
  <c r="AM425" i="56"/>
  <c r="AL425" i="56"/>
  <c r="AL345" i="56"/>
  <c r="AN345" i="56"/>
  <c r="AI345" i="56"/>
  <c r="AI372" i="56"/>
  <c r="AL372" i="56"/>
  <c r="AF372" i="56"/>
  <c r="AN372" i="56"/>
  <c r="AN371" i="56"/>
  <c r="AM371" i="56"/>
  <c r="AL371" i="56"/>
  <c r="AF357" i="56"/>
  <c r="AS236" i="61"/>
  <c r="AS299" i="61"/>
  <c r="AS451" i="61"/>
  <c r="R20" i="63"/>
  <c r="AO158" i="61"/>
  <c r="AL158" i="61"/>
  <c r="AI158" i="61"/>
  <c r="AS158" i="61" s="1"/>
  <c r="AL317" i="61"/>
  <c r="AI412" i="61"/>
  <c r="AS412" i="61" s="1"/>
  <c r="AO229" i="61"/>
  <c r="AP229" i="61"/>
  <c r="AQ229" i="61"/>
  <c r="AI229" i="61"/>
  <c r="AL229" i="61"/>
  <c r="AJ174" i="61"/>
  <c r="AQ317" i="61"/>
  <c r="AO254" i="61"/>
  <c r="AL254" i="61"/>
  <c r="AI254" i="61"/>
  <c r="AS254" i="61" s="1"/>
  <c r="AS339" i="61"/>
  <c r="AL163" i="61"/>
  <c r="AI163" i="61"/>
  <c r="AS163" i="61" s="1"/>
  <c r="AO163" i="61"/>
  <c r="AP163" i="61"/>
  <c r="AQ163" i="61"/>
  <c r="AM174" i="61"/>
  <c r="AD473" i="61"/>
  <c r="AE473" i="61"/>
  <c r="AP499" i="61"/>
  <c r="AL474" i="61"/>
  <c r="AI474" i="61"/>
  <c r="AS474" i="61" s="1"/>
  <c r="AQ474" i="61"/>
  <c r="AP474" i="61"/>
  <c r="AM375" i="61"/>
  <c r="AJ375" i="61"/>
  <c r="AM353" i="61"/>
  <c r="AJ353" i="61"/>
  <c r="AD330" i="61"/>
  <c r="AE330" i="61"/>
  <c r="AJ105" i="61"/>
  <c r="AM105" i="61"/>
  <c r="AI105" i="61"/>
  <c r="AS105" i="61" s="1"/>
  <c r="AJ491" i="61"/>
  <c r="AM491" i="61"/>
  <c r="AI51" i="61"/>
  <c r="AP412" i="61"/>
  <c r="AL250" i="61"/>
  <c r="AO250" i="61"/>
  <c r="AI250" i="61"/>
  <c r="AO112" i="61"/>
  <c r="AE108" i="61"/>
  <c r="AO108" i="61" s="1"/>
  <c r="AD108" i="61"/>
  <c r="AO474" i="61"/>
  <c r="AL256" i="61"/>
  <c r="AP256" i="61"/>
  <c r="AQ256" i="61"/>
  <c r="AO256" i="61"/>
  <c r="AI317" i="61"/>
  <c r="AP65" i="61"/>
  <c r="AQ126" i="61"/>
  <c r="AP126" i="61"/>
  <c r="AI82" i="61"/>
  <c r="AS82" i="61" s="1"/>
  <c r="AQ82" i="61"/>
  <c r="AL82" i="61"/>
  <c r="AO82" i="61"/>
  <c r="AO418" i="61"/>
  <c r="AI297" i="61"/>
  <c r="AQ297" i="61"/>
  <c r="AP297" i="61"/>
  <c r="AL297" i="61"/>
  <c r="AO95" i="61"/>
  <c r="AQ95" i="61"/>
  <c r="AI355" i="61"/>
  <c r="AP355" i="61"/>
  <c r="AQ408" i="61"/>
  <c r="AL408" i="61"/>
  <c r="AQ178" i="61"/>
  <c r="AO178" i="61"/>
  <c r="AO96" i="61"/>
  <c r="AP96" i="61"/>
  <c r="AL96" i="61"/>
  <c r="AQ96" i="61"/>
  <c r="AI96" i="61"/>
  <c r="AS96" i="61" s="1"/>
  <c r="AQ204" i="61"/>
  <c r="AI204" i="61"/>
  <c r="AS204" i="61" s="1"/>
  <c r="AP204" i="61"/>
  <c r="AL364" i="61"/>
  <c r="AQ364" i="61"/>
  <c r="AI183" i="61"/>
  <c r="AO183" i="61"/>
  <c r="AL427" i="61"/>
  <c r="AP427" i="61"/>
  <c r="AQ195" i="61"/>
  <c r="AP373" i="61"/>
  <c r="AQ373" i="61"/>
  <c r="AO373" i="61"/>
  <c r="AP198" i="61"/>
  <c r="AL198" i="61"/>
  <c r="AO198" i="61"/>
  <c r="AL397" i="61"/>
  <c r="AO397" i="61"/>
  <c r="AQ397" i="61"/>
  <c r="AP83" i="61"/>
  <c r="AI83" i="61"/>
  <c r="AS83" i="61" s="1"/>
  <c r="AO83" i="61"/>
  <c r="AP339" i="61"/>
  <c r="AL339" i="61"/>
  <c r="AO339" i="61"/>
  <c r="AQ339" i="61"/>
  <c r="AQ149" i="61"/>
  <c r="AP149" i="61"/>
  <c r="AL149" i="61"/>
  <c r="AQ355" i="61"/>
  <c r="AP200" i="61"/>
  <c r="AI200" i="61"/>
  <c r="AS200" i="61" s="1"/>
  <c r="AQ200" i="61"/>
  <c r="AI466" i="61"/>
  <c r="AO466" i="61"/>
  <c r="AO515" i="61"/>
  <c r="AP515" i="61"/>
  <c r="AS234" i="61"/>
  <c r="AO287" i="61"/>
  <c r="AQ287" i="61"/>
  <c r="AI287" i="61"/>
  <c r="AE404" i="61"/>
  <c r="AD404" i="61"/>
  <c r="AQ378" i="61"/>
  <c r="AP378" i="61"/>
  <c r="AI310" i="61"/>
  <c r="AQ310" i="61"/>
  <c r="AE143" i="61"/>
  <c r="AO143" i="61"/>
  <c r="AD143" i="61"/>
  <c r="AM87" i="61"/>
  <c r="AJ87" i="61"/>
  <c r="AI378" i="61"/>
  <c r="AS378" i="61" s="1"/>
  <c r="AL355" i="61"/>
  <c r="AQ83" i="61"/>
  <c r="AP95" i="61"/>
  <c r="AL370" i="61"/>
  <c r="AI273" i="61"/>
  <c r="AO273" i="61"/>
  <c r="AQ273" i="61"/>
  <c r="AP273" i="61"/>
  <c r="AL422" i="61"/>
  <c r="AL62" i="61"/>
  <c r="AP425" i="61"/>
  <c r="AL425" i="61"/>
  <c r="AQ425" i="61"/>
  <c r="AP362" i="61"/>
  <c r="AQ494" i="61"/>
  <c r="AL494" i="61"/>
  <c r="AP494" i="61"/>
  <c r="AQ193" i="61"/>
  <c r="AP193" i="61"/>
  <c r="AL193" i="61"/>
  <c r="AO364" i="61"/>
  <c r="AO49" i="61"/>
  <c r="AQ49" i="61"/>
  <c r="AP77" i="61"/>
  <c r="AQ77" i="61"/>
  <c r="AL77" i="61"/>
  <c r="AD481" i="61"/>
  <c r="AE481" i="61"/>
  <c r="AM415" i="61"/>
  <c r="AJ415" i="61"/>
  <c r="AJ411" i="61"/>
  <c r="AQ337" i="61"/>
  <c r="AO337" i="61"/>
  <c r="AP337" i="61"/>
  <c r="AQ34" i="61"/>
  <c r="AO34" i="61"/>
  <c r="AM153" i="61"/>
  <c r="AJ153" i="61"/>
  <c r="AJ126" i="61"/>
  <c r="AM126" i="61"/>
  <c r="AO378" i="61"/>
  <c r="AL83" i="61"/>
  <c r="AQ222" i="61"/>
  <c r="AP222" i="61"/>
  <c r="AO168" i="61"/>
  <c r="AP168" i="61"/>
  <c r="AL204" i="61"/>
  <c r="AP405" i="61"/>
  <c r="AL405" i="61"/>
  <c r="AO405" i="61"/>
  <c r="AQ73" i="61"/>
  <c r="AO73" i="61"/>
  <c r="AL205" i="61"/>
  <c r="AQ205" i="61"/>
  <c r="AD171" i="61"/>
  <c r="AE171" i="61"/>
  <c r="AO171" i="61" s="1"/>
  <c r="AI168" i="61"/>
  <c r="AJ165" i="61"/>
  <c r="AM165" i="61"/>
  <c r="AI118" i="61"/>
  <c r="AL118" i="61"/>
  <c r="AO175" i="61"/>
  <c r="AP175" i="61"/>
  <c r="AQ175" i="61"/>
  <c r="AO115" i="61"/>
  <c r="AI115" i="61"/>
  <c r="AL115" i="61"/>
  <c r="AP115" i="61"/>
  <c r="AP165" i="61"/>
  <c r="AL231" i="61"/>
  <c r="AO231" i="61"/>
  <c r="AP231" i="61"/>
  <c r="AI231" i="61"/>
  <c r="AD438" i="61"/>
  <c r="AE438" i="61"/>
  <c r="AD376" i="61"/>
  <c r="AE376" i="61"/>
  <c r="AE375" i="61"/>
  <c r="AD375" i="61"/>
  <c r="AJ220" i="61"/>
  <c r="AM220" i="61"/>
  <c r="AO160" i="61"/>
  <c r="AQ160" i="61"/>
  <c r="AL398" i="61"/>
  <c r="AP113" i="61"/>
  <c r="AQ202" i="61"/>
  <c r="AI202" i="61"/>
  <c r="AS202" i="61" s="1"/>
  <c r="AQ227" i="61"/>
  <c r="AO227" i="61"/>
  <c r="AD480" i="61"/>
  <c r="AE480" i="61"/>
  <c r="AP480" i="61"/>
  <c r="AL385" i="61"/>
  <c r="AL144" i="61"/>
  <c r="AI144" i="61"/>
  <c r="AS144" i="61" s="1"/>
  <c r="AO33" i="61"/>
  <c r="AI247" i="61"/>
  <c r="AP247" i="61"/>
  <c r="AQ247" i="61"/>
  <c r="AO247" i="61"/>
  <c r="AP234" i="61"/>
  <c r="AQ234" i="61"/>
  <c r="AO234" i="61"/>
  <c r="AL232" i="61"/>
  <c r="AQ232" i="61"/>
  <c r="AO232" i="61"/>
  <c r="AI232" i="61"/>
  <c r="AS232" i="61" s="1"/>
  <c r="AJ514" i="61"/>
  <c r="AM514" i="61"/>
  <c r="AM332" i="61"/>
  <c r="AJ332" i="61"/>
  <c r="AQ312" i="61"/>
  <c r="AI312" i="61"/>
  <c r="AO312" i="61"/>
  <c r="AP312" i="61"/>
  <c r="AE244" i="61"/>
  <c r="AO244" i="61"/>
  <c r="AD244" i="61"/>
  <c r="AE482" i="61"/>
  <c r="AO482" i="61" s="1"/>
  <c r="AD482" i="61"/>
  <c r="AE477" i="61"/>
  <c r="AP477" i="61" s="1"/>
  <c r="AD477" i="61"/>
  <c r="AE472" i="61"/>
  <c r="AD472" i="61"/>
  <c r="AE435" i="61"/>
  <c r="AP435" i="61" s="1"/>
  <c r="AD435" i="61"/>
  <c r="AD511" i="61"/>
  <c r="AE511" i="61"/>
  <c r="AD479" i="61"/>
  <c r="AE479" i="61"/>
  <c r="AL479" i="61" s="1"/>
  <c r="AJ444" i="61"/>
  <c r="AD430" i="61"/>
  <c r="AD388" i="61"/>
  <c r="AE388" i="61"/>
  <c r="AV229" i="61"/>
  <c r="AL436" i="61"/>
  <c r="AP436" i="61"/>
  <c r="AO395" i="61"/>
  <c r="AP395" i="61"/>
  <c r="AO303" i="61"/>
  <c r="AJ178" i="61"/>
  <c r="AM178" i="61"/>
  <c r="AD166" i="61"/>
  <c r="AE166" i="61"/>
  <c r="AP166" i="61" s="1"/>
  <c r="AE487" i="61"/>
  <c r="AL487" i="61" s="1"/>
  <c r="AD487" i="61"/>
  <c r="AE349" i="61"/>
  <c r="AL349" i="61" s="1"/>
  <c r="AD349" i="61"/>
  <c r="AV143" i="61"/>
  <c r="AV136" i="61"/>
  <c r="AE130" i="61"/>
  <c r="AI130" i="61" s="1"/>
  <c r="AS130" i="61" s="1"/>
  <c r="AD130" i="61"/>
  <c r="AJ446" i="61"/>
  <c r="AM446" i="61"/>
  <c r="AV445" i="61"/>
  <c r="AE428" i="61"/>
  <c r="AD291" i="61"/>
  <c r="AE291" i="61"/>
  <c r="AV252" i="61"/>
  <c r="AV225" i="61"/>
  <c r="AJ362" i="61"/>
  <c r="AM362" i="61"/>
  <c r="AV344" i="61"/>
  <c r="AV458" i="61"/>
  <c r="AD443" i="61"/>
  <c r="AE443" i="61"/>
  <c r="AL443" i="61" s="1"/>
  <c r="AD300" i="61"/>
  <c r="AE300" i="61"/>
  <c r="AQ300" i="61" s="1"/>
  <c r="AI245" i="61"/>
  <c r="AS245" i="61" s="1"/>
  <c r="AM97" i="61"/>
  <c r="AJ97" i="61"/>
  <c r="AV429" i="61"/>
  <c r="AE191" i="61"/>
  <c r="AO191" i="61"/>
  <c r="AV180" i="61"/>
  <c r="AO170" i="61"/>
  <c r="AP170" i="61"/>
  <c r="AV126" i="61"/>
  <c r="AV100" i="61"/>
  <c r="AE52" i="61"/>
  <c r="AP52" i="61" s="1"/>
  <c r="AV390" i="61"/>
  <c r="AM310" i="61"/>
  <c r="AJ219" i="61"/>
  <c r="AJ183" i="61"/>
  <c r="AD156" i="61"/>
  <c r="AE136" i="61"/>
  <c r="AQ136" i="61" s="1"/>
  <c r="AO136" i="61"/>
  <c r="AD321" i="61"/>
  <c r="AE321" i="61"/>
  <c r="AI303" i="61"/>
  <c r="AS303" i="61" s="1"/>
  <c r="AJ121" i="61"/>
  <c r="AM121" i="61"/>
  <c r="AV70" i="61"/>
  <c r="AD44" i="61"/>
  <c r="AH44" i="61" s="1"/>
  <c r="AE44" i="61"/>
  <c r="AQ44" i="61" s="1"/>
  <c r="AI453" i="56"/>
  <c r="AL453" i="56"/>
  <c r="AN488" i="56"/>
  <c r="AA352" i="56"/>
  <c r="AB352" i="56"/>
  <c r="AL352" i="56"/>
  <c r="AJ342" i="56"/>
  <c r="AA340" i="56"/>
  <c r="AB340" i="56"/>
  <c r="AB328" i="56"/>
  <c r="AI328" i="56" s="1"/>
  <c r="AA328" i="56"/>
  <c r="AB283" i="56"/>
  <c r="AI283" i="56" s="1"/>
  <c r="AA283" i="56"/>
  <c r="AG163" i="56"/>
  <c r="AF163" i="56"/>
  <c r="AP163" i="56" s="1"/>
  <c r="AB125" i="56"/>
  <c r="AL125" i="56" s="1"/>
  <c r="AA125" i="56"/>
  <c r="AE125" i="56" s="1"/>
  <c r="AB20" i="56"/>
  <c r="AN20" i="56" s="1"/>
  <c r="AF485" i="56"/>
  <c r="AL485" i="56"/>
  <c r="AM485" i="56"/>
  <c r="AL480" i="56"/>
  <c r="AL490" i="56"/>
  <c r="AI490" i="56"/>
  <c r="AM490" i="56"/>
  <c r="AF453" i="56"/>
  <c r="AB166" i="56"/>
  <c r="AN166" i="56" s="1"/>
  <c r="AA166" i="56"/>
  <c r="AI418" i="56"/>
  <c r="AL159" i="56"/>
  <c r="AM159" i="56"/>
  <c r="AI249" i="56"/>
  <c r="AN480" i="56"/>
  <c r="AP401" i="56"/>
  <c r="AN295" i="56"/>
  <c r="AF295" i="56"/>
  <c r="AM295" i="56"/>
  <c r="AL295" i="56"/>
  <c r="AI508" i="56"/>
  <c r="AF508" i="56"/>
  <c r="AM278" i="56"/>
  <c r="AA353" i="56"/>
  <c r="AB353" i="56"/>
  <c r="AL18" i="56"/>
  <c r="AN18" i="56"/>
  <c r="AI18" i="56"/>
  <c r="AI482" i="56"/>
  <c r="AI278" i="56"/>
  <c r="AI159" i="56"/>
  <c r="AI449" i="56"/>
  <c r="AL289" i="56"/>
  <c r="AN289" i="56"/>
  <c r="AI289" i="56"/>
  <c r="AN216" i="56"/>
  <c r="AF216" i="56"/>
  <c r="AI216" i="56"/>
  <c r="AM216" i="56"/>
  <c r="AI468" i="56"/>
  <c r="AL468" i="56"/>
  <c r="AN440" i="56"/>
  <c r="AF181" i="56"/>
  <c r="AP181" i="56" s="1"/>
  <c r="AN181" i="56"/>
  <c r="AN375" i="56"/>
  <c r="AB479" i="56"/>
  <c r="AN479" i="56"/>
  <c r="AA479" i="56"/>
  <c r="AG462" i="56"/>
  <c r="AJ462" i="56"/>
  <c r="AA404" i="56"/>
  <c r="AB404" i="56"/>
  <c r="AN404" i="56" s="1"/>
  <c r="AL22" i="56"/>
  <c r="AN22" i="56"/>
  <c r="AN275" i="56"/>
  <c r="AL275" i="56"/>
  <c r="AM275" i="56"/>
  <c r="AI275" i="56"/>
  <c r="AI154" i="56"/>
  <c r="AM475" i="56"/>
  <c r="AN475" i="56"/>
  <c r="AI475" i="56"/>
  <c r="AA415" i="56"/>
  <c r="AB415" i="56"/>
  <c r="AL415" i="56" s="1"/>
  <c r="AM415" i="56"/>
  <c r="AL332" i="56"/>
  <c r="AN402" i="56"/>
  <c r="AF402" i="56"/>
  <c r="AP402" i="56" s="1"/>
  <c r="AI402" i="56"/>
  <c r="AL258" i="56"/>
  <c r="AN258" i="56"/>
  <c r="AM258" i="56"/>
  <c r="AI258" i="56"/>
  <c r="AJ467" i="56"/>
  <c r="AA451" i="56"/>
  <c r="AA448" i="56"/>
  <c r="AB448" i="56"/>
  <c r="AL448" i="56" s="1"/>
  <c r="AL429" i="56"/>
  <c r="AM429" i="56"/>
  <c r="AI429" i="56"/>
  <c r="AA373" i="56"/>
  <c r="AB373" i="56"/>
  <c r="AL373" i="56" s="1"/>
  <c r="AG322" i="56"/>
  <c r="AJ322" i="56"/>
  <c r="AM321" i="56"/>
  <c r="AL321" i="56"/>
  <c r="AB311" i="56"/>
  <c r="AM311" i="56" s="1"/>
  <c r="AA311" i="56"/>
  <c r="AA79" i="56"/>
  <c r="AB79" i="56"/>
  <c r="AN79" i="56" s="1"/>
  <c r="AL225" i="56"/>
  <c r="AI225" i="56"/>
  <c r="AN112" i="56"/>
  <c r="AI457" i="56"/>
  <c r="AM457" i="56"/>
  <c r="AN457" i="56"/>
  <c r="AN347" i="56"/>
  <c r="AI347" i="56"/>
  <c r="AL347" i="56"/>
  <c r="AM347" i="56"/>
  <c r="AI513" i="56"/>
  <c r="AG508" i="56"/>
  <c r="AJ508" i="56"/>
  <c r="AA501" i="56"/>
  <c r="AB501" i="56"/>
  <c r="AB498" i="56"/>
  <c r="AN498" i="56" s="1"/>
  <c r="AA498" i="56"/>
  <c r="AJ383" i="56"/>
  <c r="AA350" i="56"/>
  <c r="AB350" i="56"/>
  <c r="AM331" i="56"/>
  <c r="AN331" i="56"/>
  <c r="AL331" i="56"/>
  <c r="AA318" i="56"/>
  <c r="AB318" i="56"/>
  <c r="AF318" i="56" s="1"/>
  <c r="AS269" i="56"/>
  <c r="AI50" i="56"/>
  <c r="AL203" i="56"/>
  <c r="AN203" i="56"/>
  <c r="AM203" i="56"/>
  <c r="AI203" i="56"/>
  <c r="AA477" i="56"/>
  <c r="AB477" i="56"/>
  <c r="AB366" i="56"/>
  <c r="AI366" i="56" s="1"/>
  <c r="AF366" i="56"/>
  <c r="AA366" i="56"/>
  <c r="AI186" i="56"/>
  <c r="AN305" i="56"/>
  <c r="AI305" i="56"/>
  <c r="AL305" i="56"/>
  <c r="AM242" i="56"/>
  <c r="AS502" i="56"/>
  <c r="AG391" i="56"/>
  <c r="AJ391" i="56"/>
  <c r="AN324" i="56"/>
  <c r="AA171" i="56"/>
  <c r="AE171" i="56" s="1"/>
  <c r="AB83" i="56"/>
  <c r="AM83" i="56" s="1"/>
  <c r="AN374" i="56"/>
  <c r="AM374" i="56"/>
  <c r="AL374" i="56"/>
  <c r="AB325" i="56"/>
  <c r="AA325" i="56"/>
  <c r="AB209" i="56"/>
  <c r="AA209" i="56"/>
  <c r="AA192" i="56"/>
  <c r="AE192" i="56" s="1"/>
  <c r="AB192" i="56"/>
  <c r="AA190" i="56"/>
  <c r="AE190" i="56" s="1"/>
  <c r="AB190" i="56"/>
  <c r="AB128" i="56"/>
  <c r="AN24" i="56"/>
  <c r="AA393" i="56"/>
  <c r="AB393" i="56"/>
  <c r="AI393" i="56" s="1"/>
  <c r="AB330" i="56"/>
  <c r="AF330" i="56"/>
  <c r="AA330" i="56"/>
  <c r="AG453" i="56"/>
  <c r="AJ453" i="56"/>
  <c r="AS438" i="56"/>
  <c r="AF313" i="56"/>
  <c r="AI313" i="56"/>
  <c r="AG309" i="56"/>
  <c r="AJ309" i="56"/>
  <c r="AB274" i="56"/>
  <c r="AA274" i="56"/>
  <c r="AS154" i="56"/>
  <c r="AJ493" i="56"/>
  <c r="AG493" i="56"/>
  <c r="AS441" i="56"/>
  <c r="AG440" i="56"/>
  <c r="AJ440" i="56"/>
  <c r="AS431" i="56"/>
  <c r="AB284" i="56"/>
  <c r="AM284" i="56"/>
  <c r="AA284" i="56"/>
  <c r="AB252" i="56"/>
  <c r="AA252" i="56"/>
  <c r="AS214" i="56"/>
  <c r="AS437" i="56"/>
  <c r="AA407" i="56"/>
  <c r="AN312" i="56"/>
  <c r="AB272" i="56"/>
  <c r="AM272" i="56" s="1"/>
  <c r="AF272" i="56"/>
  <c r="AA272" i="56"/>
  <c r="AG510" i="56"/>
  <c r="AJ510" i="56"/>
  <c r="AB509" i="56"/>
  <c r="AN509" i="56" s="1"/>
  <c r="AA509" i="56"/>
  <c r="AG455" i="56"/>
  <c r="AJ455" i="56"/>
  <c r="AA410" i="56"/>
  <c r="AB410" i="56"/>
  <c r="AL410" i="56" s="1"/>
  <c r="AA60" i="56"/>
  <c r="AE60" i="56" s="1"/>
  <c r="AS31" i="56"/>
  <c r="AN244" i="56"/>
  <c r="AF244" i="56"/>
  <c r="AM180" i="56"/>
  <c r="AN180" i="56"/>
  <c r="AS506" i="56"/>
  <c r="AS457" i="56"/>
  <c r="AS444" i="56"/>
  <c r="AS430" i="56"/>
  <c r="AJ280" i="56"/>
  <c r="AB277" i="56"/>
  <c r="AF277" i="56"/>
  <c r="AA277" i="56"/>
  <c r="AS200" i="56"/>
  <c r="AA189" i="56"/>
  <c r="AE189" i="56" s="1"/>
  <c r="AB189" i="56"/>
  <c r="AI189" i="56" s="1"/>
  <c r="AA162" i="56"/>
  <c r="AB162" i="56"/>
  <c r="AS144" i="56"/>
  <c r="AS462" i="56"/>
  <c r="AS177" i="56"/>
  <c r="AS402" i="56"/>
  <c r="AJ392" i="56"/>
  <c r="AG392" i="56"/>
  <c r="AS316" i="56"/>
  <c r="AO388" i="61"/>
  <c r="AO472" i="61"/>
  <c r="AI244" i="61"/>
  <c r="AS244" i="61" s="1"/>
  <c r="AS317" i="61"/>
  <c r="AS273" i="61"/>
  <c r="AI191" i="61"/>
  <c r="AS191" i="61" s="1"/>
  <c r="AQ477" i="61"/>
  <c r="AO477" i="61"/>
  <c r="AS297" i="61"/>
  <c r="AP438" i="61"/>
  <c r="AS183" i="61"/>
  <c r="AI108" i="61"/>
  <c r="AP108" i="61"/>
  <c r="AL108" i="61"/>
  <c r="AS355" i="61"/>
  <c r="AL44" i="61"/>
  <c r="AI166" i="61"/>
  <c r="AO166" i="61"/>
  <c r="AQ166" i="61"/>
  <c r="AL166" i="61"/>
  <c r="AL430" i="61"/>
  <c r="AI430" i="61"/>
  <c r="AS312" i="61"/>
  <c r="AQ404" i="61"/>
  <c r="AO404" i="61"/>
  <c r="AP404" i="61"/>
  <c r="AS466" i="61"/>
  <c r="AL136" i="61"/>
  <c r="AI136" i="61"/>
  <c r="AS136" i="61" s="1"/>
  <c r="AL321" i="61"/>
  <c r="AQ487" i="61"/>
  <c r="AI487" i="61"/>
  <c r="AP487" i="61"/>
  <c r="AO487" i="61"/>
  <c r="AP171" i="61"/>
  <c r="AS310" i="61"/>
  <c r="AS247" i="61"/>
  <c r="AL375" i="61"/>
  <c r="AQ375" i="61"/>
  <c r="AL277" i="56"/>
  <c r="AM277" i="56"/>
  <c r="AI277" i="56"/>
  <c r="AN277" i="56"/>
  <c r="AI448" i="56"/>
  <c r="AM410" i="56"/>
  <c r="AI410" i="56"/>
  <c r="AL311" i="56"/>
  <c r="AF311" i="56"/>
  <c r="AF352" i="56"/>
  <c r="AM451" i="56"/>
  <c r="AL451" i="56"/>
  <c r="AF451" i="56"/>
  <c r="AP451" i="56"/>
  <c r="AI479" i="56"/>
  <c r="AF252" i="56"/>
  <c r="AM252" i="56"/>
  <c r="AI252" i="56"/>
  <c r="AI192" i="56"/>
  <c r="AN366" i="56"/>
  <c r="AM366" i="56"/>
  <c r="AL366" i="56"/>
  <c r="AP513" i="56"/>
  <c r="AP490" i="56"/>
  <c r="AP485" i="56"/>
  <c r="AF328" i="56"/>
  <c r="AP328" i="56" s="1"/>
  <c r="AM328" i="56"/>
  <c r="AL328" i="56"/>
  <c r="AN328" i="56"/>
  <c r="AL509" i="56"/>
  <c r="AF509" i="56"/>
  <c r="AI330" i="56"/>
  <c r="AN330" i="56"/>
  <c r="AF415" i="56"/>
  <c r="AI415" i="56"/>
  <c r="AN415" i="56"/>
  <c r="AM162" i="56"/>
  <c r="AL393" i="56"/>
  <c r="AN325" i="56"/>
  <c r="AM373" i="56"/>
  <c r="AL83" i="56"/>
  <c r="AI498" i="56"/>
  <c r="AL498" i="56"/>
  <c r="AI407" i="56"/>
  <c r="AL407" i="56"/>
  <c r="AN171" i="56"/>
  <c r="AL477" i="56"/>
  <c r="AI477" i="56"/>
  <c r="AM501" i="56"/>
  <c r="AS430" i="61"/>
  <c r="AS487" i="61"/>
  <c r="AB16" i="56"/>
  <c r="AN16" i="56" s="1"/>
  <c r="AA16" i="56"/>
  <c r="K10" i="63"/>
  <c r="N10" i="63"/>
  <c r="Q10" i="63"/>
  <c r="T10" i="63"/>
  <c r="S19" i="63"/>
  <c r="AS185" i="61"/>
  <c r="AJ314" i="61"/>
  <c r="AI314" i="61"/>
  <c r="AS314" i="61" s="1"/>
  <c r="AM314" i="61"/>
  <c r="AJ313" i="61"/>
  <c r="AM313" i="61"/>
  <c r="AQ57" i="61"/>
  <c r="AI159" i="61"/>
  <c r="AO159" i="61"/>
  <c r="AL159" i="61"/>
  <c r="AP159" i="61"/>
  <c r="AL244" i="61"/>
  <c r="AQ244" i="61"/>
  <c r="AL100" i="61"/>
  <c r="AO100" i="61"/>
  <c r="AP100" i="61"/>
  <c r="AQ282" i="61"/>
  <c r="AL282" i="61"/>
  <c r="AO282" i="61"/>
  <c r="AP282" i="61"/>
  <c r="AI282" i="61"/>
  <c r="AP442" i="61"/>
  <c r="AQ442" i="61"/>
  <c r="AL442" i="61"/>
  <c r="AI442" i="61"/>
  <c r="AO442" i="61"/>
  <c r="AS86" i="61"/>
  <c r="AQ472" i="61"/>
  <c r="AI472" i="61"/>
  <c r="S20" i="63"/>
  <c r="AP356" i="61"/>
  <c r="AL356" i="61"/>
  <c r="AQ356" i="61"/>
  <c r="AO321" i="61"/>
  <c r="AP321" i="61"/>
  <c r="AL143" i="61"/>
  <c r="AQ143" i="61"/>
  <c r="AL127" i="61"/>
  <c r="AP127" i="61"/>
  <c r="AO127" i="61"/>
  <c r="AQ127" i="61"/>
  <c r="AS166" i="61"/>
  <c r="AO300" i="61"/>
  <c r="AI300" i="61"/>
  <c r="AS290" i="61"/>
  <c r="AI97" i="61"/>
  <c r="AQ97" i="61"/>
  <c r="AL97" i="61"/>
  <c r="AP97" i="61"/>
  <c r="AS373" i="61"/>
  <c r="AO281" i="61"/>
  <c r="AP281" i="61"/>
  <c r="AL281" i="61"/>
  <c r="AQ281" i="61"/>
  <c r="AQ332" i="61"/>
  <c r="AI332" i="61"/>
  <c r="AS332" i="61" s="1"/>
  <c r="AP332" i="61"/>
  <c r="AO332" i="61"/>
  <c r="AE215" i="61"/>
  <c r="AI215" i="61" s="1"/>
  <c r="AD208" i="61"/>
  <c r="AI366" i="61"/>
  <c r="AS366" i="61" s="1"/>
  <c r="AO366" i="61"/>
  <c r="AP366" i="61"/>
  <c r="AS436" i="61"/>
  <c r="AS417" i="61"/>
  <c r="AE316" i="61"/>
  <c r="AQ316" i="61" s="1"/>
  <c r="AD316" i="61"/>
  <c r="AJ283" i="61"/>
  <c r="AM283" i="61"/>
  <c r="AE276" i="61"/>
  <c r="AD276" i="61"/>
  <c r="AD275" i="61"/>
  <c r="AE275" i="61"/>
  <c r="AP275" i="61"/>
  <c r="AD274" i="61"/>
  <c r="AE274" i="61"/>
  <c r="AD209" i="61"/>
  <c r="AE209" i="61"/>
  <c r="AO209" i="61" s="1"/>
  <c r="AP208" i="61"/>
  <c r="AL208" i="61"/>
  <c r="AO208" i="61"/>
  <c r="AQ208" i="61"/>
  <c r="AS51" i="61"/>
  <c r="AP509" i="61"/>
  <c r="AL509" i="61"/>
  <c r="AI509" i="61"/>
  <c r="AQ509" i="61"/>
  <c r="AO509" i="61"/>
  <c r="AI201" i="61"/>
  <c r="AS201" i="61" s="1"/>
  <c r="AQ201" i="61"/>
  <c r="AP201" i="61"/>
  <c r="AL201" i="61"/>
  <c r="AP207" i="61"/>
  <c r="AL207" i="61"/>
  <c r="AO207" i="61"/>
  <c r="AQ207" i="61"/>
  <c r="AL362" i="61"/>
  <c r="AQ362" i="61"/>
  <c r="AO362" i="61"/>
  <c r="AS324" i="61"/>
  <c r="AQ221" i="61"/>
  <c r="AP221" i="61"/>
  <c r="AL221" i="61"/>
  <c r="AO221" i="61"/>
  <c r="AI221" i="61"/>
  <c r="AS221" i="61" s="1"/>
  <c r="AP324" i="61"/>
  <c r="AQ324" i="61"/>
  <c r="AO324" i="61"/>
  <c r="AL324" i="61"/>
  <c r="AO269" i="61"/>
  <c r="AL366" i="61"/>
  <c r="AS157" i="61"/>
  <c r="AS439" i="61"/>
  <c r="AL78" i="61"/>
  <c r="AP78" i="61"/>
  <c r="AO78" i="61"/>
  <c r="AI78" i="61"/>
  <c r="AS78" i="61" s="1"/>
  <c r="AQ58" i="61"/>
  <c r="AP58" i="61"/>
  <c r="AP265" i="61"/>
  <c r="AQ265" i="61"/>
  <c r="AI265" i="61"/>
  <c r="AL265" i="61"/>
  <c r="AP320" i="61"/>
  <c r="AI320" i="61"/>
  <c r="AQ194" i="61"/>
  <c r="AI194" i="61"/>
  <c r="AO499" i="61"/>
  <c r="AQ499" i="61"/>
  <c r="AL499" i="61"/>
  <c r="AO223" i="61"/>
  <c r="AP223" i="61"/>
  <c r="AL223" i="61"/>
  <c r="AQ223" i="61"/>
  <c r="AI223" i="61"/>
  <c r="AS223" i="61" s="1"/>
  <c r="AQ128" i="61"/>
  <c r="AL128" i="61"/>
  <c r="AP243" i="61"/>
  <c r="AL243" i="61"/>
  <c r="AQ457" i="61"/>
  <c r="AO457" i="61"/>
  <c r="AL457" i="61"/>
  <c r="AI457" i="61"/>
  <c r="AP317" i="61"/>
  <c r="AO317" i="61"/>
  <c r="AL61" i="61"/>
  <c r="AQ61" i="61"/>
  <c r="AP88" i="61"/>
  <c r="AI88" i="61"/>
  <c r="AS88" i="61" s="1"/>
  <c r="AO88" i="61"/>
  <c r="AL380" i="61"/>
  <c r="AQ422" i="61"/>
  <c r="AI422" i="61"/>
  <c r="AO422" i="61"/>
  <c r="AL365" i="61"/>
  <c r="AP365" i="61"/>
  <c r="AI365" i="61"/>
  <c r="AO365" i="61"/>
  <c r="AO347" i="61"/>
  <c r="AI347" i="61"/>
  <c r="AQ347" i="61"/>
  <c r="AP500" i="61"/>
  <c r="AI500" i="61"/>
  <c r="AI341" i="61"/>
  <c r="AP341" i="61"/>
  <c r="AQ341" i="61"/>
  <c r="AL290" i="61"/>
  <c r="AO290" i="61"/>
  <c r="AL287" i="61"/>
  <c r="AP287" i="61"/>
  <c r="AO354" i="61"/>
  <c r="AL354" i="61"/>
  <c r="AI266" i="61"/>
  <c r="AS266" i="61" s="1"/>
  <c r="AP266" i="61"/>
  <c r="AO344" i="61"/>
  <c r="AL344" i="61"/>
  <c r="AQ344" i="61"/>
  <c r="AS102" i="61"/>
  <c r="AQ157" i="61"/>
  <c r="AL157" i="61"/>
  <c r="AL80" i="61"/>
  <c r="AQ80" i="61"/>
  <c r="AO80" i="61"/>
  <c r="AM495" i="61"/>
  <c r="AJ495" i="61"/>
  <c r="AQ131" i="61"/>
  <c r="AJ94" i="61"/>
  <c r="AI94" i="61"/>
  <c r="AM94" i="61"/>
  <c r="AL87" i="61"/>
  <c r="AP38" i="61"/>
  <c r="AO240" i="61"/>
  <c r="AP240" i="61"/>
  <c r="AQ240" i="61"/>
  <c r="AO144" i="61"/>
  <c r="AP144" i="61"/>
  <c r="AL342" i="61"/>
  <c r="AI342" i="61"/>
  <c r="AS342" i="61" s="1"/>
  <c r="AP342" i="61"/>
  <c r="AQ342" i="61"/>
  <c r="AJ512" i="61"/>
  <c r="AM512" i="61"/>
  <c r="AM501" i="61"/>
  <c r="AJ501" i="61"/>
  <c r="AJ459" i="61"/>
  <c r="AM459" i="61"/>
  <c r="AI459" i="61"/>
  <c r="AE448" i="61"/>
  <c r="AO448" i="61" s="1"/>
  <c r="AD448" i="61"/>
  <c r="AJ443" i="61"/>
  <c r="AM443" i="61"/>
  <c r="AJ441" i="61"/>
  <c r="AM441" i="61"/>
  <c r="AD394" i="61"/>
  <c r="AE394" i="61"/>
  <c r="AP394" i="61" s="1"/>
  <c r="AD392" i="61"/>
  <c r="AE392" i="61"/>
  <c r="AP392" i="61" s="1"/>
  <c r="AD391" i="61"/>
  <c r="AE391" i="61"/>
  <c r="AE326" i="61"/>
  <c r="AD326" i="61"/>
  <c r="AM323" i="61"/>
  <c r="AJ323" i="61"/>
  <c r="AM322" i="61"/>
  <c r="AI322" i="61"/>
  <c r="AS322" i="61" s="1"/>
  <c r="AJ321" i="61"/>
  <c r="AM321" i="61"/>
  <c r="AJ211" i="61"/>
  <c r="AM211" i="61"/>
  <c r="AV209" i="61"/>
  <c r="AO425" i="61"/>
  <c r="AI425" i="61"/>
  <c r="AS425" i="61" s="1"/>
  <c r="AO84" i="61"/>
  <c r="AP134" i="61"/>
  <c r="AQ134" i="61"/>
  <c r="AL134" i="61"/>
  <c r="AQ268" i="61"/>
  <c r="AI268" i="61"/>
  <c r="AS268" i="61" s="1"/>
  <c r="AO268" i="61"/>
  <c r="AM420" i="61"/>
  <c r="AJ420" i="61"/>
  <c r="AJ419" i="61"/>
  <c r="AM419" i="61"/>
  <c r="AJ345" i="61"/>
  <c r="AM345" i="61"/>
  <c r="AJ344" i="61"/>
  <c r="AM344" i="61"/>
  <c r="AL241" i="61"/>
  <c r="AO241" i="61"/>
  <c r="AP241" i="61"/>
  <c r="AI241" i="61"/>
  <c r="AO377" i="61"/>
  <c r="AQ377" i="61"/>
  <c r="AP348" i="61"/>
  <c r="AO348" i="61"/>
  <c r="AQ348" i="61"/>
  <c r="AL280" i="61"/>
  <c r="AQ280" i="61"/>
  <c r="AP280" i="61"/>
  <c r="AO280" i="61"/>
  <c r="AL463" i="61"/>
  <c r="AQ463" i="61"/>
  <c r="AP463" i="61"/>
  <c r="AE423" i="61"/>
  <c r="AP423" i="61" s="1"/>
  <c r="AD423" i="61"/>
  <c r="AQ118" i="61"/>
  <c r="AP118" i="61"/>
  <c r="AP245" i="61"/>
  <c r="AL245" i="61"/>
  <c r="AQ177" i="61"/>
  <c r="AP177" i="61"/>
  <c r="AP400" i="61"/>
  <c r="AL400" i="61"/>
  <c r="AQ454" i="61"/>
  <c r="AL454" i="61"/>
  <c r="AP454" i="61"/>
  <c r="AM311" i="61"/>
  <c r="AJ311" i="61"/>
  <c r="AQ255" i="61"/>
  <c r="AP255" i="61"/>
  <c r="AO255" i="61"/>
  <c r="AJ232" i="61"/>
  <c r="AM232" i="61"/>
  <c r="AQ170" i="61"/>
  <c r="AL170" i="61"/>
  <c r="AD169" i="61"/>
  <c r="AE169" i="61"/>
  <c r="AL169" i="61" s="1"/>
  <c r="AD138" i="61"/>
  <c r="AJ122" i="61"/>
  <c r="AM122" i="61"/>
  <c r="AD106" i="61"/>
  <c r="AE106" i="61"/>
  <c r="AO106" i="61" s="1"/>
  <c r="AJ93" i="61"/>
  <c r="AM93" i="61"/>
  <c r="AV90" i="61"/>
  <c r="AO295" i="61"/>
  <c r="AP295" i="61"/>
  <c r="AI295" i="61"/>
  <c r="AI432" i="61"/>
  <c r="AQ432" i="61"/>
  <c r="AL514" i="61"/>
  <c r="AP514" i="61"/>
  <c r="AL120" i="61"/>
  <c r="AQ120" i="61"/>
  <c r="AP120" i="61"/>
  <c r="AM371" i="61"/>
  <c r="AJ371" i="61"/>
  <c r="AJ359" i="61"/>
  <c r="AM359" i="61"/>
  <c r="AI390" i="61"/>
  <c r="AS390" i="61" s="1"/>
  <c r="AO110" i="61"/>
  <c r="AQ110" i="61"/>
  <c r="AO179" i="61"/>
  <c r="AP220" i="61"/>
  <c r="AO220" i="61"/>
  <c r="AI311" i="61"/>
  <c r="AS311" i="61" s="1"/>
  <c r="AL311" i="61"/>
  <c r="AD436" i="61"/>
  <c r="AJ402" i="61"/>
  <c r="AM402" i="61"/>
  <c r="AJ167" i="61"/>
  <c r="AM167" i="61"/>
  <c r="AI74" i="61"/>
  <c r="AS74" i="61"/>
  <c r="AO74" i="61"/>
  <c r="AO41" i="61"/>
  <c r="AQ132" i="61"/>
  <c r="AI132" i="61"/>
  <c r="AS132" i="61" s="1"/>
  <c r="AL132" i="61"/>
  <c r="AP132" i="61"/>
  <c r="AQ119" i="61"/>
  <c r="AL119" i="61"/>
  <c r="AP417" i="61"/>
  <c r="AO417" i="61"/>
  <c r="AL417" i="61"/>
  <c r="AO403" i="61"/>
  <c r="AL403" i="61"/>
  <c r="AI403" i="61"/>
  <c r="AQ403" i="61"/>
  <c r="AJ395" i="61"/>
  <c r="AM395" i="61"/>
  <c r="AJ152" i="61"/>
  <c r="AM152" i="61"/>
  <c r="AL86" i="61"/>
  <c r="AO86" i="61"/>
  <c r="AP86" i="61"/>
  <c r="AI165" i="61"/>
  <c r="AV484" i="61"/>
  <c r="AV483" i="61"/>
  <c r="AE264" i="61"/>
  <c r="AV393" i="61"/>
  <c r="AD305" i="61"/>
  <c r="AE305" i="61"/>
  <c r="AP305" i="61" s="1"/>
  <c r="AV132" i="61"/>
  <c r="AV476" i="61"/>
  <c r="AJ452" i="61"/>
  <c r="AM452" i="61"/>
  <c r="AE433" i="61"/>
  <c r="AD433" i="61"/>
  <c r="AV409" i="61"/>
  <c r="AV408" i="61"/>
  <c r="AJ339" i="61"/>
  <c r="AM339" i="61"/>
  <c r="AJ480" i="61"/>
  <c r="AE455" i="61"/>
  <c r="AV326" i="61"/>
  <c r="AJ176" i="61"/>
  <c r="AM176" i="61"/>
  <c r="AV456" i="61"/>
  <c r="AV394" i="61"/>
  <c r="AJ377" i="61"/>
  <c r="AV359" i="61"/>
  <c r="AI319" i="61"/>
  <c r="AS319" i="61" s="1"/>
  <c r="AV302" i="61"/>
  <c r="AV280" i="61"/>
  <c r="AV38" i="61"/>
  <c r="AV455" i="61"/>
  <c r="AV447" i="61"/>
  <c r="AV415" i="61"/>
  <c r="AV343" i="61"/>
  <c r="AV340" i="61"/>
  <c r="AM295" i="61"/>
  <c r="AV248" i="61"/>
  <c r="AV191" i="61"/>
  <c r="AD190" i="61"/>
  <c r="AJ393" i="61"/>
  <c r="AV369" i="61"/>
  <c r="AV245" i="61"/>
  <c r="AV243" i="61"/>
  <c r="AE139" i="61"/>
  <c r="AI485" i="61"/>
  <c r="AS485" i="61" s="1"/>
  <c r="AV107" i="61"/>
  <c r="AV355" i="61"/>
  <c r="AE345" i="61"/>
  <c r="AV330" i="61"/>
  <c r="AV325" i="61"/>
  <c r="AV295" i="61"/>
  <c r="AV98" i="61"/>
  <c r="AV87" i="61"/>
  <c r="AV345" i="61"/>
  <c r="AI334" i="61"/>
  <c r="AV254" i="61"/>
  <c r="AI253" i="61"/>
  <c r="AS253" i="61" s="1"/>
  <c r="AV193" i="61"/>
  <c r="AI174" i="61"/>
  <c r="AS174" i="61" s="1"/>
  <c r="AV162" i="61"/>
  <c r="AV321" i="61"/>
  <c r="AV249" i="61"/>
  <c r="AV111" i="61"/>
  <c r="AV85" i="61"/>
  <c r="AV67" i="61"/>
  <c r="AP388" i="61"/>
  <c r="AL388" i="61"/>
  <c r="AO479" i="61"/>
  <c r="AP479" i="61"/>
  <c r="AS229" i="61"/>
  <c r="AO437" i="61"/>
  <c r="AI437" i="61"/>
  <c r="AL437" i="61"/>
  <c r="AP437" i="61"/>
  <c r="AQ203" i="61"/>
  <c r="AL203" i="61"/>
  <c r="AO203" i="61"/>
  <c r="AP203" i="61"/>
  <c r="AS231" i="61"/>
  <c r="AQ388" i="61"/>
  <c r="AO435" i="61"/>
  <c r="AP130" i="61"/>
  <c r="AI480" i="61"/>
  <c r="AS480" i="61" s="1"/>
  <c r="AO480" i="61"/>
  <c r="AL480" i="61"/>
  <c r="AQ480" i="61"/>
  <c r="AS115" i="61"/>
  <c r="AS320" i="61"/>
  <c r="AS287" i="61"/>
  <c r="AS250" i="61"/>
  <c r="AL189" i="61"/>
  <c r="AO189" i="61"/>
  <c r="AQ189" i="61"/>
  <c r="AP189" i="61"/>
  <c r="AO52" i="61"/>
  <c r="AQ482" i="61"/>
  <c r="AP482" i="61"/>
  <c r="AL482" i="61"/>
  <c r="AL171" i="61"/>
  <c r="AQ191" i="61"/>
  <c r="AL191" i="61"/>
  <c r="AP191" i="61"/>
  <c r="AP428" i="61"/>
  <c r="AQ428" i="61"/>
  <c r="AI251" i="61"/>
  <c r="AL251" i="61"/>
  <c r="AP251" i="61"/>
  <c r="AQ251" i="61"/>
  <c r="AO251" i="61"/>
  <c r="AO235" i="61"/>
  <c r="AI235" i="61"/>
  <c r="AS235" i="61" s="1"/>
  <c r="AL235" i="61"/>
  <c r="AL368" i="61"/>
  <c r="AP368" i="61"/>
  <c r="AI368" i="61"/>
  <c r="AO381" i="61"/>
  <c r="AI381" i="61"/>
  <c r="AS381" i="61" s="1"/>
  <c r="AP381" i="61"/>
  <c r="AL381" i="61"/>
  <c r="AP271" i="61"/>
  <c r="AL271" i="61"/>
  <c r="AQ271" i="61"/>
  <c r="AI271" i="61"/>
  <c r="AI210" i="61"/>
  <c r="AS210" i="61" s="1"/>
  <c r="AO210" i="61"/>
  <c r="AQ210" i="61"/>
  <c r="AL210" i="61"/>
  <c r="AQ279" i="61"/>
  <c r="AI279" i="61"/>
  <c r="AO279" i="61"/>
  <c r="AL279" i="61"/>
  <c r="AP279" i="61"/>
  <c r="AO43" i="61"/>
  <c r="AI397" i="61"/>
  <c r="AP397" i="61"/>
  <c r="AQ478" i="61"/>
  <c r="AL478" i="61"/>
  <c r="AI379" i="61"/>
  <c r="AQ379" i="61"/>
  <c r="AI60" i="61"/>
  <c r="AS60" i="61" s="1"/>
  <c r="AI117" i="61"/>
  <c r="AL117" i="61"/>
  <c r="AO117" i="61"/>
  <c r="AQ117" i="61"/>
  <c r="AP117" i="61"/>
  <c r="AP347" i="61"/>
  <c r="AI73" i="61"/>
  <c r="AS73" i="61" s="1"/>
  <c r="AL73" i="61"/>
  <c r="AP73" i="61"/>
  <c r="AD491" i="61"/>
  <c r="AE491" i="61"/>
  <c r="AQ491" i="61" s="1"/>
  <c r="AE421" i="61"/>
  <c r="AI421" i="61" s="1"/>
  <c r="AD421" i="61"/>
  <c r="AM388" i="61"/>
  <c r="AJ388" i="61"/>
  <c r="AD318" i="61"/>
  <c r="AE318" i="61"/>
  <c r="AM210" i="61"/>
  <c r="AJ210" i="61"/>
  <c r="AO359" i="61"/>
  <c r="AQ359" i="61"/>
  <c r="AL359" i="61"/>
  <c r="AI359" i="61"/>
  <c r="AS359" i="61"/>
  <c r="AQ296" i="61"/>
  <c r="AI296" i="61"/>
  <c r="AS296" i="61" s="1"/>
  <c r="AO296" i="61"/>
  <c r="AL296" i="61"/>
  <c r="AL137" i="61"/>
  <c r="AI137" i="61"/>
  <c r="AS137" i="61" s="1"/>
  <c r="AP261" i="61"/>
  <c r="AQ261" i="61"/>
  <c r="AL261" i="61"/>
  <c r="AL142" i="61"/>
  <c r="AO142" i="61"/>
  <c r="AL155" i="61"/>
  <c r="AI155" i="61"/>
  <c r="AP155" i="61"/>
  <c r="AO155" i="61"/>
  <c r="AL218" i="61"/>
  <c r="AQ218" i="61"/>
  <c r="AO218" i="61"/>
  <c r="AP218" i="61"/>
  <c r="AQ311" i="61"/>
  <c r="AP311" i="61"/>
  <c r="AO311" i="61"/>
  <c r="AP377" i="61"/>
  <c r="AL377" i="61"/>
  <c r="AL72" i="61"/>
  <c r="AP354" i="61"/>
  <c r="AI354" i="61"/>
  <c r="AS354" i="61"/>
  <c r="AP164" i="61"/>
  <c r="AO164" i="61"/>
  <c r="AQ164" i="61"/>
  <c r="AL164" i="61"/>
  <c r="AI107" i="61"/>
  <c r="AL107" i="61"/>
  <c r="AP107" i="61"/>
  <c r="AQ107" i="61"/>
  <c r="AO107" i="61"/>
  <c r="AP237" i="61"/>
  <c r="AQ237" i="61"/>
  <c r="AL237" i="61"/>
  <c r="AO356" i="61"/>
  <c r="AO272" i="61"/>
  <c r="AI272" i="61"/>
  <c r="AP272" i="61"/>
  <c r="AI66" i="61"/>
  <c r="AP147" i="61"/>
  <c r="AI147" i="61"/>
  <c r="AS147" i="61" s="1"/>
  <c r="AL147" i="61"/>
  <c r="AQ147" i="61"/>
  <c r="AO285" i="61"/>
  <c r="AI152" i="61"/>
  <c r="AS152" i="61" s="1"/>
  <c r="AL152" i="61"/>
  <c r="AL348" i="61"/>
  <c r="AO180" i="61"/>
  <c r="AQ180" i="61"/>
  <c r="AO147" i="61"/>
  <c r="AL180" i="61"/>
  <c r="AL508" i="61"/>
  <c r="AI177" i="61"/>
  <c r="AS177" i="61" s="1"/>
  <c r="AO131" i="61"/>
  <c r="AS162" i="61"/>
  <c r="AI333" i="61"/>
  <c r="AS333" i="61" s="1"/>
  <c r="AE288" i="61"/>
  <c r="AD288" i="61"/>
  <c r="AI180" i="61"/>
  <c r="AI154" i="61"/>
  <c r="AS154" i="61" s="1"/>
  <c r="AO154" i="61"/>
  <c r="AQ152" i="61"/>
  <c r="AO177" i="61"/>
  <c r="AP268" i="61"/>
  <c r="AL268" i="61"/>
  <c r="AL433" i="61"/>
  <c r="AO308" i="61"/>
  <c r="AP152" i="61"/>
  <c r="AI31" i="61"/>
  <c r="AS31" i="61" s="1"/>
  <c r="AL285" i="61"/>
  <c r="AP202" i="61"/>
  <c r="AL197" i="61"/>
  <c r="AO197" i="61"/>
  <c r="AI93" i="61"/>
  <c r="AE495" i="61"/>
  <c r="AD495" i="61"/>
  <c r="AQ424" i="61"/>
  <c r="AO424" i="61"/>
  <c r="AM478" i="61"/>
  <c r="AE389" i="61"/>
  <c r="AD389" i="61"/>
  <c r="AI514" i="61"/>
  <c r="AI218" i="61"/>
  <c r="AE25" i="61"/>
  <c r="AI460" i="61"/>
  <c r="AD476" i="61"/>
  <c r="AE476" i="61"/>
  <c r="AL476" i="61" s="1"/>
  <c r="AI219" i="61"/>
  <c r="AL219" i="61"/>
  <c r="AO423" i="61"/>
  <c r="AL423" i="61"/>
  <c r="AJ233" i="61"/>
  <c r="AM233" i="61"/>
  <c r="AJ199" i="61"/>
  <c r="AM199" i="61"/>
  <c r="AM159" i="61"/>
  <c r="AJ159" i="61"/>
  <c r="AJ77" i="61"/>
  <c r="AM77" i="61"/>
  <c r="AV496" i="61"/>
  <c r="AJ447" i="61"/>
  <c r="AI327" i="61"/>
  <c r="AD292" i="61"/>
  <c r="AE292" i="61"/>
  <c r="AE181" i="61"/>
  <c r="AP181" i="61" s="1"/>
  <c r="AD181" i="61"/>
  <c r="AD450" i="61"/>
  <c r="AI128" i="61"/>
  <c r="AS128" i="61" s="1"/>
  <c r="AE323" i="61"/>
  <c r="AL323" i="61" s="1"/>
  <c r="AO323" i="61"/>
  <c r="AD323" i="61"/>
  <c r="AI305" i="61"/>
  <c r="AD153" i="61"/>
  <c r="AE153" i="61"/>
  <c r="AM425" i="61"/>
  <c r="AJ425" i="61"/>
  <c r="AM83" i="61"/>
  <c r="AJ83" i="61"/>
  <c r="AV256" i="61"/>
  <c r="AJ189" i="61"/>
  <c r="AV94" i="61"/>
  <c r="AV68" i="61"/>
  <c r="AD55" i="61"/>
  <c r="AH55" i="61" s="1"/>
  <c r="AD37" i="61"/>
  <c r="AE37" i="61"/>
  <c r="AP37" i="61" s="1"/>
  <c r="AI87" i="61"/>
  <c r="AM463" i="61"/>
  <c r="AM410" i="61"/>
  <c r="AM360" i="61"/>
  <c r="AJ360" i="61"/>
  <c r="AV269" i="61"/>
  <c r="AI170" i="61"/>
  <c r="AV141" i="61"/>
  <c r="AV438" i="61"/>
  <c r="AE187" i="61"/>
  <c r="AL187" i="61" s="1"/>
  <c r="AD187" i="61"/>
  <c r="AI156" i="61"/>
  <c r="AS156" i="61" s="1"/>
  <c r="AV144" i="61"/>
  <c r="AV467" i="61"/>
  <c r="AV274" i="61"/>
  <c r="AV244" i="61"/>
  <c r="AE228" i="61"/>
  <c r="AQ228" i="61" s="1"/>
  <c r="AD228" i="61"/>
  <c r="AV195" i="61"/>
  <c r="AV178" i="61"/>
  <c r="AV333" i="61"/>
  <c r="AV292" i="61"/>
  <c r="AV71" i="61"/>
  <c r="AV303" i="61"/>
  <c r="AV160" i="61"/>
  <c r="AS432" i="61"/>
  <c r="AL215" i="61"/>
  <c r="AO215" i="61"/>
  <c r="AQ215" i="61"/>
  <c r="AQ433" i="61"/>
  <c r="AS459" i="61"/>
  <c r="AS165" i="61"/>
  <c r="AQ169" i="61"/>
  <c r="AO169" i="61"/>
  <c r="AI423" i="61"/>
  <c r="AS423" i="61" s="1"/>
  <c r="AQ423" i="61"/>
  <c r="AS241" i="61"/>
  <c r="AS509" i="61"/>
  <c r="AQ275" i="61"/>
  <c r="AL275" i="61"/>
  <c r="AO316" i="61"/>
  <c r="AI316" i="61"/>
  <c r="AS316" i="61" s="1"/>
  <c r="AP316" i="61"/>
  <c r="AS159" i="61"/>
  <c r="AO305" i="61"/>
  <c r="AP264" i="61"/>
  <c r="AS403" i="61"/>
  <c r="AS194" i="61"/>
  <c r="AQ106" i="61"/>
  <c r="AP106" i="61"/>
  <c r="AL326" i="61"/>
  <c r="AP326" i="61"/>
  <c r="AO326" i="61"/>
  <c r="AQ326" i="61"/>
  <c r="AI326" i="61"/>
  <c r="AS341" i="61"/>
  <c r="AS365" i="61"/>
  <c r="AI209" i="61"/>
  <c r="AS209" i="61" s="1"/>
  <c r="AL209" i="61"/>
  <c r="AP209" i="61"/>
  <c r="AQ209" i="61"/>
  <c r="AI345" i="61"/>
  <c r="AQ345" i="61"/>
  <c r="AL345" i="61"/>
  <c r="AQ139" i="61"/>
  <c r="AQ394" i="61"/>
  <c r="AQ448" i="61"/>
  <c r="AQ276" i="61"/>
  <c r="AO276" i="61"/>
  <c r="AL276" i="61"/>
  <c r="AI276" i="61"/>
  <c r="AP276" i="61"/>
  <c r="AS500" i="61"/>
  <c r="AS347" i="61"/>
  <c r="AS265" i="61"/>
  <c r="AS442" i="61"/>
  <c r="AS308" i="61"/>
  <c r="AS279" i="61"/>
  <c r="AS460" i="61"/>
  <c r="AS117" i="61"/>
  <c r="AO187" i="61"/>
  <c r="AP187" i="61"/>
  <c r="AI187" i="61"/>
  <c r="AO495" i="61"/>
  <c r="AL495" i="61"/>
  <c r="AP495" i="61"/>
  <c r="AQ495" i="61"/>
  <c r="AP318" i="61"/>
  <c r="AL421" i="61"/>
  <c r="AO421" i="61"/>
  <c r="AO181" i="61"/>
  <c r="AI181" i="61"/>
  <c r="AS181" i="61" s="1"/>
  <c r="AO491" i="61"/>
  <c r="AS218" i="61"/>
  <c r="AL228" i="61"/>
  <c r="AI228" i="61"/>
  <c r="AS228" i="61" s="1"/>
  <c r="AP153" i="61"/>
  <c r="AI153" i="61"/>
  <c r="AS153" i="61" s="1"/>
  <c r="AS155" i="61"/>
  <c r="AS189" i="61"/>
  <c r="AS437" i="61"/>
  <c r="AI323" i="61"/>
  <c r="AQ323" i="61"/>
  <c r="AQ292" i="61"/>
  <c r="AO292" i="61"/>
  <c r="AS272" i="61"/>
  <c r="AS203" i="61"/>
  <c r="AS215" i="61"/>
  <c r="AS187" i="61"/>
  <c r="T18" i="63"/>
  <c r="T6" i="63"/>
  <c r="F20" i="63"/>
  <c r="F19" i="63"/>
  <c r="P20" i="63"/>
  <c r="P19" i="63"/>
  <c r="AP47" i="61"/>
  <c r="AL47" i="61"/>
  <c r="AO47" i="61"/>
  <c r="AP138" i="61"/>
  <c r="T13" i="63"/>
  <c r="L19" i="63"/>
  <c r="L20" i="63"/>
  <c r="U14" i="63"/>
  <c r="J19" i="63"/>
  <c r="J20" i="63"/>
  <c r="AS107" i="61"/>
  <c r="AP374" i="61"/>
  <c r="AL374" i="61"/>
  <c r="AQ374" i="61"/>
  <c r="AO374" i="61"/>
  <c r="AI374" i="61"/>
  <c r="AI224" i="61"/>
  <c r="AO224" i="61"/>
  <c r="AQ224" i="61"/>
  <c r="AL224" i="61"/>
  <c r="AP224" i="61"/>
  <c r="AM222" i="61"/>
  <c r="AJ222" i="61"/>
  <c r="AI222" i="61"/>
  <c r="AS222" i="61" s="1"/>
  <c r="AS379" i="61"/>
  <c r="AL490" i="61"/>
  <c r="AP490" i="61"/>
  <c r="AI490" i="61"/>
  <c r="AS490" i="61" s="1"/>
  <c r="AO490" i="61"/>
  <c r="AQ490" i="61"/>
  <c r="AD453" i="61"/>
  <c r="AE453" i="61"/>
  <c r="AD371" i="61"/>
  <c r="AE371" i="61"/>
  <c r="T8" i="63"/>
  <c r="T16" i="63"/>
  <c r="T11" i="63"/>
  <c r="O19" i="63"/>
  <c r="O20" i="63"/>
  <c r="K8" i="63"/>
  <c r="N8" i="63"/>
  <c r="Q8" i="63"/>
  <c r="U8" i="63"/>
  <c r="K16" i="63"/>
  <c r="N16" i="63"/>
  <c r="Q16" i="63"/>
  <c r="U16" i="63"/>
  <c r="U11" i="63"/>
  <c r="K11" i="63"/>
  <c r="N11" i="63"/>
  <c r="Q11" i="63"/>
  <c r="M19" i="63"/>
  <c r="M20" i="63"/>
  <c r="AS180" i="61"/>
  <c r="I19" i="63"/>
  <c r="U6" i="63"/>
  <c r="G19" i="63"/>
  <c r="G20" i="63"/>
  <c r="AS345" i="61"/>
  <c r="I20" i="63"/>
  <c r="AS514" i="61"/>
  <c r="AS93" i="61"/>
  <c r="AS472" i="61"/>
  <c r="AI336" i="61"/>
  <c r="AQ336" i="61"/>
  <c r="AL336" i="61"/>
  <c r="AO336" i="61"/>
  <c r="AP336" i="61"/>
  <c r="AE104" i="61"/>
  <c r="AP104" i="61" s="1"/>
  <c r="AD104" i="61"/>
  <c r="K14" i="63"/>
  <c r="N14" i="63"/>
  <c r="Q14" i="63"/>
  <c r="U13" i="63"/>
  <c r="AS219" i="61"/>
  <c r="AM207" i="61"/>
  <c r="AJ207" i="61"/>
  <c r="AI207" i="61"/>
  <c r="T14" i="63"/>
  <c r="T17" i="63"/>
  <c r="T7" i="63"/>
  <c r="U9" i="63"/>
  <c r="K9" i="63"/>
  <c r="N9" i="63"/>
  <c r="Q9" i="63"/>
  <c r="K17" i="63"/>
  <c r="N17" i="63"/>
  <c r="Q17" i="63"/>
  <c r="U17" i="63"/>
  <c r="U12" i="63"/>
  <c r="U7" i="63"/>
  <c r="U18" i="63"/>
  <c r="AI392" i="61"/>
  <c r="AS251" i="61"/>
  <c r="AP448" i="61"/>
  <c r="AI448" i="61"/>
  <c r="AS282" i="61"/>
  <c r="AQ376" i="61"/>
  <c r="AO376" i="61"/>
  <c r="AS168" i="61"/>
  <c r="AL141" i="61"/>
  <c r="AP141" i="61"/>
  <c r="AQ141" i="61"/>
  <c r="AI141" i="61"/>
  <c r="AS141" i="61" s="1"/>
  <c r="AI38" i="61"/>
  <c r="T12" i="63"/>
  <c r="U10" i="63"/>
  <c r="AO392" i="61"/>
  <c r="AL292" i="61"/>
  <c r="AP292" i="61"/>
  <c r="AL435" i="61"/>
  <c r="AQ435" i="61"/>
  <c r="AS326" i="61"/>
  <c r="AQ262" i="61"/>
  <c r="AP262" i="61"/>
  <c r="AL262" i="61"/>
  <c r="AO262" i="61"/>
  <c r="AS196" i="61"/>
  <c r="AP32" i="61"/>
  <c r="AQ32" i="61"/>
  <c r="AO32" i="61"/>
  <c r="AL32" i="61"/>
  <c r="T9" i="63"/>
  <c r="T15" i="63"/>
  <c r="U15" i="63"/>
  <c r="AS276" i="61"/>
  <c r="AS368" i="61"/>
  <c r="AS300" i="61"/>
  <c r="AS397" i="61"/>
  <c r="AO394" i="61"/>
  <c r="AL389" i="61"/>
  <c r="AI491" i="61"/>
  <c r="AS491" i="61" s="1"/>
  <c r="AI433" i="61"/>
  <c r="AP433" i="61"/>
  <c r="AO433" i="61"/>
  <c r="AS295" i="61"/>
  <c r="AO473" i="61"/>
  <c r="AQ473" i="61"/>
  <c r="AP473" i="61"/>
  <c r="AL473" i="61"/>
  <c r="AS87" i="61"/>
  <c r="AS305" i="61"/>
  <c r="AO345" i="61"/>
  <c r="AP345" i="61"/>
  <c r="AS422" i="61"/>
  <c r="AS97" i="61"/>
  <c r="AP349" i="61"/>
  <c r="AO349" i="61"/>
  <c r="AO438" i="61"/>
  <c r="AQ438" i="61"/>
  <c r="AI438" i="61"/>
  <c r="AS438" i="61" s="1"/>
  <c r="AL438" i="61"/>
  <c r="AS478" i="61"/>
  <c r="AS108" i="61"/>
  <c r="AP300" i="61"/>
  <c r="AL300" i="61"/>
  <c r="R19" i="63"/>
  <c r="AQ243" i="61"/>
  <c r="AI243" i="61"/>
  <c r="AO243" i="61"/>
  <c r="AI44" i="61"/>
  <c r="AS44" i="61" s="1"/>
  <c r="AQ321" i="61"/>
  <c r="AI321" i="61"/>
  <c r="AS321" i="61" s="1"/>
  <c r="AL88" i="61"/>
  <c r="AQ88" i="61"/>
  <c r="AS199" i="61"/>
  <c r="AI360" i="61"/>
  <c r="AS360" i="61" s="1"/>
  <c r="AQ360" i="61"/>
  <c r="AP360" i="61"/>
  <c r="AO360" i="61"/>
  <c r="AO233" i="61"/>
  <c r="AQ233" i="61"/>
  <c r="AL233" i="61"/>
  <c r="AP233" i="61"/>
  <c r="AI233" i="61"/>
  <c r="AS129" i="61"/>
  <c r="AS206" i="61"/>
  <c r="AS114" i="61"/>
  <c r="AS257" i="61"/>
  <c r="AP239" i="61"/>
  <c r="AQ239" i="61"/>
  <c r="AO239" i="61"/>
  <c r="AL239" i="61"/>
  <c r="AO329" i="61"/>
  <c r="AI329" i="61"/>
  <c r="AL329" i="61"/>
  <c r="AQ329" i="61"/>
  <c r="AD444" i="61"/>
  <c r="AE444" i="61"/>
  <c r="AI444" i="61" s="1"/>
  <c r="AP430" i="61"/>
  <c r="AQ430" i="61"/>
  <c r="AO430" i="61"/>
  <c r="AI428" i="61"/>
  <c r="AD386" i="61"/>
  <c r="AE386" i="61"/>
  <c r="AL386" i="61" s="1"/>
  <c r="AP286" i="61"/>
  <c r="AQ286" i="61"/>
  <c r="AE238" i="61"/>
  <c r="AD238" i="61"/>
  <c r="AP472" i="61"/>
  <c r="AL472" i="61"/>
  <c r="AS211" i="61"/>
  <c r="AQ405" i="61"/>
  <c r="AO431" i="61"/>
  <c r="AI431" i="61"/>
  <c r="AS431" i="61" s="1"/>
  <c r="AQ431" i="61"/>
  <c r="AP431" i="61"/>
  <c r="AP426" i="61"/>
  <c r="AO426" i="61"/>
  <c r="AD407" i="61"/>
  <c r="AE407" i="61"/>
  <c r="AL407" i="61" s="1"/>
  <c r="AM400" i="61"/>
  <c r="AJ400" i="61"/>
  <c r="AD384" i="61"/>
  <c r="AE384" i="61"/>
  <c r="AJ361" i="61"/>
  <c r="AM361" i="61"/>
  <c r="AD353" i="61"/>
  <c r="AE353" i="61"/>
  <c r="AD340" i="61"/>
  <c r="AE340" i="61"/>
  <c r="AM327" i="61"/>
  <c r="AJ327" i="61"/>
  <c r="AJ265" i="61"/>
  <c r="AM265" i="61"/>
  <c r="AI262" i="61"/>
  <c r="AS260" i="61"/>
  <c r="AO387" i="61"/>
  <c r="AI387" i="61"/>
  <c r="AQ387" i="61"/>
  <c r="AP387" i="61"/>
  <c r="AQ116" i="61"/>
  <c r="AP116" i="61"/>
  <c r="AI116" i="61"/>
  <c r="AO446" i="61"/>
  <c r="AI446" i="61"/>
  <c r="AS446" i="61" s="1"/>
  <c r="AL446" i="61"/>
  <c r="AP446" i="61"/>
  <c r="AQ446" i="61"/>
  <c r="AE497" i="61"/>
  <c r="AO497" i="61" s="1"/>
  <c r="AD497" i="61"/>
  <c r="AD441" i="61"/>
  <c r="AE441" i="61"/>
  <c r="AI441" i="61" s="1"/>
  <c r="AS441" i="61" s="1"/>
  <c r="AM427" i="61"/>
  <c r="AJ427" i="61"/>
  <c r="AI427" i="61"/>
  <c r="AS427" i="61" s="1"/>
  <c r="AQ411" i="61"/>
  <c r="AL411" i="61"/>
  <c r="AP411" i="61"/>
  <c r="AI122" i="61"/>
  <c r="AS122" i="61" s="1"/>
  <c r="AO122" i="61"/>
  <c r="AL122" i="61"/>
  <c r="AP122" i="61"/>
  <c r="AL369" i="61"/>
  <c r="AI369" i="61"/>
  <c r="AS369" i="61" s="1"/>
  <c r="AQ369" i="61"/>
  <c r="AO369" i="61"/>
  <c r="AP369" i="61"/>
  <c r="AO485" i="61"/>
  <c r="AP485" i="61"/>
  <c r="AL485" i="61"/>
  <c r="AQ485" i="61"/>
  <c r="AQ158" i="61"/>
  <c r="AP158" i="61"/>
  <c r="AO259" i="61"/>
  <c r="AQ259" i="61"/>
  <c r="AP259" i="61"/>
  <c r="AL418" i="61"/>
  <c r="AP418" i="61"/>
  <c r="AQ418" i="61"/>
  <c r="AQ307" i="61"/>
  <c r="AL307" i="61"/>
  <c r="AI307" i="61"/>
  <c r="AP257" i="61"/>
  <c r="AO257" i="61"/>
  <c r="AP489" i="61"/>
  <c r="AQ489" i="61"/>
  <c r="AO408" i="61"/>
  <c r="AP408" i="61"/>
  <c r="AO193" i="61"/>
  <c r="AI193" i="61"/>
  <c r="AJ406" i="61"/>
  <c r="AM406" i="61"/>
  <c r="AJ366" i="61"/>
  <c r="AM366" i="61"/>
  <c r="AJ318" i="61"/>
  <c r="AM318" i="61"/>
  <c r="AE313" i="61"/>
  <c r="AD313" i="61"/>
  <c r="AJ308" i="61"/>
  <c r="AM308" i="61"/>
  <c r="AD304" i="61"/>
  <c r="AE304" i="61"/>
  <c r="AL304" i="61" s="1"/>
  <c r="AD246" i="61"/>
  <c r="AE246" i="61"/>
  <c r="AO246" i="61" s="1"/>
  <c r="AV240" i="61"/>
  <c r="AI239" i="61"/>
  <c r="AS225" i="61"/>
  <c r="AL500" i="61"/>
  <c r="AQ500" i="61"/>
  <c r="AQ368" i="61"/>
  <c r="AO368" i="61"/>
  <c r="AI335" i="61"/>
  <c r="AO335" i="61"/>
  <c r="AQ294" i="61"/>
  <c r="AL294" i="61"/>
  <c r="AI294" i="61"/>
  <c r="AO294" i="61"/>
  <c r="AP250" i="61"/>
  <c r="AQ250" i="61"/>
  <c r="AP41" i="61"/>
  <c r="AQ41" i="61"/>
  <c r="AO39" i="61"/>
  <c r="AP39" i="61"/>
  <c r="AI39" i="61"/>
  <c r="AP110" i="61"/>
  <c r="AI110" i="61"/>
  <c r="AQ245" i="61"/>
  <c r="AO245" i="61"/>
  <c r="AL327" i="61"/>
  <c r="AQ327" i="61"/>
  <c r="AE501" i="61"/>
  <c r="AQ501" i="61" s="1"/>
  <c r="AD501" i="61"/>
  <c r="AD440" i="61"/>
  <c r="AE440" i="61"/>
  <c r="AP440" i="61" s="1"/>
  <c r="AM435" i="61"/>
  <c r="AJ435" i="61"/>
  <c r="AM350" i="61"/>
  <c r="AJ350" i="61"/>
  <c r="AI350" i="61"/>
  <c r="AE214" i="61"/>
  <c r="AD214" i="61"/>
  <c r="AQ338" i="61"/>
  <c r="AL338" i="61"/>
  <c r="AI338" i="61"/>
  <c r="AS338" i="61" s="1"/>
  <c r="AQ69" i="61"/>
  <c r="AO69" i="61"/>
  <c r="AP254" i="61"/>
  <c r="AQ254" i="61"/>
  <c r="AE486" i="61"/>
  <c r="AL486" i="61" s="1"/>
  <c r="AD486" i="61"/>
  <c r="AQ135" i="61"/>
  <c r="AP135" i="61"/>
  <c r="AO135" i="61"/>
  <c r="AI92" i="61"/>
  <c r="AL92" i="61"/>
  <c r="AP92" i="61"/>
  <c r="AO92" i="61"/>
  <c r="AL252" i="61"/>
  <c r="AP252" i="61"/>
  <c r="AO252" i="61"/>
  <c r="AQ252" i="61"/>
  <c r="AP459" i="61"/>
  <c r="AQ459" i="61"/>
  <c r="AM458" i="61"/>
  <c r="AI458" i="61"/>
  <c r="AI109" i="61"/>
  <c r="AQ109" i="61"/>
  <c r="AO173" i="61"/>
  <c r="AO119" i="61"/>
  <c r="AP119" i="61"/>
  <c r="AD393" i="61"/>
  <c r="AE393" i="61"/>
  <c r="AP393" i="61" s="1"/>
  <c r="AJ390" i="61"/>
  <c r="AM390" i="61"/>
  <c r="AJ355" i="61"/>
  <c r="AM355" i="61"/>
  <c r="AQ328" i="61"/>
  <c r="AP328" i="61"/>
  <c r="AD140" i="61"/>
  <c r="AE140" i="61"/>
  <c r="AJ114" i="61"/>
  <c r="AM114" i="61"/>
  <c r="AE103" i="61"/>
  <c r="AD103" i="61"/>
  <c r="AL133" i="61"/>
  <c r="AQ133" i="61"/>
  <c r="AO133" i="61"/>
  <c r="AO202" i="61"/>
  <c r="AL202" i="61"/>
  <c r="AL322" i="61"/>
  <c r="AO322" i="61"/>
  <c r="AD434" i="61"/>
  <c r="AE434" i="61"/>
  <c r="AP351" i="61"/>
  <c r="AO351" i="61"/>
  <c r="AO298" i="61"/>
  <c r="AL298" i="61"/>
  <c r="AP298" i="61"/>
  <c r="AQ298" i="61"/>
  <c r="AI298" i="61"/>
  <c r="AE289" i="61"/>
  <c r="AD289" i="61"/>
  <c r="AM287" i="61"/>
  <c r="AJ287" i="61"/>
  <c r="AL36" i="61"/>
  <c r="AI227" i="61"/>
  <c r="AJ450" i="61"/>
  <c r="AM450" i="61"/>
  <c r="AI426" i="61"/>
  <c r="AM416" i="61"/>
  <c r="AI414" i="61"/>
  <c r="AP413" i="61"/>
  <c r="AL413" i="61"/>
  <c r="AD410" i="61"/>
  <c r="AE410" i="61"/>
  <c r="AD315" i="61"/>
  <c r="AE315" i="61"/>
  <c r="AE306" i="61"/>
  <c r="AP306" i="61" s="1"/>
  <c r="AD306" i="61"/>
  <c r="AJ304" i="61"/>
  <c r="AM304" i="61"/>
  <c r="AE301" i="61"/>
  <c r="AL301" i="61" s="1"/>
  <c r="AD301" i="61"/>
  <c r="AP91" i="61"/>
  <c r="AL91" i="61"/>
  <c r="AI213" i="61"/>
  <c r="AS213" i="61" s="1"/>
  <c r="AD504" i="61"/>
  <c r="AE504" i="61"/>
  <c r="AP504" i="61" s="1"/>
  <c r="AD493" i="61"/>
  <c r="AE493" i="61"/>
  <c r="AV481" i="61"/>
  <c r="AD469" i="61"/>
  <c r="AE469" i="61"/>
  <c r="AI351" i="61"/>
  <c r="AS351" i="61" s="1"/>
  <c r="AI242" i="61"/>
  <c r="AV464" i="61"/>
  <c r="AV368" i="61"/>
  <c r="AV499" i="61"/>
  <c r="AV310" i="61"/>
  <c r="AJ269" i="61"/>
  <c r="AM269" i="61"/>
  <c r="AV253" i="61"/>
  <c r="AE192" i="61"/>
  <c r="AI192" i="61" s="1"/>
  <c r="AS192" i="61" s="1"/>
  <c r="AD192" i="61"/>
  <c r="AL123" i="61"/>
  <c r="AQ123" i="61"/>
  <c r="AV515" i="61"/>
  <c r="AV507" i="61"/>
  <c r="AV489" i="61"/>
  <c r="AE465" i="61"/>
  <c r="AQ465" i="61" s="1"/>
  <c r="AV451" i="61"/>
  <c r="AV114" i="61"/>
  <c r="AI150" i="61"/>
  <c r="AM462" i="61"/>
  <c r="AJ462" i="61"/>
  <c r="AV149" i="61"/>
  <c r="AV347" i="61"/>
  <c r="AI190" i="61"/>
  <c r="AS190" i="61" s="1"/>
  <c r="AV323" i="61"/>
  <c r="AV318" i="61"/>
  <c r="AV317" i="61"/>
  <c r="AD121" i="61"/>
  <c r="AE121" i="61"/>
  <c r="AO121" i="61" s="1"/>
  <c r="AI99" i="61"/>
  <c r="AS99" i="61" s="1"/>
  <c r="AI91" i="61"/>
  <c r="AS91" i="61" s="1"/>
  <c r="AV16" i="61"/>
  <c r="AV176" i="61"/>
  <c r="AV161" i="61"/>
  <c r="AV156" i="61"/>
  <c r="AI119" i="61"/>
  <c r="AV61" i="61"/>
  <c r="AV227" i="61"/>
  <c r="AV36" i="61"/>
  <c r="AE161" i="61"/>
  <c r="AI161" i="61" s="1"/>
  <c r="AS161" i="61" s="1"/>
  <c r="AE111" i="61"/>
  <c r="AP295" i="56"/>
  <c r="AP403" i="56"/>
  <c r="AI390" i="56"/>
  <c r="AL390" i="56"/>
  <c r="AM390" i="56"/>
  <c r="AN390" i="56"/>
  <c r="AI215" i="56"/>
  <c r="AM215" i="56"/>
  <c r="AN215" i="56"/>
  <c r="AP334" i="56"/>
  <c r="AP452" i="56"/>
  <c r="AN139" i="56"/>
  <c r="AM139" i="56"/>
  <c r="AI463" i="56"/>
  <c r="AN463" i="56"/>
  <c r="AL463" i="56"/>
  <c r="AM463" i="56"/>
  <c r="AP277" i="56"/>
  <c r="AB248" i="56"/>
  <c r="AA248" i="56"/>
  <c r="AJ243" i="56"/>
  <c r="AG243" i="56"/>
  <c r="AF243" i="56"/>
  <c r="AA43" i="56"/>
  <c r="AE43" i="56" s="1"/>
  <c r="AB43" i="56"/>
  <c r="AI43" i="56" s="1"/>
  <c r="AF350" i="56"/>
  <c r="AI350" i="56"/>
  <c r="AP216" i="56"/>
  <c r="AN326" i="56"/>
  <c r="AI326" i="56"/>
  <c r="AM326" i="56"/>
  <c r="AL326" i="56"/>
  <c r="AP392" i="56"/>
  <c r="AM300" i="56"/>
  <c r="AN300" i="56"/>
  <c r="AL300" i="56"/>
  <c r="AI300" i="56"/>
  <c r="AF301" i="56"/>
  <c r="AN301" i="56"/>
  <c r="AI301" i="56"/>
  <c r="AL301" i="56"/>
  <c r="AM301" i="56"/>
  <c r="AA504" i="56"/>
  <c r="AB504" i="56"/>
  <c r="AA355" i="56"/>
  <c r="AB355" i="56"/>
  <c r="AP323" i="56"/>
  <c r="AA316" i="56"/>
  <c r="AB316" i="56"/>
  <c r="AM316" i="56" s="1"/>
  <c r="AS268" i="56"/>
  <c r="AN256" i="56"/>
  <c r="AL256" i="56"/>
  <c r="AM256" i="56"/>
  <c r="AI256" i="56"/>
  <c r="AF256" i="56"/>
  <c r="AB34" i="56"/>
  <c r="AN30" i="56"/>
  <c r="AI30" i="56"/>
  <c r="AI107" i="56"/>
  <c r="AG473" i="56"/>
  <c r="AJ473" i="56"/>
  <c r="AF473" i="56"/>
  <c r="AG446" i="56"/>
  <c r="AJ446" i="56"/>
  <c r="AP440" i="56"/>
  <c r="AG436" i="56"/>
  <c r="AJ436" i="56"/>
  <c r="AA194" i="56"/>
  <c r="AE194" i="56" s="1"/>
  <c r="AB194" i="56"/>
  <c r="AJ159" i="56"/>
  <c r="AG159" i="56"/>
  <c r="AA155" i="56"/>
  <c r="AE155" i="56" s="1"/>
  <c r="AP244" i="56"/>
  <c r="AM151" i="56"/>
  <c r="AL151" i="56"/>
  <c r="AI151" i="56"/>
  <c r="AB433" i="56"/>
  <c r="AA433" i="56"/>
  <c r="AM77" i="56"/>
  <c r="AN77" i="56"/>
  <c r="AI444" i="56"/>
  <c r="AN444" i="56"/>
  <c r="AL444" i="56"/>
  <c r="AM444" i="56"/>
  <c r="AP365" i="56"/>
  <c r="AP263" i="56"/>
  <c r="AM127" i="56"/>
  <c r="AN127" i="56"/>
  <c r="AI127" i="56"/>
  <c r="AL74" i="56"/>
  <c r="AN74" i="56"/>
  <c r="AA434" i="56"/>
  <c r="AB434" i="56"/>
  <c r="AF409" i="56"/>
  <c r="AP409" i="56" s="1"/>
  <c r="AL409" i="56"/>
  <c r="AI409" i="56"/>
  <c r="AM409" i="56"/>
  <c r="AL452" i="56"/>
  <c r="AM452" i="56"/>
  <c r="AI452" i="56"/>
  <c r="AB445" i="56"/>
  <c r="AM445" i="56" s="1"/>
  <c r="AA445" i="56"/>
  <c r="AG435" i="56"/>
  <c r="AJ435" i="56"/>
  <c r="AF435" i="56"/>
  <c r="AB382" i="56"/>
  <c r="AI382" i="56" s="1"/>
  <c r="AA382" i="56"/>
  <c r="AP358" i="56"/>
  <c r="AJ356" i="56"/>
  <c r="AG356" i="56"/>
  <c r="AA327" i="56"/>
  <c r="AB327" i="56"/>
  <c r="AA182" i="56"/>
  <c r="AE182" i="56" s="1"/>
  <c r="AB182" i="56"/>
  <c r="AM283" i="56"/>
  <c r="AL283" i="56"/>
  <c r="AF283" i="56"/>
  <c r="AN283" i="56"/>
  <c r="AP481" i="56"/>
  <c r="AN285" i="56"/>
  <c r="AI285" i="56"/>
  <c r="AM307" i="56"/>
  <c r="AI307" i="56"/>
  <c r="AN307" i="56"/>
  <c r="AM261" i="56"/>
  <c r="AN261" i="56"/>
  <c r="AL261" i="56"/>
  <c r="AF261" i="56"/>
  <c r="AI261" i="56"/>
  <c r="AN459" i="56"/>
  <c r="AM459" i="56"/>
  <c r="AF459" i="56"/>
  <c r="AI459" i="56"/>
  <c r="AI133" i="56"/>
  <c r="AM133" i="56"/>
  <c r="AN133" i="56"/>
  <c r="AL133" i="56"/>
  <c r="AF215" i="56"/>
  <c r="AB210" i="56"/>
  <c r="AM210" i="56" s="1"/>
  <c r="AA210" i="56"/>
  <c r="AF204" i="56"/>
  <c r="AP204" i="56" s="1"/>
  <c r="AA202" i="56"/>
  <c r="AE202" i="56" s="1"/>
  <c r="AB202" i="56"/>
  <c r="AB185" i="56"/>
  <c r="AA185" i="56"/>
  <c r="AE185" i="56" s="1"/>
  <c r="AA164" i="56"/>
  <c r="AB164" i="56"/>
  <c r="AF162" i="56"/>
  <c r="AP162" i="56" s="1"/>
  <c r="AA161" i="56"/>
  <c r="AB161" i="56"/>
  <c r="AG157" i="56"/>
  <c r="AB146" i="56"/>
  <c r="AM146" i="56" s="1"/>
  <c r="AA146" i="56"/>
  <c r="AE146" i="56" s="1"/>
  <c r="AF479" i="56"/>
  <c r="AL479" i="56"/>
  <c r="AM479" i="56"/>
  <c r="AP361" i="56"/>
  <c r="AN229" i="56"/>
  <c r="AF229" i="56"/>
  <c r="AL229" i="56"/>
  <c r="AM228" i="56"/>
  <c r="AL228" i="56"/>
  <c r="AN228" i="56"/>
  <c r="AI228" i="56"/>
  <c r="AL341" i="56"/>
  <c r="AI341" i="56"/>
  <c r="AM341" i="56"/>
  <c r="AF341" i="56"/>
  <c r="AG266" i="56"/>
  <c r="AJ266" i="56"/>
  <c r="AG258" i="56"/>
  <c r="AJ258" i="56"/>
  <c r="AP415" i="56"/>
  <c r="AN189" i="56"/>
  <c r="AL309" i="56"/>
  <c r="AM309" i="56"/>
  <c r="AI309" i="56"/>
  <c r="AN309" i="56"/>
  <c r="AM33" i="56"/>
  <c r="AN33" i="56"/>
  <c r="AF33" i="56"/>
  <c r="AP33" i="56" s="1"/>
  <c r="AL482" i="56"/>
  <c r="AM482" i="56"/>
  <c r="AF482" i="56"/>
  <c r="AL361" i="56"/>
  <c r="AN361" i="56"/>
  <c r="AM361" i="56"/>
  <c r="AI361" i="56"/>
  <c r="AP369" i="56"/>
  <c r="AP391" i="56"/>
  <c r="AN356" i="56"/>
  <c r="AM356" i="56"/>
  <c r="AF356" i="56"/>
  <c r="AI356" i="56"/>
  <c r="AJ502" i="56"/>
  <c r="AG502" i="56"/>
  <c r="AF502" i="56"/>
  <c r="AG489" i="56"/>
  <c r="AJ489" i="56"/>
  <c r="AG487" i="56"/>
  <c r="AJ487" i="56"/>
  <c r="AB471" i="56"/>
  <c r="AN471" i="56"/>
  <c r="AA471" i="56"/>
  <c r="AF468" i="56"/>
  <c r="AJ434" i="56"/>
  <c r="AG434" i="56"/>
  <c r="AA421" i="56"/>
  <c r="AB421" i="56"/>
  <c r="AN408" i="56"/>
  <c r="AL408" i="56"/>
  <c r="AM408" i="56"/>
  <c r="AP252" i="56"/>
  <c r="AL284" i="56"/>
  <c r="AF284" i="56"/>
  <c r="AN284" i="56"/>
  <c r="AF393" i="56"/>
  <c r="AN393" i="56"/>
  <c r="AN501" i="56"/>
  <c r="AF501" i="56"/>
  <c r="AL404" i="56"/>
  <c r="AI404" i="56"/>
  <c r="AM404" i="56"/>
  <c r="AP508" i="56"/>
  <c r="AP427" i="56"/>
  <c r="AM292" i="56"/>
  <c r="AF292" i="56"/>
  <c r="AM249" i="56"/>
  <c r="AL249" i="56"/>
  <c r="AF249" i="56"/>
  <c r="AN249" i="56"/>
  <c r="AM225" i="56"/>
  <c r="AB268" i="56"/>
  <c r="AM268" i="56"/>
  <c r="AA268" i="56"/>
  <c r="AA262" i="56"/>
  <c r="AB262" i="56"/>
  <c r="AM262" i="56" s="1"/>
  <c r="AA219" i="56"/>
  <c r="AE219" i="56" s="1"/>
  <c r="AB219" i="56"/>
  <c r="AA36" i="56"/>
  <c r="AE36" i="56" s="1"/>
  <c r="AB36" i="56"/>
  <c r="AN36" i="56" s="1"/>
  <c r="AP352" i="56"/>
  <c r="AI311" i="56"/>
  <c r="AN311" i="56"/>
  <c r="AL166" i="56"/>
  <c r="AI357" i="56"/>
  <c r="AN357" i="56"/>
  <c r="AM357" i="56"/>
  <c r="AI427" i="56"/>
  <c r="AM427" i="56"/>
  <c r="AL427" i="56"/>
  <c r="AP414" i="56"/>
  <c r="AM329" i="56"/>
  <c r="AL142" i="56"/>
  <c r="AN142" i="56"/>
  <c r="AM114" i="56"/>
  <c r="AI114" i="56"/>
  <c r="AN114" i="56"/>
  <c r="AM39" i="56"/>
  <c r="AN39" i="56"/>
  <c r="AF39" i="56"/>
  <c r="AL109" i="56"/>
  <c r="AI90" i="56"/>
  <c r="AL90" i="56"/>
  <c r="AP484" i="56"/>
  <c r="AN451" i="56"/>
  <c r="AJ408" i="56"/>
  <c r="AG408" i="56"/>
  <c r="AJ390" i="56"/>
  <c r="AG390" i="56"/>
  <c r="AA282" i="56"/>
  <c r="AB282" i="56"/>
  <c r="AF282" i="56" s="1"/>
  <c r="AG280" i="56"/>
  <c r="AF280" i="56"/>
  <c r="AP271" i="56"/>
  <c r="AJ270" i="56"/>
  <c r="AG270" i="56"/>
  <c r="AB120" i="56"/>
  <c r="AM120" i="56" s="1"/>
  <c r="AA101" i="56"/>
  <c r="AB101" i="56"/>
  <c r="AL101" i="56" s="1"/>
  <c r="AI509" i="56"/>
  <c r="AM509" i="56"/>
  <c r="AN83" i="56"/>
  <c r="AM477" i="56"/>
  <c r="AF477" i="56"/>
  <c r="AP477" i="56" s="1"/>
  <c r="AN477" i="56"/>
  <c r="AP357" i="56"/>
  <c r="AL339" i="56"/>
  <c r="AM339" i="56"/>
  <c r="AN257" i="56"/>
  <c r="AM257" i="56"/>
  <c r="AP281" i="56"/>
  <c r="AL465" i="56"/>
  <c r="AN465" i="56"/>
  <c r="AI465" i="56"/>
  <c r="AF92" i="56"/>
  <c r="AP92" i="56" s="1"/>
  <c r="AB456" i="56"/>
  <c r="AM456" i="56"/>
  <c r="AA456" i="56"/>
  <c r="AG411" i="56"/>
  <c r="AJ411" i="56"/>
  <c r="AB317" i="56"/>
  <c r="AA317" i="56"/>
  <c r="AA306" i="56"/>
  <c r="AB306" i="56"/>
  <c r="AJ296" i="56"/>
  <c r="AG296" i="56"/>
  <c r="AF296" i="56"/>
  <c r="AF288" i="56"/>
  <c r="AG288" i="56"/>
  <c r="AM279" i="56"/>
  <c r="AL279" i="56"/>
  <c r="AB170" i="56"/>
  <c r="AL170" i="56" s="1"/>
  <c r="AA170" i="56"/>
  <c r="AE170" i="56" s="1"/>
  <c r="AA156" i="56"/>
  <c r="AE156" i="56" s="1"/>
  <c r="AB156" i="56"/>
  <c r="AL156" i="56" s="1"/>
  <c r="AA117" i="56"/>
  <c r="AE117" i="56" s="1"/>
  <c r="AB117" i="56"/>
  <c r="AL117" i="56" s="1"/>
  <c r="AI209" i="56"/>
  <c r="AL209" i="56"/>
  <c r="AL171" i="56"/>
  <c r="AF171" i="56"/>
  <c r="AP171" i="56" s="1"/>
  <c r="AM171" i="56"/>
  <c r="AL318" i="56"/>
  <c r="AN318" i="56"/>
  <c r="AM318" i="56"/>
  <c r="AI318" i="56"/>
  <c r="AI352" i="56"/>
  <c r="AM352" i="56"/>
  <c r="AN352" i="56"/>
  <c r="AP420" i="56"/>
  <c r="AN425" i="56"/>
  <c r="AI425" i="56"/>
  <c r="AF425" i="56"/>
  <c r="AF449" i="56"/>
  <c r="AL449" i="56"/>
  <c r="AM298" i="56"/>
  <c r="AN298" i="56"/>
  <c r="AI298" i="56"/>
  <c r="AL298" i="56"/>
  <c r="AM143" i="56"/>
  <c r="AL143" i="56"/>
  <c r="AI143" i="56"/>
  <c r="AA515" i="56"/>
  <c r="AB515" i="56"/>
  <c r="AM515" i="56"/>
  <c r="AA500" i="56"/>
  <c r="AB500" i="56"/>
  <c r="AG332" i="56"/>
  <c r="AJ332" i="56"/>
  <c r="AF332" i="56"/>
  <c r="AF167" i="56"/>
  <c r="AN252" i="56"/>
  <c r="AL252" i="56"/>
  <c r="AP354" i="56"/>
  <c r="AL435" i="56"/>
  <c r="AI435" i="56"/>
  <c r="AL440" i="56"/>
  <c r="AI440" i="56"/>
  <c r="AI502" i="56"/>
  <c r="AL502" i="56"/>
  <c r="AL193" i="56"/>
  <c r="AI177" i="56"/>
  <c r="AI204" i="56"/>
  <c r="AN204" i="56"/>
  <c r="AP308" i="56"/>
  <c r="AI141" i="56"/>
  <c r="AB314" i="56"/>
  <c r="AI314" i="56" s="1"/>
  <c r="AI291" i="56"/>
  <c r="AN291" i="56"/>
  <c r="AM367" i="56"/>
  <c r="AN367" i="56"/>
  <c r="AF319" i="56"/>
  <c r="AI319" i="56"/>
  <c r="AM319" i="56"/>
  <c r="AN296" i="56"/>
  <c r="AL296" i="56"/>
  <c r="AG494" i="56"/>
  <c r="AJ494" i="56"/>
  <c r="AJ486" i="56"/>
  <c r="AG486" i="56"/>
  <c r="AF444" i="56"/>
  <c r="AA431" i="56"/>
  <c r="AB431" i="56"/>
  <c r="AF429" i="56"/>
  <c r="AF418" i="56"/>
  <c r="AJ417" i="56"/>
  <c r="AG417" i="56"/>
  <c r="AA385" i="56"/>
  <c r="AS382" i="56"/>
  <c r="AJ381" i="56"/>
  <c r="AG381" i="56"/>
  <c r="AS379" i="56"/>
  <c r="AM324" i="56"/>
  <c r="AF324" i="56"/>
  <c r="AL324" i="56"/>
  <c r="AI324" i="56"/>
  <c r="AB231" i="56"/>
  <c r="AL231" i="56" s="1"/>
  <c r="AA231" i="56"/>
  <c r="AE231" i="56" s="1"/>
  <c r="AB221" i="56"/>
  <c r="AL221" i="56" s="1"/>
  <c r="AA221" i="56"/>
  <c r="AE221" i="56" s="1"/>
  <c r="AA108" i="56"/>
  <c r="AE108" i="56" s="1"/>
  <c r="AB108" i="56"/>
  <c r="AI383" i="56"/>
  <c r="AM383" i="56"/>
  <c r="AL383" i="56"/>
  <c r="AF383" i="56"/>
  <c r="AM253" i="56"/>
  <c r="AF253" i="56"/>
  <c r="AI253" i="56"/>
  <c r="AI152" i="56"/>
  <c r="AN152" i="56"/>
  <c r="AM152" i="56"/>
  <c r="AL152" i="56"/>
  <c r="AN397" i="56"/>
  <c r="AI397" i="56"/>
  <c r="AS513" i="56"/>
  <c r="AG492" i="56"/>
  <c r="AJ492" i="56"/>
  <c r="AF469" i="56"/>
  <c r="AL469" i="56"/>
  <c r="AI469" i="56"/>
  <c r="AG444" i="56"/>
  <c r="AJ444" i="56"/>
  <c r="AG441" i="56"/>
  <c r="AJ441" i="56"/>
  <c r="AA417" i="56"/>
  <c r="AB417" i="56"/>
  <c r="AA388" i="56"/>
  <c r="AB388" i="56"/>
  <c r="AM388" i="56" s="1"/>
  <c r="AB320" i="56"/>
  <c r="AA320" i="56"/>
  <c r="AJ318" i="56"/>
  <c r="AG318" i="56"/>
  <c r="AP315" i="56"/>
  <c r="AN303" i="56"/>
  <c r="AL303" i="56"/>
  <c r="AI303" i="56"/>
  <c r="AS287" i="56"/>
  <c r="AF287" i="56"/>
  <c r="AS282" i="56"/>
  <c r="AP251" i="56"/>
  <c r="AF250" i="56"/>
  <c r="AG250" i="56"/>
  <c r="AS248" i="56"/>
  <c r="AB237" i="56"/>
  <c r="AM237" i="56" s="1"/>
  <c r="AA237" i="56"/>
  <c r="AE237" i="56" s="1"/>
  <c r="AS219" i="56"/>
  <c r="AA196" i="56"/>
  <c r="AE196" i="56" s="1"/>
  <c r="AB196" i="56"/>
  <c r="AN196" i="56" s="1"/>
  <c r="AF142" i="56"/>
  <c r="AP142" i="56" s="1"/>
  <c r="AL325" i="56"/>
  <c r="AF325" i="56"/>
  <c r="AI373" i="56"/>
  <c r="AN373" i="56"/>
  <c r="AL369" i="56"/>
  <c r="AP450" i="56"/>
  <c r="AL287" i="56"/>
  <c r="AI287" i="56"/>
  <c r="AM287" i="56"/>
  <c r="AP337" i="56"/>
  <c r="AL126" i="56"/>
  <c r="AF278" i="56"/>
  <c r="AP367" i="56"/>
  <c r="AP380" i="56"/>
  <c r="AP497" i="56"/>
  <c r="AP331" i="56"/>
  <c r="AL276" i="56"/>
  <c r="AN276" i="56"/>
  <c r="AF276" i="56"/>
  <c r="AN271" i="56"/>
  <c r="AI271" i="56"/>
  <c r="AM112" i="56"/>
  <c r="AM150" i="56"/>
  <c r="AI150" i="56"/>
  <c r="AA341" i="56"/>
  <c r="AG389" i="56"/>
  <c r="AN496" i="56"/>
  <c r="AI496" i="56"/>
  <c r="AM496" i="56"/>
  <c r="AF496" i="56"/>
  <c r="AI494" i="56"/>
  <c r="AN494" i="56"/>
  <c r="AM494" i="56"/>
  <c r="AA476" i="56"/>
  <c r="AB476" i="56"/>
  <c r="AM476" i="56" s="1"/>
  <c r="AA446" i="56"/>
  <c r="AB446" i="56"/>
  <c r="AA438" i="56"/>
  <c r="AB438" i="56"/>
  <c r="AM438" i="56" s="1"/>
  <c r="AN438" i="56"/>
  <c r="AA432" i="56"/>
  <c r="AB432" i="56"/>
  <c r="AI432" i="56" s="1"/>
  <c r="AA424" i="56"/>
  <c r="AB424" i="56"/>
  <c r="AM412" i="56"/>
  <c r="AF412" i="56"/>
  <c r="AI412" i="56"/>
  <c r="AL401" i="56"/>
  <c r="AN401" i="56"/>
  <c r="AM401" i="56"/>
  <c r="AG370" i="56"/>
  <c r="AG319" i="56"/>
  <c r="AJ319" i="56"/>
  <c r="AS300" i="56"/>
  <c r="AF300" i="56"/>
  <c r="AA290" i="56"/>
  <c r="AB290" i="56"/>
  <c r="AM259" i="56"/>
  <c r="AL259" i="56"/>
  <c r="AI259" i="56"/>
  <c r="AN259" i="56"/>
  <c r="AA235" i="56"/>
  <c r="AF234" i="56"/>
  <c r="AA183" i="56"/>
  <c r="AE183" i="56" s="1"/>
  <c r="AB183" i="56"/>
  <c r="AA175" i="56"/>
  <c r="AE175" i="56" s="1"/>
  <c r="AA121" i="56"/>
  <c r="AE121" i="56" s="1"/>
  <c r="AB121" i="56"/>
  <c r="AM55" i="56"/>
  <c r="AF55" i="56"/>
  <c r="AL50" i="56"/>
  <c r="AN50" i="56"/>
  <c r="AI420" i="56"/>
  <c r="AL420" i="56"/>
  <c r="AM420" i="56"/>
  <c r="AL418" i="56"/>
  <c r="AN418" i="56"/>
  <c r="AI149" i="56"/>
  <c r="AN149" i="56"/>
  <c r="AL323" i="56"/>
  <c r="AM323" i="56"/>
  <c r="AF302" i="56"/>
  <c r="AN302" i="56"/>
  <c r="AM302" i="56"/>
  <c r="AL168" i="56"/>
  <c r="AI168" i="56"/>
  <c r="AF168" i="56"/>
  <c r="AL240" i="56"/>
  <c r="AF240" i="56"/>
  <c r="AP240" i="56" s="1"/>
  <c r="AI240" i="56"/>
  <c r="AM191" i="56"/>
  <c r="AI191" i="56"/>
  <c r="AL512" i="56"/>
  <c r="AJ480" i="56"/>
  <c r="AG480" i="56"/>
  <c r="AA461" i="56"/>
  <c r="AB461" i="56"/>
  <c r="AG445" i="56"/>
  <c r="AJ445" i="56"/>
  <c r="AJ431" i="56"/>
  <c r="AG431" i="56"/>
  <c r="AB430" i="56"/>
  <c r="AL430" i="56" s="1"/>
  <c r="AA430" i="56"/>
  <c r="AA428" i="56"/>
  <c r="AB428" i="56"/>
  <c r="AM428" i="56" s="1"/>
  <c r="AJ426" i="56"/>
  <c r="AG426" i="56"/>
  <c r="AF426" i="56"/>
  <c r="AS417" i="56"/>
  <c r="AF404" i="56"/>
  <c r="AG403" i="56"/>
  <c r="AJ403" i="56"/>
  <c r="AB364" i="56"/>
  <c r="AA364" i="56"/>
  <c r="AM235" i="56"/>
  <c r="AL235" i="56"/>
  <c r="AF235" i="56"/>
  <c r="AN207" i="56"/>
  <c r="AF207" i="56"/>
  <c r="AI181" i="56"/>
  <c r="AL181" i="56"/>
  <c r="AM176" i="56"/>
  <c r="AL176" i="56"/>
  <c r="AN176" i="56"/>
  <c r="AM175" i="56"/>
  <c r="AL175" i="56"/>
  <c r="AN175" i="56"/>
  <c r="AF175" i="56"/>
  <c r="AL136" i="56"/>
  <c r="AN136" i="56"/>
  <c r="AN102" i="56"/>
  <c r="AL102" i="56"/>
  <c r="AI102" i="56"/>
  <c r="AI52" i="56"/>
  <c r="AN52" i="56"/>
  <c r="AL52" i="56"/>
  <c r="AM52" i="56"/>
  <c r="AM218" i="56"/>
  <c r="AI236" i="56"/>
  <c r="AL236" i="56"/>
  <c r="AI365" i="56"/>
  <c r="AN365" i="56"/>
  <c r="AL365" i="56"/>
  <c r="AN406" i="56"/>
  <c r="AL406" i="56"/>
  <c r="AI67" i="56"/>
  <c r="AN62" i="56"/>
  <c r="AL62" i="56"/>
  <c r="AL82" i="56"/>
  <c r="AM82" i="56"/>
  <c r="AN254" i="56"/>
  <c r="AF254" i="56"/>
  <c r="AL163" i="56"/>
  <c r="AN163" i="56"/>
  <c r="AB514" i="56"/>
  <c r="AI514" i="56" s="1"/>
  <c r="AA514" i="56"/>
  <c r="AM506" i="56"/>
  <c r="AF506" i="56"/>
  <c r="AM497" i="56"/>
  <c r="AL497" i="56"/>
  <c r="AF487" i="56"/>
  <c r="AP487" i="56"/>
  <c r="AS481" i="56"/>
  <c r="AF454" i="56"/>
  <c r="AM454" i="56"/>
  <c r="AM395" i="56"/>
  <c r="AI395" i="56"/>
  <c r="AN395" i="56"/>
  <c r="AP394" i="56"/>
  <c r="AG388" i="56"/>
  <c r="AJ388" i="56"/>
  <c r="AS369" i="56"/>
  <c r="AB349" i="56"/>
  <c r="AF349" i="56" s="1"/>
  <c r="AA349" i="56"/>
  <c r="AF236" i="56"/>
  <c r="AF232" i="56"/>
  <c r="AN232" i="56"/>
  <c r="AM232" i="56"/>
  <c r="AI232" i="56"/>
  <c r="AL232" i="56"/>
  <c r="AA174" i="56"/>
  <c r="AE174" i="56" s="1"/>
  <c r="AB174" i="56"/>
  <c r="AB89" i="56"/>
  <c r="AN89" i="56" s="1"/>
  <c r="AS85" i="56"/>
  <c r="AN80" i="56"/>
  <c r="AI80" i="56"/>
  <c r="AM80" i="56"/>
  <c r="AM503" i="56"/>
  <c r="AL503" i="56"/>
  <c r="AN332" i="56"/>
  <c r="AM332" i="56"/>
  <c r="AN376" i="56"/>
  <c r="AF486" i="56"/>
  <c r="AM22" i="56"/>
  <c r="AI22" i="56"/>
  <c r="AL61" i="56"/>
  <c r="AN31" i="56"/>
  <c r="AF512" i="56"/>
  <c r="AI499" i="56"/>
  <c r="AN499" i="56"/>
  <c r="AF494" i="56"/>
  <c r="AN492" i="56"/>
  <c r="AF492" i="56"/>
  <c r="AA458" i="56"/>
  <c r="AB458" i="56"/>
  <c r="AL458" i="56" s="1"/>
  <c r="AF457" i="56"/>
  <c r="AP457" i="56" s="1"/>
  <c r="AF447" i="56"/>
  <c r="AL447" i="56"/>
  <c r="AM447" i="56"/>
  <c r="AN447" i="56"/>
  <c r="AJ437" i="56"/>
  <c r="AG437" i="56"/>
  <c r="AF436" i="56"/>
  <c r="AL436" i="56"/>
  <c r="AM436" i="56"/>
  <c r="AN436" i="56"/>
  <c r="AG420" i="56"/>
  <c r="AJ420" i="56"/>
  <c r="AJ409" i="56"/>
  <c r="AG409" i="56"/>
  <c r="AN407" i="56"/>
  <c r="AM407" i="56"/>
  <c r="AB405" i="56"/>
  <c r="AL405" i="56"/>
  <c r="AA405" i="56"/>
  <c r="AS390" i="56"/>
  <c r="AF390" i="56"/>
  <c r="AF347" i="56"/>
  <c r="AG324" i="56"/>
  <c r="AJ324" i="56"/>
  <c r="AL312" i="56"/>
  <c r="AI312" i="56"/>
  <c r="AM312" i="56"/>
  <c r="AF303" i="56"/>
  <c r="AN294" i="56"/>
  <c r="AI294" i="56"/>
  <c r="AL294" i="56"/>
  <c r="AJ289" i="56"/>
  <c r="AG289" i="56"/>
  <c r="AS285" i="56"/>
  <c r="AF285" i="56"/>
  <c r="AS262" i="56"/>
  <c r="AF225" i="56"/>
  <c r="AM195" i="56"/>
  <c r="AF195" i="56"/>
  <c r="AN195" i="56"/>
  <c r="AS194" i="56"/>
  <c r="AF186" i="56"/>
  <c r="AP186" i="56" s="1"/>
  <c r="AN115" i="56"/>
  <c r="AL115" i="56"/>
  <c r="AI42" i="56"/>
  <c r="AM42" i="56"/>
  <c r="AN42" i="56"/>
  <c r="AL42" i="56"/>
  <c r="AL245" i="56"/>
  <c r="AM245" i="56"/>
  <c r="AI375" i="56"/>
  <c r="AF375" i="56"/>
  <c r="AM375" i="56"/>
  <c r="AL56" i="56"/>
  <c r="AI354" i="56"/>
  <c r="AL354" i="56"/>
  <c r="AL360" i="56"/>
  <c r="AN360" i="56"/>
  <c r="AF360" i="56"/>
  <c r="AM387" i="56"/>
  <c r="AN387" i="56"/>
  <c r="AL513" i="56"/>
  <c r="AN513" i="56"/>
  <c r="AN153" i="56"/>
  <c r="AL153" i="56"/>
  <c r="AI153" i="56"/>
  <c r="AF515" i="56"/>
  <c r="AS503" i="56"/>
  <c r="AF503" i="56"/>
  <c r="AA483" i="56"/>
  <c r="AB483" i="56"/>
  <c r="AL483" i="56"/>
  <c r="AF475" i="56"/>
  <c r="AS473" i="56"/>
  <c r="AS419" i="56"/>
  <c r="AI414" i="56"/>
  <c r="AN414" i="56"/>
  <c r="AA411" i="56"/>
  <c r="AB411" i="56"/>
  <c r="AL411" i="56" s="1"/>
  <c r="AL363" i="56"/>
  <c r="AI363" i="56"/>
  <c r="AN363" i="56"/>
  <c r="AA338" i="56"/>
  <c r="AB338" i="56"/>
  <c r="AS335" i="56"/>
  <c r="AM333" i="56"/>
  <c r="AI333" i="56"/>
  <c r="AG295" i="56"/>
  <c r="AJ295" i="56"/>
  <c r="AL263" i="56"/>
  <c r="AM263" i="56"/>
  <c r="AI263" i="56"/>
  <c r="AA241" i="56"/>
  <c r="AE241" i="56" s="1"/>
  <c r="AB241" i="56"/>
  <c r="AM241" i="56" s="1"/>
  <c r="AA187" i="56"/>
  <c r="AE187" i="56" s="1"/>
  <c r="AB187" i="56"/>
  <c r="AG153" i="56"/>
  <c r="AJ153" i="56"/>
  <c r="AI28" i="56"/>
  <c r="AN28" i="56"/>
  <c r="AN288" i="56"/>
  <c r="AI288" i="56"/>
  <c r="AM251" i="56"/>
  <c r="AI251" i="56"/>
  <c r="AM144" i="56"/>
  <c r="AL144" i="56"/>
  <c r="AS483" i="56"/>
  <c r="AB464" i="56"/>
  <c r="AL464" i="56" s="1"/>
  <c r="AS445" i="56"/>
  <c r="AG366" i="56"/>
  <c r="AJ366" i="56"/>
  <c r="AJ335" i="56"/>
  <c r="AG335" i="56"/>
  <c r="AA322" i="56"/>
  <c r="AB322" i="56"/>
  <c r="AL322" i="56"/>
  <c r="AB299" i="56"/>
  <c r="AA299" i="56"/>
  <c r="AN273" i="56"/>
  <c r="AM273" i="56"/>
  <c r="AJ268" i="56"/>
  <c r="AG268" i="56"/>
  <c r="AB267" i="56"/>
  <c r="AA267" i="56"/>
  <c r="AA247" i="56"/>
  <c r="AB247" i="56"/>
  <c r="AM247" i="56" s="1"/>
  <c r="AS240" i="56"/>
  <c r="AF239" i="56"/>
  <c r="AG225" i="56"/>
  <c r="AF224" i="56"/>
  <c r="AP224" i="56" s="1"/>
  <c r="AA188" i="56"/>
  <c r="AE188" i="56" s="1"/>
  <c r="AB188" i="56"/>
  <c r="AB184" i="56"/>
  <c r="AI184" i="56" s="1"/>
  <c r="AA184" i="56"/>
  <c r="AS181" i="56"/>
  <c r="AA98" i="56"/>
  <c r="AE98" i="56" s="1"/>
  <c r="AB98" i="56"/>
  <c r="AI98" i="56" s="1"/>
  <c r="AS78" i="56"/>
  <c r="AS59" i="56"/>
  <c r="AA44" i="56"/>
  <c r="AE44" i="56" s="1"/>
  <c r="AB44" i="56"/>
  <c r="AM44" i="56" s="1"/>
  <c r="AB32" i="56"/>
  <c r="AM32" i="56" s="1"/>
  <c r="AN172" i="56"/>
  <c r="AM172" i="56"/>
  <c r="AL462" i="56"/>
  <c r="AM462" i="56"/>
  <c r="AL110" i="56"/>
  <c r="AF275" i="56"/>
  <c r="AB460" i="56"/>
  <c r="AM460" i="56" s="1"/>
  <c r="AA460" i="56"/>
  <c r="AJ346" i="56"/>
  <c r="AG346" i="56"/>
  <c r="AF344" i="56"/>
  <c r="AF312" i="56"/>
  <c r="AF307" i="56"/>
  <c r="AF286" i="56"/>
  <c r="AP286" i="56" s="1"/>
  <c r="AB227" i="56"/>
  <c r="AA227" i="56"/>
  <c r="AE227" i="56" s="1"/>
  <c r="AS443" i="56"/>
  <c r="AA413" i="56"/>
  <c r="AF326" i="56"/>
  <c r="AA255" i="56"/>
  <c r="AB255" i="56"/>
  <c r="AF255" i="56" s="1"/>
  <c r="AM255" i="56"/>
  <c r="AF408" i="56"/>
  <c r="AF279" i="56"/>
  <c r="AS276" i="56"/>
  <c r="AS138" i="56"/>
  <c r="AG341" i="56"/>
  <c r="AJ341" i="56"/>
  <c r="AS197" i="56"/>
  <c r="AA173" i="56"/>
  <c r="AE173" i="56" s="1"/>
  <c r="AB173" i="56"/>
  <c r="AI173" i="56" s="1"/>
  <c r="AA106" i="56"/>
  <c r="AE106" i="56" s="1"/>
  <c r="AF158" i="56"/>
  <c r="AP158" i="56" s="1"/>
  <c r="AQ192" i="61"/>
  <c r="AO192" i="61"/>
  <c r="AL192" i="61"/>
  <c r="AI301" i="61"/>
  <c r="AP301" i="61"/>
  <c r="AO301" i="61"/>
  <c r="AQ301" i="61"/>
  <c r="AS426" i="61"/>
  <c r="AS307" i="61"/>
  <c r="AO441" i="61"/>
  <c r="AL441" i="61"/>
  <c r="AQ340" i="61"/>
  <c r="AI340" i="61"/>
  <c r="AO340" i="61"/>
  <c r="AL340" i="61"/>
  <c r="AP340" i="61"/>
  <c r="AS227" i="61"/>
  <c r="AO393" i="61"/>
  <c r="AI393" i="61"/>
  <c r="AS393" i="61" s="1"/>
  <c r="AL393" i="61"/>
  <c r="AQ393" i="61"/>
  <c r="AS294" i="61"/>
  <c r="AL313" i="61"/>
  <c r="AO313" i="61"/>
  <c r="AP313" i="61"/>
  <c r="AQ313" i="61"/>
  <c r="AI313" i="61"/>
  <c r="AQ497" i="61"/>
  <c r="AP497" i="61"/>
  <c r="AL497" i="61"/>
  <c r="AS262" i="61"/>
  <c r="AS405" i="61"/>
  <c r="AS242" i="61"/>
  <c r="AO493" i="61"/>
  <c r="AP493" i="61"/>
  <c r="AQ493" i="61"/>
  <c r="AL493" i="61"/>
  <c r="AQ306" i="61"/>
  <c r="AL306" i="61"/>
  <c r="AQ440" i="61"/>
  <c r="AO440" i="61"/>
  <c r="AL440" i="61"/>
  <c r="AI440" i="61"/>
  <c r="AS440" i="61" s="1"/>
  <c r="AP246" i="61"/>
  <c r="AQ246" i="61"/>
  <c r="AI246" i="61"/>
  <c r="AS246" i="61" s="1"/>
  <c r="AQ386" i="61"/>
  <c r="AO386" i="61"/>
  <c r="AI386" i="61"/>
  <c r="AS386" i="61" s="1"/>
  <c r="AP386" i="61"/>
  <c r="AS329" i="61"/>
  <c r="AS243" i="61"/>
  <c r="AS448" i="61"/>
  <c r="AO104" i="61"/>
  <c r="AI104" i="61"/>
  <c r="AS104" i="61" s="1"/>
  <c r="AL104" i="61"/>
  <c r="AS374" i="61"/>
  <c r="AQ161" i="61"/>
  <c r="AO161" i="61"/>
  <c r="AL161" i="61"/>
  <c r="AP161" i="61"/>
  <c r="AS150" i="61"/>
  <c r="AS207" i="61"/>
  <c r="AO371" i="61"/>
  <c r="AI371" i="61"/>
  <c r="AQ371" i="61"/>
  <c r="AP371" i="61"/>
  <c r="AL371" i="61"/>
  <c r="AP121" i="61"/>
  <c r="AQ121" i="61"/>
  <c r="AL121" i="61"/>
  <c r="AI121" i="61"/>
  <c r="AS121" i="61" s="1"/>
  <c r="AL103" i="61"/>
  <c r="AO103" i="61"/>
  <c r="AP103" i="61"/>
  <c r="AQ103" i="61"/>
  <c r="AI103" i="61"/>
  <c r="AS458" i="61"/>
  <c r="AS92" i="61"/>
  <c r="AS350" i="61"/>
  <c r="AL501" i="61"/>
  <c r="AO501" i="61"/>
  <c r="AP501" i="61"/>
  <c r="AS335" i="61"/>
  <c r="AL315" i="61"/>
  <c r="AI315" i="61"/>
  <c r="AQ315" i="61"/>
  <c r="AO315" i="61"/>
  <c r="AP315" i="61"/>
  <c r="AS414" i="61"/>
  <c r="AS109" i="61"/>
  <c r="AQ486" i="61"/>
  <c r="AI486" i="61"/>
  <c r="AO486" i="61"/>
  <c r="AP486" i="61"/>
  <c r="AI407" i="61"/>
  <c r="AS407" i="61" s="1"/>
  <c r="AQ407" i="61"/>
  <c r="AO407" i="61"/>
  <c r="AP407" i="61"/>
  <c r="AP238" i="61"/>
  <c r="AL238" i="61"/>
  <c r="AO238" i="61"/>
  <c r="AI238" i="61"/>
  <c r="AQ238" i="61"/>
  <c r="AP444" i="61"/>
  <c r="AQ444" i="61"/>
  <c r="AL444" i="61"/>
  <c r="AL465" i="61"/>
  <c r="AP465" i="61"/>
  <c r="AL469" i="61"/>
  <c r="AI469" i="61"/>
  <c r="AS469" i="61" s="1"/>
  <c r="AP469" i="61"/>
  <c r="AO469" i="61"/>
  <c r="AQ469" i="61"/>
  <c r="AO504" i="61"/>
  <c r="AL504" i="61"/>
  <c r="AI504" i="61"/>
  <c r="AS504" i="61" s="1"/>
  <c r="AL214" i="61"/>
  <c r="AQ214" i="61"/>
  <c r="AP214" i="61"/>
  <c r="AO384" i="61"/>
  <c r="AP384" i="61"/>
  <c r="AL384" i="61"/>
  <c r="AQ384" i="61"/>
  <c r="AS38" i="61"/>
  <c r="AS392" i="61"/>
  <c r="AS433" i="61"/>
  <c r="AP453" i="61"/>
  <c r="AL453" i="61"/>
  <c r="AO453" i="61"/>
  <c r="AQ453" i="61"/>
  <c r="AO410" i="61"/>
  <c r="AL410" i="61"/>
  <c r="AP410" i="61"/>
  <c r="AQ410" i="61"/>
  <c r="AI410" i="61"/>
  <c r="AP289" i="61"/>
  <c r="AO289" i="61"/>
  <c r="AQ289" i="61"/>
  <c r="AL289" i="61"/>
  <c r="AQ434" i="61"/>
  <c r="AL434" i="61"/>
  <c r="AP434" i="61"/>
  <c r="AI434" i="61"/>
  <c r="AO434" i="61"/>
  <c r="AS387" i="61"/>
  <c r="AS428" i="61"/>
  <c r="AS336" i="61"/>
  <c r="AP111" i="61"/>
  <c r="AQ111" i="61"/>
  <c r="AL111" i="61"/>
  <c r="AI111" i="61"/>
  <c r="AS111" i="61" s="1"/>
  <c r="AO111" i="61"/>
  <c r="AS400" i="61"/>
  <c r="AS298" i="61"/>
  <c r="AL140" i="61"/>
  <c r="AQ140" i="61"/>
  <c r="AO140" i="61"/>
  <c r="AP140" i="61"/>
  <c r="AI140" i="61"/>
  <c r="AS239" i="61"/>
  <c r="AS116" i="61"/>
  <c r="AO353" i="61"/>
  <c r="AL353" i="61"/>
  <c r="AQ353" i="61"/>
  <c r="AI353" i="61"/>
  <c r="AP353" i="61"/>
  <c r="AS233" i="61"/>
  <c r="AS119" i="61"/>
  <c r="AS110" i="61"/>
  <c r="AS193" i="61"/>
  <c r="AS224" i="61"/>
  <c r="AF322" i="56"/>
  <c r="AI187" i="56"/>
  <c r="AM483" i="56"/>
  <c r="AN432" i="56"/>
  <c r="AM432" i="56"/>
  <c r="AL432" i="56"/>
  <c r="AF432" i="56"/>
  <c r="AN476" i="56"/>
  <c r="AP496" i="56"/>
  <c r="AP287" i="56"/>
  <c r="AL314" i="56"/>
  <c r="AP318" i="56"/>
  <c r="AM317" i="56"/>
  <c r="AP280" i="56"/>
  <c r="AI161" i="56"/>
  <c r="AL161" i="56"/>
  <c r="AN161" i="56"/>
  <c r="AF161" i="56"/>
  <c r="AP161" i="56" s="1"/>
  <c r="AM161" i="56"/>
  <c r="AL316" i="56"/>
  <c r="AI316" i="56"/>
  <c r="AF316" i="56"/>
  <c r="AN316" i="56"/>
  <c r="AM504" i="56"/>
  <c r="AL504" i="56"/>
  <c r="AI504" i="56"/>
  <c r="AN504" i="56"/>
  <c r="AF504" i="56"/>
  <c r="AP504" i="56" s="1"/>
  <c r="AP235" i="56"/>
  <c r="AP426" i="56"/>
  <c r="AI196" i="56"/>
  <c r="AL196" i="56"/>
  <c r="AM417" i="56"/>
  <c r="AL417" i="56"/>
  <c r="AF417" i="56"/>
  <c r="AN108" i="56"/>
  <c r="AI108" i="56"/>
  <c r="AM108" i="56"/>
  <c r="AN231" i="56"/>
  <c r="AI231" i="56"/>
  <c r="AP418" i="56"/>
  <c r="AP167" i="56"/>
  <c r="AI515" i="56"/>
  <c r="AF170" i="56"/>
  <c r="AI170" i="56"/>
  <c r="AN170" i="56"/>
  <c r="AI268" i="56"/>
  <c r="AP502" i="56"/>
  <c r="AP309" i="56"/>
  <c r="AP229" i="56"/>
  <c r="AL445" i="56"/>
  <c r="AI445" i="56"/>
  <c r="AF445" i="56"/>
  <c r="AP307" i="56"/>
  <c r="AM267" i="56"/>
  <c r="AL267" i="56"/>
  <c r="AF267" i="56"/>
  <c r="AN267" i="56"/>
  <c r="AI267" i="56"/>
  <c r="AN338" i="56"/>
  <c r="AF338" i="56"/>
  <c r="AI338" i="56"/>
  <c r="AP195" i="56"/>
  <c r="AF266" i="56"/>
  <c r="AL266" i="56"/>
  <c r="AP390" i="56"/>
  <c r="AP512" i="56"/>
  <c r="AM89" i="56"/>
  <c r="AF364" i="56"/>
  <c r="AN364" i="56"/>
  <c r="AM364" i="56"/>
  <c r="AL364" i="56"/>
  <c r="AI364" i="56"/>
  <c r="AP429" i="56"/>
  <c r="AM282" i="56"/>
  <c r="AL282" i="56"/>
  <c r="AN282" i="56"/>
  <c r="AI282" i="56"/>
  <c r="AM36" i="56"/>
  <c r="AI36" i="56"/>
  <c r="AP284" i="56"/>
  <c r="AF421" i="56"/>
  <c r="AL421" i="56"/>
  <c r="AI421" i="56"/>
  <c r="AN421" i="56"/>
  <c r="AM421" i="56"/>
  <c r="AP468" i="56"/>
  <c r="AL34" i="56"/>
  <c r="AI34" i="56"/>
  <c r="AM34" i="56"/>
  <c r="AI248" i="56"/>
  <c r="AF248" i="56"/>
  <c r="AN248" i="56"/>
  <c r="AM248" i="56"/>
  <c r="AL248" i="56"/>
  <c r="AP312" i="56"/>
  <c r="AL460" i="56"/>
  <c r="AN460" i="56"/>
  <c r="AI460" i="56"/>
  <c r="AF460" i="56"/>
  <c r="AN173" i="56"/>
  <c r="AP408" i="56"/>
  <c r="AP344" i="56"/>
  <c r="AF184" i="56"/>
  <c r="AP184" i="56" s="1"/>
  <c r="AP303" i="56"/>
  <c r="AI117" i="56"/>
  <c r="AN117" i="56"/>
  <c r="AP261" i="56"/>
  <c r="AN182" i="56"/>
  <c r="AL155" i="56"/>
  <c r="AI155" i="56"/>
  <c r="AM155" i="56"/>
  <c r="AN155" i="56"/>
  <c r="AP473" i="56"/>
  <c r="AP350" i="56"/>
  <c r="AN174" i="56"/>
  <c r="AL174" i="56"/>
  <c r="AP232" i="56"/>
  <c r="AP454" i="56"/>
  <c r="AN428" i="56"/>
  <c r="AI461" i="56"/>
  <c r="AL461" i="56"/>
  <c r="AP302" i="56"/>
  <c r="AP55" i="56"/>
  <c r="AP412" i="56"/>
  <c r="AL446" i="56"/>
  <c r="AM446" i="56"/>
  <c r="AI446" i="56"/>
  <c r="AN446" i="56"/>
  <c r="AF446" i="56"/>
  <c r="AP325" i="56"/>
  <c r="AP469" i="56"/>
  <c r="AP425" i="56"/>
  <c r="AN456" i="56"/>
  <c r="AN101" i="56"/>
  <c r="AL219" i="56"/>
  <c r="AF219" i="56"/>
  <c r="AP219" i="56" s="1"/>
  <c r="AM219" i="56"/>
  <c r="AM471" i="56"/>
  <c r="AP479" i="56"/>
  <c r="AN164" i="56"/>
  <c r="AI164" i="56"/>
  <c r="AI434" i="56"/>
  <c r="AN434" i="56"/>
  <c r="AM434" i="56"/>
  <c r="AI188" i="56"/>
  <c r="AF188" i="56"/>
  <c r="AP188" i="56" s="1"/>
  <c r="AF247" i="56"/>
  <c r="AF405" i="56"/>
  <c r="AM405" i="56"/>
  <c r="AP404" i="56"/>
  <c r="AN183" i="56"/>
  <c r="AF183" i="56"/>
  <c r="AP183" i="56" s="1"/>
  <c r="AL183" i="56"/>
  <c r="AI183" i="56"/>
  <c r="AM183" i="56"/>
  <c r="AI290" i="56"/>
  <c r="AM290" i="56"/>
  <c r="AL290" i="56"/>
  <c r="AN290" i="56"/>
  <c r="AF290" i="56"/>
  <c r="AN320" i="56"/>
  <c r="AM320" i="56"/>
  <c r="AP253" i="56"/>
  <c r="AP444" i="56"/>
  <c r="AF156" i="56"/>
  <c r="AP156" i="56" s="1"/>
  <c r="AP288" i="56"/>
  <c r="AI306" i="56"/>
  <c r="AF306" i="56"/>
  <c r="AP40" i="56"/>
  <c r="AP356" i="56"/>
  <c r="AL146" i="56"/>
  <c r="AI185" i="56"/>
  <c r="AN185" i="56"/>
  <c r="AI210" i="56"/>
  <c r="AN210" i="56"/>
  <c r="AF210" i="56"/>
  <c r="AP210" i="56" s="1"/>
  <c r="AL210" i="56"/>
  <c r="AP283" i="56"/>
  <c r="AI327" i="56"/>
  <c r="AF327" i="56"/>
  <c r="AM327" i="56"/>
  <c r="AN327" i="56"/>
  <c r="AL327" i="56"/>
  <c r="AL194" i="56"/>
  <c r="AN194" i="56"/>
  <c r="AI194" i="56"/>
  <c r="AF194" i="56"/>
  <c r="AM194" i="56"/>
  <c r="AN255" i="56"/>
  <c r="AL227" i="56"/>
  <c r="AM227" i="56"/>
  <c r="AL299" i="56"/>
  <c r="AF299" i="56"/>
  <c r="AM299" i="56"/>
  <c r="AI299" i="56"/>
  <c r="AN299" i="56"/>
  <c r="AI464" i="56"/>
  <c r="AP486" i="56"/>
  <c r="AP254" i="56"/>
  <c r="AP207" i="56"/>
  <c r="AP282" i="56"/>
  <c r="AP324" i="56"/>
  <c r="AN385" i="56"/>
  <c r="AM385" i="56"/>
  <c r="AI385" i="56"/>
  <c r="AL385" i="56"/>
  <c r="AI120" i="56"/>
  <c r="AL262" i="56"/>
  <c r="AN262" i="56"/>
  <c r="AF262" i="56"/>
  <c r="AI262" i="56"/>
  <c r="AF385" i="56"/>
  <c r="AN202" i="56"/>
  <c r="AL202" i="56"/>
  <c r="AM202" i="56"/>
  <c r="AF202" i="56"/>
  <c r="AI202" i="56"/>
  <c r="AP215" i="56"/>
  <c r="AI433" i="56"/>
  <c r="AM433" i="56"/>
  <c r="AL433" i="56"/>
  <c r="AF433" i="56"/>
  <c r="AN433" i="56"/>
  <c r="AF268" i="56"/>
  <c r="AI355" i="56"/>
  <c r="AN355" i="56"/>
  <c r="AL355" i="56"/>
  <c r="AF355" i="56"/>
  <c r="AM355" i="56"/>
  <c r="AL43" i="56"/>
  <c r="AP243" i="56"/>
  <c r="AP326" i="56"/>
  <c r="AP475" i="56"/>
  <c r="AP494" i="56"/>
  <c r="AL349" i="56"/>
  <c r="AI349" i="56"/>
  <c r="AN349" i="56"/>
  <c r="AM430" i="56"/>
  <c r="AI430" i="56"/>
  <c r="AF430" i="56"/>
  <c r="AN430" i="56"/>
  <c r="AP168" i="56"/>
  <c r="AP234" i="56"/>
  <c r="AP300" i="56"/>
  <c r="AP463" i="56"/>
  <c r="AF237" i="56"/>
  <c r="AP319" i="56"/>
  <c r="AF500" i="56"/>
  <c r="AN500" i="56"/>
  <c r="AP301" i="56"/>
  <c r="AS103" i="61"/>
  <c r="AS486" i="61"/>
  <c r="AS140" i="61"/>
  <c r="AS434" i="61"/>
  <c r="AS410" i="61"/>
  <c r="AS238" i="61"/>
  <c r="AS371" i="61"/>
  <c r="AS313" i="61"/>
  <c r="AS444" i="61"/>
  <c r="AS315" i="61"/>
  <c r="AS340" i="61"/>
  <c r="AP267" i="56"/>
  <c r="AP202" i="56"/>
  <c r="AP299" i="56"/>
  <c r="AP446" i="56"/>
  <c r="AP338" i="56"/>
  <c r="AP262" i="56"/>
  <c r="AP170" i="56"/>
  <c r="AP194" i="56"/>
  <c r="AP430" i="56"/>
  <c r="AP349" i="56"/>
  <c r="AP433" i="56"/>
  <c r="AP385" i="56"/>
  <c r="AP445" i="56"/>
  <c r="AP316" i="56"/>
  <c r="T19" i="63"/>
  <c r="K12" i="63"/>
  <c r="N12" i="63"/>
  <c r="Q12" i="63"/>
  <c r="K6" i="63"/>
  <c r="N6" i="63"/>
  <c r="Q6" i="63"/>
  <c r="AP20" i="61"/>
  <c r="AO23" i="61"/>
  <c r="AE22" i="61"/>
  <c r="AL22" i="61" s="1"/>
  <c r="AE21" i="61"/>
  <c r="AL21" i="61" s="1"/>
  <c r="AO21" i="61"/>
  <c r="AD27" i="61"/>
  <c r="AH27" i="61" s="1"/>
  <c r="AE19" i="61"/>
  <c r="AQ19" i="61" s="1"/>
  <c r="AQ26" i="61"/>
  <c r="AL26" i="61"/>
  <c r="AP26" i="61"/>
  <c r="AO26" i="61"/>
  <c r="AO30" i="61"/>
  <c r="AQ30" i="61"/>
  <c r="AP30" i="61"/>
  <c r="AI30" i="61"/>
  <c r="AS30" i="61" s="1"/>
  <c r="AL30" i="61"/>
  <c r="AL27" i="61"/>
  <c r="AO27" i="61"/>
  <c r="AQ27" i="61"/>
  <c r="AP27" i="61"/>
  <c r="AO20" i="61"/>
  <c r="AV29" i="61"/>
  <c r="AE24" i="61"/>
  <c r="AP24" i="61" s="1"/>
  <c r="AV22" i="61"/>
  <c r="AE18" i="61"/>
  <c r="AO18" i="61" s="1"/>
  <c r="AL20" i="61"/>
  <c r="AD26" i="61"/>
  <c r="AH26" i="61" s="1"/>
  <c r="AV26" i="61"/>
  <c r="AV17" i="61"/>
  <c r="AP22" i="61"/>
  <c r="AP327" i="56"/>
  <c r="AP355" i="56"/>
  <c r="AL237" i="56"/>
  <c r="AF456" i="56"/>
  <c r="AI255" i="56"/>
  <c r="AN405" i="56"/>
  <c r="AL471" i="56"/>
  <c r="AL184" i="56"/>
  <c r="AI438" i="56"/>
  <c r="AF411" i="56"/>
  <c r="AP411" i="56" s="1"/>
  <c r="AL268" i="56"/>
  <c r="AN515" i="56"/>
  <c r="AP436" i="56"/>
  <c r="AF317" i="56"/>
  <c r="AI317" i="56"/>
  <c r="AM314" i="56"/>
  <c r="AF483" i="56"/>
  <c r="AN483" i="56"/>
  <c r="AM411" i="56"/>
  <c r="AN187" i="56"/>
  <c r="AN322" i="56"/>
  <c r="AM98" i="56"/>
  <c r="AP268" i="56"/>
  <c r="AP290" i="56"/>
  <c r="AS301" i="61"/>
  <c r="AP383" i="56"/>
  <c r="AN388" i="56"/>
  <c r="AI237" i="56"/>
  <c r="AP278" i="56"/>
  <c r="AN424" i="56"/>
  <c r="AL255" i="56"/>
  <c r="AF471" i="56"/>
  <c r="AP236" i="56"/>
  <c r="AI405" i="56"/>
  <c r="AI471" i="56"/>
  <c r="AP360" i="56"/>
  <c r="AP515" i="56"/>
  <c r="AN241" i="56"/>
  <c r="AP239" i="56"/>
  <c r="AN184" i="56"/>
  <c r="AL32" i="56"/>
  <c r="AF438" i="56"/>
  <c r="AP438" i="56" s="1"/>
  <c r="AP249" i="56"/>
  <c r="AN268" i="56"/>
  <c r="AL515" i="56"/>
  <c r="AN314" i="56"/>
  <c r="AF314" i="56"/>
  <c r="AP314" i="56" s="1"/>
  <c r="AI483" i="56"/>
  <c r="AM187" i="56"/>
  <c r="AI322" i="56"/>
  <c r="AM322" i="56"/>
  <c r="AF424" i="56"/>
  <c r="AP330" i="56"/>
  <c r="AP351" i="56"/>
  <c r="AP480" i="56"/>
  <c r="AP478" i="56"/>
  <c r="AN32" i="56"/>
  <c r="AI184" i="61"/>
  <c r="AL184" i="61"/>
  <c r="AP184" i="61"/>
  <c r="AO184" i="61"/>
  <c r="AI220" i="61"/>
  <c r="AS220" i="61" s="1"/>
  <c r="AQ220" i="61"/>
  <c r="AL220" i="61"/>
  <c r="AI280" i="56"/>
  <c r="AN280" i="56"/>
  <c r="AL280" i="56"/>
  <c r="AI31" i="56"/>
  <c r="AL31" i="56"/>
  <c r="AN344" i="56"/>
  <c r="AL344" i="56"/>
  <c r="AB510" i="56"/>
  <c r="AM510" i="56" s="1"/>
  <c r="AA510" i="56"/>
  <c r="AJ504" i="56"/>
  <c r="AG504" i="56"/>
  <c r="AN497" i="56"/>
  <c r="AI497" i="56"/>
  <c r="AF491" i="56"/>
  <c r="AJ490" i="56"/>
  <c r="AG490" i="56"/>
  <c r="AS470" i="56"/>
  <c r="AG466" i="56"/>
  <c r="AJ466" i="56"/>
  <c r="AF462" i="56"/>
  <c r="AP389" i="61"/>
  <c r="AL288" i="61"/>
  <c r="AS323" i="61"/>
  <c r="AS327" i="61"/>
  <c r="AS334" i="61"/>
  <c r="AP323" i="61"/>
  <c r="AP228" i="61"/>
  <c r="AP491" i="61"/>
  <c r="AP421" i="61"/>
  <c r="AS170" i="61"/>
  <c r="AI476" i="61"/>
  <c r="AS271" i="61"/>
  <c r="AQ389" i="61"/>
  <c r="AS94" i="61"/>
  <c r="AL264" i="61"/>
  <c r="AO275" i="61"/>
  <c r="AI169" i="61"/>
  <c r="AS169" i="61" s="1"/>
  <c r="AP169" i="61"/>
  <c r="AL305" i="61"/>
  <c r="AS457" i="61"/>
  <c r="AI143" i="61"/>
  <c r="AP244" i="61"/>
  <c r="AN340" i="56"/>
  <c r="AL79" i="56"/>
  <c r="AI284" i="56"/>
  <c r="AM330" i="56"/>
  <c r="AN272" i="56"/>
  <c r="AF448" i="56"/>
  <c r="AO481" i="61"/>
  <c r="AP481" i="61"/>
  <c r="AP143" i="61"/>
  <c r="AP443" i="61"/>
  <c r="AP136" i="61"/>
  <c r="AQ108" i="61"/>
  <c r="AS418" i="61"/>
  <c r="AL477" i="61"/>
  <c r="AM480" i="56"/>
  <c r="AS309" i="61"/>
  <c r="AP371" i="56"/>
  <c r="AP372" i="56"/>
  <c r="AS188" i="61"/>
  <c r="AS186" i="61"/>
  <c r="AS198" i="61"/>
  <c r="AM465" i="56"/>
  <c r="AL473" i="56"/>
  <c r="AL260" i="56"/>
  <c r="AI336" i="56"/>
  <c r="AP321" i="56"/>
  <c r="AN399" i="56"/>
  <c r="AN427" i="56"/>
  <c r="AM416" i="56"/>
  <c r="AL416" i="56"/>
  <c r="AF172" i="56"/>
  <c r="AP172" i="56" s="1"/>
  <c r="AN493" i="56"/>
  <c r="AL511" i="56"/>
  <c r="AN76" i="56"/>
  <c r="AF76" i="56"/>
  <c r="AP76" i="56" s="1"/>
  <c r="AQ68" i="61"/>
  <c r="AQ216" i="61"/>
  <c r="AM392" i="56"/>
  <c r="AL337" i="56"/>
  <c r="AI195" i="61"/>
  <c r="AS195" i="61" s="1"/>
  <c r="AO195" i="61"/>
  <c r="AO213" i="61"/>
  <c r="AP213" i="61"/>
  <c r="AQ213" i="61"/>
  <c r="AL432" i="61"/>
  <c r="AP432" i="61"/>
  <c r="AQ400" i="61"/>
  <c r="AO400" i="61"/>
  <c r="AQ514" i="61"/>
  <c r="AO514" i="61"/>
  <c r="AF62" i="56"/>
  <c r="AP62" i="56" s="1"/>
  <c r="AI62" i="56"/>
  <c r="AN56" i="56"/>
  <c r="AF56" i="56"/>
  <c r="AP56" i="56" s="1"/>
  <c r="AB472" i="56"/>
  <c r="AB466" i="56"/>
  <c r="AO228" i="61"/>
  <c r="AQ37" i="61"/>
  <c r="AQ421" i="61"/>
  <c r="AP476" i="61"/>
  <c r="AQ476" i="61"/>
  <c r="AQ455" i="61"/>
  <c r="AM128" i="56"/>
  <c r="AN162" i="56"/>
  <c r="AL330" i="56"/>
  <c r="AN410" i="56"/>
  <c r="AM448" i="56"/>
  <c r="AS178" i="61"/>
  <c r="AS118" i="61"/>
  <c r="AL272" i="56"/>
  <c r="AM336" i="56"/>
  <c r="AI386" i="56"/>
  <c r="AF399" i="56"/>
  <c r="AI416" i="56"/>
  <c r="AM493" i="56"/>
  <c r="AM440" i="56"/>
  <c r="AP68" i="61"/>
  <c r="AI337" i="56"/>
  <c r="AL392" i="56"/>
  <c r="AP227" i="61"/>
  <c r="AQ31" i="61"/>
  <c r="AP31" i="61"/>
  <c r="AM402" i="56"/>
  <c r="AO120" i="61"/>
  <c r="AQ308" i="61"/>
  <c r="AL308" i="61"/>
  <c r="AP308" i="61"/>
  <c r="AQ346" i="61"/>
  <c r="AI346" i="61"/>
  <c r="AS346" i="61" s="1"/>
  <c r="AL346" i="61"/>
  <c r="AO346" i="61"/>
  <c r="AL85" i="56"/>
  <c r="AN85" i="56"/>
  <c r="AA512" i="56"/>
  <c r="AF511" i="56"/>
  <c r="AP511" i="56" s="1"/>
  <c r="AI487" i="56"/>
  <c r="AN487" i="56"/>
  <c r="AL487" i="56"/>
  <c r="AJ481" i="56"/>
  <c r="AG481" i="56"/>
  <c r="AA474" i="56"/>
  <c r="AB474" i="56"/>
  <c r="AM474" i="56" s="1"/>
  <c r="AI293" i="56"/>
  <c r="AM293" i="56"/>
  <c r="AF293" i="56"/>
  <c r="AN293" i="56"/>
  <c r="AL376" i="56"/>
  <c r="AM376" i="56"/>
  <c r="AO498" i="61"/>
  <c r="AL498" i="61"/>
  <c r="AQ498" i="61"/>
  <c r="AP498" i="61"/>
  <c r="AL488" i="61"/>
  <c r="AO488" i="61"/>
  <c r="AQ488" i="61"/>
  <c r="AO460" i="61"/>
  <c r="AP460" i="61"/>
  <c r="AL460" i="61"/>
  <c r="AQ460" i="61"/>
  <c r="AJ501" i="56"/>
  <c r="AG501" i="56"/>
  <c r="AA489" i="56"/>
  <c r="AB489" i="56"/>
  <c r="AI489" i="56" s="1"/>
  <c r="AJ479" i="56"/>
  <c r="AG479" i="56"/>
  <c r="AF442" i="56"/>
  <c r="AN442" i="56"/>
  <c r="AM442" i="56"/>
  <c r="AL442" i="56"/>
  <c r="AA383" i="56"/>
  <c r="AM391" i="56"/>
  <c r="AI279" i="56"/>
  <c r="AJ450" i="56"/>
  <c r="AG451" i="56"/>
  <c r="AB441" i="56"/>
  <c r="AN441" i="56" s="1"/>
  <c r="AA436" i="56"/>
  <c r="AS410" i="56"/>
  <c r="AS404" i="56"/>
  <c r="AS374" i="56"/>
  <c r="AS334" i="56"/>
  <c r="AS298" i="56"/>
  <c r="AF245" i="56"/>
  <c r="AA398" i="56"/>
  <c r="AB398" i="56"/>
  <c r="AB455" i="56"/>
  <c r="AQ196" i="61"/>
  <c r="AM84" i="56"/>
  <c r="AN242" i="56"/>
  <c r="AS393" i="56"/>
  <c r="AF387" i="56"/>
  <c r="AS373" i="56"/>
  <c r="AS358" i="56"/>
  <c r="AS357" i="56"/>
  <c r="AS333" i="56"/>
  <c r="AA304" i="56"/>
  <c r="AB304" i="56"/>
  <c r="AJ292" i="56"/>
  <c r="AG292" i="56"/>
  <c r="AJ291" i="56"/>
  <c r="AG291" i="56"/>
  <c r="AF395" i="56"/>
  <c r="AJ377" i="56"/>
  <c r="AG377" i="56"/>
  <c r="AF368" i="56"/>
  <c r="AM368" i="56"/>
  <c r="AS188" i="56"/>
  <c r="AF178" i="56"/>
  <c r="AP178" i="56" s="1"/>
  <c r="AA148" i="56"/>
  <c r="AE148" i="56" s="1"/>
  <c r="AB148" i="56"/>
  <c r="AL94" i="56"/>
  <c r="AI468" i="61"/>
  <c r="AB269" i="56"/>
  <c r="AM269" i="56" s="1"/>
  <c r="AF192" i="56"/>
  <c r="AS183" i="56"/>
  <c r="AF145" i="56"/>
  <c r="AP145" i="56" s="1"/>
  <c r="AS166" i="56"/>
  <c r="AA94" i="56"/>
  <c r="AE94" i="56" s="1"/>
  <c r="AB57" i="56"/>
  <c r="AL57" i="56" s="1"/>
  <c r="P20" i="58"/>
  <c r="AM482" i="61"/>
  <c r="AM467" i="61"/>
  <c r="AE503" i="61"/>
  <c r="AI503" i="61" s="1"/>
  <c r="AI382" i="61"/>
  <c r="AS382" i="61" s="1"/>
  <c r="AI325" i="61"/>
  <c r="AI402" i="61"/>
  <c r="AE331" i="61"/>
  <c r="AM91" i="61"/>
  <c r="AJ91" i="61"/>
  <c r="AI17" i="61"/>
  <c r="AS17" i="61" s="1"/>
  <c r="AV255" i="61"/>
  <c r="AV235" i="61"/>
  <c r="AD225" i="61"/>
  <c r="AV210" i="61"/>
  <c r="AV170" i="61"/>
  <c r="AV151" i="61"/>
  <c r="AJ98" i="61"/>
  <c r="AV93" i="61"/>
  <c r="AV91" i="61"/>
  <c r="AI240" i="61"/>
  <c r="AI55" i="61"/>
  <c r="AL55" i="61"/>
  <c r="AI249" i="61"/>
  <c r="AS249" i="61" s="1"/>
  <c r="AI230" i="61"/>
  <c r="AI208" i="61"/>
  <c r="AV202" i="61"/>
  <c r="AE79" i="61"/>
  <c r="AO79" i="61" s="1"/>
  <c r="AV23" i="61"/>
  <c r="AP293" i="56"/>
  <c r="AS240" i="61"/>
  <c r="AM304" i="56"/>
  <c r="AN304" i="56"/>
  <c r="AI304" i="56"/>
  <c r="AL304" i="56"/>
  <c r="AF304" i="56"/>
  <c r="AP304" i="56" s="1"/>
  <c r="AP399" i="56"/>
  <c r="AF466" i="56"/>
  <c r="AP466" i="56" s="1"/>
  <c r="AM466" i="56"/>
  <c r="AP424" i="56"/>
  <c r="AP471" i="56"/>
  <c r="AS208" i="61"/>
  <c r="AS325" i="61"/>
  <c r="AP368" i="56"/>
  <c r="AP395" i="56"/>
  <c r="AI455" i="56"/>
  <c r="AL455" i="56"/>
  <c r="AP442" i="56"/>
  <c r="AL79" i="61"/>
  <c r="AQ79" i="61"/>
  <c r="AL503" i="61"/>
  <c r="AQ503" i="61"/>
  <c r="AF57" i="56"/>
  <c r="AP57" i="56" s="1"/>
  <c r="AN269" i="56"/>
  <c r="AL398" i="56"/>
  <c r="AF398" i="56"/>
  <c r="AM398" i="56"/>
  <c r="AN398" i="56"/>
  <c r="AI398" i="56"/>
  <c r="AI474" i="56"/>
  <c r="AN474" i="56"/>
  <c r="AL474" i="56"/>
  <c r="AF474" i="56"/>
  <c r="AN472" i="56"/>
  <c r="AI472" i="56"/>
  <c r="AF472" i="56"/>
  <c r="AM472" i="56"/>
  <c r="AL472" i="56"/>
  <c r="AP448" i="56"/>
  <c r="AS143" i="61"/>
  <c r="AS184" i="61"/>
  <c r="AP483" i="56"/>
  <c r="AS402" i="61"/>
  <c r="AS468" i="61"/>
  <c r="AM489" i="56"/>
  <c r="AL489" i="56"/>
  <c r="AF489" i="56"/>
  <c r="AS476" i="61"/>
  <c r="AP462" i="56"/>
  <c r="AI510" i="56"/>
  <c r="AN510" i="56"/>
  <c r="AL510" i="56"/>
  <c r="AP410" i="56"/>
  <c r="AP31" i="56"/>
  <c r="AP255" i="56"/>
  <c r="AP472" i="56"/>
  <c r="AP474" i="56"/>
  <c r="AP398" i="56"/>
  <c r="AK421" i="56" l="1"/>
  <c r="AH421" i="56"/>
  <c r="AD421" i="56"/>
  <c r="AP421" i="56"/>
  <c r="AH250" i="56"/>
  <c r="AD250" i="56"/>
  <c r="AK250" i="56"/>
  <c r="AK393" i="56"/>
  <c r="AH393" i="56"/>
  <c r="AD393" i="56"/>
  <c r="AP393" i="56"/>
  <c r="AK459" i="56"/>
  <c r="AH459" i="56"/>
  <c r="AD459" i="56"/>
  <c r="AM274" i="56"/>
  <c r="AN274" i="56"/>
  <c r="AF274" i="56"/>
  <c r="AK488" i="56"/>
  <c r="AH488" i="56"/>
  <c r="AD488" i="56"/>
  <c r="AK259" i="56"/>
  <c r="AH259" i="56"/>
  <c r="AD259" i="56"/>
  <c r="AP259" i="56"/>
  <c r="AH258" i="56"/>
  <c r="AD258" i="56"/>
  <c r="AK258" i="56"/>
  <c r="AG137" i="56"/>
  <c r="AJ137" i="56"/>
  <c r="AB71" i="56"/>
  <c r="AA71" i="56"/>
  <c r="AD510" i="61"/>
  <c r="AE510" i="61"/>
  <c r="AJ477" i="61"/>
  <c r="AM477" i="61"/>
  <c r="AM473" i="61"/>
  <c r="AJ473" i="61"/>
  <c r="AI473" i="61"/>
  <c r="AS473" i="61" s="1"/>
  <c r="AD471" i="61"/>
  <c r="AE471" i="61"/>
  <c r="AD467" i="61"/>
  <c r="AE467" i="61"/>
  <c r="AJ455" i="61"/>
  <c r="AM455" i="61"/>
  <c r="AD449" i="61"/>
  <c r="AE449" i="61"/>
  <c r="AE419" i="61"/>
  <c r="AD419" i="61"/>
  <c r="AM412" i="61"/>
  <c r="AJ412" i="61"/>
  <c r="AI408" i="61"/>
  <c r="AS408" i="61" s="1"/>
  <c r="AM408" i="61"/>
  <c r="AD406" i="61"/>
  <c r="AE406" i="61"/>
  <c r="AM399" i="61"/>
  <c r="AJ399" i="61"/>
  <c r="AJ394" i="61"/>
  <c r="AM394" i="61"/>
  <c r="AI391" i="61"/>
  <c r="AS391" i="61" s="1"/>
  <c r="AM381" i="61"/>
  <c r="AJ381" i="61"/>
  <c r="AI377" i="61"/>
  <c r="AS377" i="61" s="1"/>
  <c r="AM377" i="61"/>
  <c r="AD367" i="61"/>
  <c r="AE367" i="61"/>
  <c r="AE363" i="61"/>
  <c r="AD363" i="61"/>
  <c r="AD358" i="61"/>
  <c r="AE358" i="61"/>
  <c r="AD357" i="61"/>
  <c r="AE357" i="61"/>
  <c r="AE352" i="61"/>
  <c r="AD352" i="61"/>
  <c r="AJ349" i="61"/>
  <c r="AI349" i="61"/>
  <c r="AS349" i="61" s="1"/>
  <c r="AM349" i="61"/>
  <c r="AD293" i="61"/>
  <c r="AE293" i="61"/>
  <c r="AM286" i="61"/>
  <c r="AI286" i="61"/>
  <c r="AS286" i="61" s="1"/>
  <c r="AJ286" i="61"/>
  <c r="AJ285" i="61"/>
  <c r="AI285" i="61"/>
  <c r="AS285" i="61" s="1"/>
  <c r="AM285" i="61"/>
  <c r="AJ275" i="61"/>
  <c r="AM275" i="61"/>
  <c r="AI275" i="61"/>
  <c r="AS275" i="61" s="1"/>
  <c r="AQ269" i="61"/>
  <c r="AI269" i="61"/>
  <c r="AS269" i="61" s="1"/>
  <c r="AP269" i="61"/>
  <c r="AL269" i="61"/>
  <c r="AJ261" i="61"/>
  <c r="AI261" i="61"/>
  <c r="AS261" i="61" s="1"/>
  <c r="AM261" i="61"/>
  <c r="AM256" i="61"/>
  <c r="AJ256" i="61"/>
  <c r="AI256" i="61"/>
  <c r="AS256" i="61" s="1"/>
  <c r="AE172" i="61"/>
  <c r="AD172" i="61"/>
  <c r="AO138" i="61"/>
  <c r="AI138" i="61"/>
  <c r="AS138" i="61" s="1"/>
  <c r="AQ138" i="61"/>
  <c r="AL138" i="61"/>
  <c r="AV133" i="61"/>
  <c r="AJ131" i="61"/>
  <c r="AI131" i="61"/>
  <c r="AS131" i="61" s="1"/>
  <c r="AM131" i="61"/>
  <c r="AJ127" i="61"/>
  <c r="AM127" i="61"/>
  <c r="AI127" i="61"/>
  <c r="AS127" i="61" s="1"/>
  <c r="AJ123" i="61"/>
  <c r="AI123" i="61"/>
  <c r="AS123" i="61" s="1"/>
  <c r="AM123" i="61"/>
  <c r="AI84" i="61"/>
  <c r="AS84" i="61" s="1"/>
  <c r="AD81" i="61"/>
  <c r="AE81" i="61"/>
  <c r="AM78" i="61"/>
  <c r="AJ78" i="61"/>
  <c r="AD48" i="61"/>
  <c r="AE48" i="61"/>
  <c r="AE40" i="61"/>
  <c r="AI40" i="61" s="1"/>
  <c r="AS40" i="61" s="1"/>
  <c r="AD40" i="61"/>
  <c r="AH40" i="61" s="1"/>
  <c r="AD29" i="61"/>
  <c r="AH29" i="61" s="1"/>
  <c r="AE29" i="61"/>
  <c r="AP331" i="61"/>
  <c r="AQ331" i="61"/>
  <c r="AK491" i="56"/>
  <c r="AH491" i="56"/>
  <c r="AD491" i="56"/>
  <c r="AP491" i="56"/>
  <c r="AK456" i="56"/>
  <c r="AH456" i="56"/>
  <c r="AD456" i="56"/>
  <c r="AP456" i="56"/>
  <c r="AK500" i="56"/>
  <c r="AH500" i="56"/>
  <c r="AD500" i="56"/>
  <c r="AI502" i="61"/>
  <c r="AS502" i="61" s="1"/>
  <c r="AJ502" i="61"/>
  <c r="AM502" i="61"/>
  <c r="AM385" i="61"/>
  <c r="AJ385" i="61"/>
  <c r="AE283" i="61"/>
  <c r="AD283" i="61"/>
  <c r="AI135" i="61"/>
  <c r="AS135" i="61" s="1"/>
  <c r="AM135" i="61"/>
  <c r="AE76" i="61"/>
  <c r="AD76" i="61"/>
  <c r="AD56" i="61"/>
  <c r="AH56" i="61" s="1"/>
  <c r="AE56" i="61"/>
  <c r="AD53" i="61"/>
  <c r="AE53" i="61"/>
  <c r="AK387" i="56"/>
  <c r="AH387" i="56"/>
  <c r="AD387" i="56"/>
  <c r="AK317" i="56"/>
  <c r="AH317" i="56"/>
  <c r="AD317" i="56"/>
  <c r="AP317" i="56"/>
  <c r="AK247" i="56"/>
  <c r="AH247" i="56"/>
  <c r="AD247" i="56"/>
  <c r="AM382" i="56"/>
  <c r="AK375" i="56"/>
  <c r="AH375" i="56"/>
  <c r="AD375" i="56"/>
  <c r="AP375" i="56"/>
  <c r="AK449" i="56"/>
  <c r="AH449" i="56"/>
  <c r="AD449" i="56"/>
  <c r="AK283" i="56"/>
  <c r="AH283" i="56"/>
  <c r="AD283" i="56"/>
  <c r="AI190" i="56"/>
  <c r="AM190" i="56"/>
  <c r="AG386" i="56"/>
  <c r="AJ386" i="56"/>
  <c r="AJ384" i="56"/>
  <c r="AG384" i="56"/>
  <c r="AG265" i="56"/>
  <c r="AJ265" i="56"/>
  <c r="AK260" i="56"/>
  <c r="AH260" i="56"/>
  <c r="AD260" i="56"/>
  <c r="AD257" i="56"/>
  <c r="AH257" i="56"/>
  <c r="AK257" i="56"/>
  <c r="AP257" i="56"/>
  <c r="AB208" i="56"/>
  <c r="AA208" i="56"/>
  <c r="AE208" i="56" s="1"/>
  <c r="AF510" i="56"/>
  <c r="AF441" i="56"/>
  <c r="AI269" i="56"/>
  <c r="AP503" i="61"/>
  <c r="AI79" i="61"/>
  <c r="AS79" i="61" s="1"/>
  <c r="AH368" i="56"/>
  <c r="AD368" i="56"/>
  <c r="AK368" i="56"/>
  <c r="AK245" i="56"/>
  <c r="AH245" i="56"/>
  <c r="AD245" i="56"/>
  <c r="AP245" i="56"/>
  <c r="AH442" i="56"/>
  <c r="AK442" i="56"/>
  <c r="AD442" i="56"/>
  <c r="AH448" i="56"/>
  <c r="AD448" i="56"/>
  <c r="AK448" i="56"/>
  <c r="AN411" i="56"/>
  <c r="AL388" i="56"/>
  <c r="AK430" i="56"/>
  <c r="AD430" i="56"/>
  <c r="AH430" i="56"/>
  <c r="AK262" i="56"/>
  <c r="AH262" i="56"/>
  <c r="AD262" i="56"/>
  <c r="AN156" i="56"/>
  <c r="AL247" i="56"/>
  <c r="AK364" i="56"/>
  <c r="AH364" i="56"/>
  <c r="AD364" i="56"/>
  <c r="AP364" i="56"/>
  <c r="AM266" i="56"/>
  <c r="AN382" i="56"/>
  <c r="AM458" i="56"/>
  <c r="AK316" i="56"/>
  <c r="AH316" i="56"/>
  <c r="AD316" i="56"/>
  <c r="AF476" i="56"/>
  <c r="AL187" i="56"/>
  <c r="AF187" i="56"/>
  <c r="AP187" i="56" s="1"/>
  <c r="AK475" i="56"/>
  <c r="AH475" i="56"/>
  <c r="AD475" i="56"/>
  <c r="AK360" i="56"/>
  <c r="AH360" i="56"/>
  <c r="AD360" i="56"/>
  <c r="AK412" i="56"/>
  <c r="AH412" i="56"/>
  <c r="AD412" i="56"/>
  <c r="AH496" i="56"/>
  <c r="AD496" i="56"/>
  <c r="AK496" i="56"/>
  <c r="AI417" i="56"/>
  <c r="AN417" i="56"/>
  <c r="AK469" i="56"/>
  <c r="AH469" i="56"/>
  <c r="AD469" i="56"/>
  <c r="AL317" i="56"/>
  <c r="AN317" i="56"/>
  <c r="AF164" i="56"/>
  <c r="AM164" i="56"/>
  <c r="AL164" i="56"/>
  <c r="AJ416" i="61"/>
  <c r="AI394" i="61"/>
  <c r="AS394" i="61" s="1"/>
  <c r="AO375" i="61"/>
  <c r="AP375" i="61"/>
  <c r="AI375" i="61"/>
  <c r="AS375" i="61" s="1"/>
  <c r="AD335" i="56"/>
  <c r="AK335" i="56"/>
  <c r="AH335" i="56"/>
  <c r="AP335" i="56"/>
  <c r="AM193" i="56"/>
  <c r="AN193" i="56"/>
  <c r="AI193" i="56"/>
  <c r="AI488" i="56"/>
  <c r="AM488" i="56"/>
  <c r="AL488" i="56"/>
  <c r="AI297" i="56"/>
  <c r="AL297" i="56"/>
  <c r="AM297" i="56"/>
  <c r="AA423" i="56"/>
  <c r="AB423" i="56"/>
  <c r="AG422" i="56"/>
  <c r="AA396" i="56"/>
  <c r="AB396" i="56"/>
  <c r="AJ395" i="56"/>
  <c r="AB389" i="56"/>
  <c r="AA389" i="56"/>
  <c r="AK279" i="56"/>
  <c r="AH279" i="56"/>
  <c r="AD279" i="56"/>
  <c r="AF431" i="56"/>
  <c r="AM431" i="56"/>
  <c r="AK366" i="56"/>
  <c r="AH366" i="56"/>
  <c r="AD366" i="56"/>
  <c r="AP366" i="56"/>
  <c r="AI167" i="61"/>
  <c r="AS167" i="61" s="1"/>
  <c r="AO167" i="61"/>
  <c r="AL310" i="56"/>
  <c r="AI310" i="56"/>
  <c r="AM310" i="56"/>
  <c r="AN310" i="56"/>
  <c r="AF310" i="56"/>
  <c r="AD505" i="61"/>
  <c r="AE505" i="61"/>
  <c r="AD496" i="61"/>
  <c r="AE496" i="61"/>
  <c r="AJ493" i="61"/>
  <c r="AM493" i="61"/>
  <c r="AJ376" i="61"/>
  <c r="AM376" i="61"/>
  <c r="AJ348" i="61"/>
  <c r="AM348" i="61"/>
  <c r="AI348" i="61"/>
  <c r="AS348" i="61" s="1"/>
  <c r="AM169" i="61"/>
  <c r="AJ169" i="61"/>
  <c r="AH266" i="56"/>
  <c r="AD266" i="56"/>
  <c r="AK266" i="56"/>
  <c r="AK347" i="56"/>
  <c r="AH347" i="56"/>
  <c r="AD347" i="56"/>
  <c r="AK332" i="56"/>
  <c r="AH332" i="56"/>
  <c r="AD332" i="56"/>
  <c r="AP332" i="56"/>
  <c r="AK435" i="56"/>
  <c r="AH435" i="56"/>
  <c r="AD435" i="56"/>
  <c r="AP167" i="61"/>
  <c r="AD297" i="56"/>
  <c r="AK297" i="56"/>
  <c r="AH297" i="56"/>
  <c r="AP297" i="56"/>
  <c r="AL441" i="56"/>
  <c r="AF269" i="56"/>
  <c r="AO503" i="61"/>
  <c r="AP79" i="61"/>
  <c r="AN458" i="56"/>
  <c r="AI388" i="56"/>
  <c r="AF388" i="56"/>
  <c r="AP435" i="56"/>
  <c r="AP258" i="56"/>
  <c r="AN514" i="56"/>
  <c r="AK417" i="56"/>
  <c r="AH417" i="56"/>
  <c r="AD417" i="56"/>
  <c r="AP417" i="56"/>
  <c r="AP347" i="56"/>
  <c r="AI493" i="61"/>
  <c r="AS493" i="61" s="1"/>
  <c r="AI227" i="56"/>
  <c r="AN227" i="56"/>
  <c r="AF227" i="56"/>
  <c r="AP227" i="56" s="1"/>
  <c r="AI411" i="56"/>
  <c r="AA266" i="56"/>
  <c r="AD303" i="56"/>
  <c r="AK303" i="56"/>
  <c r="AH303" i="56"/>
  <c r="AK254" i="56"/>
  <c r="AH254" i="56"/>
  <c r="AD254" i="56"/>
  <c r="AP488" i="56"/>
  <c r="AD319" i="56"/>
  <c r="AK319" i="56"/>
  <c r="AH319" i="56"/>
  <c r="AI219" i="56"/>
  <c r="AN219" i="56"/>
  <c r="AK350" i="56"/>
  <c r="AH350" i="56"/>
  <c r="AD350" i="56"/>
  <c r="AJ408" i="61"/>
  <c r="AI214" i="61"/>
  <c r="AS214" i="61" s="1"/>
  <c r="AO214" i="61"/>
  <c r="T20" i="63"/>
  <c r="AL376" i="61"/>
  <c r="AP376" i="61"/>
  <c r="AI376" i="61"/>
  <c r="AS376" i="61" s="1"/>
  <c r="AD281" i="56"/>
  <c r="AK281" i="56"/>
  <c r="AH281" i="56"/>
  <c r="AK465" i="56"/>
  <c r="AH465" i="56"/>
  <c r="AD465" i="56"/>
  <c r="AP465" i="56"/>
  <c r="AM449" i="56"/>
  <c r="AN449" i="56"/>
  <c r="AI376" i="56"/>
  <c r="AF376" i="56"/>
  <c r="AH450" i="56"/>
  <c r="AK450" i="56"/>
  <c r="AD450" i="56"/>
  <c r="AH410" i="56"/>
  <c r="AK410" i="56"/>
  <c r="AD410" i="56"/>
  <c r="AO274" i="61"/>
  <c r="AQ274" i="61"/>
  <c r="AI274" i="61"/>
  <c r="AS274" i="61" s="1"/>
  <c r="AP274" i="61"/>
  <c r="AL274" i="61"/>
  <c r="AK472" i="56"/>
  <c r="AH472" i="56"/>
  <c r="AD472" i="56"/>
  <c r="AL269" i="56"/>
  <c r="AH304" i="56"/>
  <c r="AD304" i="56"/>
  <c r="AK304" i="56"/>
  <c r="AI466" i="56"/>
  <c r="AN466" i="56"/>
  <c r="AH314" i="56"/>
  <c r="AD314" i="56"/>
  <c r="AK314" i="56"/>
  <c r="AK268" i="56"/>
  <c r="AH268" i="56"/>
  <c r="AD268" i="56"/>
  <c r="AL514" i="56"/>
  <c r="AN431" i="56"/>
  <c r="AP250" i="56"/>
  <c r="AK504" i="56"/>
  <c r="AH504" i="56"/>
  <c r="AD504" i="56"/>
  <c r="AQ304" i="61"/>
  <c r="AK255" i="56"/>
  <c r="AD255" i="56"/>
  <c r="AH255" i="56"/>
  <c r="AI247" i="56"/>
  <c r="AN247" i="56"/>
  <c r="AI241" i="56"/>
  <c r="AL241" i="56"/>
  <c r="AF241" i="56"/>
  <c r="AP241" i="56" s="1"/>
  <c r="AK285" i="56"/>
  <c r="AH285" i="56"/>
  <c r="AD285" i="56"/>
  <c r="AK494" i="56"/>
  <c r="AD494" i="56"/>
  <c r="AH494" i="56"/>
  <c r="AM174" i="56"/>
  <c r="AI174" i="56"/>
  <c r="AL121" i="56"/>
  <c r="AM121" i="56"/>
  <c r="AI424" i="56"/>
  <c r="AL424" i="56"/>
  <c r="AK278" i="56"/>
  <c r="AH278" i="56"/>
  <c r="AD278" i="56"/>
  <c r="AP260" i="56"/>
  <c r="AK287" i="56"/>
  <c r="AD287" i="56"/>
  <c r="AH287" i="56"/>
  <c r="AM500" i="56"/>
  <c r="AL500" i="56"/>
  <c r="AK296" i="56"/>
  <c r="AH296" i="56"/>
  <c r="AD296" i="56"/>
  <c r="AP296" i="56"/>
  <c r="AH482" i="56"/>
  <c r="AK482" i="56"/>
  <c r="AD482" i="56"/>
  <c r="AP482" i="56"/>
  <c r="AK409" i="56"/>
  <c r="AH409" i="56"/>
  <c r="AD409" i="56"/>
  <c r="AQ441" i="61"/>
  <c r="AP441" i="61"/>
  <c r="AL98" i="61"/>
  <c r="AL139" i="61"/>
  <c r="AP139" i="61"/>
  <c r="AI139" i="61"/>
  <c r="AS139" i="61" s="1"/>
  <c r="AO139" i="61"/>
  <c r="AO391" i="61"/>
  <c r="AP391" i="61"/>
  <c r="AQ391" i="61"/>
  <c r="AL391" i="61"/>
  <c r="AM422" i="56"/>
  <c r="AN422" i="56"/>
  <c r="AL422" i="56"/>
  <c r="AF422" i="56"/>
  <c r="AI422" i="56"/>
  <c r="AI329" i="56"/>
  <c r="AF329" i="56"/>
  <c r="AL329" i="56"/>
  <c r="AN329" i="56"/>
  <c r="AN105" i="56"/>
  <c r="AL105" i="56"/>
  <c r="AF105" i="56"/>
  <c r="AP105" i="56" s="1"/>
  <c r="AK440" i="56"/>
  <c r="AH440" i="56"/>
  <c r="AD440" i="56"/>
  <c r="AK294" i="56"/>
  <c r="AH294" i="56"/>
  <c r="AD294" i="56"/>
  <c r="AI361" i="61"/>
  <c r="AS361" i="61" s="1"/>
  <c r="AO361" i="61"/>
  <c r="AQ361" i="61"/>
  <c r="AP361" i="61"/>
  <c r="AI512" i="61"/>
  <c r="AS512" i="61" s="1"/>
  <c r="AP512" i="61"/>
  <c r="AO512" i="61"/>
  <c r="AL512" i="61"/>
  <c r="AQ512" i="61"/>
  <c r="AI296" i="56"/>
  <c r="AM296" i="56"/>
  <c r="AF397" i="56"/>
  <c r="AM397" i="56"/>
  <c r="AL397" i="56"/>
  <c r="AK489" i="56"/>
  <c r="AH489" i="56"/>
  <c r="AD489" i="56"/>
  <c r="AO331" i="61"/>
  <c r="AP459" i="56"/>
  <c r="AM514" i="56"/>
  <c r="AL431" i="56"/>
  <c r="AK460" i="56"/>
  <c r="AH460" i="56"/>
  <c r="AD460" i="56"/>
  <c r="AP460" i="56"/>
  <c r="AL438" i="56"/>
  <c r="AH338" i="56"/>
  <c r="AD338" i="56"/>
  <c r="AK338" i="56"/>
  <c r="AH322" i="56"/>
  <c r="AD322" i="56"/>
  <c r="AK322" i="56"/>
  <c r="AI304" i="61"/>
  <c r="AS304" i="61" s="1"/>
  <c r="AK307" i="56"/>
  <c r="AH307" i="56"/>
  <c r="AD307" i="56"/>
  <c r="AK275" i="56"/>
  <c r="AH275" i="56"/>
  <c r="AD275" i="56"/>
  <c r="AP275" i="56"/>
  <c r="AK349" i="56"/>
  <c r="AH349" i="56"/>
  <c r="AD349" i="56"/>
  <c r="AL476" i="56"/>
  <c r="AI476" i="56"/>
  <c r="AK276" i="56"/>
  <c r="AH276" i="56"/>
  <c r="AD276" i="56"/>
  <c r="AP276" i="56"/>
  <c r="AL320" i="56"/>
  <c r="AI320" i="56"/>
  <c r="AK324" i="56"/>
  <c r="AH324" i="56"/>
  <c r="AD324" i="56"/>
  <c r="AK341" i="56"/>
  <c r="AH341" i="56"/>
  <c r="AD341" i="56"/>
  <c r="AP341" i="56"/>
  <c r="AF146" i="56"/>
  <c r="AP146" i="56" s="1"/>
  <c r="AI146" i="56"/>
  <c r="AN146" i="56"/>
  <c r="AF185" i="56"/>
  <c r="AP185" i="56" s="1"/>
  <c r="AL185" i="56"/>
  <c r="AK261" i="56"/>
  <c r="AH261" i="56"/>
  <c r="AD261" i="56"/>
  <c r="AI182" i="56"/>
  <c r="AM182" i="56"/>
  <c r="AQ264" i="61"/>
  <c r="AO264" i="61"/>
  <c r="AI264" i="61"/>
  <c r="AS264" i="61" s="1"/>
  <c r="AL130" i="61"/>
  <c r="AQ130" i="61"/>
  <c r="AO130" i="61"/>
  <c r="AI477" i="61"/>
  <c r="AS477" i="61" s="1"/>
  <c r="AK443" i="56"/>
  <c r="AH443" i="56"/>
  <c r="AD443" i="56"/>
  <c r="AP443" i="56"/>
  <c r="AI339" i="56"/>
  <c r="AF339" i="56"/>
  <c r="AI216" i="61"/>
  <c r="AP216" i="61"/>
  <c r="AO216" i="61"/>
  <c r="AO409" i="61"/>
  <c r="AL409" i="61"/>
  <c r="AP409" i="61"/>
  <c r="AQ409" i="61"/>
  <c r="AI409" i="61"/>
  <c r="AS409" i="61" s="1"/>
  <c r="AL28" i="61"/>
  <c r="AP28" i="61"/>
  <c r="AQ71" i="61"/>
  <c r="AL71" i="61"/>
  <c r="AF291" i="56"/>
  <c r="AM291" i="56"/>
  <c r="AL291" i="56"/>
  <c r="AI441" i="56"/>
  <c r="AP387" i="56"/>
  <c r="AK398" i="56"/>
  <c r="AD398" i="56"/>
  <c r="AH398" i="56"/>
  <c r="AL331" i="61"/>
  <c r="AK395" i="56"/>
  <c r="AH395" i="56"/>
  <c r="AD395" i="56"/>
  <c r="AM455" i="56"/>
  <c r="AF455" i="56"/>
  <c r="AP247" i="56"/>
  <c r="AK433" i="56"/>
  <c r="AH433" i="56"/>
  <c r="AD433" i="56"/>
  <c r="AK445" i="56"/>
  <c r="AH445" i="56"/>
  <c r="AD445" i="56"/>
  <c r="AN98" i="56"/>
  <c r="AK326" i="56"/>
  <c r="AH326" i="56"/>
  <c r="AD326" i="56"/>
  <c r="AF464" i="56"/>
  <c r="AM464" i="56"/>
  <c r="AN464" i="56"/>
  <c r="AD447" i="56"/>
  <c r="AK447" i="56"/>
  <c r="AH447" i="56"/>
  <c r="AP447" i="56"/>
  <c r="AN461" i="56"/>
  <c r="AM461" i="56"/>
  <c r="AH418" i="56"/>
  <c r="AK418" i="56"/>
  <c r="AD418" i="56"/>
  <c r="AK280" i="56"/>
  <c r="AH280" i="56"/>
  <c r="AD280" i="56"/>
  <c r="AI274" i="56"/>
  <c r="AK501" i="56"/>
  <c r="AH501" i="56"/>
  <c r="AD501" i="56"/>
  <c r="AP501" i="56"/>
  <c r="AH256" i="56"/>
  <c r="AD256" i="56"/>
  <c r="AK256" i="56"/>
  <c r="AP256" i="56"/>
  <c r="AI173" i="61"/>
  <c r="AS173" i="61" s="1"/>
  <c r="AI453" i="61"/>
  <c r="AS453" i="61" s="1"/>
  <c r="AQ288" i="61"/>
  <c r="AI288" i="61"/>
  <c r="AS288" i="61" s="1"/>
  <c r="AO288" i="61"/>
  <c r="AP288" i="61"/>
  <c r="AI455" i="61"/>
  <c r="AK455" i="61" s="1"/>
  <c r="AL455" i="61"/>
  <c r="AO455" i="61"/>
  <c r="AP455" i="61"/>
  <c r="AJ135" i="61"/>
  <c r="AL353" i="56"/>
  <c r="AN353" i="56"/>
  <c r="AI353" i="56"/>
  <c r="AM353" i="56"/>
  <c r="AO443" i="61"/>
  <c r="AI443" i="61"/>
  <c r="AS443" i="61" s="1"/>
  <c r="AQ443" i="61"/>
  <c r="AI291" i="61"/>
  <c r="AS291" i="61" s="1"/>
  <c r="AO291" i="61"/>
  <c r="AP291" i="61"/>
  <c r="AL291" i="61"/>
  <c r="AQ291" i="61"/>
  <c r="AM173" i="61"/>
  <c r="AP511" i="61"/>
  <c r="AO511" i="61"/>
  <c r="AI511" i="61"/>
  <c r="AS511" i="61" s="1"/>
  <c r="AQ511" i="61"/>
  <c r="AL511" i="61"/>
  <c r="AH336" i="56"/>
  <c r="AD336" i="56"/>
  <c r="AK336" i="56"/>
  <c r="AP336" i="56"/>
  <c r="AH480" i="56"/>
  <c r="AD480" i="56"/>
  <c r="AK480" i="56"/>
  <c r="AL401" i="61"/>
  <c r="AP401" i="61"/>
  <c r="AQ401" i="61"/>
  <c r="AI401" i="61"/>
  <c r="AS401" i="61" s="1"/>
  <c r="AO401" i="61"/>
  <c r="AI248" i="61"/>
  <c r="AS248" i="61" s="1"/>
  <c r="AP248" i="61"/>
  <c r="AO248" i="61"/>
  <c r="AO270" i="61"/>
  <c r="AQ270" i="61"/>
  <c r="AL270" i="61"/>
  <c r="AP270" i="61"/>
  <c r="AI506" i="61"/>
  <c r="AP506" i="61"/>
  <c r="AO506" i="61"/>
  <c r="AQ506" i="61"/>
  <c r="AL506" i="61"/>
  <c r="AP85" i="61"/>
  <c r="AI85" i="61"/>
  <c r="AS85" i="61" s="1"/>
  <c r="AL85" i="61"/>
  <c r="AO85" i="61"/>
  <c r="AL84" i="61"/>
  <c r="AP84" i="61"/>
  <c r="AQ84" i="61"/>
  <c r="AQ125" i="61"/>
  <c r="AL125" i="61"/>
  <c r="AO125" i="61"/>
  <c r="AP125" i="61"/>
  <c r="AI125" i="61"/>
  <c r="AS125" i="61" s="1"/>
  <c r="AQ182" i="61"/>
  <c r="AI182" i="61"/>
  <c r="AS182" i="61" s="1"/>
  <c r="AL182" i="61"/>
  <c r="AO182" i="61"/>
  <c r="AP182" i="61"/>
  <c r="AK411" i="56"/>
  <c r="AH411" i="56"/>
  <c r="AD411" i="56"/>
  <c r="AI458" i="56"/>
  <c r="AF458" i="56"/>
  <c r="AM221" i="56"/>
  <c r="AN221" i="56"/>
  <c r="AF221" i="56"/>
  <c r="AP221" i="56" s="1"/>
  <c r="AI221" i="56"/>
  <c r="AL382" i="56"/>
  <c r="AF382" i="56"/>
  <c r="AK311" i="56"/>
  <c r="AH311" i="56"/>
  <c r="AD311" i="56"/>
  <c r="AP311" i="56"/>
  <c r="AI340" i="56"/>
  <c r="AF340" i="56"/>
  <c r="AM340" i="56"/>
  <c r="AL340" i="56"/>
  <c r="AL400" i="56"/>
  <c r="AF400" i="56"/>
  <c r="AN400" i="56"/>
  <c r="AM400" i="56"/>
  <c r="AI400" i="56"/>
  <c r="AI98" i="61"/>
  <c r="AS98" i="61" s="1"/>
  <c r="AP98" i="61"/>
  <c r="AO98" i="61"/>
  <c r="AM489" i="61"/>
  <c r="AI489" i="61"/>
  <c r="AS489" i="61" s="1"/>
  <c r="AE483" i="61"/>
  <c r="AD483" i="61"/>
  <c r="AO475" i="61"/>
  <c r="AP475" i="61"/>
  <c r="AQ475" i="61"/>
  <c r="AI475" i="61"/>
  <c r="AS475" i="61" s="1"/>
  <c r="AL475" i="61"/>
  <c r="AM445" i="61"/>
  <c r="AJ445" i="61"/>
  <c r="AJ389" i="61"/>
  <c r="AM389" i="61"/>
  <c r="AJ364" i="61"/>
  <c r="AM364" i="61"/>
  <c r="AI364" i="61"/>
  <c r="AS364" i="61" s="1"/>
  <c r="AE176" i="61"/>
  <c r="AD176" i="61"/>
  <c r="AE67" i="61"/>
  <c r="AD67" i="61"/>
  <c r="AH67" i="61" s="1"/>
  <c r="AH466" i="56"/>
  <c r="AK466" i="56"/>
  <c r="AD466" i="56"/>
  <c r="AD511" i="56"/>
  <c r="AK511" i="56"/>
  <c r="AH511" i="56"/>
  <c r="AK438" i="56"/>
  <c r="AH438" i="56"/>
  <c r="AD438" i="56"/>
  <c r="AM441" i="56"/>
  <c r="AM57" i="56"/>
  <c r="AF386" i="56"/>
  <c r="AN489" i="56"/>
  <c r="AN57" i="56"/>
  <c r="AK424" i="56"/>
  <c r="AH424" i="56"/>
  <c r="AD424" i="56"/>
  <c r="AP266" i="56"/>
  <c r="AH306" i="56"/>
  <c r="AD306" i="56"/>
  <c r="AK306" i="56"/>
  <c r="AP306" i="56"/>
  <c r="AF514" i="56"/>
  <c r="AI431" i="56"/>
  <c r="AK248" i="56"/>
  <c r="AH248" i="56"/>
  <c r="AD248" i="56"/>
  <c r="AP248" i="56"/>
  <c r="AO304" i="61"/>
  <c r="AK312" i="56"/>
  <c r="AH312" i="56"/>
  <c r="AD312" i="56"/>
  <c r="AM188" i="56"/>
  <c r="AL188" i="56"/>
  <c r="AN188" i="56"/>
  <c r="AM338" i="56"/>
  <c r="AL338" i="56"/>
  <c r="AK503" i="56"/>
  <c r="AH503" i="56"/>
  <c r="AD503" i="56"/>
  <c r="AP503" i="56"/>
  <c r="AF428" i="56"/>
  <c r="AL428" i="56"/>
  <c r="AI428" i="56"/>
  <c r="AK253" i="56"/>
  <c r="AH253" i="56"/>
  <c r="AD253" i="56"/>
  <c r="AP489" i="56"/>
  <c r="AH474" i="56"/>
  <c r="AK474" i="56"/>
  <c r="AD474" i="56"/>
  <c r="AI57" i="56"/>
  <c r="AI331" i="61"/>
  <c r="AS331" i="61" s="1"/>
  <c r="AN455" i="56"/>
  <c r="AL466" i="56"/>
  <c r="AJ511" i="61"/>
  <c r="AF384" i="56"/>
  <c r="AP322" i="56"/>
  <c r="AI121" i="56"/>
  <c r="AM424" i="56"/>
  <c r="AP21" i="61"/>
  <c r="AI21" i="61"/>
  <c r="AP500" i="56"/>
  <c r="AI500" i="56"/>
  <c r="AM349" i="56"/>
  <c r="AP449" i="56"/>
  <c r="AM185" i="56"/>
  <c r="AF320" i="56"/>
  <c r="AF461" i="56"/>
  <c r="AP285" i="56"/>
  <c r="AL182" i="56"/>
  <c r="AN266" i="56"/>
  <c r="AP279" i="56"/>
  <c r="AP304" i="61"/>
  <c r="AK457" i="56"/>
  <c r="AH457" i="56"/>
  <c r="AD457" i="56"/>
  <c r="AK454" i="56"/>
  <c r="AH454" i="56"/>
  <c r="AD454" i="56"/>
  <c r="AL190" i="56"/>
  <c r="AN306" i="56"/>
  <c r="AM306" i="56"/>
  <c r="AL306" i="56"/>
  <c r="AI456" i="56"/>
  <c r="AL456" i="56"/>
  <c r="AL274" i="56"/>
  <c r="AK292" i="56"/>
  <c r="AH292" i="56"/>
  <c r="AD292" i="56"/>
  <c r="AP292" i="56"/>
  <c r="AF434" i="56"/>
  <c r="AL434" i="56"/>
  <c r="AK473" i="56"/>
  <c r="AH473" i="56"/>
  <c r="AD473" i="56"/>
  <c r="AF353" i="56"/>
  <c r="AL350" i="56"/>
  <c r="AN350" i="56"/>
  <c r="AM350" i="56"/>
  <c r="AI330" i="61"/>
  <c r="AS330" i="61" s="1"/>
  <c r="AO330" i="61"/>
  <c r="AP330" i="61"/>
  <c r="AL330" i="61"/>
  <c r="AQ330" i="61"/>
  <c r="AH346" i="56"/>
  <c r="AD346" i="56"/>
  <c r="AK346" i="56"/>
  <c r="AP346" i="56"/>
  <c r="AL248" i="61"/>
  <c r="AM265" i="56"/>
  <c r="AI265" i="56"/>
  <c r="AL265" i="56"/>
  <c r="AF265" i="56"/>
  <c r="AB264" i="56"/>
  <c r="AL167" i="61"/>
  <c r="AD475" i="61"/>
  <c r="AI217" i="61"/>
  <c r="AO217" i="61"/>
  <c r="AL217" i="61"/>
  <c r="AQ217" i="61"/>
  <c r="AQ142" i="61"/>
  <c r="AP142" i="61"/>
  <c r="AI142" i="61"/>
  <c r="AS142" i="61" s="1"/>
  <c r="AI226" i="61"/>
  <c r="AS226" i="61" s="1"/>
  <c r="AQ226" i="61"/>
  <c r="AP226" i="61"/>
  <c r="AL226" i="61"/>
  <c r="AO226" i="61"/>
  <c r="AK462" i="56"/>
  <c r="AD462" i="56"/>
  <c r="AH462" i="56"/>
  <c r="AK355" i="56"/>
  <c r="AH355" i="56"/>
  <c r="AD355" i="56"/>
  <c r="AK385" i="56"/>
  <c r="AH385" i="56"/>
  <c r="AD385" i="56"/>
  <c r="AK327" i="56"/>
  <c r="AH327" i="56"/>
  <c r="AD327" i="56"/>
  <c r="AK405" i="56"/>
  <c r="AH405" i="56"/>
  <c r="AD405" i="56"/>
  <c r="AN445" i="56"/>
  <c r="AO465" i="61"/>
  <c r="AQ104" i="61"/>
  <c r="AL246" i="61"/>
  <c r="AI306" i="61"/>
  <c r="AS306" i="61" s="1"/>
  <c r="AI497" i="61"/>
  <c r="AS497" i="61" s="1"/>
  <c r="AP192" i="61"/>
  <c r="AK492" i="56"/>
  <c r="AH492" i="56"/>
  <c r="AD492" i="56"/>
  <c r="AP492" i="56"/>
  <c r="AH506" i="56"/>
  <c r="AK506" i="56"/>
  <c r="AD506" i="56"/>
  <c r="AK404" i="56"/>
  <c r="AH404" i="56"/>
  <c r="AD404" i="56"/>
  <c r="AK444" i="56"/>
  <c r="AH444" i="56"/>
  <c r="AD444" i="56"/>
  <c r="AD249" i="56"/>
  <c r="AK249" i="56"/>
  <c r="AH249" i="56"/>
  <c r="AK284" i="56"/>
  <c r="AH284" i="56"/>
  <c r="AD284" i="56"/>
  <c r="AL181" i="61"/>
  <c r="AL394" i="61"/>
  <c r="AL106" i="61"/>
  <c r="AL153" i="61"/>
  <c r="AQ153" i="61"/>
  <c r="AQ479" i="61"/>
  <c r="AI479" i="61"/>
  <c r="AS479" i="61" s="1"/>
  <c r="AF373" i="56"/>
  <c r="AK451" i="56"/>
  <c r="AH451" i="56"/>
  <c r="AD451" i="56"/>
  <c r="AI272" i="56"/>
  <c r="AQ171" i="61"/>
  <c r="AH330" i="56"/>
  <c r="AD330" i="56"/>
  <c r="AK330" i="56"/>
  <c r="AL351" i="56"/>
  <c r="AI480" i="56"/>
  <c r="AI388" i="61"/>
  <c r="AS388" i="61" s="1"/>
  <c r="AM473" i="56"/>
  <c r="AI245" i="56"/>
  <c r="AQ452" i="61"/>
  <c r="AN260" i="56"/>
  <c r="AI260" i="56"/>
  <c r="AL278" i="56"/>
  <c r="AN278" i="56"/>
  <c r="AK380" i="56"/>
  <c r="AH380" i="56"/>
  <c r="AD380" i="56"/>
  <c r="AL362" i="56"/>
  <c r="AI362" i="56"/>
  <c r="AN362" i="56"/>
  <c r="AN503" i="56"/>
  <c r="AI503" i="56"/>
  <c r="AK392" i="56"/>
  <c r="AH392" i="56"/>
  <c r="AD392" i="56"/>
  <c r="AO249" i="61"/>
  <c r="AQ249" i="61"/>
  <c r="AL173" i="61"/>
  <c r="AQ173" i="61"/>
  <c r="AP173" i="61"/>
  <c r="AL113" i="61"/>
  <c r="AQ113" i="61"/>
  <c r="AO113" i="61"/>
  <c r="AL150" i="61"/>
  <c r="AQ150" i="61"/>
  <c r="AO150" i="61"/>
  <c r="AK478" i="56"/>
  <c r="AD478" i="56"/>
  <c r="AH478" i="56"/>
  <c r="AB470" i="56"/>
  <c r="AA470" i="56"/>
  <c r="AF148" i="56"/>
  <c r="AP148" i="56" s="1"/>
  <c r="AD399" i="56"/>
  <c r="AK399" i="56"/>
  <c r="AH399" i="56"/>
  <c r="AK471" i="56"/>
  <c r="AH471" i="56"/>
  <c r="AD471" i="56"/>
  <c r="AK483" i="56"/>
  <c r="AH483" i="56"/>
  <c r="AD483" i="56"/>
  <c r="AK446" i="56"/>
  <c r="AD446" i="56"/>
  <c r="AH446" i="56"/>
  <c r="AK267" i="56"/>
  <c r="AH267" i="56"/>
  <c r="AD267" i="56"/>
  <c r="AH432" i="56"/>
  <c r="AD432" i="56"/>
  <c r="AK432" i="56"/>
  <c r="AO306" i="61"/>
  <c r="AK286" i="56"/>
  <c r="AH286" i="56"/>
  <c r="AD286" i="56"/>
  <c r="AK515" i="56"/>
  <c r="AH515" i="56"/>
  <c r="AD515" i="56"/>
  <c r="AK300" i="56"/>
  <c r="AH300" i="56"/>
  <c r="AD300" i="56"/>
  <c r="AK325" i="56"/>
  <c r="AH325" i="56"/>
  <c r="AD325" i="56"/>
  <c r="AH282" i="56"/>
  <c r="AD282" i="56"/>
  <c r="AK282" i="56"/>
  <c r="AK356" i="56"/>
  <c r="AH356" i="56"/>
  <c r="AD356" i="56"/>
  <c r="AL491" i="61"/>
  <c r="AO476" i="61"/>
  <c r="AI106" i="61"/>
  <c r="AS106" i="61" s="1"/>
  <c r="AQ181" i="61"/>
  <c r="AI435" i="61"/>
  <c r="AS435" i="61" s="1"/>
  <c r="AQ392" i="61"/>
  <c r="AD415" i="56"/>
  <c r="AK415" i="56"/>
  <c r="AH415" i="56"/>
  <c r="AK318" i="56"/>
  <c r="AH318" i="56"/>
  <c r="AD318" i="56"/>
  <c r="AH402" i="56"/>
  <c r="AK402" i="56"/>
  <c r="AD402" i="56"/>
  <c r="AL428" i="61"/>
  <c r="AO428" i="61"/>
  <c r="AI481" i="61"/>
  <c r="AL481" i="61"/>
  <c r="AI404" i="61"/>
  <c r="AS404" i="61" s="1"/>
  <c r="AL404" i="61"/>
  <c r="AK481" i="56"/>
  <c r="AH481" i="56"/>
  <c r="AD481" i="56"/>
  <c r="AD345" i="56"/>
  <c r="AK345" i="56"/>
  <c r="AH345" i="56"/>
  <c r="AF493" i="56"/>
  <c r="AL493" i="56"/>
  <c r="AI100" i="61"/>
  <c r="AQ100" i="61"/>
  <c r="AL195" i="61"/>
  <c r="AP195" i="61"/>
  <c r="AO429" i="61"/>
  <c r="AL429" i="61"/>
  <c r="AI429" i="61"/>
  <c r="AS429" i="61" s="1"/>
  <c r="AF406" i="56"/>
  <c r="AM406" i="56"/>
  <c r="AI406" i="56"/>
  <c r="AQ322" i="61"/>
  <c r="AP322" i="61"/>
  <c r="AQ295" i="61"/>
  <c r="AJ485" i="56"/>
  <c r="AG485" i="56"/>
  <c r="AK323" i="56"/>
  <c r="AH323" i="56"/>
  <c r="AD323" i="56"/>
  <c r="U20" i="63"/>
  <c r="AK328" i="56"/>
  <c r="AH328" i="56"/>
  <c r="AD328" i="56"/>
  <c r="AD313" i="56"/>
  <c r="AK313" i="56"/>
  <c r="AH313" i="56"/>
  <c r="AP313" i="56"/>
  <c r="AK372" i="56"/>
  <c r="AH372" i="56"/>
  <c r="AD372" i="56"/>
  <c r="AK420" i="56"/>
  <c r="AH420" i="56"/>
  <c r="AD420" i="56"/>
  <c r="AK413" i="56"/>
  <c r="AH413" i="56"/>
  <c r="AD413" i="56"/>
  <c r="AP413" i="56"/>
  <c r="AI292" i="56"/>
  <c r="AL292" i="56"/>
  <c r="AN508" i="56"/>
  <c r="AL508" i="56"/>
  <c r="AM508" i="56"/>
  <c r="AK403" i="56"/>
  <c r="AH403" i="56"/>
  <c r="AD403" i="56"/>
  <c r="AK427" i="56"/>
  <c r="AH427" i="56"/>
  <c r="AD427" i="56"/>
  <c r="AL126" i="61"/>
  <c r="AI126" i="61"/>
  <c r="AS126" i="61" s="1"/>
  <c r="AI370" i="61"/>
  <c r="AQ370" i="61"/>
  <c r="AP370" i="61"/>
  <c r="AO370" i="61"/>
  <c r="AL502" i="61"/>
  <c r="AP452" i="61"/>
  <c r="AL452" i="61"/>
  <c r="AP416" i="61"/>
  <c r="AL416" i="61"/>
  <c r="AA505" i="56"/>
  <c r="AB505" i="56"/>
  <c r="AH490" i="56"/>
  <c r="AK490" i="56"/>
  <c r="AD490" i="56"/>
  <c r="AK484" i="56"/>
  <c r="AH484" i="56"/>
  <c r="AD484" i="56"/>
  <c r="AO389" i="61"/>
  <c r="AI389" i="61"/>
  <c r="AS389" i="61" s="1"/>
  <c r="AH272" i="56"/>
  <c r="AK272" i="56"/>
  <c r="AD272" i="56"/>
  <c r="AP272" i="56"/>
  <c r="AI501" i="56"/>
  <c r="AL501" i="56"/>
  <c r="AK508" i="56"/>
  <c r="AH508" i="56"/>
  <c r="AD508" i="56"/>
  <c r="AK453" i="56"/>
  <c r="AH453" i="56"/>
  <c r="AD453" i="56"/>
  <c r="AP453" i="56"/>
  <c r="AK485" i="56"/>
  <c r="AH485" i="56"/>
  <c r="AD485" i="56"/>
  <c r="AN473" i="56"/>
  <c r="AK371" i="56"/>
  <c r="AH371" i="56"/>
  <c r="AD371" i="56"/>
  <c r="AH354" i="56"/>
  <c r="AD354" i="56"/>
  <c r="AK354" i="56"/>
  <c r="AD351" i="56"/>
  <c r="AK351" i="56"/>
  <c r="AH351" i="56"/>
  <c r="AK452" i="56"/>
  <c r="AH452" i="56"/>
  <c r="AD452" i="56"/>
  <c r="AQ420" i="61"/>
  <c r="AO420" i="61"/>
  <c r="AI420" i="61"/>
  <c r="AS420" i="61" s="1"/>
  <c r="AD463" i="56"/>
  <c r="AK463" i="56"/>
  <c r="AH463" i="56"/>
  <c r="AH298" i="56"/>
  <c r="AD298" i="56"/>
  <c r="AK298" i="56"/>
  <c r="AP298" i="56"/>
  <c r="AK513" i="56"/>
  <c r="AH513" i="56"/>
  <c r="AD513" i="56"/>
  <c r="AK499" i="56"/>
  <c r="AH499" i="56"/>
  <c r="AD499" i="56"/>
  <c r="AP499" i="56"/>
  <c r="AD273" i="56"/>
  <c r="AH273" i="56"/>
  <c r="AK273" i="56"/>
  <c r="AP273" i="56"/>
  <c r="AK477" i="56"/>
  <c r="AH477" i="56"/>
  <c r="AD477" i="56"/>
  <c r="AQ318" i="61"/>
  <c r="AL318" i="61"/>
  <c r="AK509" i="56"/>
  <c r="AH509" i="56"/>
  <c r="AD509" i="56"/>
  <c r="AP509" i="56"/>
  <c r="AH352" i="56"/>
  <c r="AD352" i="56"/>
  <c r="AK352" i="56"/>
  <c r="AK277" i="56"/>
  <c r="AH277" i="56"/>
  <c r="AD277" i="56"/>
  <c r="AK357" i="56"/>
  <c r="AH357" i="56"/>
  <c r="AD357" i="56"/>
  <c r="AK377" i="56"/>
  <c r="AH377" i="56"/>
  <c r="AD377" i="56"/>
  <c r="AP377" i="56"/>
  <c r="AK497" i="56"/>
  <c r="AH497" i="56"/>
  <c r="AD497" i="56"/>
  <c r="AD361" i="56"/>
  <c r="AK361" i="56"/>
  <c r="AH361" i="56"/>
  <c r="AM351" i="56"/>
  <c r="AI351" i="56"/>
  <c r="AQ112" i="61"/>
  <c r="AI112" i="61"/>
  <c r="AS112" i="61" s="1"/>
  <c r="AL112" i="61"/>
  <c r="AP151" i="61"/>
  <c r="AQ151" i="61"/>
  <c r="AO151" i="61"/>
  <c r="AL178" i="61"/>
  <c r="AP178" i="61"/>
  <c r="AP33" i="61"/>
  <c r="AQ33" i="61"/>
  <c r="AN84" i="56"/>
  <c r="AI84" i="56"/>
  <c r="AM254" i="56"/>
  <c r="AL254" i="56"/>
  <c r="AK315" i="56"/>
  <c r="AH315" i="56"/>
  <c r="AD315" i="56"/>
  <c r="AL178" i="56"/>
  <c r="AN178" i="56"/>
  <c r="AM178" i="56"/>
  <c r="AI384" i="56"/>
  <c r="AN384" i="56"/>
  <c r="AM384" i="56"/>
  <c r="AI512" i="56"/>
  <c r="AM512" i="56"/>
  <c r="AN512" i="56"/>
  <c r="AD367" i="56"/>
  <c r="AK367" i="56"/>
  <c r="AH367" i="56"/>
  <c r="AF363" i="56"/>
  <c r="AG363" i="56"/>
  <c r="AJ363" i="56"/>
  <c r="AK425" i="56"/>
  <c r="AH425" i="56"/>
  <c r="AD425" i="56"/>
  <c r="AD479" i="56"/>
  <c r="AK479" i="56"/>
  <c r="AH479" i="56"/>
  <c r="AI148" i="56"/>
  <c r="AK293" i="56"/>
  <c r="AH293" i="56"/>
  <c r="AD293" i="56"/>
  <c r="AQ305" i="61"/>
  <c r="AL392" i="61"/>
  <c r="AN237" i="56"/>
  <c r="AI32" i="56"/>
  <c r="AP405" i="56"/>
  <c r="AP432" i="56"/>
  <c r="AK299" i="56"/>
  <c r="AH299" i="56"/>
  <c r="AD299" i="56"/>
  <c r="AH290" i="56"/>
  <c r="AD290" i="56"/>
  <c r="AK290" i="56"/>
  <c r="AP506" i="56"/>
  <c r="AM170" i="56"/>
  <c r="AQ504" i="61"/>
  <c r="AO444" i="61"/>
  <c r="AK344" i="56"/>
  <c r="AH344" i="56"/>
  <c r="AD344" i="56"/>
  <c r="AK390" i="56"/>
  <c r="AH390" i="56"/>
  <c r="AD390" i="56"/>
  <c r="AK436" i="56"/>
  <c r="AH436" i="56"/>
  <c r="AD436" i="56"/>
  <c r="AH512" i="56"/>
  <c r="AD512" i="56"/>
  <c r="AK512" i="56"/>
  <c r="AK302" i="56"/>
  <c r="AH302" i="56"/>
  <c r="AD302" i="56"/>
  <c r="AD383" i="56"/>
  <c r="AK383" i="56"/>
  <c r="AH383" i="56"/>
  <c r="AK429" i="56"/>
  <c r="AH429" i="56"/>
  <c r="AD429" i="56"/>
  <c r="AH288" i="56"/>
  <c r="AD288" i="56"/>
  <c r="AK288" i="56"/>
  <c r="AM393" i="56"/>
  <c r="AK468" i="56"/>
  <c r="AH468" i="56"/>
  <c r="AD468" i="56"/>
  <c r="AK502" i="56"/>
  <c r="AH502" i="56"/>
  <c r="AD502" i="56"/>
  <c r="AF498" i="56"/>
  <c r="AK243" i="56"/>
  <c r="AH243" i="56"/>
  <c r="AD243" i="56"/>
  <c r="AQ349" i="61"/>
  <c r="AO318" i="61"/>
  <c r="AL448" i="61"/>
  <c r="AO153" i="61"/>
  <c r="AI318" i="61"/>
  <c r="AS318" i="61" s="1"/>
  <c r="AQ187" i="61"/>
  <c r="AL316" i="61"/>
  <c r="AP215" i="61"/>
  <c r="AM498" i="56"/>
  <c r="AK252" i="56"/>
  <c r="AH252" i="56"/>
  <c r="AD252" i="56"/>
  <c r="AQ481" i="61"/>
  <c r="AK244" i="56"/>
  <c r="AH244" i="56"/>
  <c r="AD244" i="56"/>
  <c r="AI325" i="56"/>
  <c r="AM325" i="56"/>
  <c r="AO126" i="61"/>
  <c r="AL384" i="56"/>
  <c r="AK309" i="56"/>
  <c r="AH309" i="56"/>
  <c r="AD309" i="56"/>
  <c r="AK334" i="56"/>
  <c r="AH334" i="56"/>
  <c r="AD334" i="56"/>
  <c r="AF362" i="56"/>
  <c r="AI250" i="56"/>
  <c r="AK401" i="56"/>
  <c r="AH401" i="56"/>
  <c r="AD401" i="56"/>
  <c r="AM149" i="56"/>
  <c r="AL149" i="56"/>
  <c r="AK507" i="56"/>
  <c r="AH507" i="56"/>
  <c r="AD507" i="56"/>
  <c r="AP507" i="56"/>
  <c r="AI124" i="61"/>
  <c r="AK124" i="61" s="1"/>
  <c r="AO124" i="61"/>
  <c r="AP124" i="61"/>
  <c r="AI163" i="56"/>
  <c r="AM163" i="56"/>
  <c r="AN186" i="56"/>
  <c r="AM186" i="56"/>
  <c r="AL186" i="56"/>
  <c r="AL179" i="56"/>
  <c r="AI179" i="56"/>
  <c r="AM286" i="56"/>
  <c r="AI286" i="56"/>
  <c r="AL286" i="56"/>
  <c r="AB381" i="56"/>
  <c r="AA381" i="56"/>
  <c r="AB379" i="56"/>
  <c r="AA379" i="56"/>
  <c r="AN448" i="56"/>
  <c r="AK295" i="56"/>
  <c r="AH295" i="56"/>
  <c r="AD295" i="56"/>
  <c r="AL412" i="61"/>
  <c r="AI371" i="56"/>
  <c r="AM337" i="56"/>
  <c r="AF289" i="56"/>
  <c r="AN392" i="56"/>
  <c r="AL168" i="61"/>
  <c r="AO105" i="61"/>
  <c r="AI344" i="61"/>
  <c r="AN344" i="61" s="1"/>
  <c r="AP344" i="61"/>
  <c r="AP196" i="61"/>
  <c r="AK271" i="56"/>
  <c r="AD271" i="56"/>
  <c r="AH271" i="56"/>
  <c r="AK251" i="56"/>
  <c r="AH251" i="56"/>
  <c r="AD251" i="56"/>
  <c r="AI403" i="56"/>
  <c r="AN403" i="56"/>
  <c r="AS514" i="56"/>
  <c r="AB370" i="56"/>
  <c r="AA370" i="56"/>
  <c r="AG272" i="56"/>
  <c r="AJ272" i="56"/>
  <c r="AF218" i="56"/>
  <c r="AP218" i="56" s="1"/>
  <c r="AA197" i="56"/>
  <c r="AB197" i="56"/>
  <c r="AF179" i="56"/>
  <c r="AP179" i="56" s="1"/>
  <c r="AQ412" i="61"/>
  <c r="AQ235" i="61"/>
  <c r="AO399" i="61"/>
  <c r="AL114" i="61"/>
  <c r="AD337" i="56"/>
  <c r="AK337" i="56"/>
  <c r="AH337" i="56"/>
  <c r="AD369" i="56"/>
  <c r="AK369" i="56"/>
  <c r="AH369" i="56"/>
  <c r="AQ114" i="61"/>
  <c r="AI399" i="61"/>
  <c r="AS399" i="61" s="1"/>
  <c r="AI95" i="61"/>
  <c r="AS95" i="61" s="1"/>
  <c r="AL196" i="61"/>
  <c r="AL23" i="61"/>
  <c r="AP23" i="61"/>
  <c r="AI41" i="61"/>
  <c r="AS41" i="61" s="1"/>
  <c r="AI281" i="56"/>
  <c r="AM281" i="56"/>
  <c r="AF467" i="56"/>
  <c r="AS364" i="56"/>
  <c r="AJ283" i="56"/>
  <c r="AB270" i="56"/>
  <c r="AA270" i="56"/>
  <c r="AS156" i="56"/>
  <c r="AL314" i="61"/>
  <c r="AP314" i="61"/>
  <c r="AO385" i="61"/>
  <c r="AI515" i="61"/>
  <c r="AS515" i="61" s="1"/>
  <c r="AO454" i="61"/>
  <c r="AI491" i="56"/>
  <c r="AL491" i="56"/>
  <c r="AA437" i="56"/>
  <c r="AB437" i="56"/>
  <c r="AF374" i="56"/>
  <c r="AI374" i="56"/>
  <c r="AK348" i="56"/>
  <c r="AH348" i="56"/>
  <c r="AD348" i="56"/>
  <c r="AB246" i="56"/>
  <c r="AA246" i="56"/>
  <c r="AA495" i="56"/>
  <c r="AB495" i="56"/>
  <c r="AG463" i="56"/>
  <c r="AJ463" i="56"/>
  <c r="AK391" i="56"/>
  <c r="AH391" i="56"/>
  <c r="AD391" i="56"/>
  <c r="AG301" i="56"/>
  <c r="AJ301" i="56"/>
  <c r="AP343" i="61"/>
  <c r="AI343" i="61"/>
  <c r="AS343" i="61" s="1"/>
  <c r="AQ343" i="61"/>
  <c r="AK358" i="56"/>
  <c r="AH358" i="56"/>
  <c r="AD358" i="56"/>
  <c r="AF85" i="56"/>
  <c r="AP85" i="56" s="1"/>
  <c r="AF305" i="56"/>
  <c r="AM305" i="56"/>
  <c r="AM499" i="56"/>
  <c r="AL499" i="56"/>
  <c r="AG477" i="56"/>
  <c r="AJ477" i="56"/>
  <c r="AS476" i="56"/>
  <c r="AG472" i="56"/>
  <c r="AJ472" i="56"/>
  <c r="AS446" i="56"/>
  <c r="AF439" i="56"/>
  <c r="AB419" i="56"/>
  <c r="AA419" i="56"/>
  <c r="AB378" i="56"/>
  <c r="AA378" i="56"/>
  <c r="AK408" i="56"/>
  <c r="AH408" i="56"/>
  <c r="AD408" i="56"/>
  <c r="AK486" i="56"/>
  <c r="AH486" i="56"/>
  <c r="AD486" i="56"/>
  <c r="AK487" i="56"/>
  <c r="AH487" i="56"/>
  <c r="AD487" i="56"/>
  <c r="AH426" i="56"/>
  <c r="AK426" i="56"/>
  <c r="AD426" i="56"/>
  <c r="AK301" i="56"/>
  <c r="AH301" i="56"/>
  <c r="AD301" i="56"/>
  <c r="AO44" i="61"/>
  <c r="AQ52" i="61"/>
  <c r="AI212" i="61"/>
  <c r="AS212" i="61" s="1"/>
  <c r="AO157" i="61"/>
  <c r="AI385" i="61"/>
  <c r="AS385" i="61" s="1"/>
  <c r="AP205" i="61"/>
  <c r="AI337" i="61"/>
  <c r="AS337" i="61" s="1"/>
  <c r="AL373" i="61"/>
  <c r="AH416" i="56"/>
  <c r="AD416" i="56"/>
  <c r="AK416" i="56"/>
  <c r="AK365" i="56"/>
  <c r="AH365" i="56"/>
  <c r="AD365" i="56"/>
  <c r="AL451" i="61"/>
  <c r="AL343" i="61"/>
  <c r="AP90" i="61"/>
  <c r="AP299" i="61"/>
  <c r="AL186" i="61"/>
  <c r="AP145" i="61"/>
  <c r="AK414" i="56"/>
  <c r="AD414" i="56"/>
  <c r="AH414" i="56"/>
  <c r="AK331" i="56"/>
  <c r="AH331" i="56"/>
  <c r="AD331" i="56"/>
  <c r="AI259" i="61"/>
  <c r="AN259" i="61" s="1"/>
  <c r="AP105" i="61"/>
  <c r="AI278" i="61"/>
  <c r="AK278" i="61" s="1"/>
  <c r="AO278" i="61"/>
  <c r="AQ94" i="61"/>
  <c r="AK263" i="56"/>
  <c r="AH263" i="56"/>
  <c r="AD263" i="56"/>
  <c r="AO468" i="61"/>
  <c r="AG484" i="56"/>
  <c r="AI197" i="61"/>
  <c r="AN197" i="61" s="1"/>
  <c r="AQ197" i="61"/>
  <c r="AG407" i="56"/>
  <c r="AF407" i="56"/>
  <c r="AH394" i="56"/>
  <c r="AK394" i="56"/>
  <c r="AD394" i="56"/>
  <c r="AD321" i="56"/>
  <c r="AK321" i="56"/>
  <c r="AH321" i="56"/>
  <c r="AS396" i="56"/>
  <c r="AS389" i="56"/>
  <c r="AS376" i="56"/>
  <c r="AB359" i="56"/>
  <c r="AA359" i="56"/>
  <c r="AF343" i="56"/>
  <c r="AG327" i="56"/>
  <c r="AS291" i="56"/>
  <c r="AF203" i="56"/>
  <c r="AP203" i="56" s="1"/>
  <c r="AS198" i="56"/>
  <c r="AS159" i="56"/>
  <c r="AV76" i="61"/>
  <c r="AG423" i="56"/>
  <c r="AA414" i="56"/>
  <c r="AF121" i="56"/>
  <c r="AP121" i="56" s="1"/>
  <c r="AF117" i="56"/>
  <c r="AP117" i="56" s="1"/>
  <c r="AF114" i="56"/>
  <c r="AP114" i="56" s="1"/>
  <c r="AF107" i="56"/>
  <c r="AP107" i="56" s="1"/>
  <c r="AF106" i="56"/>
  <c r="AD372" i="61"/>
  <c r="AE372" i="61"/>
  <c r="AS512" i="56"/>
  <c r="AS424" i="56"/>
  <c r="AB342" i="56"/>
  <c r="AA342" i="56"/>
  <c r="AS297" i="56"/>
  <c r="AS288" i="56"/>
  <c r="AS257" i="56"/>
  <c r="AS233" i="56"/>
  <c r="Q20" i="58"/>
  <c r="AD148" i="61"/>
  <c r="AE148" i="61"/>
  <c r="AM206" i="56"/>
  <c r="AI206" i="56"/>
  <c r="AV110" i="61"/>
  <c r="AK308" i="56"/>
  <c r="AH308" i="56"/>
  <c r="AD308" i="56"/>
  <c r="AS463" i="56"/>
  <c r="AS346" i="56"/>
  <c r="AS313" i="56"/>
  <c r="AS301" i="56"/>
  <c r="AS263" i="56"/>
  <c r="AS184" i="56"/>
  <c r="AV477" i="61"/>
  <c r="AJ321" i="56"/>
  <c r="AA348" i="56"/>
  <c r="AA497" i="56"/>
  <c r="AA494" i="56"/>
  <c r="AS497" i="56"/>
  <c r="AS292" i="56"/>
  <c r="AS280" i="56"/>
  <c r="AF152" i="56"/>
  <c r="AP152" i="56" s="1"/>
  <c r="AF128" i="56"/>
  <c r="AP128" i="56" s="1"/>
  <c r="AF116" i="56"/>
  <c r="AF115" i="56"/>
  <c r="AP115" i="56" s="1"/>
  <c r="AF112" i="56"/>
  <c r="AP112" i="56" s="1"/>
  <c r="AE447" i="61"/>
  <c r="AI447" i="61" s="1"/>
  <c r="AD447" i="61"/>
  <c r="AV493" i="61"/>
  <c r="AV419" i="61"/>
  <c r="AV392" i="61"/>
  <c r="AV382" i="61"/>
  <c r="AV378" i="61"/>
  <c r="AV300" i="61"/>
  <c r="AV262" i="61"/>
  <c r="AV148" i="61"/>
  <c r="AV120" i="61"/>
  <c r="AV47" i="61"/>
  <c r="AV44" i="61"/>
  <c r="AV25" i="61"/>
  <c r="AS226" i="56"/>
  <c r="AS222" i="56"/>
  <c r="AV508" i="61"/>
  <c r="AV486" i="61"/>
  <c r="AV459" i="61"/>
  <c r="AV453" i="61"/>
  <c r="AV437" i="61"/>
  <c r="AV420" i="61"/>
  <c r="AV407" i="61"/>
  <c r="AV402" i="61"/>
  <c r="AV398" i="61"/>
  <c r="AV306" i="61"/>
  <c r="AV284" i="61"/>
  <c r="AI255" i="61"/>
  <c r="AS255" i="61" s="1"/>
  <c r="AJ170" i="61"/>
  <c r="AJ137" i="61"/>
  <c r="AI63" i="61"/>
  <c r="AS63" i="61" s="1"/>
  <c r="AS157" i="56"/>
  <c r="P19" i="58"/>
  <c r="AV462" i="61"/>
  <c r="AV296" i="61"/>
  <c r="AV186" i="61"/>
  <c r="AV173" i="61"/>
  <c r="AV163" i="61"/>
  <c r="AV78" i="61"/>
  <c r="AI42" i="61"/>
  <c r="AS42" i="61" s="1"/>
  <c r="AI32" i="61"/>
  <c r="AV291" i="61"/>
  <c r="AV270" i="61"/>
  <c r="AV226" i="61"/>
  <c r="AV203" i="61"/>
  <c r="AV24" i="61"/>
  <c r="AF333" i="56"/>
  <c r="AS299" i="56"/>
  <c r="AS253" i="56"/>
  <c r="AS228" i="56"/>
  <c r="AS202" i="56"/>
  <c r="AS195" i="56"/>
  <c r="AS168" i="56"/>
  <c r="AS136" i="56"/>
  <c r="AS129" i="56"/>
  <c r="AS96" i="56"/>
  <c r="AF96" i="56"/>
  <c r="AP96" i="56" s="1"/>
  <c r="AF80" i="56"/>
  <c r="AF30" i="56"/>
  <c r="AP30" i="56" s="1"/>
  <c r="AF25" i="56"/>
  <c r="AP25" i="56" s="1"/>
  <c r="AF22" i="56"/>
  <c r="AP22" i="56" s="1"/>
  <c r="AS18" i="56"/>
  <c r="AV413" i="61"/>
  <c r="AI395" i="61"/>
  <c r="AS395" i="61" s="1"/>
  <c r="AV377" i="61"/>
  <c r="AV335" i="61"/>
  <c r="AV104" i="61"/>
  <c r="AV49" i="61"/>
  <c r="AS242" i="56"/>
  <c r="AS196" i="56"/>
  <c r="AS173" i="56"/>
  <c r="AS155" i="56"/>
  <c r="AF141" i="56"/>
  <c r="AP141" i="56" s="1"/>
  <c r="AS123" i="56"/>
  <c r="AS119" i="56"/>
  <c r="AF94" i="56"/>
  <c r="AP94" i="56" s="1"/>
  <c r="AF63" i="56"/>
  <c r="AP63" i="56" s="1"/>
  <c r="AS46" i="56"/>
  <c r="AF24" i="56"/>
  <c r="AP24" i="56" s="1"/>
  <c r="AS20" i="56"/>
  <c r="AF16" i="56"/>
  <c r="AV395" i="61"/>
  <c r="AV385" i="61"/>
  <c r="AV342" i="61"/>
  <c r="AV329" i="61"/>
  <c r="AV265" i="61"/>
  <c r="AV204" i="61"/>
  <c r="AV196" i="61"/>
  <c r="AV412" i="61"/>
  <c r="AV403" i="61"/>
  <c r="AV388" i="61"/>
  <c r="AV384" i="61"/>
  <c r="AV379" i="61"/>
  <c r="AV363" i="61"/>
  <c r="AV283" i="61"/>
  <c r="AV95" i="61"/>
  <c r="AV42" i="61"/>
  <c r="U19" i="63"/>
  <c r="AN455" i="61"/>
  <c r="AN124" i="61"/>
  <c r="AG124" i="61"/>
  <c r="AG370" i="61"/>
  <c r="AN370" i="61"/>
  <c r="AK370" i="61"/>
  <c r="AS370" i="61"/>
  <c r="AG217" i="61"/>
  <c r="AN217" i="61"/>
  <c r="AK217" i="61"/>
  <c r="AS217" i="61"/>
  <c r="AG278" i="61"/>
  <c r="AN278" i="61"/>
  <c r="AS278" i="61"/>
  <c r="AP507" i="61"/>
  <c r="AL507" i="61"/>
  <c r="AI507" i="61"/>
  <c r="AO507" i="61"/>
  <c r="AQ507" i="61"/>
  <c r="AG503" i="61"/>
  <c r="AN503" i="61"/>
  <c r="AK503" i="61"/>
  <c r="AS503" i="61"/>
  <c r="AG421" i="61"/>
  <c r="AN421" i="61"/>
  <c r="AK421" i="61"/>
  <c r="AS421" i="61"/>
  <c r="AG506" i="61"/>
  <c r="AN506" i="61"/>
  <c r="AK506" i="61"/>
  <c r="AS506" i="61"/>
  <c r="AG344" i="61"/>
  <c r="AS344" i="61"/>
  <c r="AG197" i="61"/>
  <c r="AK197" i="61"/>
  <c r="AS197" i="61"/>
  <c r="AG252" i="61"/>
  <c r="AN252" i="61"/>
  <c r="AK252" i="61"/>
  <c r="AS252" i="61"/>
  <c r="AQ462" i="61"/>
  <c r="AL462" i="61"/>
  <c r="AP462" i="61"/>
  <c r="AI462" i="61"/>
  <c r="AO462" i="61"/>
  <c r="AS259" i="61"/>
  <c r="AG216" i="61"/>
  <c r="AN216" i="61"/>
  <c r="AK216" i="61"/>
  <c r="AS216" i="61"/>
  <c r="AN100" i="61"/>
  <c r="AG100" i="61"/>
  <c r="AK100" i="61"/>
  <c r="AS100" i="61"/>
  <c r="AN164" i="61"/>
  <c r="AG164" i="61"/>
  <c r="AK164" i="61"/>
  <c r="AS164" i="61"/>
  <c r="AG454" i="61"/>
  <c r="AN454" i="61"/>
  <c r="AK454" i="61"/>
  <c r="AS454" i="61"/>
  <c r="AG498" i="61"/>
  <c r="AN498" i="61"/>
  <c r="AK498" i="61"/>
  <c r="AS498" i="61"/>
  <c r="AQ464" i="61"/>
  <c r="AL464" i="61"/>
  <c r="AO464" i="61"/>
  <c r="AP464" i="61"/>
  <c r="AI464" i="61"/>
  <c r="AO450" i="61"/>
  <c r="AP450" i="61"/>
  <c r="AL450" i="61"/>
  <c r="AQ450" i="61"/>
  <c r="AI450" i="61"/>
  <c r="AG481" i="61"/>
  <c r="AN481" i="61"/>
  <c r="AK481" i="61"/>
  <c r="AS481" i="61"/>
  <c r="AG205" i="61"/>
  <c r="AN205" i="61"/>
  <c r="AK205" i="61"/>
  <c r="AS205" i="61"/>
  <c r="AG280" i="61"/>
  <c r="AN280" i="61"/>
  <c r="AK280" i="61"/>
  <c r="AS280" i="61"/>
  <c r="AL513" i="61"/>
  <c r="AP513" i="61"/>
  <c r="AO513" i="61"/>
  <c r="AI513" i="61"/>
  <c r="AQ513" i="61"/>
  <c r="AI470" i="61"/>
  <c r="AL470" i="61"/>
  <c r="AO470" i="61"/>
  <c r="AQ470" i="61"/>
  <c r="AP470" i="61"/>
  <c r="AG331" i="61"/>
  <c r="AN331" i="61"/>
  <c r="AK331" i="61"/>
  <c r="AG402" i="61"/>
  <c r="AN402" i="61"/>
  <c r="AK402" i="61"/>
  <c r="AG208" i="61"/>
  <c r="AN208" i="61"/>
  <c r="AK208" i="61"/>
  <c r="AG325" i="61"/>
  <c r="AN325" i="61"/>
  <c r="AK325" i="61"/>
  <c r="AG125" i="61"/>
  <c r="AN125" i="61"/>
  <c r="AK125" i="61"/>
  <c r="AI18" i="61"/>
  <c r="AK18" i="61" s="1"/>
  <c r="AJ18" i="61" s="1"/>
  <c r="AQ21" i="61"/>
  <c r="AG410" i="61"/>
  <c r="AN410" i="61"/>
  <c r="AK410" i="61"/>
  <c r="AG504" i="61"/>
  <c r="AN504" i="61"/>
  <c r="AK504" i="61"/>
  <c r="AG469" i="61"/>
  <c r="AN469" i="61"/>
  <c r="AK469" i="61"/>
  <c r="AG121" i="61"/>
  <c r="AN121" i="61"/>
  <c r="AK121" i="61"/>
  <c r="AG371" i="61"/>
  <c r="AN371" i="61"/>
  <c r="AK371" i="61"/>
  <c r="AG386" i="61"/>
  <c r="AN386" i="61"/>
  <c r="AK386" i="61"/>
  <c r="AG441" i="61"/>
  <c r="AN441" i="61"/>
  <c r="AK441" i="61"/>
  <c r="AG192" i="61"/>
  <c r="AN192" i="61"/>
  <c r="AK192" i="61"/>
  <c r="AG99" i="61"/>
  <c r="AK99" i="61"/>
  <c r="AN99" i="61"/>
  <c r="AG400" i="61"/>
  <c r="AN400" i="61"/>
  <c r="AK400" i="61"/>
  <c r="AG242" i="61"/>
  <c r="AN242" i="61"/>
  <c r="AK242" i="61"/>
  <c r="AG414" i="61"/>
  <c r="AN414" i="61"/>
  <c r="AK414" i="61"/>
  <c r="AG298" i="61"/>
  <c r="AN298" i="61"/>
  <c r="AK298" i="61"/>
  <c r="AG173" i="61"/>
  <c r="AN173" i="61"/>
  <c r="AK173" i="61"/>
  <c r="AG239" i="61"/>
  <c r="AN239" i="61"/>
  <c r="AK239" i="61"/>
  <c r="AG193" i="61"/>
  <c r="AK193" i="61"/>
  <c r="AN193" i="61"/>
  <c r="AG307" i="61"/>
  <c r="AN307" i="61"/>
  <c r="AK307" i="61"/>
  <c r="AN387" i="61"/>
  <c r="AK387" i="61"/>
  <c r="AG387" i="61"/>
  <c r="AG329" i="61"/>
  <c r="AN329" i="61"/>
  <c r="AK329" i="61"/>
  <c r="AG233" i="61"/>
  <c r="AN233" i="61"/>
  <c r="AK233" i="61"/>
  <c r="AG438" i="61"/>
  <c r="AN438" i="61"/>
  <c r="AK438" i="61"/>
  <c r="AG349" i="61"/>
  <c r="AN349" i="61"/>
  <c r="AK349" i="61"/>
  <c r="AG433" i="61"/>
  <c r="AN433" i="61"/>
  <c r="AK433" i="61"/>
  <c r="AG389" i="61"/>
  <c r="AN389" i="61"/>
  <c r="AK389" i="61"/>
  <c r="AG392" i="61"/>
  <c r="AN392" i="61"/>
  <c r="AK392" i="61"/>
  <c r="AG207" i="61"/>
  <c r="AN207" i="61"/>
  <c r="AK207" i="61"/>
  <c r="AG336" i="61"/>
  <c r="AN336" i="61"/>
  <c r="AK336" i="61"/>
  <c r="AN323" i="61"/>
  <c r="AK323" i="61"/>
  <c r="AG323" i="61"/>
  <c r="AG153" i="61"/>
  <c r="AN153" i="61"/>
  <c r="AK153" i="61"/>
  <c r="AG276" i="61"/>
  <c r="AN276" i="61"/>
  <c r="AK276" i="61"/>
  <c r="AG345" i="61"/>
  <c r="AN345" i="61"/>
  <c r="AK345" i="61"/>
  <c r="AN156" i="61"/>
  <c r="AG156" i="61"/>
  <c r="AK156" i="61"/>
  <c r="AG514" i="61"/>
  <c r="AN514" i="61"/>
  <c r="AK514" i="61"/>
  <c r="AG180" i="61"/>
  <c r="AN180" i="61"/>
  <c r="AK180" i="61"/>
  <c r="AG354" i="61"/>
  <c r="AN354" i="61"/>
  <c r="AK354" i="61"/>
  <c r="AG73" i="61"/>
  <c r="AK73" i="61"/>
  <c r="AN73" i="61"/>
  <c r="AG271" i="61"/>
  <c r="AN271" i="61"/>
  <c r="AK271" i="61"/>
  <c r="AG368" i="61"/>
  <c r="AN368" i="61"/>
  <c r="AK368" i="61"/>
  <c r="AG235" i="61"/>
  <c r="AN235" i="61"/>
  <c r="AK235" i="61"/>
  <c r="AG274" i="61"/>
  <c r="AN274" i="61"/>
  <c r="AK274" i="61"/>
  <c r="AG203" i="61"/>
  <c r="AN203" i="61"/>
  <c r="AK203" i="61"/>
  <c r="AG479" i="61"/>
  <c r="AK479" i="61"/>
  <c r="AN479" i="61"/>
  <c r="AG388" i="61"/>
  <c r="AN388" i="61"/>
  <c r="AK388" i="61"/>
  <c r="AG74" i="61"/>
  <c r="AK74" i="61"/>
  <c r="AN74" i="61"/>
  <c r="AG432" i="61"/>
  <c r="AN432" i="61"/>
  <c r="AK432" i="61"/>
  <c r="AG459" i="61"/>
  <c r="AN459" i="61"/>
  <c r="AK459" i="61"/>
  <c r="AG94" i="61"/>
  <c r="AK94" i="61"/>
  <c r="AN94" i="61"/>
  <c r="AG266" i="61"/>
  <c r="AN266" i="61"/>
  <c r="AK266" i="61"/>
  <c r="AG380" i="61"/>
  <c r="AN380" i="61"/>
  <c r="AK380" i="61"/>
  <c r="AG221" i="61"/>
  <c r="AN221" i="61"/>
  <c r="AK221" i="61"/>
  <c r="AG509" i="61"/>
  <c r="AN509" i="61"/>
  <c r="AK509" i="61"/>
  <c r="AG332" i="61"/>
  <c r="AN332" i="61"/>
  <c r="AK332" i="61"/>
  <c r="AG300" i="61"/>
  <c r="AN300" i="61"/>
  <c r="AK300" i="61"/>
  <c r="AG159" i="61"/>
  <c r="AN159" i="61"/>
  <c r="AK159" i="61"/>
  <c r="AG291" i="61"/>
  <c r="AN291" i="61"/>
  <c r="AK291" i="61"/>
  <c r="AG443" i="61"/>
  <c r="AN443" i="61"/>
  <c r="AK443" i="61"/>
  <c r="AG404" i="61"/>
  <c r="AN404" i="61"/>
  <c r="AK404" i="61"/>
  <c r="AG430" i="61"/>
  <c r="AN430" i="61"/>
  <c r="AK430" i="61"/>
  <c r="AG330" i="61"/>
  <c r="AN330" i="61"/>
  <c r="AK330" i="61"/>
  <c r="AG303" i="61"/>
  <c r="AN303" i="61"/>
  <c r="AK303" i="61"/>
  <c r="AG245" i="61"/>
  <c r="AN245" i="61"/>
  <c r="AK245" i="61"/>
  <c r="AG202" i="61"/>
  <c r="AN202" i="61"/>
  <c r="AK202" i="61"/>
  <c r="AG231" i="61"/>
  <c r="AN231" i="61"/>
  <c r="AK231" i="61"/>
  <c r="AG115" i="61"/>
  <c r="AN115" i="61"/>
  <c r="AK115" i="61"/>
  <c r="AG287" i="61"/>
  <c r="AN287" i="61"/>
  <c r="AK287" i="61"/>
  <c r="AG466" i="61"/>
  <c r="AN466" i="61"/>
  <c r="AK466" i="61"/>
  <c r="AG200" i="61"/>
  <c r="AN200" i="61"/>
  <c r="AK200" i="61"/>
  <c r="AG83" i="61"/>
  <c r="AK83" i="61"/>
  <c r="AN83" i="61"/>
  <c r="AG123" i="61"/>
  <c r="AN123" i="61"/>
  <c r="AK123" i="61"/>
  <c r="AG96" i="61"/>
  <c r="AN96" i="61"/>
  <c r="AK96" i="61"/>
  <c r="AG178" i="61"/>
  <c r="AN178" i="61"/>
  <c r="AK178" i="61"/>
  <c r="AG297" i="61"/>
  <c r="AN297" i="61"/>
  <c r="AK297" i="61"/>
  <c r="AG126" i="61"/>
  <c r="AN126" i="61"/>
  <c r="AK126" i="61"/>
  <c r="AG317" i="61"/>
  <c r="AN317" i="61"/>
  <c r="AK317" i="61"/>
  <c r="AG250" i="61"/>
  <c r="AN250" i="61"/>
  <c r="AK250" i="61"/>
  <c r="AG105" i="61"/>
  <c r="AK105" i="61"/>
  <c r="AN105" i="61"/>
  <c r="AG229" i="61"/>
  <c r="AN229" i="61"/>
  <c r="AK229" i="61"/>
  <c r="AG158" i="61"/>
  <c r="AN158" i="61"/>
  <c r="AK158" i="61"/>
  <c r="AG258" i="61"/>
  <c r="AN258" i="61"/>
  <c r="AK258" i="61"/>
  <c r="AG290" i="61"/>
  <c r="AN290" i="61"/>
  <c r="AK290" i="61"/>
  <c r="AG257" i="61"/>
  <c r="AK257" i="61"/>
  <c r="AN257" i="61"/>
  <c r="AG151" i="61"/>
  <c r="AN151" i="61"/>
  <c r="AK151" i="61"/>
  <c r="AG206" i="61"/>
  <c r="AN206" i="61"/>
  <c r="AK206" i="61"/>
  <c r="AG185" i="61"/>
  <c r="AN185" i="61"/>
  <c r="AK185" i="61"/>
  <c r="AG101" i="61"/>
  <c r="AK101" i="61"/>
  <c r="AN101" i="61"/>
  <c r="AG237" i="61"/>
  <c r="AN237" i="61"/>
  <c r="AK237" i="61"/>
  <c r="AG149" i="61"/>
  <c r="AN149" i="61"/>
  <c r="AK149" i="61"/>
  <c r="AG86" i="61"/>
  <c r="AK86" i="61"/>
  <c r="AN86" i="61"/>
  <c r="AG102" i="61"/>
  <c r="AK102" i="61"/>
  <c r="AN102" i="61"/>
  <c r="AG162" i="61"/>
  <c r="AN162" i="61"/>
  <c r="AK162" i="61"/>
  <c r="AN120" i="61"/>
  <c r="AG120" i="61"/>
  <c r="AK120" i="61"/>
  <c r="AG255" i="61"/>
  <c r="AG240" i="61"/>
  <c r="AN240" i="61"/>
  <c r="AK240" i="61"/>
  <c r="AG382" i="61"/>
  <c r="AN382" i="61"/>
  <c r="AK382" i="61"/>
  <c r="AG445" i="61"/>
  <c r="AN445" i="61"/>
  <c r="AK445" i="61"/>
  <c r="AG346" i="61"/>
  <c r="AN346" i="61"/>
  <c r="AK346" i="61"/>
  <c r="AG353" i="61"/>
  <c r="AK353" i="61"/>
  <c r="AN353" i="61"/>
  <c r="AG453" i="61"/>
  <c r="AN453" i="61"/>
  <c r="AK453" i="61"/>
  <c r="AG214" i="61"/>
  <c r="AN214" i="61"/>
  <c r="AK214" i="61"/>
  <c r="AG161" i="61"/>
  <c r="AK161" i="61"/>
  <c r="AN161" i="61"/>
  <c r="AG246" i="61"/>
  <c r="AN246" i="61"/>
  <c r="AK246" i="61"/>
  <c r="AG306" i="61"/>
  <c r="AN306" i="61"/>
  <c r="AK306" i="61"/>
  <c r="AG493" i="61"/>
  <c r="AN493" i="61"/>
  <c r="AK493" i="61"/>
  <c r="AG313" i="61"/>
  <c r="AN313" i="61"/>
  <c r="AK313" i="61"/>
  <c r="AG150" i="61"/>
  <c r="AN150" i="61"/>
  <c r="AK150" i="61"/>
  <c r="AG351" i="61"/>
  <c r="AN351" i="61"/>
  <c r="AK351" i="61"/>
  <c r="AG361" i="61"/>
  <c r="AN361" i="61"/>
  <c r="AK361" i="61"/>
  <c r="AG294" i="61"/>
  <c r="AN294" i="61"/>
  <c r="AK294" i="61"/>
  <c r="AG335" i="61"/>
  <c r="AN335" i="61"/>
  <c r="AK335" i="61"/>
  <c r="AG427" i="61"/>
  <c r="AN427" i="61"/>
  <c r="AK427" i="61"/>
  <c r="AG262" i="61"/>
  <c r="AN262" i="61"/>
  <c r="AK262" i="61"/>
  <c r="AG360" i="61"/>
  <c r="AN360" i="61"/>
  <c r="AK360" i="61"/>
  <c r="AG321" i="61"/>
  <c r="AK321" i="61"/>
  <c r="AN321" i="61"/>
  <c r="AG473" i="61"/>
  <c r="AN473" i="61"/>
  <c r="AK473" i="61"/>
  <c r="AG141" i="61"/>
  <c r="AN141" i="61"/>
  <c r="AK141" i="61"/>
  <c r="AG376" i="61"/>
  <c r="AN376" i="61"/>
  <c r="AK376" i="61"/>
  <c r="AG448" i="61"/>
  <c r="AN448" i="61"/>
  <c r="AK448" i="61"/>
  <c r="AG224" i="61"/>
  <c r="AN224" i="61"/>
  <c r="AK224" i="61"/>
  <c r="AG228" i="61"/>
  <c r="AN228" i="61"/>
  <c r="AK228" i="61"/>
  <c r="AG495" i="61"/>
  <c r="AN495" i="61"/>
  <c r="AK495" i="61"/>
  <c r="AG209" i="61"/>
  <c r="AK209" i="61"/>
  <c r="AN209" i="61"/>
  <c r="AG316" i="61"/>
  <c r="AN316" i="61"/>
  <c r="AK316" i="61"/>
  <c r="AN275" i="61"/>
  <c r="AG170" i="61"/>
  <c r="AN170" i="61"/>
  <c r="AK170" i="61"/>
  <c r="AG106" i="61"/>
  <c r="AK106" i="61"/>
  <c r="AN106" i="61"/>
  <c r="AG305" i="61"/>
  <c r="AK305" i="61"/>
  <c r="AN305" i="61"/>
  <c r="AG128" i="61"/>
  <c r="AN128" i="61"/>
  <c r="AK128" i="61"/>
  <c r="AG327" i="61"/>
  <c r="AN327" i="61"/>
  <c r="AK327" i="61"/>
  <c r="AG219" i="61"/>
  <c r="AN219" i="61"/>
  <c r="AK219" i="61"/>
  <c r="AG460" i="61"/>
  <c r="AN460" i="61"/>
  <c r="AK460" i="61"/>
  <c r="AG93" i="61"/>
  <c r="AK93" i="61"/>
  <c r="AN93" i="61"/>
  <c r="AG177" i="61"/>
  <c r="AK177" i="61"/>
  <c r="AN177" i="61"/>
  <c r="AG356" i="61"/>
  <c r="AN356" i="61"/>
  <c r="AK356" i="61"/>
  <c r="AG226" i="61"/>
  <c r="AN226" i="61"/>
  <c r="AK226" i="61"/>
  <c r="AG261" i="61"/>
  <c r="AN261" i="61"/>
  <c r="AK261" i="61"/>
  <c r="AG279" i="61"/>
  <c r="AN279" i="61"/>
  <c r="AK279" i="61"/>
  <c r="AG409" i="61"/>
  <c r="AN409" i="61"/>
  <c r="AK409" i="61"/>
  <c r="AG171" i="61"/>
  <c r="AN171" i="61"/>
  <c r="AK171" i="61"/>
  <c r="AG482" i="61"/>
  <c r="AN482" i="61"/>
  <c r="AK482" i="61"/>
  <c r="AG480" i="61"/>
  <c r="AN480" i="61"/>
  <c r="AK480" i="61"/>
  <c r="AG253" i="61"/>
  <c r="AN253" i="61"/>
  <c r="AK253" i="61"/>
  <c r="AG485" i="61"/>
  <c r="AN485" i="61"/>
  <c r="AK485" i="61"/>
  <c r="AG403" i="61"/>
  <c r="AN403" i="61"/>
  <c r="AK403" i="61"/>
  <c r="AG390" i="61"/>
  <c r="AN390" i="61"/>
  <c r="AK390" i="61"/>
  <c r="AG295" i="61"/>
  <c r="AN295" i="61"/>
  <c r="AK295" i="61"/>
  <c r="AG134" i="61"/>
  <c r="AN134" i="61"/>
  <c r="AK134" i="61"/>
  <c r="AG341" i="61"/>
  <c r="AN341" i="61"/>
  <c r="AK341" i="61"/>
  <c r="AG365" i="61"/>
  <c r="AN365" i="61"/>
  <c r="AK365" i="61"/>
  <c r="AG422" i="61"/>
  <c r="AN422" i="61"/>
  <c r="AK422" i="61"/>
  <c r="AG457" i="61"/>
  <c r="AN457" i="61"/>
  <c r="AK457" i="61"/>
  <c r="AG223" i="61"/>
  <c r="AN223" i="61"/>
  <c r="AK223" i="61"/>
  <c r="AG194" i="61"/>
  <c r="AN194" i="61"/>
  <c r="AK194" i="61"/>
  <c r="AG78" i="61"/>
  <c r="AK78" i="61"/>
  <c r="AN78" i="61"/>
  <c r="AG201" i="61"/>
  <c r="AN201" i="61"/>
  <c r="AK201" i="61"/>
  <c r="AG97" i="61"/>
  <c r="AK97" i="61"/>
  <c r="AN97" i="61"/>
  <c r="AG472" i="61"/>
  <c r="AN472" i="61"/>
  <c r="AK472" i="61"/>
  <c r="AG314" i="61"/>
  <c r="AN314" i="61"/>
  <c r="AK314" i="61"/>
  <c r="AG375" i="61"/>
  <c r="AN375" i="61"/>
  <c r="AK375" i="61"/>
  <c r="AN108" i="61"/>
  <c r="AG108" i="61"/>
  <c r="AK108" i="61"/>
  <c r="AG191" i="61"/>
  <c r="AN191" i="61"/>
  <c r="AK191" i="61"/>
  <c r="AG244" i="61"/>
  <c r="AN244" i="61"/>
  <c r="AK244" i="61"/>
  <c r="AG312" i="61"/>
  <c r="AN312" i="61"/>
  <c r="AK312" i="61"/>
  <c r="AG232" i="61"/>
  <c r="AN232" i="61"/>
  <c r="AK232" i="61"/>
  <c r="AG385" i="61"/>
  <c r="AN385" i="61"/>
  <c r="AK385" i="61"/>
  <c r="AN168" i="61"/>
  <c r="AG168" i="61"/>
  <c r="AK168" i="61"/>
  <c r="AG378" i="61"/>
  <c r="AN378" i="61"/>
  <c r="AK378" i="61"/>
  <c r="AG112" i="61"/>
  <c r="AN112" i="61"/>
  <c r="AK112" i="61"/>
  <c r="AG204" i="61"/>
  <c r="AN204" i="61"/>
  <c r="AK204" i="61"/>
  <c r="AG355" i="61"/>
  <c r="AN355" i="61"/>
  <c r="AK355" i="61"/>
  <c r="AG256" i="61"/>
  <c r="AN256" i="61"/>
  <c r="AK256" i="61"/>
  <c r="AG163" i="61"/>
  <c r="AN163" i="61"/>
  <c r="AK163" i="61"/>
  <c r="AG254" i="61"/>
  <c r="AN254" i="61"/>
  <c r="AK254" i="61"/>
  <c r="AG412" i="61"/>
  <c r="AN412" i="61"/>
  <c r="AK412" i="61"/>
  <c r="AG309" i="61"/>
  <c r="AN309" i="61"/>
  <c r="AK309" i="61"/>
  <c r="AG75" i="61"/>
  <c r="AK75" i="61"/>
  <c r="AN75" i="61"/>
  <c r="AG188" i="61"/>
  <c r="AN188" i="61"/>
  <c r="AK188" i="61"/>
  <c r="AG90" i="61"/>
  <c r="AK90" i="61"/>
  <c r="AN90" i="61"/>
  <c r="AG420" i="61"/>
  <c r="AN420" i="61"/>
  <c r="AK420" i="61"/>
  <c r="AG236" i="61"/>
  <c r="AN236" i="61"/>
  <c r="AK236" i="61"/>
  <c r="AG299" i="61"/>
  <c r="AN299" i="61"/>
  <c r="AK299" i="61"/>
  <c r="AG157" i="61"/>
  <c r="AN157" i="61"/>
  <c r="AK157" i="61"/>
  <c r="AG186" i="61"/>
  <c r="AN186" i="61"/>
  <c r="AK186" i="61"/>
  <c r="AG461" i="61"/>
  <c r="AN461" i="61"/>
  <c r="AK461" i="61"/>
  <c r="AG475" i="61"/>
  <c r="AN475" i="61"/>
  <c r="AK475" i="61"/>
  <c r="AG248" i="61"/>
  <c r="AN248" i="61"/>
  <c r="AK248" i="61"/>
  <c r="AG399" i="61"/>
  <c r="AK399" i="61"/>
  <c r="AN399" i="61"/>
  <c r="AG343" i="61"/>
  <c r="AN343" i="61"/>
  <c r="AK343" i="61"/>
  <c r="AG302" i="61"/>
  <c r="AN302" i="61"/>
  <c r="AK302" i="61"/>
  <c r="AQ278" i="61"/>
  <c r="AG494" i="61"/>
  <c r="AN494" i="61"/>
  <c r="AK494" i="61"/>
  <c r="AG377" i="61"/>
  <c r="AN377" i="61"/>
  <c r="AK377" i="61"/>
  <c r="AG234" i="61"/>
  <c r="AN234" i="61"/>
  <c r="AK234" i="61"/>
  <c r="AG77" i="61"/>
  <c r="AK77" i="61"/>
  <c r="AN77" i="61"/>
  <c r="AG413" i="61"/>
  <c r="AN413" i="61"/>
  <c r="AK413" i="61"/>
  <c r="AN339" i="61"/>
  <c r="AG339" i="61"/>
  <c r="AK339" i="61"/>
  <c r="AG230" i="61"/>
  <c r="AN230" i="61"/>
  <c r="AK230" i="61"/>
  <c r="AG468" i="61"/>
  <c r="AN468" i="61"/>
  <c r="AK468" i="61"/>
  <c r="AS445" i="61"/>
  <c r="AS230" i="61"/>
  <c r="AG249" i="61"/>
  <c r="AN249" i="61"/>
  <c r="AK249" i="61"/>
  <c r="AG143" i="61"/>
  <c r="AN143" i="61"/>
  <c r="AK143" i="61"/>
  <c r="AG476" i="61"/>
  <c r="AN476" i="61"/>
  <c r="AK476" i="61"/>
  <c r="AQ24" i="61"/>
  <c r="AO19" i="61"/>
  <c r="AS353" i="61"/>
  <c r="AG465" i="61"/>
  <c r="AN465" i="61"/>
  <c r="AK465" i="61"/>
  <c r="AG315" i="61"/>
  <c r="AN315" i="61"/>
  <c r="AK315" i="61"/>
  <c r="AG501" i="61"/>
  <c r="AN501" i="61"/>
  <c r="AK501" i="61"/>
  <c r="AG440" i="61"/>
  <c r="AN440" i="61"/>
  <c r="AK440" i="61"/>
  <c r="AG340" i="61"/>
  <c r="AN340" i="61"/>
  <c r="AK340" i="61"/>
  <c r="AG301" i="61"/>
  <c r="AN301" i="61"/>
  <c r="AK301" i="61"/>
  <c r="AG119" i="61"/>
  <c r="AN119" i="61"/>
  <c r="AK119" i="61"/>
  <c r="AG190" i="61"/>
  <c r="AN190" i="61"/>
  <c r="AK190" i="61"/>
  <c r="AG213" i="61"/>
  <c r="AN213" i="61"/>
  <c r="AK213" i="61"/>
  <c r="AG227" i="61"/>
  <c r="AN227" i="61"/>
  <c r="AK227" i="61"/>
  <c r="AG109" i="61"/>
  <c r="AN109" i="61"/>
  <c r="AK109" i="61"/>
  <c r="AG92" i="61"/>
  <c r="AN92" i="61"/>
  <c r="AK92" i="61"/>
  <c r="AG338" i="61"/>
  <c r="AN338" i="61"/>
  <c r="AK338" i="61"/>
  <c r="AG350" i="61"/>
  <c r="AN350" i="61"/>
  <c r="AK350" i="61"/>
  <c r="AG405" i="61"/>
  <c r="AN405" i="61"/>
  <c r="AK405" i="61"/>
  <c r="AG491" i="61"/>
  <c r="AN491" i="61"/>
  <c r="AK491" i="61"/>
  <c r="AG374" i="61"/>
  <c r="AN374" i="61"/>
  <c r="AK374" i="61"/>
  <c r="AG181" i="61"/>
  <c r="AN181" i="61"/>
  <c r="AK181" i="61"/>
  <c r="AG318" i="61"/>
  <c r="AN318" i="61"/>
  <c r="AK318" i="61"/>
  <c r="AG187" i="61"/>
  <c r="AN187" i="61"/>
  <c r="AK187" i="61"/>
  <c r="AG326" i="61"/>
  <c r="AN326" i="61"/>
  <c r="AK326" i="61"/>
  <c r="AG264" i="61"/>
  <c r="AN264" i="61"/>
  <c r="AK264" i="61"/>
  <c r="AG423" i="61"/>
  <c r="AN423" i="61"/>
  <c r="AK423" i="61"/>
  <c r="AG391" i="61"/>
  <c r="AN391" i="61"/>
  <c r="AK391" i="61"/>
  <c r="AG215" i="61"/>
  <c r="AN215" i="61"/>
  <c r="AK215" i="61"/>
  <c r="AG308" i="61"/>
  <c r="AN308" i="61"/>
  <c r="AK308" i="61"/>
  <c r="AG333" i="61"/>
  <c r="AN333" i="61"/>
  <c r="AK333" i="61"/>
  <c r="AN152" i="61"/>
  <c r="AG152" i="61"/>
  <c r="AK152" i="61"/>
  <c r="AG107" i="61"/>
  <c r="AK107" i="61"/>
  <c r="AN107" i="61"/>
  <c r="AG359" i="61"/>
  <c r="AN359" i="61"/>
  <c r="AK359" i="61"/>
  <c r="AG251" i="61"/>
  <c r="AN251" i="61"/>
  <c r="AK251" i="61"/>
  <c r="AG130" i="61"/>
  <c r="AN130" i="61"/>
  <c r="AK130" i="61"/>
  <c r="AG437" i="61"/>
  <c r="AN437" i="61"/>
  <c r="AK437" i="61"/>
  <c r="AG488" i="61"/>
  <c r="AN488" i="61"/>
  <c r="AK488" i="61"/>
  <c r="AG311" i="61"/>
  <c r="AN311" i="61"/>
  <c r="AK311" i="61"/>
  <c r="AG179" i="61"/>
  <c r="AN179" i="61"/>
  <c r="AK179" i="61"/>
  <c r="AG241" i="61"/>
  <c r="AK241" i="61"/>
  <c r="AN241" i="61"/>
  <c r="AN84" i="61"/>
  <c r="AG84" i="61"/>
  <c r="AK84" i="61"/>
  <c r="AG342" i="61"/>
  <c r="AN342" i="61"/>
  <c r="AK342" i="61"/>
  <c r="AG347" i="61"/>
  <c r="AN347" i="61"/>
  <c r="AK347" i="61"/>
  <c r="AG265" i="61"/>
  <c r="AN265" i="61"/>
  <c r="AK265" i="61"/>
  <c r="AG362" i="61"/>
  <c r="AN362" i="61"/>
  <c r="AK362" i="61"/>
  <c r="AG366" i="61"/>
  <c r="AN366" i="61"/>
  <c r="AK366" i="61"/>
  <c r="AG442" i="61"/>
  <c r="AN442" i="61"/>
  <c r="AK442" i="61"/>
  <c r="AG282" i="61"/>
  <c r="AN282" i="61"/>
  <c r="AK282" i="61"/>
  <c r="AG166" i="61"/>
  <c r="AN166" i="61"/>
  <c r="AK166" i="61"/>
  <c r="AL52" i="61"/>
  <c r="AG118" i="61"/>
  <c r="AN118" i="61"/>
  <c r="AK118" i="61"/>
  <c r="AG135" i="61"/>
  <c r="AN135" i="61"/>
  <c r="AK135" i="61"/>
  <c r="AG310" i="61"/>
  <c r="AN310" i="61"/>
  <c r="AK310" i="61"/>
  <c r="AN512" i="61"/>
  <c r="AG183" i="61"/>
  <c r="AN183" i="61"/>
  <c r="AK183" i="61"/>
  <c r="AG418" i="61"/>
  <c r="AN418" i="61"/>
  <c r="AK418" i="61"/>
  <c r="AG499" i="61"/>
  <c r="AN499" i="61"/>
  <c r="AK499" i="61"/>
  <c r="AG502" i="61"/>
  <c r="AN502" i="61"/>
  <c r="AK502" i="61"/>
  <c r="AN211" i="61"/>
  <c r="AG211" i="61"/>
  <c r="AK211" i="61"/>
  <c r="AG492" i="61"/>
  <c r="AN492" i="61"/>
  <c r="AK492" i="61"/>
  <c r="AG114" i="61"/>
  <c r="AN114" i="61"/>
  <c r="AK114" i="61"/>
  <c r="AG146" i="61"/>
  <c r="AN146" i="61"/>
  <c r="AK146" i="61"/>
  <c r="AG396" i="61"/>
  <c r="AN396" i="61"/>
  <c r="AK396" i="61"/>
  <c r="AG489" i="61"/>
  <c r="AN489" i="61"/>
  <c r="AK489" i="61"/>
  <c r="AG478" i="61"/>
  <c r="AN478" i="61"/>
  <c r="AK478" i="61"/>
  <c r="AG145" i="61"/>
  <c r="AK145" i="61"/>
  <c r="AN145" i="61"/>
  <c r="AG263" i="61"/>
  <c r="AN263" i="61"/>
  <c r="AK263" i="61"/>
  <c r="AG439" i="61"/>
  <c r="AN439" i="61"/>
  <c r="AK439" i="61"/>
  <c r="AG415" i="61"/>
  <c r="AK415" i="61"/>
  <c r="AN415" i="61"/>
  <c r="AG160" i="61"/>
  <c r="AN160" i="61"/>
  <c r="AK160" i="61"/>
  <c r="AG80" i="61"/>
  <c r="AN80" i="61"/>
  <c r="AK80" i="61"/>
  <c r="AG277" i="61"/>
  <c r="AN277" i="61"/>
  <c r="AK277" i="61"/>
  <c r="AG429" i="61"/>
  <c r="AN429" i="61"/>
  <c r="AK429" i="61"/>
  <c r="AG267" i="61"/>
  <c r="AN267" i="61"/>
  <c r="AK267" i="61"/>
  <c r="AG436" i="61"/>
  <c r="AN436" i="61"/>
  <c r="AK436" i="61"/>
  <c r="AG113" i="61"/>
  <c r="AK113" i="61"/>
  <c r="AN113" i="61"/>
  <c r="AG285" i="61"/>
  <c r="AN285" i="61"/>
  <c r="AK285" i="61"/>
  <c r="AG383" i="61"/>
  <c r="AK383" i="61"/>
  <c r="AN383" i="61"/>
  <c r="AG395" i="61"/>
  <c r="AN395" i="61"/>
  <c r="AK395" i="61"/>
  <c r="AG328" i="61"/>
  <c r="AN328" i="61"/>
  <c r="AK328" i="61"/>
  <c r="AG79" i="61"/>
  <c r="AK79" i="61"/>
  <c r="AN79" i="61"/>
  <c r="AN195" i="61"/>
  <c r="AG195" i="61"/>
  <c r="AK195" i="61"/>
  <c r="AG169" i="61"/>
  <c r="AN169" i="61"/>
  <c r="AK169" i="61"/>
  <c r="AG220" i="61"/>
  <c r="AN220" i="61"/>
  <c r="AK220" i="61"/>
  <c r="AG184" i="61"/>
  <c r="AN184" i="61"/>
  <c r="AK184" i="61"/>
  <c r="AN140" i="61"/>
  <c r="AG140" i="61"/>
  <c r="AK140" i="61"/>
  <c r="AG111" i="61"/>
  <c r="AN111" i="61"/>
  <c r="AK111" i="61"/>
  <c r="AG434" i="61"/>
  <c r="AN434" i="61"/>
  <c r="AK434" i="61"/>
  <c r="AG289" i="61"/>
  <c r="AK289" i="61"/>
  <c r="AN289" i="61"/>
  <c r="AG384" i="61"/>
  <c r="AN384" i="61"/>
  <c r="AK384" i="61"/>
  <c r="AG304" i="61"/>
  <c r="AN304" i="61"/>
  <c r="AK304" i="61"/>
  <c r="AG444" i="61"/>
  <c r="AN444" i="61"/>
  <c r="AK444" i="61"/>
  <c r="AG238" i="61"/>
  <c r="AN238" i="61"/>
  <c r="AK238" i="61"/>
  <c r="AG407" i="61"/>
  <c r="AN407" i="61"/>
  <c r="AK407" i="61"/>
  <c r="AG486" i="61"/>
  <c r="AN486" i="61"/>
  <c r="AK486" i="61"/>
  <c r="AG103" i="61"/>
  <c r="AK103" i="61"/>
  <c r="AN103" i="61"/>
  <c r="AG104" i="61"/>
  <c r="AN104" i="61"/>
  <c r="AK104" i="61"/>
  <c r="AG497" i="61"/>
  <c r="AN497" i="61"/>
  <c r="AK497" i="61"/>
  <c r="AG393" i="61"/>
  <c r="AN393" i="61"/>
  <c r="AK393" i="61"/>
  <c r="AG91" i="61"/>
  <c r="AK91" i="61"/>
  <c r="AN91" i="61"/>
  <c r="AG426" i="61"/>
  <c r="AN426" i="61"/>
  <c r="AK426" i="61"/>
  <c r="AG458" i="61"/>
  <c r="AN458" i="61"/>
  <c r="AK458" i="61"/>
  <c r="AG110" i="61"/>
  <c r="AN110" i="61"/>
  <c r="AK110" i="61"/>
  <c r="AG369" i="61"/>
  <c r="AN369" i="61"/>
  <c r="AK369" i="61"/>
  <c r="AG122" i="61"/>
  <c r="AN122" i="61"/>
  <c r="AK122" i="61"/>
  <c r="AG411" i="61"/>
  <c r="AN411" i="61"/>
  <c r="AK411" i="61"/>
  <c r="AG446" i="61"/>
  <c r="AN446" i="61"/>
  <c r="AK446" i="61"/>
  <c r="AN116" i="61"/>
  <c r="AG116" i="61"/>
  <c r="AK116" i="61"/>
  <c r="AG431" i="61"/>
  <c r="AN431" i="61"/>
  <c r="AK431" i="61"/>
  <c r="AG286" i="61"/>
  <c r="AN286" i="61"/>
  <c r="AK286" i="61"/>
  <c r="AG428" i="61"/>
  <c r="AN428" i="61"/>
  <c r="AK428" i="61"/>
  <c r="AG243" i="61"/>
  <c r="AN243" i="61"/>
  <c r="AK243" i="61"/>
  <c r="AG139" i="61"/>
  <c r="AN139" i="61"/>
  <c r="AK139" i="61"/>
  <c r="AG490" i="61"/>
  <c r="AN490" i="61"/>
  <c r="AK490" i="61"/>
  <c r="AG222" i="61"/>
  <c r="AN222" i="61"/>
  <c r="AK222" i="61"/>
  <c r="AG138" i="61"/>
  <c r="AN138" i="61"/>
  <c r="AK138" i="61"/>
  <c r="AG292" i="61"/>
  <c r="AN292" i="61"/>
  <c r="AK292" i="61"/>
  <c r="AG288" i="61"/>
  <c r="AN288" i="61"/>
  <c r="AK288" i="61"/>
  <c r="AG87" i="61"/>
  <c r="AK87" i="61"/>
  <c r="AN87" i="61"/>
  <c r="AG218" i="61"/>
  <c r="AN218" i="61"/>
  <c r="AK218" i="61"/>
  <c r="AG269" i="61"/>
  <c r="AN269" i="61"/>
  <c r="AK269" i="61"/>
  <c r="AG154" i="61"/>
  <c r="AN154" i="61"/>
  <c r="AK154" i="61"/>
  <c r="AG348" i="61"/>
  <c r="AN348" i="61"/>
  <c r="AK348" i="61"/>
  <c r="AG147" i="61"/>
  <c r="AN147" i="61"/>
  <c r="AK147" i="61"/>
  <c r="AG272" i="61"/>
  <c r="AN272" i="61"/>
  <c r="AK272" i="61"/>
  <c r="AG155" i="61"/>
  <c r="AN155" i="61"/>
  <c r="AK155" i="61"/>
  <c r="AG142" i="61"/>
  <c r="AN142" i="61"/>
  <c r="AK142" i="61"/>
  <c r="AG137" i="61"/>
  <c r="AN137" i="61"/>
  <c r="AK137" i="61"/>
  <c r="AG296" i="61"/>
  <c r="AN296" i="61"/>
  <c r="AK296" i="61"/>
  <c r="AG416" i="61"/>
  <c r="AN416" i="61"/>
  <c r="AK416" i="61"/>
  <c r="AG117" i="61"/>
  <c r="AN117" i="61"/>
  <c r="AK117" i="61"/>
  <c r="AG379" i="61"/>
  <c r="AN379" i="61"/>
  <c r="AK379" i="61"/>
  <c r="AG397" i="61"/>
  <c r="AN397" i="61"/>
  <c r="AK397" i="61"/>
  <c r="AG210" i="61"/>
  <c r="AN210" i="61"/>
  <c r="AK210" i="61"/>
  <c r="AG381" i="61"/>
  <c r="AN381" i="61"/>
  <c r="AK381" i="61"/>
  <c r="AG401" i="61"/>
  <c r="AN401" i="61"/>
  <c r="AK401" i="61"/>
  <c r="AG435" i="61"/>
  <c r="AG174" i="61"/>
  <c r="AN174" i="61"/>
  <c r="AK174" i="61"/>
  <c r="AG334" i="61"/>
  <c r="AN334" i="61"/>
  <c r="AK334" i="61"/>
  <c r="AG463" i="61"/>
  <c r="AK463" i="61"/>
  <c r="AN463" i="61"/>
  <c r="AG319" i="61"/>
  <c r="AN319" i="61"/>
  <c r="AK319" i="61"/>
  <c r="AG165" i="61"/>
  <c r="AN165" i="61"/>
  <c r="AK165" i="61"/>
  <c r="AN132" i="61"/>
  <c r="AG132" i="61"/>
  <c r="AK132" i="61"/>
  <c r="AG268" i="61"/>
  <c r="AN268" i="61"/>
  <c r="AK268" i="61"/>
  <c r="AG425" i="61"/>
  <c r="AN425" i="61"/>
  <c r="AK425" i="61"/>
  <c r="AG322" i="61"/>
  <c r="AN322" i="61"/>
  <c r="AK322" i="61"/>
  <c r="AG131" i="61"/>
  <c r="AN131" i="61"/>
  <c r="AK131" i="61"/>
  <c r="AG500" i="61"/>
  <c r="AN500" i="61"/>
  <c r="AK500" i="61"/>
  <c r="AG88" i="61"/>
  <c r="AN88" i="61"/>
  <c r="AK88" i="61"/>
  <c r="AG320" i="61"/>
  <c r="AN320" i="61"/>
  <c r="AK320" i="61"/>
  <c r="AG281" i="61"/>
  <c r="AN281" i="61"/>
  <c r="AK281" i="61"/>
  <c r="AG127" i="61"/>
  <c r="AN127" i="61"/>
  <c r="AK127" i="61"/>
  <c r="AG511" i="61"/>
  <c r="AK511" i="61"/>
  <c r="AN511" i="61"/>
  <c r="AG487" i="61"/>
  <c r="AN487" i="61"/>
  <c r="AK487" i="61"/>
  <c r="AN136" i="61"/>
  <c r="AG136" i="61"/>
  <c r="AK136" i="61"/>
  <c r="AG175" i="61"/>
  <c r="AN175" i="61"/>
  <c r="AK175" i="61"/>
  <c r="AG477" i="61"/>
  <c r="AN477" i="61"/>
  <c r="AK477" i="61"/>
  <c r="AG247" i="61"/>
  <c r="AN247" i="61"/>
  <c r="AK247" i="61"/>
  <c r="AG144" i="61"/>
  <c r="AN144" i="61"/>
  <c r="AK144" i="61"/>
  <c r="AG182" i="61"/>
  <c r="AN182" i="61"/>
  <c r="AK182" i="61"/>
  <c r="AG398" i="61"/>
  <c r="AN398" i="61"/>
  <c r="AK398" i="61"/>
  <c r="AG337" i="61"/>
  <c r="AK337" i="61"/>
  <c r="AN337" i="61"/>
  <c r="AG273" i="61"/>
  <c r="AK273" i="61"/>
  <c r="AN273" i="61"/>
  <c r="AG364" i="61"/>
  <c r="AN364" i="61"/>
  <c r="AK364" i="61"/>
  <c r="AG408" i="61"/>
  <c r="AN408" i="61"/>
  <c r="AK408" i="61"/>
  <c r="AG82" i="61"/>
  <c r="AK82" i="61"/>
  <c r="AN82" i="61"/>
  <c r="AG474" i="61"/>
  <c r="AN474" i="61"/>
  <c r="AK474" i="61"/>
  <c r="AG456" i="61"/>
  <c r="AN456" i="61"/>
  <c r="AK456" i="61"/>
  <c r="AN451" i="61"/>
  <c r="AG451" i="61"/>
  <c r="AK451" i="61"/>
  <c r="AG270" i="61"/>
  <c r="AN270" i="61"/>
  <c r="AK270" i="61"/>
  <c r="AG452" i="61"/>
  <c r="AN452" i="61"/>
  <c r="AK452" i="61"/>
  <c r="AG167" i="61"/>
  <c r="AN167" i="61"/>
  <c r="AK167" i="61"/>
  <c r="AK85" i="61"/>
  <c r="AG89" i="61"/>
  <c r="AK89" i="61"/>
  <c r="AN89" i="61"/>
  <c r="AG284" i="61"/>
  <c r="AN284" i="61"/>
  <c r="AK284" i="61"/>
  <c r="AG129" i="61"/>
  <c r="AK129" i="61"/>
  <c r="AN129" i="61"/>
  <c r="AG198" i="61"/>
  <c r="AN198" i="61"/>
  <c r="AK198" i="61"/>
  <c r="AG199" i="61"/>
  <c r="AN199" i="61"/>
  <c r="AK199" i="61"/>
  <c r="AG484" i="61"/>
  <c r="AN484" i="61"/>
  <c r="AK484" i="61"/>
  <c r="AG189" i="61"/>
  <c r="AN189" i="61"/>
  <c r="AK189" i="61"/>
  <c r="AG373" i="61"/>
  <c r="AN373" i="61"/>
  <c r="AK373" i="61"/>
  <c r="AG95" i="61"/>
  <c r="AK95" i="61"/>
  <c r="AN95" i="61"/>
  <c r="AG508" i="61"/>
  <c r="AN508" i="61"/>
  <c r="AK508" i="61"/>
  <c r="AG133" i="61"/>
  <c r="AN133" i="61"/>
  <c r="AK133" i="61"/>
  <c r="AG424" i="61"/>
  <c r="AN424" i="61"/>
  <c r="AK424" i="61"/>
  <c r="AN515" i="61"/>
  <c r="AK515" i="61"/>
  <c r="AG515" i="61"/>
  <c r="AG417" i="61"/>
  <c r="AN417" i="61"/>
  <c r="AK417" i="61"/>
  <c r="AG324" i="61"/>
  <c r="AN324" i="61"/>
  <c r="AK324" i="61"/>
  <c r="AG196" i="61"/>
  <c r="AN196" i="61"/>
  <c r="AK196" i="61"/>
  <c r="AV442" i="61"/>
  <c r="AV404" i="61"/>
  <c r="AG260" i="61"/>
  <c r="AN260" i="61"/>
  <c r="AK260" i="61"/>
  <c r="AG225" i="61"/>
  <c r="AK225" i="61"/>
  <c r="AN225" i="61"/>
  <c r="AV239" i="61"/>
  <c r="AD99" i="61"/>
  <c r="AV56" i="61"/>
  <c r="AV48" i="61"/>
  <c r="AV41" i="61"/>
  <c r="AV37" i="61"/>
  <c r="AI53" i="61"/>
  <c r="AS53" i="61" s="1"/>
  <c r="AI49" i="61"/>
  <c r="AS49" i="61" s="1"/>
  <c r="AI47" i="61"/>
  <c r="AI46" i="61"/>
  <c r="AS46" i="61" s="1"/>
  <c r="H13" i="61"/>
  <c r="AV69" i="61"/>
  <c r="AV65" i="61"/>
  <c r="AV54" i="61"/>
  <c r="AV39" i="61"/>
  <c r="AI26" i="61"/>
  <c r="AS26" i="61" s="1"/>
  <c r="AV19" i="61"/>
  <c r="AI71" i="61"/>
  <c r="AL25" i="61"/>
  <c r="AQ25" i="61"/>
  <c r="AQ29" i="61"/>
  <c r="AP56" i="61"/>
  <c r="AI56" i="61"/>
  <c r="AS56" i="61" s="1"/>
  <c r="AL66" i="61"/>
  <c r="AP66" i="61"/>
  <c r="AO66" i="61"/>
  <c r="AD64" i="61"/>
  <c r="AE64" i="61"/>
  <c r="AI62" i="61"/>
  <c r="AS62" i="61" s="1"/>
  <c r="AL60" i="61"/>
  <c r="AP60" i="61"/>
  <c r="AO40" i="61"/>
  <c r="AP40" i="61"/>
  <c r="AQ66" i="61"/>
  <c r="AQ56" i="61"/>
  <c r="AO65" i="61"/>
  <c r="AO54" i="61"/>
  <c r="AE45" i="61"/>
  <c r="AQ62" i="61"/>
  <c r="AI57" i="61"/>
  <c r="AS57" i="61" s="1"/>
  <c r="AL57" i="61"/>
  <c r="AL34" i="61"/>
  <c r="AP34" i="61"/>
  <c r="AI72" i="61"/>
  <c r="AK72" i="61" s="1"/>
  <c r="AJ72" i="61" s="1"/>
  <c r="AI52" i="61"/>
  <c r="AQ22" i="61"/>
  <c r="AO37" i="61"/>
  <c r="AL24" i="61"/>
  <c r="AQ40" i="61"/>
  <c r="AO56" i="61"/>
  <c r="AO57" i="61"/>
  <c r="AL65" i="61"/>
  <c r="AO60" i="61"/>
  <c r="AL54" i="61"/>
  <c r="AP70" i="61"/>
  <c r="AI43" i="61"/>
  <c r="AS43" i="61" s="1"/>
  <c r="AP43" i="61"/>
  <c r="AQ48" i="61"/>
  <c r="AP36" i="61"/>
  <c r="AQ36" i="61"/>
  <c r="AQ39" i="61"/>
  <c r="AL39" i="61"/>
  <c r="AO35" i="61"/>
  <c r="AP35" i="61"/>
  <c r="AO22" i="61"/>
  <c r="AO24" i="61"/>
  <c r="AO29" i="61"/>
  <c r="AO25" i="61"/>
  <c r="AP25" i="61"/>
  <c r="AI24" i="61"/>
  <c r="AS24" i="61" s="1"/>
  <c r="AL18" i="61"/>
  <c r="AI22" i="61"/>
  <c r="AS22" i="61" s="1"/>
  <c r="AP29" i="61"/>
  <c r="AL40" i="61"/>
  <c r="AL69" i="61"/>
  <c r="AI61" i="61"/>
  <c r="AS61" i="61" s="1"/>
  <c r="AI25" i="61"/>
  <c r="AS25" i="61" s="1"/>
  <c r="AQ60" i="61"/>
  <c r="AQ43" i="61"/>
  <c r="AL41" i="61"/>
  <c r="AL56" i="61"/>
  <c r="AO61" i="61"/>
  <c r="AI54" i="61"/>
  <c r="AS54" i="61" s="1"/>
  <c r="AP57" i="61"/>
  <c r="AQ17" i="61"/>
  <c r="AL49" i="61"/>
  <c r="AO62" i="61"/>
  <c r="AI70" i="61"/>
  <c r="AK70" i="61" s="1"/>
  <c r="AI65" i="61"/>
  <c r="AS65" i="61" s="1"/>
  <c r="AL58" i="61"/>
  <c r="AO58" i="61"/>
  <c r="AO36" i="61"/>
  <c r="AP46" i="61"/>
  <c r="AO46" i="61"/>
  <c r="AO48" i="61"/>
  <c r="AO31" i="61"/>
  <c r="AL31" i="61"/>
  <c r="AI48" i="61"/>
  <c r="AS48" i="61" s="1"/>
  <c r="AQ42" i="61"/>
  <c r="AP42" i="61"/>
  <c r="AI36" i="61"/>
  <c r="AS36" i="61" s="1"/>
  <c r="AI20" i="61"/>
  <c r="AS20" i="61" s="1"/>
  <c r="AV66" i="61"/>
  <c r="AV28" i="61"/>
  <c r="AV21" i="61"/>
  <c r="AI27" i="61"/>
  <c r="AS27" i="61" s="1"/>
  <c r="AP16" i="56"/>
  <c r="AH16" i="56"/>
  <c r="AD16" i="56"/>
  <c r="AK16" i="56"/>
  <c r="AL96" i="56"/>
  <c r="AM96" i="56"/>
  <c r="AM129" i="56"/>
  <c r="AI129" i="56"/>
  <c r="AL123" i="56"/>
  <c r="AN123" i="56"/>
  <c r="AI109" i="56"/>
  <c r="AM109" i="56"/>
  <c r="AN100" i="56"/>
  <c r="AM100" i="56"/>
  <c r="AF101" i="56"/>
  <c r="AP101" i="56" s="1"/>
  <c r="AM21" i="56"/>
  <c r="AN21" i="56"/>
  <c r="AF100" i="56"/>
  <c r="AP100" i="56" s="1"/>
  <c r="AF98" i="56"/>
  <c r="AP98" i="56" s="1"/>
  <c r="AL129" i="56"/>
  <c r="AM113" i="56"/>
  <c r="AF108" i="56"/>
  <c r="AP108" i="56" s="1"/>
  <c r="AL120" i="56"/>
  <c r="AF120" i="56"/>
  <c r="AP120" i="56" s="1"/>
  <c r="AI21" i="56"/>
  <c r="AF125" i="56"/>
  <c r="AP125" i="56" s="1"/>
  <c r="AM97" i="56"/>
  <c r="AM103" i="56"/>
  <c r="AL103" i="56"/>
  <c r="AI74" i="56"/>
  <c r="AM74" i="56"/>
  <c r="AL39" i="56"/>
  <c r="AI39" i="56"/>
  <c r="AA118" i="56"/>
  <c r="AE118" i="56" s="1"/>
  <c r="AA19" i="56"/>
  <c r="AB19" i="56"/>
  <c r="AF129" i="56"/>
  <c r="AP129" i="56" s="1"/>
  <c r="AN113" i="56"/>
  <c r="AN96" i="56"/>
  <c r="AF109" i="56"/>
  <c r="AA21" i="56"/>
  <c r="AE21" i="56" s="1"/>
  <c r="AB17" i="56"/>
  <c r="AF17" i="56" s="1"/>
  <c r="AP17" i="56" s="1"/>
  <c r="AI112" i="56"/>
  <c r="AL112" i="56"/>
  <c r="AN82" i="56"/>
  <c r="AI82" i="56"/>
  <c r="AB93" i="56"/>
  <c r="AF132" i="56"/>
  <c r="AP132" i="56" s="1"/>
  <c r="AA99" i="56"/>
  <c r="AB99" i="56"/>
  <c r="AI99" i="56" s="1"/>
  <c r="AL100" i="56"/>
  <c r="AM92" i="56"/>
  <c r="AN109" i="56"/>
  <c r="AL21" i="56"/>
  <c r="AI96" i="56"/>
  <c r="AB137" i="56"/>
  <c r="AM107" i="56"/>
  <c r="AN107" i="56"/>
  <c r="AM37" i="56"/>
  <c r="AN37" i="56"/>
  <c r="AA97" i="56"/>
  <c r="AE97" i="56" s="1"/>
  <c r="AL77" i="56"/>
  <c r="AI77" i="56"/>
  <c r="AS141" i="56"/>
  <c r="AF139" i="56"/>
  <c r="AP139" i="56" s="1"/>
  <c r="AF136" i="56"/>
  <c r="AP136" i="56" s="1"/>
  <c r="AF118" i="56"/>
  <c r="AP118" i="56" s="1"/>
  <c r="AS92" i="56"/>
  <c r="AS90" i="56"/>
  <c r="AB69" i="56"/>
  <c r="AA69" i="56"/>
  <c r="AE69" i="56" s="1"/>
  <c r="AB58" i="56"/>
  <c r="AA58" i="56"/>
  <c r="AE58" i="56" s="1"/>
  <c r="AA53" i="56"/>
  <c r="AE53" i="56" s="1"/>
  <c r="AB53" i="56"/>
  <c r="AL53" i="56" s="1"/>
  <c r="AB38" i="56"/>
  <c r="AA38" i="56"/>
  <c r="AE38" i="56" s="1"/>
  <c r="AS135" i="56"/>
  <c r="AF21" i="56"/>
  <c r="AP21" i="56" s="1"/>
  <c r="AF18" i="56"/>
  <c r="AP18" i="56" s="1"/>
  <c r="AF75" i="56"/>
  <c r="AP75" i="56" s="1"/>
  <c r="AA139" i="56"/>
  <c r="AE139" i="56" s="1"/>
  <c r="AN75" i="56"/>
  <c r="AB111" i="56"/>
  <c r="AF111" i="56" s="1"/>
  <c r="AA133" i="56"/>
  <c r="AE133" i="56" s="1"/>
  <c r="AS48" i="56"/>
  <c r="AS35" i="56"/>
  <c r="AL40" i="56"/>
  <c r="AI56" i="56"/>
  <c r="AI44" i="56"/>
  <c r="AN44" i="56"/>
  <c r="AS37" i="56"/>
  <c r="AN34" i="56"/>
  <c r="AF34" i="56"/>
  <c r="AP34" i="56" s="1"/>
  <c r="AN67" i="56"/>
  <c r="AM67" i="56"/>
  <c r="AB48" i="56"/>
  <c r="AM17" i="56"/>
  <c r="AN61" i="56"/>
  <c r="AI61" i="56"/>
  <c r="AF50" i="56"/>
  <c r="AP50" i="56" s="1"/>
  <c r="AS49" i="56"/>
  <c r="AL25" i="56"/>
  <c r="AI25" i="56"/>
  <c r="AF43" i="56"/>
  <c r="AP43" i="56" s="1"/>
  <c r="AM43" i="56"/>
  <c r="AN43" i="56"/>
  <c r="AL37" i="56"/>
  <c r="AI37" i="56"/>
  <c r="AF37" i="56"/>
  <c r="AP37" i="56" s="1"/>
  <c r="H13" i="56"/>
  <c r="AB45" i="56"/>
  <c r="AM45" i="56" s="1"/>
  <c r="AB65" i="56"/>
  <c r="AA65" i="56"/>
  <c r="AE65" i="56" s="1"/>
  <c r="AF64" i="56"/>
  <c r="AP64" i="56" s="1"/>
  <c r="AL63" i="56"/>
  <c r="AI63" i="56"/>
  <c r="AM63" i="56"/>
  <c r="AN63" i="56"/>
  <c r="AS42" i="56"/>
  <c r="AB29" i="56"/>
  <c r="AA29" i="56"/>
  <c r="AE29" i="56" s="1"/>
  <c r="AE27" i="56"/>
  <c r="AB27" i="56"/>
  <c r="AE25" i="56"/>
  <c r="AA25" i="56"/>
  <c r="T21" i="58"/>
  <c r="E21" i="58" s="1"/>
  <c r="AA23" i="56"/>
  <c r="AE23" i="56"/>
  <c r="AB23" i="56"/>
  <c r="AL55" i="56"/>
  <c r="AE17" i="56"/>
  <c r="AS71" i="56"/>
  <c r="AS69" i="56"/>
  <c r="AI55" i="56"/>
  <c r="AS61" i="56"/>
  <c r="AS54" i="56"/>
  <c r="AS53" i="56"/>
  <c r="AS34" i="56"/>
  <c r="AS29" i="56"/>
  <c r="AS23" i="56"/>
  <c r="AS17" i="56"/>
  <c r="AS60" i="56"/>
  <c r="AS52" i="56"/>
  <c r="AS51" i="56"/>
  <c r="AS44" i="56"/>
  <c r="AS38" i="56"/>
  <c r="AF38" i="56"/>
  <c r="AP38" i="56" s="1"/>
  <c r="AS36" i="56"/>
  <c r="AS28" i="56"/>
  <c r="AS22" i="56"/>
  <c r="AK21" i="61"/>
  <c r="AN21" i="61"/>
  <c r="AM21" i="61" s="1"/>
  <c r="AG21" i="61"/>
  <c r="AS21" i="61"/>
  <c r="AN55" i="61"/>
  <c r="AM55" i="61" s="1"/>
  <c r="AG55" i="61"/>
  <c r="AK55" i="61"/>
  <c r="AJ55" i="61" s="1"/>
  <c r="AS55" i="61"/>
  <c r="AK24" i="61"/>
  <c r="AJ24" i="61" s="1"/>
  <c r="AN24" i="61"/>
  <c r="AM24" i="61" s="1"/>
  <c r="AP18" i="61"/>
  <c r="AQ18" i="61"/>
  <c r="AK17" i="61"/>
  <c r="AJ17" i="61" s="1"/>
  <c r="AN17" i="61"/>
  <c r="AG17" i="61"/>
  <c r="AN22" i="61"/>
  <c r="AM22" i="61" s="1"/>
  <c r="AG22" i="61"/>
  <c r="AK30" i="61"/>
  <c r="AJ30" i="61" s="1"/>
  <c r="AN30" i="61"/>
  <c r="AM30" i="61" s="1"/>
  <c r="AG30" i="61"/>
  <c r="AI19" i="61"/>
  <c r="AP19" i="61"/>
  <c r="AL19" i="61"/>
  <c r="AG32" i="61"/>
  <c r="AK32" i="61"/>
  <c r="AJ32" i="61" s="1"/>
  <c r="AN32" i="61"/>
  <c r="AM32" i="61" s="1"/>
  <c r="AS32" i="61"/>
  <c r="AI37" i="61"/>
  <c r="AL37" i="61"/>
  <c r="AN47" i="61"/>
  <c r="AM47" i="61" s="1"/>
  <c r="AG47" i="61"/>
  <c r="AK47" i="61"/>
  <c r="AJ47" i="61" s="1"/>
  <c r="AS47" i="61"/>
  <c r="AK58" i="61"/>
  <c r="AJ58" i="61" s="1"/>
  <c r="AN58" i="61"/>
  <c r="AM58" i="61" s="1"/>
  <c r="AG58" i="61"/>
  <c r="AN23" i="61"/>
  <c r="AM23" i="61" s="1"/>
  <c r="AG23" i="61"/>
  <c r="AK23" i="61"/>
  <c r="AJ23" i="61" s="1"/>
  <c r="AG40" i="61"/>
  <c r="AK40" i="61"/>
  <c r="AJ40" i="61" s="1"/>
  <c r="AN40" i="61"/>
  <c r="AM40" i="61" s="1"/>
  <c r="AK69" i="61"/>
  <c r="AJ69" i="61" s="1"/>
  <c r="AN69" i="61"/>
  <c r="AM69" i="61" s="1"/>
  <c r="AG69" i="61"/>
  <c r="AS69" i="61"/>
  <c r="AN39" i="61"/>
  <c r="AM39" i="61" s="1"/>
  <c r="AG39" i="61"/>
  <c r="AK39" i="61"/>
  <c r="AJ39" i="61" s="1"/>
  <c r="AS39" i="61"/>
  <c r="AG44" i="61"/>
  <c r="AK44" i="61"/>
  <c r="AJ44" i="61" s="1"/>
  <c r="AN44" i="61"/>
  <c r="AM44" i="61" s="1"/>
  <c r="AG72" i="61"/>
  <c r="AG52" i="61"/>
  <c r="AK52" i="61"/>
  <c r="AJ52" i="61" s="1"/>
  <c r="AN52" i="61"/>
  <c r="AM52" i="61" s="1"/>
  <c r="AS52" i="61"/>
  <c r="AN35" i="61"/>
  <c r="AM35" i="61" s="1"/>
  <c r="AG35" i="61"/>
  <c r="AK35" i="61"/>
  <c r="AJ35" i="61" s="1"/>
  <c r="AN71" i="61"/>
  <c r="AM71" i="61" s="1"/>
  <c r="AG71" i="61"/>
  <c r="AK71" i="61"/>
  <c r="AJ71" i="61" s="1"/>
  <c r="AK62" i="61"/>
  <c r="AN62" i="61"/>
  <c r="AM62" i="61" s="1"/>
  <c r="AG62" i="61"/>
  <c r="AN57" i="61"/>
  <c r="AM57" i="61" s="1"/>
  <c r="AG57" i="61"/>
  <c r="AN43" i="61"/>
  <c r="AM43" i="61" s="1"/>
  <c r="AL17" i="61"/>
  <c r="AO17" i="61"/>
  <c r="AN63" i="61"/>
  <c r="AM63" i="61" s="1"/>
  <c r="AG63" i="61"/>
  <c r="AK63" i="61"/>
  <c r="AJ63" i="61" s="1"/>
  <c r="AI28" i="61"/>
  <c r="AQ28" i="61"/>
  <c r="AO28" i="61"/>
  <c r="AQ72" i="61"/>
  <c r="AP72" i="61"/>
  <c r="AQ63" i="61"/>
  <c r="AL63" i="61"/>
  <c r="AP63" i="61"/>
  <c r="AO63" i="61"/>
  <c r="AG53" i="61"/>
  <c r="AG68" i="61"/>
  <c r="AK68" i="61"/>
  <c r="AN68" i="61"/>
  <c r="AN70" i="61"/>
  <c r="AM70" i="61" s="1"/>
  <c r="AG70" i="61"/>
  <c r="AK65" i="61"/>
  <c r="AJ65" i="61" s="1"/>
  <c r="AN65" i="61"/>
  <c r="AM65" i="61" s="1"/>
  <c r="AG65" i="61"/>
  <c r="AP44" i="61"/>
  <c r="AK38" i="61"/>
  <c r="AJ38" i="61" s="1"/>
  <c r="AN38" i="61"/>
  <c r="AM38" i="61" s="1"/>
  <c r="AG38" i="61"/>
  <c r="AK25" i="61"/>
  <c r="AJ25" i="61" s="1"/>
  <c r="AN25" i="61"/>
  <c r="AG25" i="61"/>
  <c r="AN31" i="61"/>
  <c r="AM31" i="61" s="1"/>
  <c r="AG31" i="61"/>
  <c r="AK31" i="61"/>
  <c r="AJ31" i="61" s="1"/>
  <c r="AK66" i="61"/>
  <c r="AJ66" i="61" s="1"/>
  <c r="AN66" i="61"/>
  <c r="AM66" i="61" s="1"/>
  <c r="AG66" i="61"/>
  <c r="AS35" i="61"/>
  <c r="AK54" i="61"/>
  <c r="AJ54" i="61" s="1"/>
  <c r="AN54" i="61"/>
  <c r="AM54" i="61" s="1"/>
  <c r="AG54" i="61"/>
  <c r="AG49" i="61"/>
  <c r="AN51" i="61"/>
  <c r="AM51" i="61" s="1"/>
  <c r="AG51" i="61"/>
  <c r="AK51" i="61"/>
  <c r="AJ51" i="61" s="1"/>
  <c r="AJ68" i="61"/>
  <c r="AJ45" i="61"/>
  <c r="AK46" i="61"/>
  <c r="AJ46" i="61" s="1"/>
  <c r="AN46" i="61"/>
  <c r="AM46" i="61" s="1"/>
  <c r="AG46" i="61"/>
  <c r="AS66" i="61"/>
  <c r="AK42" i="61"/>
  <c r="AJ42" i="61" s="1"/>
  <c r="AN42" i="61"/>
  <c r="AM42" i="61" s="1"/>
  <c r="AG42" i="61"/>
  <c r="AG60" i="61"/>
  <c r="AK60" i="61"/>
  <c r="AJ60" i="61" s="1"/>
  <c r="AN60" i="61"/>
  <c r="AM60" i="61" s="1"/>
  <c r="AG56" i="61"/>
  <c r="AK56" i="61"/>
  <c r="AJ56" i="61" s="1"/>
  <c r="AS70" i="61"/>
  <c r="AS71" i="61"/>
  <c r="AG20" i="61"/>
  <c r="AK41" i="61"/>
  <c r="AJ41" i="61" s="1"/>
  <c r="AN41" i="61"/>
  <c r="AM41" i="61" s="1"/>
  <c r="AG41" i="61"/>
  <c r="AL33" i="61"/>
  <c r="AI33" i="61"/>
  <c r="AM67" i="61"/>
  <c r="AM68" i="61"/>
  <c r="AK34" i="61"/>
  <c r="AJ34" i="61" s="1"/>
  <c r="AN34" i="61"/>
  <c r="AG34" i="61"/>
  <c r="AH63" i="61"/>
  <c r="AJ62" i="61"/>
  <c r="AH49" i="61"/>
  <c r="AH37" i="61"/>
  <c r="AM34" i="61"/>
  <c r="AG48" i="61"/>
  <c r="AK48" i="61"/>
  <c r="AJ48" i="61" s="1"/>
  <c r="AN48" i="61"/>
  <c r="AM48" i="61" s="1"/>
  <c r="AJ70" i="61"/>
  <c r="AG36" i="61"/>
  <c r="AK36" i="61"/>
  <c r="AN36" i="61"/>
  <c r="AM36" i="61" s="1"/>
  <c r="AJ67" i="61"/>
  <c r="AH54" i="61"/>
  <c r="AN27" i="61"/>
  <c r="AM27" i="61" s="1"/>
  <c r="AG27" i="61"/>
  <c r="AK27" i="61"/>
  <c r="AJ27" i="61" s="1"/>
  <c r="AM25" i="61"/>
  <c r="AV18" i="61"/>
  <c r="AK50" i="61"/>
  <c r="AJ50" i="61" s="1"/>
  <c r="AN50" i="61"/>
  <c r="AM50" i="61" s="1"/>
  <c r="AG50" i="61"/>
  <c r="AH48" i="61"/>
  <c r="AJ36" i="61"/>
  <c r="AN26" i="61"/>
  <c r="AM26" i="61" s="1"/>
  <c r="AG26" i="61"/>
  <c r="AD24" i="61"/>
  <c r="AH24" i="61" s="1"/>
  <c r="AJ21" i="61"/>
  <c r="AM17" i="61"/>
  <c r="AE59" i="61"/>
  <c r="AH59" i="61"/>
  <c r="AE16" i="61"/>
  <c r="AD16" i="61"/>
  <c r="AH16" i="61" s="1"/>
  <c r="AL189" i="56"/>
  <c r="AF189" i="56"/>
  <c r="AP189" i="56" s="1"/>
  <c r="AF60" i="56"/>
  <c r="AP60" i="56" s="1"/>
  <c r="AI60" i="56"/>
  <c r="AM166" i="56"/>
  <c r="AI166" i="56"/>
  <c r="AF88" i="56"/>
  <c r="AP88" i="56" s="1"/>
  <c r="AI88" i="56"/>
  <c r="AN92" i="56"/>
  <c r="AI92" i="56"/>
  <c r="AM66" i="56"/>
  <c r="AN66" i="56"/>
  <c r="AI41" i="56"/>
  <c r="AM41" i="56"/>
  <c r="AN90" i="56"/>
  <c r="AF90" i="56"/>
  <c r="AP90" i="56" s="1"/>
  <c r="AA217" i="56"/>
  <c r="AE217" i="56" s="1"/>
  <c r="AB217" i="56"/>
  <c r="AM173" i="56"/>
  <c r="AL60" i="56"/>
  <c r="AF166" i="56"/>
  <c r="AP166" i="56" s="1"/>
  <c r="AL128" i="56"/>
  <c r="AI128" i="56"/>
  <c r="AM88" i="56"/>
  <c r="AF66" i="56"/>
  <c r="AP66" i="56" s="1"/>
  <c r="AI40" i="56"/>
  <c r="AM40" i="56"/>
  <c r="AN40" i="56"/>
  <c r="AN122" i="56"/>
  <c r="AI122" i="56"/>
  <c r="AF122" i="56"/>
  <c r="AP122" i="56" s="1"/>
  <c r="AF160" i="56"/>
  <c r="AP160" i="56" s="1"/>
  <c r="AL160" i="56"/>
  <c r="AF93" i="56"/>
  <c r="AM93" i="56"/>
  <c r="AN93" i="56"/>
  <c r="AL118" i="56"/>
  <c r="AI118" i="56"/>
  <c r="AM118" i="56"/>
  <c r="AN233" i="56"/>
  <c r="AM233" i="56"/>
  <c r="AF233" i="56"/>
  <c r="AP233" i="56" s="1"/>
  <c r="AA230" i="56"/>
  <c r="AB230" i="56"/>
  <c r="AF230" i="56" s="1"/>
  <c r="AA223" i="56"/>
  <c r="AE223" i="56" s="1"/>
  <c r="AB223" i="56"/>
  <c r="AA201" i="56"/>
  <c r="AB201" i="56"/>
  <c r="AB157" i="56"/>
  <c r="AA157" i="56"/>
  <c r="AL139" i="56"/>
  <c r="AI139" i="56"/>
  <c r="AM136" i="56"/>
  <c r="AI136" i="56"/>
  <c r="AB104" i="56"/>
  <c r="AA104" i="56"/>
  <c r="AE104" i="56" s="1"/>
  <c r="AG102" i="56"/>
  <c r="AF102" i="56"/>
  <c r="AP102" i="56" s="1"/>
  <c r="AG101" i="56"/>
  <c r="AJ101" i="56"/>
  <c r="AA54" i="56"/>
  <c r="AE54" i="56" s="1"/>
  <c r="AB54" i="56"/>
  <c r="AF41" i="56"/>
  <c r="AP41" i="56" s="1"/>
  <c r="AM30" i="56"/>
  <c r="AL30" i="56"/>
  <c r="AN25" i="56"/>
  <c r="AM156" i="56"/>
  <c r="AI156" i="56"/>
  <c r="AM101" i="56"/>
  <c r="AF174" i="56"/>
  <c r="AP174" i="56" s="1"/>
  <c r="AF182" i="56"/>
  <c r="AP182" i="56" s="1"/>
  <c r="AF32" i="56"/>
  <c r="AP32" i="56" s="1"/>
  <c r="AF173" i="56"/>
  <c r="AP173" i="56" s="1"/>
  <c r="AL173" i="56"/>
  <c r="AL36" i="56"/>
  <c r="AM60" i="56"/>
  <c r="AI79" i="56"/>
  <c r="AN128" i="56"/>
  <c r="AL162" i="56"/>
  <c r="AI162" i="56"/>
  <c r="AN190" i="56"/>
  <c r="AF190" i="56"/>
  <c r="AP190" i="56" s="1"/>
  <c r="AL66" i="56"/>
  <c r="AM122" i="56"/>
  <c r="AF26" i="56"/>
  <c r="AP26" i="56" s="1"/>
  <c r="AM26" i="56"/>
  <c r="AN87" i="56"/>
  <c r="AF87" i="56"/>
  <c r="AH87" i="56" s="1"/>
  <c r="AG87" i="56" s="1"/>
  <c r="AN240" i="56"/>
  <c r="AM154" i="56"/>
  <c r="AL154" i="56"/>
  <c r="AF84" i="56"/>
  <c r="AP84" i="56" s="1"/>
  <c r="AL84" i="56"/>
  <c r="AF29" i="56"/>
  <c r="AP29" i="56" s="1"/>
  <c r="AN197" i="56"/>
  <c r="AM197" i="56"/>
  <c r="AF197" i="56"/>
  <c r="AK197" i="56" s="1"/>
  <c r="AI167" i="56"/>
  <c r="AN167" i="56"/>
  <c r="AL167" i="56"/>
  <c r="AL116" i="56"/>
  <c r="AM116" i="56"/>
  <c r="AI119" i="56"/>
  <c r="AL119" i="56"/>
  <c r="AF119" i="56"/>
  <c r="AF228" i="56"/>
  <c r="AP228" i="56" s="1"/>
  <c r="AA214" i="56"/>
  <c r="AB214" i="56"/>
  <c r="AB211" i="56"/>
  <c r="AA211" i="56"/>
  <c r="AF206" i="56"/>
  <c r="AP206" i="56" s="1"/>
  <c r="AF159" i="56"/>
  <c r="AH159" i="56" s="1"/>
  <c r="AN159" i="56"/>
  <c r="AM25" i="56"/>
  <c r="AI101" i="56"/>
  <c r="AF36" i="56"/>
  <c r="AP36" i="56" s="1"/>
  <c r="AN60" i="56"/>
  <c r="AM189" i="56"/>
  <c r="AF79" i="56"/>
  <c r="AP79" i="56" s="1"/>
  <c r="AM125" i="56"/>
  <c r="AN209" i="56"/>
  <c r="AM209" i="56"/>
  <c r="AF83" i="56"/>
  <c r="AP83" i="56" s="1"/>
  <c r="AI83" i="56"/>
  <c r="AN88" i="56"/>
  <c r="AI105" i="56"/>
  <c r="AM105" i="56"/>
  <c r="AM61" i="56"/>
  <c r="AI142" i="56"/>
  <c r="AM142" i="56"/>
  <c r="AF165" i="56"/>
  <c r="AP165" i="56" s="1"/>
  <c r="AM165" i="56"/>
  <c r="AN165" i="56"/>
  <c r="AL165" i="56"/>
  <c r="AB213" i="56"/>
  <c r="AF81" i="56"/>
  <c r="AP81" i="56" s="1"/>
  <c r="AM81" i="56"/>
  <c r="AM229" i="56"/>
  <c r="AI229" i="56"/>
  <c r="AB212" i="56"/>
  <c r="AN212" i="56" s="1"/>
  <c r="AA212" i="56"/>
  <c r="AB200" i="56"/>
  <c r="AA200" i="56"/>
  <c r="AF199" i="56"/>
  <c r="AK199" i="56" s="1"/>
  <c r="AJ199" i="56" s="1"/>
  <c r="AJ162" i="56"/>
  <c r="AG162" i="56"/>
  <c r="AA140" i="56"/>
  <c r="AB140" i="56"/>
  <c r="AM140" i="56" s="1"/>
  <c r="AB138" i="56"/>
  <c r="AA138" i="56"/>
  <c r="AE138" i="56" s="1"/>
  <c r="AA134" i="56"/>
  <c r="AB134" i="56"/>
  <c r="AF134" i="56" s="1"/>
  <c r="AF133" i="56"/>
  <c r="AP133" i="56" s="1"/>
  <c r="AM132" i="56"/>
  <c r="AI132" i="56"/>
  <c r="AB130" i="56"/>
  <c r="AA130" i="56"/>
  <c r="AE130" i="56" s="1"/>
  <c r="AI126" i="56"/>
  <c r="AN126" i="56"/>
  <c r="AB124" i="56"/>
  <c r="AA124" i="56"/>
  <c r="AE124" i="56" s="1"/>
  <c r="AI33" i="56"/>
  <c r="AL33" i="56"/>
  <c r="AF231" i="56"/>
  <c r="AK231" i="56" s="1"/>
  <c r="AI76" i="56"/>
  <c r="AF103" i="56"/>
  <c r="AP103" i="56" s="1"/>
  <c r="AI47" i="56"/>
  <c r="AF86" i="56"/>
  <c r="AP86" i="56" s="1"/>
  <c r="AF180" i="56"/>
  <c r="AP180" i="56" s="1"/>
  <c r="AF113" i="56"/>
  <c r="AP113" i="56" s="1"/>
  <c r="AS225" i="56"/>
  <c r="AS209" i="56"/>
  <c r="AS207" i="56"/>
  <c r="AA206" i="56"/>
  <c r="AS192" i="56"/>
  <c r="AS174" i="56"/>
  <c r="AS170" i="56"/>
  <c r="AS163" i="56"/>
  <c r="AS132" i="56"/>
  <c r="AS75" i="56"/>
  <c r="AS70" i="56"/>
  <c r="AS68" i="56"/>
  <c r="AA50" i="56"/>
  <c r="AE50" i="56" s="1"/>
  <c r="AF193" i="56"/>
  <c r="AP193" i="56" s="1"/>
  <c r="AN47" i="56"/>
  <c r="AA47" i="56"/>
  <c r="AE47" i="56" s="1"/>
  <c r="AF191" i="56"/>
  <c r="AP191" i="56" s="1"/>
  <c r="AN191" i="56"/>
  <c r="AB49" i="56"/>
  <c r="AF153" i="56"/>
  <c r="AP153" i="56" s="1"/>
  <c r="AS224" i="56"/>
  <c r="AS205" i="56"/>
  <c r="AS199" i="56"/>
  <c r="AS171" i="56"/>
  <c r="AS167" i="56"/>
  <c r="AS139" i="56"/>
  <c r="AA135" i="56"/>
  <c r="AB135" i="56"/>
  <c r="AL135" i="56" s="1"/>
  <c r="AS133" i="56"/>
  <c r="AS125" i="56"/>
  <c r="AS102" i="56"/>
  <c r="AS101" i="56"/>
  <c r="AB73" i="56"/>
  <c r="AF73" i="56" s="1"/>
  <c r="AA73" i="56"/>
  <c r="AS65" i="56"/>
  <c r="AS58" i="56"/>
  <c r="AB51" i="56"/>
  <c r="AA51" i="56"/>
  <c r="AE51" i="56" s="1"/>
  <c r="AS239" i="56"/>
  <c r="AS235" i="56"/>
  <c r="AS229" i="56"/>
  <c r="AS215" i="56"/>
  <c r="AS193" i="56"/>
  <c r="AS187" i="56"/>
  <c r="AS178" i="56"/>
  <c r="AS164" i="56"/>
  <c r="AS153" i="56"/>
  <c r="AS152" i="56"/>
  <c r="AS111" i="56"/>
  <c r="AS86" i="56"/>
  <c r="AS82" i="56"/>
  <c r="AK164" i="56"/>
  <c r="AH164" i="56"/>
  <c r="AD164" i="56"/>
  <c r="AP164" i="56"/>
  <c r="AK237" i="56"/>
  <c r="AJ237" i="56" s="1"/>
  <c r="AH237" i="56"/>
  <c r="AG237" i="56" s="1"/>
  <c r="AD237" i="56"/>
  <c r="AK227" i="56"/>
  <c r="AJ227" i="56" s="1"/>
  <c r="AH227" i="56"/>
  <c r="AG227" i="56" s="1"/>
  <c r="AD227" i="56"/>
  <c r="AK185" i="56"/>
  <c r="AJ185" i="56" s="1"/>
  <c r="AH185" i="56"/>
  <c r="AD185" i="56"/>
  <c r="AK156" i="56"/>
  <c r="AJ156" i="56" s="1"/>
  <c r="AH156" i="56"/>
  <c r="AG156" i="56" s="1"/>
  <c r="AD156" i="56"/>
  <c r="AK174" i="56"/>
  <c r="AJ174" i="56" s="1"/>
  <c r="AH174" i="56"/>
  <c r="AG174" i="56" s="1"/>
  <c r="AK170" i="56"/>
  <c r="AJ170" i="56" s="1"/>
  <c r="AH170" i="56"/>
  <c r="AD170" i="56"/>
  <c r="AK225" i="56"/>
  <c r="AH225" i="56"/>
  <c r="AD225" i="56"/>
  <c r="AK175" i="56"/>
  <c r="AJ175" i="56" s="1"/>
  <c r="AH175" i="56"/>
  <c r="AG175" i="56" s="1"/>
  <c r="AD175" i="56"/>
  <c r="AK235" i="56"/>
  <c r="AH235" i="56"/>
  <c r="AG235" i="56" s="1"/>
  <c r="AD235" i="56"/>
  <c r="AK162" i="56"/>
  <c r="AH162" i="56"/>
  <c r="AD162" i="56"/>
  <c r="AK228" i="56"/>
  <c r="AH228" i="56"/>
  <c r="AD228" i="56"/>
  <c r="AL192" i="56"/>
  <c r="AM192" i="56"/>
  <c r="AK159" i="56"/>
  <c r="AD159" i="56"/>
  <c r="AP159" i="56"/>
  <c r="AI242" i="56"/>
  <c r="AF242" i="56"/>
  <c r="AL242" i="56"/>
  <c r="AK192" i="56"/>
  <c r="AJ192" i="56" s="1"/>
  <c r="AH192" i="56"/>
  <c r="AG192" i="56" s="1"/>
  <c r="AD192" i="56"/>
  <c r="AN148" i="56"/>
  <c r="AP192" i="56"/>
  <c r="AP237" i="56"/>
  <c r="AK202" i="56"/>
  <c r="AJ202" i="56" s="1"/>
  <c r="AH202" i="56"/>
  <c r="AG202" i="56" s="1"/>
  <c r="AD202" i="56"/>
  <c r="AF44" i="56"/>
  <c r="AP44" i="56" s="1"/>
  <c r="AK194" i="56"/>
  <c r="AJ194" i="56" s="1"/>
  <c r="AH194" i="56"/>
  <c r="AG194" i="56" s="1"/>
  <c r="AD194" i="56"/>
  <c r="AK183" i="56"/>
  <c r="AH183" i="56"/>
  <c r="AG183" i="56" s="1"/>
  <c r="AD183" i="56"/>
  <c r="AP175" i="56"/>
  <c r="AD182" i="56"/>
  <c r="AM184" i="56"/>
  <c r="AK173" i="56"/>
  <c r="AH173" i="56"/>
  <c r="AG173" i="56" s="1"/>
  <c r="AD173" i="56"/>
  <c r="AN121" i="56"/>
  <c r="AM231" i="56"/>
  <c r="AL108" i="56"/>
  <c r="AM196" i="56"/>
  <c r="AF196" i="56"/>
  <c r="AK232" i="56"/>
  <c r="AJ232" i="56" s="1"/>
  <c r="AH232" i="56"/>
  <c r="AG232" i="56" s="1"/>
  <c r="AD232" i="56"/>
  <c r="AK207" i="56"/>
  <c r="AJ207" i="56" s="1"/>
  <c r="AH207" i="56"/>
  <c r="AG207" i="56" s="1"/>
  <c r="AD207" i="56"/>
  <c r="AK168" i="56"/>
  <c r="AJ168" i="56" s="1"/>
  <c r="AH168" i="56"/>
  <c r="AG168" i="56" s="1"/>
  <c r="AD168" i="56"/>
  <c r="AK171" i="56"/>
  <c r="AJ171" i="56" s="1"/>
  <c r="AH171" i="56"/>
  <c r="AG171" i="56" s="1"/>
  <c r="AD171" i="56"/>
  <c r="AH189" i="56"/>
  <c r="AG189" i="56" s="1"/>
  <c r="AD189" i="56"/>
  <c r="AK176" i="56"/>
  <c r="AH176" i="56"/>
  <c r="AG176" i="56" s="1"/>
  <c r="AD176" i="56"/>
  <c r="AP176" i="56"/>
  <c r="AL35" i="56"/>
  <c r="AF35" i="56"/>
  <c r="AP35" i="56" s="1"/>
  <c r="AI35" i="56"/>
  <c r="AN177" i="56"/>
  <c r="AL177" i="56"/>
  <c r="AK220" i="56"/>
  <c r="AJ220" i="56" s="1"/>
  <c r="AH220" i="56"/>
  <c r="AG220" i="56" s="1"/>
  <c r="AD220" i="56"/>
  <c r="AP220" i="56"/>
  <c r="AK165" i="56"/>
  <c r="AH165" i="56"/>
  <c r="AK180" i="56"/>
  <c r="AJ180" i="56" s="1"/>
  <c r="AH180" i="56"/>
  <c r="AG180" i="56" s="1"/>
  <c r="AD180" i="56"/>
  <c r="AI235" i="56"/>
  <c r="AN235" i="56"/>
  <c r="AG231" i="56"/>
  <c r="AJ228" i="56"/>
  <c r="AE210" i="56"/>
  <c r="AJ197" i="56"/>
  <c r="AK178" i="56"/>
  <c r="AJ178" i="56" s="1"/>
  <c r="AH178" i="56"/>
  <c r="AG178" i="56" s="1"/>
  <c r="AD178" i="56"/>
  <c r="AK221" i="56"/>
  <c r="AJ221" i="56" s="1"/>
  <c r="AH221" i="56"/>
  <c r="AG221" i="56" s="1"/>
  <c r="AD221" i="56"/>
  <c r="AK188" i="56"/>
  <c r="AJ188" i="56" s="1"/>
  <c r="AH188" i="56"/>
  <c r="AG188" i="56" s="1"/>
  <c r="AD188" i="56"/>
  <c r="AK241" i="56"/>
  <c r="AJ241" i="56" s="1"/>
  <c r="AH241" i="56"/>
  <c r="AG241" i="56" s="1"/>
  <c r="AD241" i="56"/>
  <c r="AK161" i="56"/>
  <c r="AH161" i="56"/>
  <c r="AD161" i="56"/>
  <c r="AP225" i="56"/>
  <c r="AK158" i="56"/>
  <c r="AJ158" i="56" s="1"/>
  <c r="AH158" i="56"/>
  <c r="AG158" i="56" s="1"/>
  <c r="AD158" i="56"/>
  <c r="AK239" i="56"/>
  <c r="AJ239" i="56" s="1"/>
  <c r="AH239" i="56"/>
  <c r="AG239" i="56" s="1"/>
  <c r="AD239" i="56"/>
  <c r="AK195" i="56"/>
  <c r="AJ195" i="56" s="1"/>
  <c r="AH195" i="56"/>
  <c r="AG195" i="56" s="1"/>
  <c r="AD195" i="56"/>
  <c r="AK236" i="56"/>
  <c r="AJ236" i="56" s="1"/>
  <c r="AH236" i="56"/>
  <c r="AG236" i="56" s="1"/>
  <c r="AD236" i="56"/>
  <c r="AK229" i="56"/>
  <c r="AJ229" i="56" s="1"/>
  <c r="AH229" i="56"/>
  <c r="AG229" i="56" s="1"/>
  <c r="AD229" i="56"/>
  <c r="AK204" i="56"/>
  <c r="AJ204" i="56" s="1"/>
  <c r="AH204" i="56"/>
  <c r="AG204" i="56" s="1"/>
  <c r="AD204" i="56"/>
  <c r="AK190" i="56"/>
  <c r="AJ190" i="56" s="1"/>
  <c r="AH190" i="56"/>
  <c r="AG190" i="56" s="1"/>
  <c r="AD190" i="56"/>
  <c r="AL172" i="56"/>
  <c r="AI172" i="56"/>
  <c r="AK193" i="56"/>
  <c r="AJ193" i="56" s="1"/>
  <c r="AH193" i="56"/>
  <c r="AG193" i="56" s="1"/>
  <c r="AF169" i="56"/>
  <c r="AL169" i="56"/>
  <c r="AM169" i="56"/>
  <c r="AN169" i="56"/>
  <c r="AK160" i="56"/>
  <c r="AH160" i="56"/>
  <c r="AD160" i="56"/>
  <c r="AJ235" i="56"/>
  <c r="AN198" i="56"/>
  <c r="AI198" i="56"/>
  <c r="AL198" i="56"/>
  <c r="AF198" i="56"/>
  <c r="AM198" i="56"/>
  <c r="AK172" i="56"/>
  <c r="AJ172" i="56" s="1"/>
  <c r="AH172" i="56"/>
  <c r="AG172" i="56" s="1"/>
  <c r="AD172" i="56"/>
  <c r="AK210" i="56"/>
  <c r="AJ210" i="56" s="1"/>
  <c r="AH210" i="56"/>
  <c r="AG210" i="56" s="1"/>
  <c r="AD210" i="56"/>
  <c r="AK219" i="56"/>
  <c r="AJ219" i="56" s="1"/>
  <c r="AH219" i="56"/>
  <c r="AG219" i="56" s="1"/>
  <c r="AD219" i="56"/>
  <c r="AK184" i="56"/>
  <c r="AJ184" i="56" s="1"/>
  <c r="AH184" i="56"/>
  <c r="AG184" i="56" s="1"/>
  <c r="AD184" i="56"/>
  <c r="AL98" i="56"/>
  <c r="AK224" i="56"/>
  <c r="AJ224" i="56" s="1"/>
  <c r="AH224" i="56"/>
  <c r="AG224" i="56" s="1"/>
  <c r="AD224" i="56"/>
  <c r="AK186" i="56"/>
  <c r="AJ186" i="56" s="1"/>
  <c r="AH186" i="56"/>
  <c r="AG186" i="56" s="1"/>
  <c r="AD186" i="56"/>
  <c r="AK240" i="56"/>
  <c r="AJ240" i="56" s="1"/>
  <c r="AH240" i="56"/>
  <c r="AG240" i="56" s="1"/>
  <c r="AD240" i="56"/>
  <c r="AK234" i="56"/>
  <c r="AJ234" i="56" s="1"/>
  <c r="AH234" i="56"/>
  <c r="AG234" i="56" s="1"/>
  <c r="AD234" i="56"/>
  <c r="AK167" i="56"/>
  <c r="AJ167" i="56" s="1"/>
  <c r="AH167" i="56"/>
  <c r="AG167" i="56" s="1"/>
  <c r="AD167" i="56"/>
  <c r="AK206" i="56"/>
  <c r="AJ206" i="56" s="1"/>
  <c r="AH206" i="56"/>
  <c r="AG206" i="56" s="1"/>
  <c r="AN192" i="56"/>
  <c r="AM208" i="56"/>
  <c r="AI208" i="56"/>
  <c r="AK203" i="56"/>
  <c r="AJ203" i="56" s="1"/>
  <c r="AH203" i="56"/>
  <c r="AG203" i="56" s="1"/>
  <c r="AD203" i="56"/>
  <c r="AF177" i="56"/>
  <c r="AH199" i="56"/>
  <c r="AG199" i="56" s="1"/>
  <c r="AD199" i="56"/>
  <c r="AP199" i="56"/>
  <c r="AL204" i="56"/>
  <c r="AM204" i="56"/>
  <c r="AK191" i="56"/>
  <c r="AJ191" i="56" s="1"/>
  <c r="AH191" i="56"/>
  <c r="AG191" i="56" s="1"/>
  <c r="AL234" i="56"/>
  <c r="AI234" i="56"/>
  <c r="AN234" i="56"/>
  <c r="AM234" i="56"/>
  <c r="AE209" i="56"/>
  <c r="AI207" i="56"/>
  <c r="AL207" i="56"/>
  <c r="AK226" i="56"/>
  <c r="AJ226" i="56" s="1"/>
  <c r="AH226" i="56"/>
  <c r="AG226" i="56" s="1"/>
  <c r="AD226" i="56"/>
  <c r="AG185" i="56"/>
  <c r="AJ183" i="56"/>
  <c r="AE179" i="56"/>
  <c r="AK215" i="56"/>
  <c r="AJ215" i="56" s="1"/>
  <c r="AH215" i="56"/>
  <c r="AG215" i="56" s="1"/>
  <c r="AD215" i="56"/>
  <c r="AM79" i="56"/>
  <c r="AK166" i="56"/>
  <c r="AH166" i="56"/>
  <c r="AK181" i="56"/>
  <c r="AJ181" i="56" s="1"/>
  <c r="AH181" i="56"/>
  <c r="AG181" i="56" s="1"/>
  <c r="AD181" i="56"/>
  <c r="AK163" i="56"/>
  <c r="AH163" i="56"/>
  <c r="AD163" i="56"/>
  <c r="AI66" i="56"/>
  <c r="AN150" i="56"/>
  <c r="AN168" i="56"/>
  <c r="AL201" i="56"/>
  <c r="AI123" i="56"/>
  <c r="AI86" i="56"/>
  <c r="AN68" i="56"/>
  <c r="AN81" i="56"/>
  <c r="AN160" i="56"/>
  <c r="AL191" i="56"/>
  <c r="AM213" i="56"/>
  <c r="AM54" i="56"/>
  <c r="AF150" i="56"/>
  <c r="AP150" i="56" s="1"/>
  <c r="AL233" i="56"/>
  <c r="AI180" i="56"/>
  <c r="AM167" i="56"/>
  <c r="AG228" i="56"/>
  <c r="AA238" i="56"/>
  <c r="AE238" i="56" s="1"/>
  <c r="AJ231" i="56"/>
  <c r="AG197" i="56"/>
  <c r="AE234" i="56"/>
  <c r="AE207" i="56"/>
  <c r="AE198" i="56"/>
  <c r="AE193" i="56"/>
  <c r="AS191" i="56"/>
  <c r="AS189" i="56"/>
  <c r="AJ176" i="56"/>
  <c r="AJ173" i="56"/>
  <c r="AG170" i="56"/>
  <c r="AS162" i="56"/>
  <c r="AK218" i="56"/>
  <c r="AJ218" i="56" s="1"/>
  <c r="AH218" i="56"/>
  <c r="AG218" i="56" s="1"/>
  <c r="AD218" i="56"/>
  <c r="AF154" i="56"/>
  <c r="AP154" i="56" s="1"/>
  <c r="AM123" i="56"/>
  <c r="AK179" i="56"/>
  <c r="AJ179" i="56" s="1"/>
  <c r="AH179" i="56"/>
  <c r="AG179" i="56" s="1"/>
  <c r="AD179" i="56"/>
  <c r="AI68" i="56"/>
  <c r="AL212" i="56"/>
  <c r="AM160" i="56"/>
  <c r="AN86" i="56"/>
  <c r="AB238" i="56"/>
  <c r="AB222" i="56"/>
  <c r="AF222" i="56" s="1"/>
  <c r="AA232" i="56"/>
  <c r="AE232" i="56" s="1"/>
  <c r="AE235" i="56"/>
  <c r="AE215" i="56"/>
  <c r="AE200" i="56"/>
  <c r="AG187" i="56"/>
  <c r="AA172" i="56"/>
  <c r="AE172" i="56" s="1"/>
  <c r="AS160" i="56"/>
  <c r="AA113" i="56"/>
  <c r="AE113" i="56" s="1"/>
  <c r="AK209" i="56"/>
  <c r="AJ209" i="56" s="1"/>
  <c r="AH209" i="56"/>
  <c r="AG209" i="56" s="1"/>
  <c r="AD209" i="56"/>
  <c r="AK216" i="56"/>
  <c r="AJ216" i="56" s="1"/>
  <c r="AH216" i="56"/>
  <c r="AG216" i="56" s="1"/>
  <c r="AD216" i="56"/>
  <c r="AN144" i="56"/>
  <c r="AK205" i="56"/>
  <c r="AJ205" i="56" s="1"/>
  <c r="AH205" i="56"/>
  <c r="AG205" i="56" s="1"/>
  <c r="AD205" i="56"/>
  <c r="AK233" i="56"/>
  <c r="AJ233" i="56" s="1"/>
  <c r="AH233" i="56"/>
  <c r="AG233" i="56" s="1"/>
  <c r="AD233" i="56"/>
  <c r="AI201" i="56"/>
  <c r="AL113" i="56"/>
  <c r="AF201" i="56"/>
  <c r="AF61" i="56"/>
  <c r="AP61" i="56" s="1"/>
  <c r="AF68" i="56"/>
  <c r="AP68" i="56" s="1"/>
  <c r="AE230" i="56"/>
  <c r="AE222" i="56"/>
  <c r="AE197" i="56"/>
  <c r="AE184" i="56"/>
  <c r="AA168" i="56"/>
  <c r="AE168" i="56" s="1"/>
  <c r="AE154" i="56"/>
  <c r="AJ152" i="56"/>
  <c r="AE145" i="56"/>
  <c r="AB131" i="56"/>
  <c r="AM131" i="56" s="1"/>
  <c r="AE131" i="56"/>
  <c r="AE127" i="56"/>
  <c r="AA63" i="56"/>
  <c r="AE63" i="56"/>
  <c r="AS62" i="56"/>
  <c r="AG128" i="56"/>
  <c r="AA116" i="56"/>
  <c r="AE116" i="56"/>
  <c r="AA95" i="56"/>
  <c r="AE95" i="56" s="1"/>
  <c r="AB95" i="56"/>
  <c r="AS120" i="56"/>
  <c r="AS108" i="56"/>
  <c r="AG100" i="56"/>
  <c r="AS98" i="56"/>
  <c r="AF97" i="56"/>
  <c r="AP97" i="56" s="1"/>
  <c r="AS72" i="56"/>
  <c r="AS64" i="56"/>
  <c r="AS47" i="56"/>
  <c r="AS41" i="56"/>
  <c r="AS39" i="56"/>
  <c r="AS114" i="56"/>
  <c r="AS113" i="56"/>
  <c r="AS103" i="56"/>
  <c r="AS95" i="56"/>
  <c r="AS55" i="56"/>
  <c r="AS25" i="56"/>
  <c r="AS16" i="56"/>
  <c r="AD154" i="56"/>
  <c r="AI81" i="56"/>
  <c r="AS134" i="56"/>
  <c r="AI106" i="56"/>
  <c r="AL106" i="56"/>
  <c r="AL148" i="56"/>
  <c r="AS148" i="56"/>
  <c r="AS147" i="56"/>
  <c r="AJ140" i="56"/>
  <c r="AA91" i="56"/>
  <c r="AE91" i="56" s="1"/>
  <c r="AB91" i="56"/>
  <c r="AM148" i="56"/>
  <c r="AL44" i="56"/>
  <c r="AK155" i="56"/>
  <c r="AJ155" i="56" s="1"/>
  <c r="AH155" i="56"/>
  <c r="AG155" i="56" s="1"/>
  <c r="AD155" i="56"/>
  <c r="AN54" i="56"/>
  <c r="AK153" i="56"/>
  <c r="AD153" i="56"/>
  <c r="AS100" i="56"/>
  <c r="AB59" i="56"/>
  <c r="AB72" i="56"/>
  <c r="AS143" i="56"/>
  <c r="AS140" i="56"/>
  <c r="AS137" i="56"/>
  <c r="AS128" i="56"/>
  <c r="AS127" i="56"/>
  <c r="AS126" i="56"/>
  <c r="AS124" i="56"/>
  <c r="AS79" i="56"/>
  <c r="AA67" i="56"/>
  <c r="AE67" i="56" s="1"/>
  <c r="AS43" i="56"/>
  <c r="AS33" i="56"/>
  <c r="AS24" i="56"/>
  <c r="AS105" i="56"/>
  <c r="AS94" i="56"/>
  <c r="AS74" i="56"/>
  <c r="AF28" i="56"/>
  <c r="AP28" i="56" s="1"/>
  <c r="AH148" i="56"/>
  <c r="AG148" i="56" s="1"/>
  <c r="AK148" i="56"/>
  <c r="AJ148" i="56" s="1"/>
  <c r="AD148" i="56"/>
  <c r="AD57" i="56"/>
  <c r="AH57" i="56"/>
  <c r="AG57" i="56" s="1"/>
  <c r="AK57" i="56"/>
  <c r="AJ57" i="56" s="1"/>
  <c r="AH105" i="56"/>
  <c r="AG105" i="56" s="1"/>
  <c r="AK105" i="56"/>
  <c r="AJ105" i="56" s="1"/>
  <c r="AD105" i="56"/>
  <c r="AD94" i="56"/>
  <c r="AH76" i="56"/>
  <c r="AG76" i="56" s="1"/>
  <c r="AK76" i="56"/>
  <c r="AJ76" i="56" s="1"/>
  <c r="AD76" i="56"/>
  <c r="AG16" i="56"/>
  <c r="AJ16" i="56"/>
  <c r="AH116" i="56"/>
  <c r="AG116" i="56" s="1"/>
  <c r="AK116" i="56"/>
  <c r="AJ116" i="56" s="1"/>
  <c r="AD116" i="56"/>
  <c r="AH145" i="56"/>
  <c r="AG145" i="56" s="1"/>
  <c r="AK145" i="56"/>
  <c r="AJ145" i="56" s="1"/>
  <c r="AD145" i="56"/>
  <c r="AD42" i="56"/>
  <c r="AH42" i="56"/>
  <c r="AG42" i="56" s="1"/>
  <c r="AK42" i="56"/>
  <c r="AJ42" i="56" s="1"/>
  <c r="AH128" i="56"/>
  <c r="AK128" i="56"/>
  <c r="AJ128" i="56" s="1"/>
  <c r="AD128" i="56"/>
  <c r="AP116" i="56"/>
  <c r="AK147" i="56"/>
  <c r="AJ147" i="56" s="1"/>
  <c r="AH147" i="56"/>
  <c r="AG147" i="56" s="1"/>
  <c r="AD147" i="56"/>
  <c r="AH56" i="56"/>
  <c r="AG56" i="56" s="1"/>
  <c r="AK56" i="56"/>
  <c r="AJ56" i="56" s="1"/>
  <c r="AD56" i="56"/>
  <c r="AD62" i="56"/>
  <c r="AH62" i="56"/>
  <c r="AG62" i="56" s="1"/>
  <c r="AK62" i="56"/>
  <c r="AJ62" i="56" s="1"/>
  <c r="AK31" i="56"/>
  <c r="AJ31" i="56" s="1"/>
  <c r="AH31" i="56"/>
  <c r="AG31" i="56" s="1"/>
  <c r="AD31" i="56"/>
  <c r="AH121" i="56"/>
  <c r="AG121" i="56" s="1"/>
  <c r="AK121" i="56"/>
  <c r="AJ121" i="56" s="1"/>
  <c r="AD121" i="56"/>
  <c r="AK98" i="56"/>
  <c r="AJ98" i="56" s="1"/>
  <c r="AD98" i="56"/>
  <c r="AH98" i="56"/>
  <c r="AG98" i="56" s="1"/>
  <c r="AH109" i="56"/>
  <c r="AG109" i="56" s="1"/>
  <c r="AK109" i="56"/>
  <c r="AJ109" i="56" s="1"/>
  <c r="AD109" i="56"/>
  <c r="AP109" i="56"/>
  <c r="AK39" i="56"/>
  <c r="AJ39" i="56" s="1"/>
  <c r="AH39" i="56"/>
  <c r="AG39" i="56" s="1"/>
  <c r="AD39" i="56"/>
  <c r="AP39" i="56"/>
  <c r="AI16" i="56"/>
  <c r="AL16" i="56"/>
  <c r="AM16" i="56"/>
  <c r="AI89" i="56"/>
  <c r="AF89" i="56"/>
  <c r="AL89" i="56"/>
  <c r="AI20" i="56"/>
  <c r="AL20" i="56"/>
  <c r="AF20" i="56"/>
  <c r="AM20" i="56"/>
  <c r="AK75" i="56"/>
  <c r="AJ75" i="56" s="1"/>
  <c r="AH75" i="56"/>
  <c r="AG75" i="56" s="1"/>
  <c r="AD75" i="56"/>
  <c r="AH108" i="56"/>
  <c r="AG108" i="56" s="1"/>
  <c r="AK108" i="56"/>
  <c r="AJ108" i="56" s="1"/>
  <c r="AD108" i="56"/>
  <c r="AK106" i="56"/>
  <c r="AJ106" i="56" s="1"/>
  <c r="AH106" i="56"/>
  <c r="AG106" i="56" s="1"/>
  <c r="AD106" i="56"/>
  <c r="AP106" i="56"/>
  <c r="AH83" i="56"/>
  <c r="AG83" i="56" s="1"/>
  <c r="AD83" i="56"/>
  <c r="AH77" i="56"/>
  <c r="AG77" i="56" s="1"/>
  <c r="AK77" i="56"/>
  <c r="AJ77" i="56" s="1"/>
  <c r="AD77" i="56"/>
  <c r="AP77" i="56"/>
  <c r="AI53" i="56"/>
  <c r="AM53" i="56"/>
  <c r="AF53" i="56"/>
  <c r="AN53" i="56"/>
  <c r="AK87" i="56"/>
  <c r="AD87" i="56"/>
  <c r="AP87" i="56"/>
  <c r="AH120" i="56"/>
  <c r="AG120" i="56" s="1"/>
  <c r="AK120" i="56"/>
  <c r="AJ120" i="56" s="1"/>
  <c r="AD120" i="56"/>
  <c r="AK146" i="56"/>
  <c r="AJ146" i="56" s="1"/>
  <c r="AD146" i="56"/>
  <c r="AH146" i="56"/>
  <c r="AG146" i="56" s="1"/>
  <c r="AH32" i="56"/>
  <c r="AG32" i="56" s="1"/>
  <c r="AK32" i="56"/>
  <c r="AJ32" i="56" s="1"/>
  <c r="AD32" i="56"/>
  <c r="AK110" i="56"/>
  <c r="AJ110" i="56" s="1"/>
  <c r="AD110" i="56"/>
  <c r="AH110" i="56"/>
  <c r="AG110" i="56" s="1"/>
  <c r="AK123" i="56"/>
  <c r="AJ123" i="56" s="1"/>
  <c r="AH123" i="56"/>
  <c r="AG123" i="56" s="1"/>
  <c r="AD123" i="56"/>
  <c r="AK47" i="56"/>
  <c r="AJ47" i="56" s="1"/>
  <c r="AH47" i="56"/>
  <c r="AG47" i="56" s="1"/>
  <c r="AD47" i="56"/>
  <c r="AK82" i="56"/>
  <c r="AD82" i="56"/>
  <c r="AH82" i="56"/>
  <c r="AG82" i="56" s="1"/>
  <c r="AK67" i="56"/>
  <c r="AJ67" i="56" s="1"/>
  <c r="AH67" i="56"/>
  <c r="AG67" i="56" s="1"/>
  <c r="AD67" i="56"/>
  <c r="AK90" i="56"/>
  <c r="AH90" i="56"/>
  <c r="AG90" i="56" s="1"/>
  <c r="AK114" i="56"/>
  <c r="AJ114" i="56" s="1"/>
  <c r="AD114" i="56"/>
  <c r="AH114" i="56"/>
  <c r="AH74" i="56"/>
  <c r="AG74" i="56" s="1"/>
  <c r="AK74" i="56"/>
  <c r="AJ74" i="56" s="1"/>
  <c r="AD74" i="56"/>
  <c r="AK151" i="56"/>
  <c r="AJ151" i="56" s="1"/>
  <c r="AH151" i="56"/>
  <c r="AG151" i="56" s="1"/>
  <c r="AD151" i="56"/>
  <c r="AD21" i="56"/>
  <c r="AH21" i="56"/>
  <c r="AG21" i="56" s="1"/>
  <c r="AK21" i="56"/>
  <c r="AK111" i="56"/>
  <c r="AJ111" i="56" s="1"/>
  <c r="AH111" i="56"/>
  <c r="AG111" i="56" s="1"/>
  <c r="AD111" i="56"/>
  <c r="AL87" i="56"/>
  <c r="AL78" i="56"/>
  <c r="AF126" i="56"/>
  <c r="AH132" i="56"/>
  <c r="AG132" i="56" s="1"/>
  <c r="AK132" i="56"/>
  <c r="AJ132" i="56" s="1"/>
  <c r="AD132" i="56"/>
  <c r="AL107" i="56"/>
  <c r="AK102" i="56"/>
  <c r="AD102" i="56"/>
  <c r="AH102" i="56"/>
  <c r="AN64" i="56"/>
  <c r="AM64" i="56"/>
  <c r="AK97" i="56"/>
  <c r="AJ97" i="56"/>
  <c r="AE89" i="56"/>
  <c r="AH52" i="56"/>
  <c r="AG52" i="56" s="1"/>
  <c r="AK52" i="56"/>
  <c r="AJ52" i="56" s="1"/>
  <c r="AD52" i="56"/>
  <c r="AK103" i="56"/>
  <c r="AH103" i="56"/>
  <c r="AD103" i="56"/>
  <c r="AH35" i="56"/>
  <c r="AG35" i="56" s="1"/>
  <c r="AD35" i="56"/>
  <c r="AK119" i="56"/>
  <c r="AJ119" i="56" s="1"/>
  <c r="AH119" i="56"/>
  <c r="AG119" i="56" s="1"/>
  <c r="AD119" i="56"/>
  <c r="AH85" i="56"/>
  <c r="AG85" i="56" s="1"/>
  <c r="AK85" i="56"/>
  <c r="AJ85" i="56" s="1"/>
  <c r="AD85" i="56"/>
  <c r="AK143" i="56"/>
  <c r="AJ143" i="56" s="1"/>
  <c r="AH143" i="56"/>
  <c r="AG143" i="56" s="1"/>
  <c r="AD143" i="56"/>
  <c r="AH80" i="56"/>
  <c r="AG80" i="56" s="1"/>
  <c r="AK80" i="56"/>
  <c r="AJ80" i="56" s="1"/>
  <c r="AD80" i="56"/>
  <c r="AL41" i="56"/>
  <c r="AH93" i="56"/>
  <c r="AG93" i="56" s="1"/>
  <c r="AK93" i="56"/>
  <c r="AJ93" i="56" s="1"/>
  <c r="AD93" i="56"/>
  <c r="AP93" i="56"/>
  <c r="AD38" i="56"/>
  <c r="AH38" i="56"/>
  <c r="AG38" i="56" s="1"/>
  <c r="AK38" i="56"/>
  <c r="AJ38" i="56" s="1"/>
  <c r="AN131" i="56"/>
  <c r="AE96" i="56"/>
  <c r="AJ87" i="56"/>
  <c r="AP74" i="56"/>
  <c r="AK43" i="56"/>
  <c r="AJ43" i="56" s="1"/>
  <c r="AH43" i="56"/>
  <c r="AG43" i="56" s="1"/>
  <c r="AD43" i="56"/>
  <c r="AN120" i="56"/>
  <c r="AP123" i="56"/>
  <c r="AM117" i="56"/>
  <c r="AK115" i="56"/>
  <c r="AJ115" i="56" s="1"/>
  <c r="AH115" i="56"/>
  <c r="AG115" i="56" s="1"/>
  <c r="AD115" i="56"/>
  <c r="AD50" i="56"/>
  <c r="AH50" i="56"/>
  <c r="AG50" i="56" s="1"/>
  <c r="AK50" i="56"/>
  <c r="AJ50" i="56" s="1"/>
  <c r="AK142" i="56"/>
  <c r="AJ142" i="56" s="1"/>
  <c r="AD142" i="56"/>
  <c r="AH142" i="56"/>
  <c r="AG142" i="56" s="1"/>
  <c r="AK127" i="56"/>
  <c r="AJ127" i="56" s="1"/>
  <c r="AH127" i="56"/>
  <c r="AG127" i="56" s="1"/>
  <c r="AD127" i="56"/>
  <c r="AD41" i="56"/>
  <c r="AH41" i="56"/>
  <c r="AG41" i="56" s="1"/>
  <c r="AK41" i="56"/>
  <c r="AJ41" i="56" s="1"/>
  <c r="AH96" i="56"/>
  <c r="AG96" i="56" s="1"/>
  <c r="AK96" i="56"/>
  <c r="AJ96" i="56" s="1"/>
  <c r="AD96" i="56"/>
  <c r="AH92" i="56"/>
  <c r="AG92" i="56" s="1"/>
  <c r="AK92" i="56"/>
  <c r="AJ92" i="56" s="1"/>
  <c r="AD92" i="56"/>
  <c r="AH40" i="56"/>
  <c r="AG40" i="56" s="1"/>
  <c r="AK40" i="56"/>
  <c r="AJ40" i="56" s="1"/>
  <c r="AD40" i="56"/>
  <c r="AK107" i="56"/>
  <c r="AJ107" i="56" s="1"/>
  <c r="AH107" i="56"/>
  <c r="AG107" i="56" s="1"/>
  <c r="AD107" i="56"/>
  <c r="AP52" i="56"/>
  <c r="AP111" i="56"/>
  <c r="AD30" i="56"/>
  <c r="AH30" i="56"/>
  <c r="AG30" i="56" s="1"/>
  <c r="AK30" i="56"/>
  <c r="AJ30" i="56" s="1"/>
  <c r="AK139" i="56"/>
  <c r="AJ139" i="56" s="1"/>
  <c r="AH139" i="56"/>
  <c r="AG139" i="56" s="1"/>
  <c r="AK79" i="56"/>
  <c r="AH79" i="56"/>
  <c r="AG79" i="56" s="1"/>
  <c r="AN125" i="56"/>
  <c r="AH112" i="56"/>
  <c r="AG112" i="56" s="1"/>
  <c r="AK112" i="56"/>
  <c r="AJ112" i="56" s="1"/>
  <c r="AD112" i="56"/>
  <c r="AL19" i="56"/>
  <c r="AI87" i="56"/>
  <c r="AN26" i="56"/>
  <c r="AI78" i="56"/>
  <c r="AH88" i="56"/>
  <c r="AG88" i="56" s="1"/>
  <c r="AK88" i="56"/>
  <c r="AJ88" i="56" s="1"/>
  <c r="AD88" i="56"/>
  <c r="AH66" i="56"/>
  <c r="AG66" i="56" s="1"/>
  <c r="AK66" i="56"/>
  <c r="AJ66" i="56" s="1"/>
  <c r="AK122" i="56"/>
  <c r="AJ122" i="56" s="1"/>
  <c r="AH122" i="56"/>
  <c r="AG122" i="56" s="1"/>
  <c r="AD122" i="56"/>
  <c r="AF149" i="56"/>
  <c r="AM35" i="56"/>
  <c r="AH24" i="56"/>
  <c r="AG24" i="56" s="1"/>
  <c r="AK24" i="56"/>
  <c r="AJ24" i="56" s="1"/>
  <c r="AD24" i="56"/>
  <c r="AL132" i="56"/>
  <c r="AH141" i="56"/>
  <c r="AG141" i="56" s="1"/>
  <c r="AK141" i="56"/>
  <c r="AJ141" i="56" s="1"/>
  <c r="AD141" i="56"/>
  <c r="AP80" i="56"/>
  <c r="AL97" i="56"/>
  <c r="AN41" i="56"/>
  <c r="AH81" i="56"/>
  <c r="AG81" i="56" s="1"/>
  <c r="AK81" i="56"/>
  <c r="AJ81" i="56" s="1"/>
  <c r="AD81" i="56"/>
  <c r="AJ90" i="56"/>
  <c r="AJ79" i="56"/>
  <c r="AE71" i="56"/>
  <c r="AP110" i="56"/>
  <c r="AK44" i="56"/>
  <c r="AJ44" i="56" s="1"/>
  <c r="AP67" i="56"/>
  <c r="AH101" i="56"/>
  <c r="AK101" i="56"/>
  <c r="AD101" i="56"/>
  <c r="AH117" i="56"/>
  <c r="AG117" i="56" s="1"/>
  <c r="AK117" i="56"/>
  <c r="AJ117" i="56" s="1"/>
  <c r="AD117" i="56"/>
  <c r="AD34" i="56"/>
  <c r="AH34" i="56"/>
  <c r="AG34" i="56" s="1"/>
  <c r="AK34" i="56"/>
  <c r="AJ34" i="56" s="1"/>
  <c r="AP82" i="56"/>
  <c r="AH64" i="56"/>
  <c r="AG64" i="56" s="1"/>
  <c r="AK64" i="56"/>
  <c r="AJ64" i="56" s="1"/>
  <c r="AD64" i="56"/>
  <c r="AK118" i="56"/>
  <c r="AJ118" i="56" s="1"/>
  <c r="AD118" i="56"/>
  <c r="AH118" i="56"/>
  <c r="AG118" i="56" s="1"/>
  <c r="AP47" i="56"/>
  <c r="AH129" i="56"/>
  <c r="AG129" i="56" s="1"/>
  <c r="AK129" i="56"/>
  <c r="AJ129" i="56" s="1"/>
  <c r="AD129" i="56"/>
  <c r="AK55" i="56"/>
  <c r="AJ55" i="56" s="1"/>
  <c r="AH55" i="56"/>
  <c r="AG55" i="56" s="1"/>
  <c r="AD55" i="56"/>
  <c r="AD37" i="56"/>
  <c r="AK37" i="56"/>
  <c r="AJ37" i="56" s="1"/>
  <c r="AD33" i="56"/>
  <c r="AH33" i="56"/>
  <c r="AG33" i="56" s="1"/>
  <c r="AK33" i="56"/>
  <c r="AJ33" i="56" s="1"/>
  <c r="AP119" i="56"/>
  <c r="AK63" i="56"/>
  <c r="AJ63" i="56" s="1"/>
  <c r="AH63" i="56"/>
  <c r="AG63" i="56" s="1"/>
  <c r="AD63" i="56"/>
  <c r="AH133" i="56"/>
  <c r="AG133" i="56" s="1"/>
  <c r="AK133" i="56"/>
  <c r="AJ133" i="56" s="1"/>
  <c r="AD133" i="56"/>
  <c r="AF78" i="56"/>
  <c r="AH60" i="56"/>
  <c r="AG60" i="56" s="1"/>
  <c r="AK60" i="56"/>
  <c r="AJ60" i="56" s="1"/>
  <c r="AD60" i="56"/>
  <c r="AI125" i="56"/>
  <c r="AI111" i="56"/>
  <c r="AD18" i="56"/>
  <c r="AH18" i="56"/>
  <c r="AG18" i="56" s="1"/>
  <c r="AK18" i="56"/>
  <c r="AJ18" i="56" s="1"/>
  <c r="AD22" i="56"/>
  <c r="AH22" i="56"/>
  <c r="AG22" i="56" s="1"/>
  <c r="AK22" i="56"/>
  <c r="AJ22" i="56" s="1"/>
  <c r="AL26" i="56"/>
  <c r="AN35" i="56"/>
  <c r="AN132" i="56"/>
  <c r="AK86" i="56"/>
  <c r="AJ86" i="56" s="1"/>
  <c r="AD86" i="56"/>
  <c r="AH86" i="56"/>
  <c r="AG86" i="56" s="1"/>
  <c r="AD29" i="56"/>
  <c r="AH29" i="56"/>
  <c r="AG29" i="56" s="1"/>
  <c r="AN97" i="56"/>
  <c r="AL130" i="56"/>
  <c r="AN141" i="56"/>
  <c r="AL141" i="56"/>
  <c r="AH144" i="56"/>
  <c r="AG144" i="56" s="1"/>
  <c r="AK144" i="56"/>
  <c r="AJ144" i="56" s="1"/>
  <c r="AD144" i="56"/>
  <c r="AJ82" i="56"/>
  <c r="AN58" i="56"/>
  <c r="AH68" i="56"/>
  <c r="AG68" i="56" s="1"/>
  <c r="AK68" i="56"/>
  <c r="AJ68" i="56" s="1"/>
  <c r="AD68" i="56"/>
  <c r="AE76" i="56"/>
  <c r="AK28" i="56"/>
  <c r="AJ28" i="56" s="1"/>
  <c r="AH150" i="56"/>
  <c r="AG150" i="56" s="1"/>
  <c r="AE86" i="56"/>
  <c r="AE70" i="56"/>
  <c r="AB70" i="56"/>
  <c r="AS66" i="56"/>
  <c r="AS50" i="56"/>
  <c r="AS26" i="56"/>
  <c r="AS19" i="56"/>
  <c r="AG114" i="56"/>
  <c r="AE85" i="56"/>
  <c r="AE82" i="56"/>
  <c r="AS81" i="56"/>
  <c r="AE79" i="56"/>
  <c r="AE73" i="56"/>
  <c r="AB46" i="56"/>
  <c r="AE46" i="56"/>
  <c r="AD61" i="56"/>
  <c r="AH61" i="56"/>
  <c r="AG61" i="56" s="1"/>
  <c r="AK61" i="56"/>
  <c r="AJ61" i="56" s="1"/>
  <c r="AH113" i="56"/>
  <c r="AG113" i="56" s="1"/>
  <c r="AK113" i="56"/>
  <c r="AJ113" i="56" s="1"/>
  <c r="AD113" i="56"/>
  <c r="AE80" i="56"/>
  <c r="AE77" i="56"/>
  <c r="AS32" i="56"/>
  <c r="AJ21" i="56"/>
  <c r="K19" i="63"/>
  <c r="N19" i="63"/>
  <c r="Q19" i="63"/>
  <c r="AS447" i="61" l="1"/>
  <c r="AG447" i="61"/>
  <c r="AK447" i="61"/>
  <c r="AN447" i="61"/>
  <c r="AK340" i="56"/>
  <c r="AH340" i="56"/>
  <c r="AD340" i="56"/>
  <c r="AP340" i="56"/>
  <c r="AD329" i="56"/>
  <c r="AK329" i="56"/>
  <c r="AH329" i="56"/>
  <c r="AP329" i="56"/>
  <c r="AK310" i="56"/>
  <c r="AH310" i="56"/>
  <c r="AD310" i="56"/>
  <c r="AP310" i="56"/>
  <c r="AK510" i="56"/>
  <c r="AD510" i="56"/>
  <c r="AH510" i="56"/>
  <c r="AP510" i="56"/>
  <c r="AL283" i="61"/>
  <c r="AO283" i="61"/>
  <c r="AI283" i="61"/>
  <c r="AQ283" i="61"/>
  <c r="AP283" i="61"/>
  <c r="AQ357" i="61"/>
  <c r="AI357" i="61"/>
  <c r="AL357" i="61"/>
  <c r="AP357" i="61"/>
  <c r="AS18" i="61"/>
  <c r="AG85" i="61"/>
  <c r="AK394" i="61"/>
  <c r="AG512" i="61"/>
  <c r="AG259" i="61"/>
  <c r="AG455" i="61"/>
  <c r="AF359" i="56"/>
  <c r="AM359" i="56"/>
  <c r="AI359" i="56"/>
  <c r="AL359" i="56"/>
  <c r="AN359" i="56"/>
  <c r="AI370" i="56"/>
  <c r="AL370" i="56"/>
  <c r="AF370" i="56"/>
  <c r="AN370" i="56"/>
  <c r="AM370" i="56"/>
  <c r="AD289" i="56"/>
  <c r="AK289" i="56"/>
  <c r="AH289" i="56"/>
  <c r="AP289" i="56"/>
  <c r="AK493" i="56"/>
  <c r="AH493" i="56"/>
  <c r="AD493" i="56"/>
  <c r="AP493" i="56"/>
  <c r="AD353" i="56"/>
  <c r="AK353" i="56"/>
  <c r="AH353" i="56"/>
  <c r="AP353" i="56"/>
  <c r="AH384" i="56"/>
  <c r="AD384" i="56"/>
  <c r="AK384" i="56"/>
  <c r="AP384" i="56"/>
  <c r="AK397" i="56"/>
  <c r="AH397" i="56"/>
  <c r="AD397" i="56"/>
  <c r="AP397" i="56"/>
  <c r="AN389" i="56"/>
  <c r="AI389" i="56"/>
  <c r="AM389" i="56"/>
  <c r="AF389" i="56"/>
  <c r="AL389" i="56"/>
  <c r="AL293" i="61"/>
  <c r="AP293" i="61"/>
  <c r="AI293" i="61"/>
  <c r="AO293" i="61"/>
  <c r="AQ293" i="61"/>
  <c r="AO406" i="61"/>
  <c r="AI406" i="61"/>
  <c r="AP406" i="61"/>
  <c r="AL406" i="61"/>
  <c r="AQ406" i="61"/>
  <c r="AI437" i="56"/>
  <c r="AN437" i="56"/>
  <c r="AM437" i="56"/>
  <c r="AL437" i="56"/>
  <c r="AF437" i="56"/>
  <c r="AK406" i="56"/>
  <c r="AH406" i="56"/>
  <c r="AD406" i="56"/>
  <c r="AP406" i="56"/>
  <c r="AK428" i="56"/>
  <c r="AH428" i="56"/>
  <c r="AD428" i="56"/>
  <c r="AP428" i="56"/>
  <c r="AH44" i="56"/>
  <c r="AG44" i="56" s="1"/>
  <c r="AK94" i="56"/>
  <c r="AJ94" i="56" s="1"/>
  <c r="AI17" i="56"/>
  <c r="AD150" i="56"/>
  <c r="AK29" i="56"/>
  <c r="AJ29" i="56" s="1"/>
  <c r="AH37" i="56"/>
  <c r="AG37" i="56" s="1"/>
  <c r="AD66" i="56"/>
  <c r="AL111" i="56"/>
  <c r="AD139" i="56"/>
  <c r="AD84" i="56"/>
  <c r="AD136" i="56"/>
  <c r="AK35" i="56"/>
  <c r="AJ35" i="56" s="1"/>
  <c r="AD90" i="56"/>
  <c r="AK83" i="56"/>
  <c r="AJ83" i="56" s="1"/>
  <c r="AH154" i="56"/>
  <c r="AG154" i="56" s="1"/>
  <c r="AF99" i="56"/>
  <c r="AK189" i="56"/>
  <c r="AJ189" i="56" s="1"/>
  <c r="AN20" i="61"/>
  <c r="AM20" i="61" s="1"/>
  <c r="AN49" i="61"/>
  <c r="AM49" i="61" s="1"/>
  <c r="AN53" i="61"/>
  <c r="AM53" i="61" s="1"/>
  <c r="AK43" i="61"/>
  <c r="AJ43" i="61" s="1"/>
  <c r="AK22" i="61"/>
  <c r="AJ22" i="61" s="1"/>
  <c r="AG18" i="61"/>
  <c r="AN394" i="61"/>
  <c r="AK259" i="61"/>
  <c r="AK344" i="61"/>
  <c r="AS124" i="61"/>
  <c r="AN246" i="56"/>
  <c r="AL246" i="56"/>
  <c r="AM246" i="56"/>
  <c r="AI246" i="56"/>
  <c r="AF246" i="56"/>
  <c r="AF379" i="56"/>
  <c r="AN379" i="56"/>
  <c r="AM379" i="56"/>
  <c r="AI379" i="56"/>
  <c r="AL379" i="56"/>
  <c r="AH498" i="56"/>
  <c r="AK498" i="56"/>
  <c r="AD498" i="56"/>
  <c r="AP498" i="56"/>
  <c r="AK455" i="56"/>
  <c r="AH455" i="56"/>
  <c r="AD455" i="56"/>
  <c r="AP455" i="56"/>
  <c r="AK388" i="56"/>
  <c r="AH388" i="56"/>
  <c r="AD388" i="56"/>
  <c r="AP388" i="56"/>
  <c r="AK476" i="56"/>
  <c r="AH476" i="56"/>
  <c r="AD476" i="56"/>
  <c r="AP476" i="56"/>
  <c r="AF208" i="56"/>
  <c r="AN208" i="56"/>
  <c r="AL208" i="56"/>
  <c r="AI358" i="61"/>
  <c r="AQ358" i="61"/>
  <c r="AP358" i="61"/>
  <c r="AO358" i="61"/>
  <c r="AL358" i="61"/>
  <c r="AL449" i="61"/>
  <c r="AP449" i="61"/>
  <c r="AO449" i="61"/>
  <c r="AQ449" i="61"/>
  <c r="AI449" i="61"/>
  <c r="AM71" i="56"/>
  <c r="AF71" i="56"/>
  <c r="AI71" i="56"/>
  <c r="AN71" i="56"/>
  <c r="AL71" i="56"/>
  <c r="AK373" i="56"/>
  <c r="AH373" i="56"/>
  <c r="AD373" i="56"/>
  <c r="AP373" i="56"/>
  <c r="AK150" i="56"/>
  <c r="AJ150" i="56" s="1"/>
  <c r="AK84" i="56"/>
  <c r="AJ84" i="56" s="1"/>
  <c r="AK136" i="56"/>
  <c r="AJ136" i="56" s="1"/>
  <c r="AD152" i="56"/>
  <c r="AD166" i="56"/>
  <c r="AD193" i="56"/>
  <c r="AD174" i="56"/>
  <c r="AL99" i="56"/>
  <c r="AK20" i="61"/>
  <c r="AJ20" i="61" s="1"/>
  <c r="AK49" i="61"/>
  <c r="AJ49" i="61" s="1"/>
  <c r="AK53" i="61"/>
  <c r="AJ53" i="61" s="1"/>
  <c r="AG43" i="61"/>
  <c r="AN18" i="61"/>
  <c r="AM18" i="61" s="1"/>
  <c r="AG394" i="61"/>
  <c r="AQ447" i="61"/>
  <c r="AO447" i="61"/>
  <c r="AP447" i="61"/>
  <c r="AL447" i="61"/>
  <c r="AK407" i="56"/>
  <c r="AH407" i="56"/>
  <c r="AD407" i="56"/>
  <c r="AP407" i="56"/>
  <c r="AL378" i="56"/>
  <c r="AF378" i="56"/>
  <c r="AN378" i="56"/>
  <c r="AM378" i="56"/>
  <c r="AI378" i="56"/>
  <c r="AL270" i="56"/>
  <c r="AM270" i="56"/>
  <c r="AF270" i="56"/>
  <c r="AN270" i="56"/>
  <c r="AI270" i="56"/>
  <c r="AI197" i="56"/>
  <c r="AL197" i="56"/>
  <c r="AH514" i="56"/>
  <c r="AK514" i="56"/>
  <c r="AD514" i="56"/>
  <c r="AP514" i="56"/>
  <c r="AO67" i="61"/>
  <c r="AI67" i="61"/>
  <c r="AQ67" i="61"/>
  <c r="AL67" i="61"/>
  <c r="AP67" i="61"/>
  <c r="AI483" i="61"/>
  <c r="AP483" i="61"/>
  <c r="AQ483" i="61"/>
  <c r="AO483" i="61"/>
  <c r="AL483" i="61"/>
  <c r="AK422" i="56"/>
  <c r="AH422" i="56"/>
  <c r="AD422" i="56"/>
  <c r="AP422" i="56"/>
  <c r="AK376" i="56"/>
  <c r="AH376" i="56"/>
  <c r="AD376" i="56"/>
  <c r="AP376" i="56"/>
  <c r="AI396" i="56"/>
  <c r="AL396" i="56"/>
  <c r="AF396" i="56"/>
  <c r="AM396" i="56"/>
  <c r="AN396" i="56"/>
  <c r="AL29" i="61"/>
  <c r="AI29" i="61"/>
  <c r="AQ81" i="61"/>
  <c r="AO81" i="61"/>
  <c r="AP81" i="61"/>
  <c r="AL81" i="61"/>
  <c r="AI81" i="61"/>
  <c r="AH84" i="56"/>
  <c r="AG84" i="56" s="1"/>
  <c r="AH136" i="56"/>
  <c r="AG136" i="56" s="1"/>
  <c r="AD125" i="56"/>
  <c r="AD100" i="56"/>
  <c r="AH152" i="56"/>
  <c r="AG152" i="56" s="1"/>
  <c r="AN381" i="56"/>
  <c r="AI381" i="56"/>
  <c r="AL381" i="56"/>
  <c r="AF381" i="56"/>
  <c r="AM381" i="56"/>
  <c r="AH362" i="56"/>
  <c r="AD362" i="56"/>
  <c r="AK362" i="56"/>
  <c r="AP362" i="56"/>
  <c r="AM505" i="56"/>
  <c r="AI505" i="56"/>
  <c r="AF505" i="56"/>
  <c r="AN505" i="56"/>
  <c r="AL505" i="56"/>
  <c r="AF470" i="56"/>
  <c r="AI470" i="56"/>
  <c r="AN470" i="56"/>
  <c r="AL470" i="56"/>
  <c r="AM470" i="56"/>
  <c r="AH400" i="56"/>
  <c r="AD400" i="56"/>
  <c r="AK400" i="56"/>
  <c r="AP400" i="56"/>
  <c r="AH458" i="56"/>
  <c r="AK458" i="56"/>
  <c r="AD458" i="56"/>
  <c r="AP458" i="56"/>
  <c r="AK339" i="56"/>
  <c r="AH339" i="56"/>
  <c r="AD339" i="56"/>
  <c r="AP339" i="56"/>
  <c r="AQ496" i="61"/>
  <c r="AP496" i="61"/>
  <c r="AL496" i="61"/>
  <c r="AO496" i="61"/>
  <c r="AI496" i="61"/>
  <c r="AD431" i="56"/>
  <c r="AK431" i="56"/>
  <c r="AH431" i="56"/>
  <c r="AP431" i="56"/>
  <c r="AI76" i="61"/>
  <c r="AO76" i="61"/>
  <c r="AQ76" i="61"/>
  <c r="AP76" i="61"/>
  <c r="AL76" i="61"/>
  <c r="AL471" i="61"/>
  <c r="AP471" i="61"/>
  <c r="AO471" i="61"/>
  <c r="AQ471" i="61"/>
  <c r="AI471" i="61"/>
  <c r="AK25" i="56"/>
  <c r="AJ25" i="56" s="1"/>
  <c r="AK125" i="56"/>
  <c r="AJ125" i="56" s="1"/>
  <c r="AK100" i="56"/>
  <c r="AJ100" i="56" s="1"/>
  <c r="AK152" i="56"/>
  <c r="AD187" i="56"/>
  <c r="AS72" i="61"/>
  <c r="AG61" i="61"/>
  <c r="AN98" i="61"/>
  <c r="AK212" i="61"/>
  <c r="AK333" i="56"/>
  <c r="AH333" i="56"/>
  <c r="AD333" i="56"/>
  <c r="AP333" i="56"/>
  <c r="AQ148" i="61"/>
  <c r="AI148" i="61"/>
  <c r="AL148" i="61"/>
  <c r="AP148" i="61"/>
  <c r="AO148" i="61"/>
  <c r="AL342" i="56"/>
  <c r="AF342" i="56"/>
  <c r="AN342" i="56"/>
  <c r="AI342" i="56"/>
  <c r="AM342" i="56"/>
  <c r="AN419" i="56"/>
  <c r="AM419" i="56"/>
  <c r="AL419" i="56"/>
  <c r="AI419" i="56"/>
  <c r="AF419" i="56"/>
  <c r="AK461" i="56"/>
  <c r="AH461" i="56"/>
  <c r="AD461" i="56"/>
  <c r="AP461" i="56"/>
  <c r="AQ176" i="61"/>
  <c r="AP176" i="61"/>
  <c r="AL176" i="61"/>
  <c r="AO176" i="61"/>
  <c r="AI176" i="61"/>
  <c r="AQ172" i="61"/>
  <c r="AO172" i="61"/>
  <c r="AP172" i="61"/>
  <c r="AL172" i="61"/>
  <c r="AI172" i="61"/>
  <c r="AQ363" i="61"/>
  <c r="AL363" i="61"/>
  <c r="AO363" i="61"/>
  <c r="AP363" i="61"/>
  <c r="AI363" i="61"/>
  <c r="AD305" i="56"/>
  <c r="AK305" i="56"/>
  <c r="AH305" i="56"/>
  <c r="AP305" i="56"/>
  <c r="AK17" i="56"/>
  <c r="AJ17" i="56" s="1"/>
  <c r="AK36" i="56"/>
  <c r="AJ36" i="56" s="1"/>
  <c r="AH125" i="56"/>
  <c r="AG125" i="56" s="1"/>
  <c r="AH100" i="56"/>
  <c r="AL140" i="56"/>
  <c r="AH187" i="56"/>
  <c r="AP231" i="56"/>
  <c r="AN72" i="61"/>
  <c r="AM72" i="61" s="1"/>
  <c r="AN61" i="61"/>
  <c r="AM61" i="61" s="1"/>
  <c r="AK435" i="61"/>
  <c r="AK98" i="61"/>
  <c r="AN212" i="61"/>
  <c r="AK275" i="61"/>
  <c r="AK255" i="61"/>
  <c r="AO357" i="61"/>
  <c r="AS455" i="61"/>
  <c r="AK439" i="56"/>
  <c r="AH439" i="56"/>
  <c r="AD439" i="56"/>
  <c r="AP439" i="56"/>
  <c r="AK467" i="56"/>
  <c r="AH467" i="56"/>
  <c r="AD467" i="56"/>
  <c r="AP467" i="56"/>
  <c r="AK363" i="56"/>
  <c r="AH363" i="56"/>
  <c r="AD363" i="56"/>
  <c r="AP363" i="56"/>
  <c r="AH434" i="56"/>
  <c r="AK434" i="56"/>
  <c r="AD434" i="56"/>
  <c r="AP434" i="56"/>
  <c r="AH320" i="56"/>
  <c r="AD320" i="56"/>
  <c r="AK320" i="56"/>
  <c r="AP320" i="56"/>
  <c r="AH386" i="56"/>
  <c r="AK386" i="56"/>
  <c r="AD386" i="56"/>
  <c r="AP386" i="56"/>
  <c r="AK382" i="56"/>
  <c r="AD382" i="56"/>
  <c r="AH382" i="56"/>
  <c r="AP382" i="56"/>
  <c r="AH464" i="56"/>
  <c r="AD464" i="56"/>
  <c r="AK464" i="56"/>
  <c r="AP464" i="56"/>
  <c r="AP505" i="61"/>
  <c r="AO505" i="61"/>
  <c r="AQ505" i="61"/>
  <c r="AL505" i="61"/>
  <c r="AI505" i="61"/>
  <c r="AN423" i="56"/>
  <c r="AF423" i="56"/>
  <c r="AL423" i="56"/>
  <c r="AM423" i="56"/>
  <c r="AI423" i="56"/>
  <c r="AL367" i="61"/>
  <c r="AP367" i="61"/>
  <c r="AQ367" i="61"/>
  <c r="AI367" i="61"/>
  <c r="AO367" i="61"/>
  <c r="AO467" i="61"/>
  <c r="AQ467" i="61"/>
  <c r="AI467" i="61"/>
  <c r="AL467" i="61"/>
  <c r="AP467" i="61"/>
  <c r="AL372" i="61"/>
  <c r="AQ372" i="61"/>
  <c r="AP372" i="61"/>
  <c r="AO372" i="61"/>
  <c r="AI372" i="61"/>
  <c r="AD265" i="56"/>
  <c r="AH265" i="56"/>
  <c r="AK265" i="56"/>
  <c r="AP265" i="56"/>
  <c r="AL419" i="61"/>
  <c r="AQ419" i="61"/>
  <c r="AP419" i="61"/>
  <c r="AO419" i="61"/>
  <c r="AI419" i="61"/>
  <c r="AD36" i="56"/>
  <c r="AH17" i="56"/>
  <c r="AG17" i="56" s="1"/>
  <c r="AH25" i="56"/>
  <c r="AG25" i="56" s="1"/>
  <c r="AN17" i="56"/>
  <c r="AD44" i="56"/>
  <c r="AD79" i="56"/>
  <c r="AH36" i="56"/>
  <c r="AG36" i="56" s="1"/>
  <c r="AD17" i="56"/>
  <c r="AD25" i="56"/>
  <c r="AH94" i="56"/>
  <c r="AG94" i="56" s="1"/>
  <c r="AH153" i="56"/>
  <c r="AN230" i="56"/>
  <c r="AD191" i="56"/>
  <c r="AD206" i="56"/>
  <c r="AD165" i="56"/>
  <c r="AP197" i="56"/>
  <c r="AK187" i="56"/>
  <c r="AJ187" i="56" s="1"/>
  <c r="AK26" i="61"/>
  <c r="AJ26" i="61" s="1"/>
  <c r="AN56" i="61"/>
  <c r="AM56" i="61" s="1"/>
  <c r="AK57" i="61"/>
  <c r="AJ57" i="61" s="1"/>
  <c r="AK61" i="61"/>
  <c r="AJ61" i="61" s="1"/>
  <c r="AG24" i="61"/>
  <c r="AN85" i="61"/>
  <c r="AN435" i="61"/>
  <c r="AK512" i="61"/>
  <c r="AG98" i="61"/>
  <c r="AG212" i="61"/>
  <c r="AG275" i="61"/>
  <c r="AN255" i="61"/>
  <c r="AK343" i="56"/>
  <c r="AH343" i="56"/>
  <c r="AD343" i="56"/>
  <c r="AP343" i="56"/>
  <c r="AM495" i="56"/>
  <c r="AL495" i="56"/>
  <c r="AI495" i="56"/>
  <c r="AF495" i="56"/>
  <c r="AN495" i="56"/>
  <c r="AK374" i="56"/>
  <c r="AH374" i="56"/>
  <c r="AD374" i="56"/>
  <c r="AP374" i="56"/>
  <c r="AI264" i="56"/>
  <c r="AF264" i="56"/>
  <c r="AM264" i="56"/>
  <c r="AN264" i="56"/>
  <c r="AL264" i="56"/>
  <c r="AK291" i="56"/>
  <c r="AH291" i="56"/>
  <c r="AD291" i="56"/>
  <c r="AP291" i="56"/>
  <c r="AK269" i="56"/>
  <c r="AH269" i="56"/>
  <c r="AD269" i="56"/>
  <c r="AP269" i="56"/>
  <c r="AK441" i="56"/>
  <c r="AH441" i="56"/>
  <c r="AD441" i="56"/>
  <c r="AP441" i="56"/>
  <c r="AQ53" i="61"/>
  <c r="AL53" i="61"/>
  <c r="AP53" i="61"/>
  <c r="AO53" i="61"/>
  <c r="AL48" i="61"/>
  <c r="AP48" i="61"/>
  <c r="AQ352" i="61"/>
  <c r="AI352" i="61"/>
  <c r="AL352" i="61"/>
  <c r="AP352" i="61"/>
  <c r="AO352" i="61"/>
  <c r="AP510" i="61"/>
  <c r="AL510" i="61"/>
  <c r="AO510" i="61"/>
  <c r="AQ510" i="61"/>
  <c r="AI510" i="61"/>
  <c r="AH274" i="56"/>
  <c r="AD274" i="56"/>
  <c r="AK274" i="56"/>
  <c r="AP274" i="56"/>
  <c r="AG513" i="61"/>
  <c r="AN513" i="61"/>
  <c r="AK513" i="61"/>
  <c r="AS513" i="61"/>
  <c r="AG450" i="61"/>
  <c r="AN450" i="61"/>
  <c r="AK450" i="61"/>
  <c r="AS450" i="61"/>
  <c r="AG464" i="61"/>
  <c r="AN464" i="61"/>
  <c r="AK464" i="61"/>
  <c r="AS464" i="61"/>
  <c r="AG507" i="61"/>
  <c r="AN507" i="61"/>
  <c r="AK507" i="61"/>
  <c r="AS507" i="61"/>
  <c r="AG470" i="61"/>
  <c r="AN470" i="61"/>
  <c r="AK470" i="61"/>
  <c r="AS470" i="61"/>
  <c r="AG462" i="61"/>
  <c r="AN462" i="61"/>
  <c r="AK462" i="61"/>
  <c r="AS462" i="61"/>
  <c r="AL45" i="61"/>
  <c r="AQ45" i="61"/>
  <c r="AP45" i="61"/>
  <c r="AI45" i="61"/>
  <c r="AO45" i="61"/>
  <c r="AO64" i="61"/>
  <c r="AP64" i="61"/>
  <c r="AI64" i="61"/>
  <c r="AQ64" i="61"/>
  <c r="AL64" i="61"/>
  <c r="AL38" i="56"/>
  <c r="AI38" i="56"/>
  <c r="AI58" i="56"/>
  <c r="AL58" i="56"/>
  <c r="AL137" i="56"/>
  <c r="AF137" i="56"/>
  <c r="AM137" i="56"/>
  <c r="AN137" i="56"/>
  <c r="AI137" i="56"/>
  <c r="AF19" i="56"/>
  <c r="AM19" i="56"/>
  <c r="AH97" i="56"/>
  <c r="AG97" i="56" s="1"/>
  <c r="AK26" i="56"/>
  <c r="AJ26" i="56" s="1"/>
  <c r="AN38" i="56"/>
  <c r="AN19" i="56"/>
  <c r="AI93" i="56"/>
  <c r="AL93" i="56"/>
  <c r="AH26" i="56"/>
  <c r="AG26" i="56" s="1"/>
  <c r="AM38" i="56"/>
  <c r="AM58" i="56"/>
  <c r="AM111" i="56"/>
  <c r="AI19" i="56"/>
  <c r="AN69" i="56"/>
  <c r="AM69" i="56"/>
  <c r="AF69" i="56"/>
  <c r="AI69" i="56"/>
  <c r="AL69" i="56"/>
  <c r="AN99" i="56"/>
  <c r="AM99" i="56"/>
  <c r="AD97" i="56"/>
  <c r="AD26" i="56"/>
  <c r="AF58" i="56"/>
  <c r="AF140" i="56"/>
  <c r="AN111" i="56"/>
  <c r="AL17" i="56"/>
  <c r="AI23" i="56"/>
  <c r="AL23" i="56"/>
  <c r="AM23" i="56"/>
  <c r="AN23" i="56"/>
  <c r="AF45" i="56"/>
  <c r="AN45" i="56"/>
  <c r="AI45" i="56"/>
  <c r="AI29" i="56"/>
  <c r="AN29" i="56"/>
  <c r="AL45" i="56"/>
  <c r="AM29" i="56"/>
  <c r="AF23" i="56"/>
  <c r="AL27" i="56"/>
  <c r="AM27" i="56"/>
  <c r="AN27" i="56"/>
  <c r="AF27" i="56"/>
  <c r="AI27" i="56"/>
  <c r="AL48" i="56"/>
  <c r="AI48" i="56"/>
  <c r="AM48" i="56"/>
  <c r="AN48" i="56"/>
  <c r="AF48" i="56"/>
  <c r="AL29" i="56"/>
  <c r="R21" i="58"/>
  <c r="E21" i="63"/>
  <c r="V21" i="63" s="1"/>
  <c r="AF65" i="56"/>
  <c r="AL65" i="56"/>
  <c r="AI65" i="56"/>
  <c r="AM65" i="56"/>
  <c r="AN65" i="56"/>
  <c r="T38" i="64"/>
  <c r="K44" i="64"/>
  <c r="R56" i="64"/>
  <c r="F44" i="64"/>
  <c r="B34" i="64"/>
  <c r="G56" i="64"/>
  <c r="B50" i="64"/>
  <c r="D36" i="64"/>
  <c r="S41" i="64"/>
  <c r="U35" i="64"/>
  <c r="P58" i="64"/>
  <c r="O60" i="64"/>
  <c r="D37" i="64"/>
  <c r="I35" i="64"/>
  <c r="M34" i="64"/>
  <c r="Q54" i="64"/>
  <c r="K49" i="64"/>
  <c r="D46" i="64"/>
  <c r="T62" i="64"/>
  <c r="J42" i="64"/>
  <c r="S38" i="64"/>
  <c r="C58" i="64"/>
  <c r="M54" i="64"/>
  <c r="B40" i="64"/>
  <c r="P36" i="64"/>
  <c r="M42" i="64"/>
  <c r="S52" i="64"/>
  <c r="F57" i="64"/>
  <c r="V36" i="64"/>
  <c r="O54" i="64"/>
  <c r="M57" i="64"/>
  <c r="S39" i="64"/>
  <c r="U42" i="64"/>
  <c r="U56" i="64"/>
  <c r="P55" i="64"/>
  <c r="Q50" i="64"/>
  <c r="B48" i="64"/>
  <c r="H62" i="64"/>
  <c r="I44" i="64"/>
  <c r="U52" i="64"/>
  <c r="C39" i="64"/>
  <c r="B43" i="64"/>
  <c r="P49" i="64"/>
  <c r="K47" i="64"/>
  <c r="O40" i="64"/>
  <c r="G51" i="64"/>
  <c r="T39" i="64"/>
  <c r="O48" i="64"/>
  <c r="R59" i="64"/>
  <c r="K56" i="64"/>
  <c r="N35" i="64"/>
  <c r="U55" i="64"/>
  <c r="K39" i="64"/>
  <c r="J52" i="64"/>
  <c r="E39" i="64"/>
  <c r="O36" i="64"/>
  <c r="U60" i="64"/>
  <c r="Q58" i="64"/>
  <c r="D35" i="64"/>
  <c r="E57" i="64"/>
  <c r="V60" i="64"/>
  <c r="S45" i="64"/>
  <c r="M46" i="64"/>
  <c r="T59" i="64"/>
  <c r="M36" i="64"/>
  <c r="L35" i="64"/>
  <c r="U36" i="64"/>
  <c r="C45" i="64"/>
  <c r="K60" i="64"/>
  <c r="D50" i="64"/>
  <c r="V37" i="64"/>
  <c r="H51" i="64"/>
  <c r="B41" i="64"/>
  <c r="P63" i="64"/>
  <c r="O34" i="64"/>
  <c r="V41" i="64"/>
  <c r="Q37" i="64"/>
  <c r="K41" i="64"/>
  <c r="P57" i="64"/>
  <c r="C60" i="64"/>
  <c r="N54" i="64"/>
  <c r="C54" i="64"/>
  <c r="K38" i="64"/>
  <c r="G54" i="64"/>
  <c r="O58" i="64"/>
  <c r="C41" i="64"/>
  <c r="M39" i="64"/>
  <c r="B57" i="64"/>
  <c r="C59" i="64"/>
  <c r="Q52" i="64"/>
  <c r="U62" i="64"/>
  <c r="E55" i="64"/>
  <c r="Q59" i="64"/>
  <c r="N41" i="64"/>
  <c r="R35" i="64"/>
  <c r="L61" i="64"/>
  <c r="I48" i="64"/>
  <c r="U43" i="64"/>
  <c r="L55" i="64"/>
  <c r="I52" i="64"/>
  <c r="S42" i="64"/>
  <c r="U51" i="64"/>
  <c r="K35" i="64"/>
  <c r="H57" i="64"/>
  <c r="K51" i="64"/>
  <c r="L46" i="64"/>
  <c r="B39" i="64"/>
  <c r="E35" i="64"/>
  <c r="V56" i="64"/>
  <c r="N60" i="64"/>
  <c r="S36" i="64"/>
  <c r="U39" i="64"/>
  <c r="Q41" i="64"/>
  <c r="P34" i="64"/>
  <c r="D41" i="64"/>
  <c r="R60" i="64"/>
  <c r="D56" i="64"/>
  <c r="K45" i="64"/>
  <c r="L59" i="64"/>
  <c r="J57" i="64"/>
  <c r="U40" i="64"/>
  <c r="I54" i="64"/>
  <c r="K40" i="64"/>
  <c r="R44" i="64"/>
  <c r="Q60" i="64"/>
  <c r="C62" i="64"/>
  <c r="J62" i="64"/>
  <c r="P44" i="64"/>
  <c r="N56" i="64"/>
  <c r="K63" i="64"/>
  <c r="O57" i="64"/>
  <c r="O42" i="64"/>
  <c r="N57" i="64"/>
  <c r="F51" i="64"/>
  <c r="D39" i="64"/>
  <c r="J55" i="64"/>
  <c r="V35" i="64"/>
  <c r="M58" i="64"/>
  <c r="C52" i="64"/>
  <c r="C43" i="64"/>
  <c r="M50" i="64"/>
  <c r="M38" i="64"/>
  <c r="R46" i="64"/>
  <c r="N50" i="64"/>
  <c r="E49" i="64"/>
  <c r="M47" i="64"/>
  <c r="V63" i="64"/>
  <c r="G47" i="64"/>
  <c r="M56" i="64"/>
  <c r="G53" i="64"/>
  <c r="C42" i="64"/>
  <c r="H61" i="64"/>
  <c r="V42" i="64"/>
  <c r="G52" i="64"/>
  <c r="G49" i="64"/>
  <c r="J49" i="64"/>
  <c r="E47" i="64"/>
  <c r="T42" i="64"/>
  <c r="J61" i="64"/>
  <c r="D62" i="64"/>
  <c r="G63" i="64"/>
  <c r="B51" i="64"/>
  <c r="T44" i="64"/>
  <c r="E41" i="64"/>
  <c r="K43" i="64"/>
  <c r="D47" i="64"/>
  <c r="G39" i="64"/>
  <c r="Q45" i="64"/>
  <c r="R38" i="64"/>
  <c r="G37" i="64"/>
  <c r="E45" i="64"/>
  <c r="O39" i="64"/>
  <c r="I53" i="64"/>
  <c r="R53" i="64"/>
  <c r="V38" i="64"/>
  <c r="T61" i="64"/>
  <c r="S34" i="64"/>
  <c r="N40" i="64"/>
  <c r="N47" i="64"/>
  <c r="S50" i="64"/>
  <c r="E62" i="64"/>
  <c r="V61" i="64"/>
  <c r="P50" i="64"/>
  <c r="H41" i="64"/>
  <c r="D60" i="64"/>
  <c r="D49" i="64"/>
  <c r="G45" i="64"/>
  <c r="I38" i="64"/>
  <c r="R58" i="64"/>
  <c r="P53" i="64"/>
  <c r="D43" i="64"/>
  <c r="J35" i="64"/>
  <c r="H54" i="64"/>
  <c r="C57" i="64"/>
  <c r="H49" i="64"/>
  <c r="F49" i="64"/>
  <c r="L63" i="64"/>
  <c r="R62" i="64"/>
  <c r="O59" i="64"/>
  <c r="H36" i="64"/>
  <c r="T53" i="64"/>
  <c r="E36" i="64"/>
  <c r="B47" i="64"/>
  <c r="H48" i="64"/>
  <c r="C46" i="64"/>
  <c r="J50" i="64"/>
  <c r="Q40" i="64"/>
  <c r="S35" i="64"/>
  <c r="V55" i="64"/>
  <c r="G48" i="64"/>
  <c r="L38" i="64"/>
  <c r="L37" i="64"/>
  <c r="Q35" i="64"/>
  <c r="F39" i="64"/>
  <c r="E48" i="64"/>
  <c r="O56" i="64"/>
  <c r="V40" i="64"/>
  <c r="S54" i="64"/>
  <c r="T48" i="64"/>
  <c r="K37" i="64"/>
  <c r="R40" i="64"/>
  <c r="I60" i="64"/>
  <c r="H59" i="64"/>
  <c r="D38" i="64"/>
  <c r="J41" i="64"/>
  <c r="J37" i="64"/>
  <c r="G35" i="64"/>
  <c r="N55" i="64"/>
  <c r="G58" i="64"/>
  <c r="Q55" i="64"/>
  <c r="L40" i="64"/>
  <c r="K42" i="64"/>
  <c r="S47" i="64"/>
  <c r="N42" i="64"/>
  <c r="R54" i="64"/>
  <c r="F62" i="64"/>
  <c r="U59" i="64"/>
  <c r="N44" i="64"/>
  <c r="M48" i="64"/>
  <c r="N39" i="64"/>
  <c r="G46" i="64"/>
  <c r="H47" i="64"/>
  <c r="L58" i="64"/>
  <c r="U63" i="64"/>
  <c r="L45" i="64"/>
  <c r="H37" i="64"/>
  <c r="D61" i="64"/>
  <c r="L39" i="64"/>
  <c r="T51" i="64"/>
  <c r="R55" i="64"/>
  <c r="C40" i="64"/>
  <c r="S61" i="64"/>
  <c r="U38" i="64"/>
  <c r="I59" i="64"/>
  <c r="B49" i="64"/>
  <c r="K54" i="64"/>
  <c r="Q34" i="64"/>
  <c r="J47" i="64"/>
  <c r="K46" i="64"/>
  <c r="G42" i="64"/>
  <c r="C35" i="64"/>
  <c r="M61" i="64"/>
  <c r="D40" i="64"/>
  <c r="S58" i="64"/>
  <c r="K52" i="64"/>
  <c r="F37" i="64"/>
  <c r="J48" i="64"/>
  <c r="C36" i="64"/>
  <c r="I34" i="64"/>
  <c r="O44" i="64"/>
  <c r="R63" i="64"/>
  <c r="F60" i="64"/>
  <c r="N45" i="64"/>
  <c r="L54" i="64"/>
  <c r="P47" i="64"/>
  <c r="U47" i="64"/>
  <c r="Q39" i="64"/>
  <c r="G38" i="64"/>
  <c r="G59" i="64"/>
  <c r="O45" i="64"/>
  <c r="V54" i="64"/>
  <c r="N49" i="64"/>
  <c r="F48" i="64"/>
  <c r="P62" i="64"/>
  <c r="T46" i="64"/>
  <c r="V53" i="64"/>
  <c r="E43" i="64"/>
  <c r="T58" i="64"/>
  <c r="T54" i="64"/>
  <c r="I41" i="64"/>
  <c r="T52" i="64"/>
  <c r="R42" i="64"/>
  <c r="H43" i="64"/>
  <c r="G57" i="64"/>
  <c r="M35" i="64"/>
  <c r="L47" i="64"/>
  <c r="R43" i="64"/>
  <c r="E53" i="64"/>
  <c r="V49" i="64"/>
  <c r="C55" i="64"/>
  <c r="N37" i="64"/>
  <c r="R52" i="64"/>
  <c r="B60" i="64"/>
  <c r="D48" i="64"/>
  <c r="F58" i="64"/>
  <c r="O46" i="64"/>
  <c r="P43" i="64"/>
  <c r="K50" i="64"/>
  <c r="K36" i="64"/>
  <c r="T60" i="64"/>
  <c r="I63" i="64"/>
  <c r="D51" i="64"/>
  <c r="O52" i="64"/>
  <c r="D52" i="64"/>
  <c r="I49" i="64"/>
  <c r="T40" i="64"/>
  <c r="U54" i="64"/>
  <c r="H52" i="64"/>
  <c r="M41" i="64"/>
  <c r="N51" i="64"/>
  <c r="P35" i="64"/>
  <c r="V58" i="64"/>
  <c r="Q62" i="64"/>
  <c r="F38" i="64"/>
  <c r="H55" i="64"/>
  <c r="S55" i="64"/>
  <c r="M53" i="64"/>
  <c r="T36" i="64"/>
  <c r="F56" i="64"/>
  <c r="N62" i="64"/>
  <c r="P40" i="64"/>
  <c r="P45" i="64"/>
  <c r="R48" i="64"/>
  <c r="Q36" i="64"/>
  <c r="U37" i="64"/>
  <c r="S62" i="64"/>
  <c r="P37" i="64"/>
  <c r="L41" i="64"/>
  <c r="B54" i="64"/>
  <c r="C61" i="64"/>
  <c r="F50" i="64"/>
  <c r="U45" i="64"/>
  <c r="S57" i="64"/>
  <c r="N63" i="64"/>
  <c r="D59" i="64"/>
  <c r="V47" i="64"/>
  <c r="P54" i="64"/>
  <c r="K34" i="64"/>
  <c r="M44" i="64"/>
  <c r="S51" i="64"/>
  <c r="I40" i="64"/>
  <c r="T49" i="64"/>
  <c r="C34" i="64"/>
  <c r="F45" i="64"/>
  <c r="I50" i="64"/>
  <c r="T41" i="64"/>
  <c r="F42" i="64"/>
  <c r="C47" i="64"/>
  <c r="T47" i="64"/>
  <c r="F41" i="64"/>
  <c r="K55" i="64"/>
  <c r="H45" i="64"/>
  <c r="I51" i="64"/>
  <c r="G36" i="64"/>
  <c r="L50" i="64"/>
  <c r="L43" i="64"/>
  <c r="S63" i="64"/>
  <c r="C38" i="64"/>
  <c r="M62" i="64"/>
  <c r="D55" i="64"/>
  <c r="V45" i="64"/>
  <c r="H53" i="64"/>
  <c r="E42" i="64"/>
  <c r="T57" i="64"/>
  <c r="R41" i="64"/>
  <c r="F47" i="64"/>
  <c r="H58" i="64"/>
  <c r="F53" i="64"/>
  <c r="P52" i="64"/>
  <c r="E51" i="64"/>
  <c r="D42" i="64"/>
  <c r="V34" i="64"/>
  <c r="N52" i="64"/>
  <c r="T34" i="64"/>
  <c r="B53" i="64"/>
  <c r="H35" i="64"/>
  <c r="M59" i="64"/>
  <c r="K57" i="64"/>
  <c r="D63" i="64"/>
  <c r="J36" i="64"/>
  <c r="J34" i="64"/>
  <c r="R57" i="64"/>
  <c r="I37" i="64"/>
  <c r="P61" i="64"/>
  <c r="O41" i="64"/>
  <c r="H56" i="64"/>
  <c r="M63" i="64"/>
  <c r="O47" i="64"/>
  <c r="Q47" i="64"/>
  <c r="S43" i="64"/>
  <c r="Q53" i="64"/>
  <c r="U46" i="64"/>
  <c r="O35" i="64"/>
  <c r="O53" i="64"/>
  <c r="L53" i="64"/>
  <c r="Q63" i="64"/>
  <c r="O37" i="64"/>
  <c r="E58" i="64"/>
  <c r="F61" i="64"/>
  <c r="M49" i="64"/>
  <c r="L56" i="64"/>
  <c r="E60" i="64"/>
  <c r="V48" i="64"/>
  <c r="B44" i="64"/>
  <c r="J58" i="64"/>
  <c r="D57" i="64"/>
  <c r="B58" i="64"/>
  <c r="V46" i="64"/>
  <c r="V59" i="64"/>
  <c r="D54" i="64"/>
  <c r="G44" i="64"/>
  <c r="D45" i="64"/>
  <c r="M37" i="64"/>
  <c r="E50" i="64"/>
  <c r="V39" i="64"/>
  <c r="S59" i="64"/>
  <c r="I55" i="64"/>
  <c r="E40" i="64"/>
  <c r="U48" i="64"/>
  <c r="M60" i="64"/>
  <c r="U34" i="64"/>
  <c r="R47" i="64"/>
  <c r="I46" i="64"/>
  <c r="S46" i="64"/>
  <c r="V52" i="64"/>
  <c r="E46" i="64"/>
  <c r="F59" i="64"/>
  <c r="I61" i="64"/>
  <c r="T43" i="64"/>
  <c r="R39" i="64"/>
  <c r="P59" i="64"/>
  <c r="V51" i="64"/>
  <c r="V50" i="64"/>
  <c r="E44" i="64"/>
  <c r="O38" i="64"/>
  <c r="E56" i="64"/>
  <c r="B63" i="64"/>
  <c r="P39" i="64"/>
  <c r="H50" i="64"/>
  <c r="C53" i="64"/>
  <c r="C51" i="64"/>
  <c r="N46" i="64"/>
  <c r="I42" i="64"/>
  <c r="M45" i="64"/>
  <c r="Q43" i="64"/>
  <c r="U41" i="64"/>
  <c r="Q44" i="64"/>
  <c r="Q61" i="64"/>
  <c r="C37" i="64"/>
  <c r="K48" i="64"/>
  <c r="F46" i="64"/>
  <c r="H42" i="64"/>
  <c r="B61" i="64"/>
  <c r="B36" i="64"/>
  <c r="R49" i="64"/>
  <c r="G50" i="64"/>
  <c r="L36" i="64"/>
  <c r="L51" i="64"/>
  <c r="K62" i="64"/>
  <c r="J38" i="64"/>
  <c r="O50" i="64"/>
  <c r="U58" i="64"/>
  <c r="O43" i="64"/>
  <c r="B46" i="64"/>
  <c r="H38" i="64"/>
  <c r="P51" i="64"/>
  <c r="N43" i="64"/>
  <c r="S44" i="64"/>
  <c r="B45" i="64"/>
  <c r="L44" i="64"/>
  <c r="J59" i="64"/>
  <c r="J54" i="64"/>
  <c r="M51" i="64"/>
  <c r="T50" i="64"/>
  <c r="B38" i="64"/>
  <c r="S40" i="64"/>
  <c r="C56" i="64"/>
  <c r="F63" i="64"/>
  <c r="D44" i="64"/>
  <c r="H60" i="64"/>
  <c r="E54" i="64"/>
  <c r="S48" i="64"/>
  <c r="R34" i="64"/>
  <c r="J45" i="64"/>
  <c r="P41" i="64"/>
  <c r="K59" i="64"/>
  <c r="Q56" i="64"/>
  <c r="N58" i="64"/>
  <c r="I56" i="64"/>
  <c r="L42" i="64"/>
  <c r="O49" i="64"/>
  <c r="R45" i="64"/>
  <c r="J40" i="64"/>
  <c r="T35" i="64"/>
  <c r="H44" i="64"/>
  <c r="O63" i="64"/>
  <c r="O55" i="64"/>
  <c r="H34" i="64"/>
  <c r="K58" i="64"/>
  <c r="B52" i="64"/>
  <c r="G62" i="64"/>
  <c r="G61" i="64"/>
  <c r="L49" i="64"/>
  <c r="U50" i="64"/>
  <c r="G40" i="64"/>
  <c r="T45" i="64"/>
  <c r="H40" i="64"/>
  <c r="T55" i="64"/>
  <c r="D34" i="64"/>
  <c r="T37" i="64"/>
  <c r="P38" i="64"/>
  <c r="S53" i="64"/>
  <c r="Q48" i="64"/>
  <c r="R37" i="64"/>
  <c r="R36" i="64"/>
  <c r="R51" i="64"/>
  <c r="C49" i="64"/>
  <c r="L34" i="64"/>
  <c r="Q42" i="64"/>
  <c r="Q38" i="64"/>
  <c r="N53" i="64"/>
  <c r="H46" i="64"/>
  <c r="E52" i="64"/>
  <c r="I45" i="64"/>
  <c r="F34" i="64"/>
  <c r="F54" i="64"/>
  <c r="L60" i="64"/>
  <c r="B35" i="64"/>
  <c r="Q46" i="64"/>
  <c r="P42" i="64"/>
  <c r="P48" i="64"/>
  <c r="N61" i="64"/>
  <c r="B56" i="64"/>
  <c r="O61" i="64"/>
  <c r="U44" i="64"/>
  <c r="U49" i="64"/>
  <c r="S49" i="64"/>
  <c r="I43" i="64"/>
  <c r="E61" i="64"/>
  <c r="G41" i="64"/>
  <c r="F40" i="64"/>
  <c r="B62" i="64"/>
  <c r="J56" i="64"/>
  <c r="T63" i="64"/>
  <c r="C50" i="64"/>
  <c r="J63" i="64"/>
  <c r="I36" i="64"/>
  <c r="E59" i="64"/>
  <c r="J44" i="64"/>
  <c r="S37" i="64"/>
  <c r="V43" i="64"/>
  <c r="J51" i="64"/>
  <c r="T56" i="64"/>
  <c r="N59" i="64"/>
  <c r="O62" i="64"/>
  <c r="E34" i="64"/>
  <c r="V44" i="64"/>
  <c r="M55" i="64"/>
  <c r="N36" i="64"/>
  <c r="Q57" i="64"/>
  <c r="P46" i="64"/>
  <c r="G34" i="64"/>
  <c r="O51" i="64"/>
  <c r="U61" i="64"/>
  <c r="R61" i="64"/>
  <c r="D53" i="64"/>
  <c r="F52" i="64"/>
  <c r="B37" i="64"/>
  <c r="I39" i="64"/>
  <c r="F43" i="64"/>
  <c r="Q49" i="64"/>
  <c r="H63" i="64"/>
  <c r="J46" i="64"/>
  <c r="F35" i="64"/>
  <c r="P60" i="64"/>
  <c r="V57" i="64"/>
  <c r="J43" i="64"/>
  <c r="B42" i="64"/>
  <c r="N48" i="64"/>
  <c r="I62" i="64"/>
  <c r="K53" i="64"/>
  <c r="L62" i="64"/>
  <c r="B59" i="64"/>
  <c r="G60" i="64"/>
  <c r="F55" i="64"/>
  <c r="U57" i="64"/>
  <c r="G55" i="64"/>
  <c r="I58" i="64"/>
  <c r="I57" i="64"/>
  <c r="J39" i="64"/>
  <c r="E37" i="64"/>
  <c r="N38" i="64"/>
  <c r="L57" i="64"/>
  <c r="V62" i="64"/>
  <c r="G43" i="64"/>
  <c r="E63" i="64"/>
  <c r="S56" i="64"/>
  <c r="H39" i="64"/>
  <c r="C48" i="64"/>
  <c r="B55" i="64"/>
  <c r="D58" i="64"/>
  <c r="C44" i="64"/>
  <c r="L52" i="64"/>
  <c r="F36" i="64"/>
  <c r="J53" i="64"/>
  <c r="E38" i="64"/>
  <c r="M43" i="64"/>
  <c r="U53" i="64"/>
  <c r="P56" i="64"/>
  <c r="J60" i="64"/>
  <c r="I47" i="64"/>
  <c r="N34" i="64"/>
  <c r="N64" i="64" s="1"/>
  <c r="I20" i="64" s="1"/>
  <c r="C63" i="64"/>
  <c r="Q51" i="64"/>
  <c r="R50" i="64"/>
  <c r="L48" i="64"/>
  <c r="S60" i="64"/>
  <c r="M40" i="64"/>
  <c r="K61" i="64"/>
  <c r="M52" i="64"/>
  <c r="AO59" i="61"/>
  <c r="AL59" i="61"/>
  <c r="AQ59" i="61"/>
  <c r="AP59" i="61"/>
  <c r="AI59" i="61"/>
  <c r="AI16" i="61"/>
  <c r="AO16" i="61"/>
  <c r="AP16" i="61"/>
  <c r="AL16" i="61"/>
  <c r="AQ16" i="61"/>
  <c r="AN19" i="61"/>
  <c r="AM19" i="61" s="1"/>
  <c r="AG19" i="61"/>
  <c r="AK19" i="61"/>
  <c r="AJ19" i="61" s="1"/>
  <c r="AS19" i="61"/>
  <c r="AK33" i="61"/>
  <c r="AJ33" i="61" s="1"/>
  <c r="AN33" i="61"/>
  <c r="AM33" i="61" s="1"/>
  <c r="AG33" i="61"/>
  <c r="AS33" i="61"/>
  <c r="AG28" i="61"/>
  <c r="AK28" i="61"/>
  <c r="AJ28" i="61" s="1"/>
  <c r="AN28" i="61"/>
  <c r="AM28" i="61" s="1"/>
  <c r="AS28" i="61"/>
  <c r="AK37" i="61"/>
  <c r="AJ37" i="61" s="1"/>
  <c r="AN37" i="61"/>
  <c r="AM37" i="61" s="1"/>
  <c r="AG37" i="61"/>
  <c r="AS37" i="61"/>
  <c r="AH230" i="56"/>
  <c r="AG230" i="56" s="1"/>
  <c r="AD230" i="56"/>
  <c r="AP230" i="56"/>
  <c r="AK230" i="56"/>
  <c r="AJ230" i="56" s="1"/>
  <c r="AH134" i="56"/>
  <c r="AG134" i="56" s="1"/>
  <c r="AP134" i="56"/>
  <c r="AK134" i="56"/>
  <c r="AJ134" i="56" s="1"/>
  <c r="AD134" i="56"/>
  <c r="AP73" i="56"/>
  <c r="AH73" i="56"/>
  <c r="AG73" i="56" s="1"/>
  <c r="AD73" i="56"/>
  <c r="AK73" i="56"/>
  <c r="AJ73" i="56" s="1"/>
  <c r="AD197" i="56"/>
  <c r="AH182" i="56"/>
  <c r="AG182" i="56" s="1"/>
  <c r="AD231" i="56"/>
  <c r="AM135" i="56"/>
  <c r="AI135" i="56"/>
  <c r="AF135" i="56"/>
  <c r="AN135" i="56"/>
  <c r="AM214" i="56"/>
  <c r="AN214" i="56"/>
  <c r="AL214" i="56"/>
  <c r="AI214" i="56"/>
  <c r="AI54" i="56"/>
  <c r="AL54" i="56"/>
  <c r="AF54" i="56"/>
  <c r="AH197" i="56"/>
  <c r="AK182" i="56"/>
  <c r="AJ182" i="56" s="1"/>
  <c r="AH231" i="56"/>
  <c r="AF200" i="56"/>
  <c r="AM200" i="56"/>
  <c r="AI200" i="56"/>
  <c r="AL200" i="56"/>
  <c r="AN200" i="56"/>
  <c r="AL213" i="56"/>
  <c r="AN213" i="56"/>
  <c r="AI213" i="56"/>
  <c r="AF213" i="56"/>
  <c r="AN223" i="56"/>
  <c r="AF223" i="56"/>
  <c r="AL223" i="56"/>
  <c r="AI223" i="56"/>
  <c r="AM223" i="56"/>
  <c r="AF214" i="56"/>
  <c r="AI138" i="56"/>
  <c r="AM138" i="56"/>
  <c r="AN138" i="56"/>
  <c r="AF138" i="56"/>
  <c r="AL138" i="56"/>
  <c r="AN157" i="56"/>
  <c r="AI157" i="56"/>
  <c r="AF157" i="56"/>
  <c r="AL157" i="56"/>
  <c r="AM157" i="56"/>
  <c r="AM217" i="56"/>
  <c r="AL217" i="56"/>
  <c r="AI217" i="56"/>
  <c r="AF217" i="56"/>
  <c r="AN217" i="56"/>
  <c r="AL51" i="56"/>
  <c r="AI51" i="56"/>
  <c r="AN51" i="56"/>
  <c r="AM51" i="56"/>
  <c r="AF51" i="56"/>
  <c r="AL73" i="56"/>
  <c r="AI73" i="56"/>
  <c r="AN73" i="56"/>
  <c r="AM73" i="56"/>
  <c r="AI49" i="56"/>
  <c r="AL49" i="56"/>
  <c r="AM49" i="56"/>
  <c r="AF49" i="56"/>
  <c r="AN49" i="56"/>
  <c r="AI124" i="56"/>
  <c r="AM124" i="56"/>
  <c r="AF124" i="56"/>
  <c r="AN124" i="56"/>
  <c r="AL124" i="56"/>
  <c r="AM130" i="56"/>
  <c r="AI130" i="56"/>
  <c r="AN130" i="56"/>
  <c r="AF130" i="56"/>
  <c r="AL134" i="56"/>
  <c r="AN134" i="56"/>
  <c r="AM134" i="56"/>
  <c r="AI134" i="56"/>
  <c r="AN140" i="56"/>
  <c r="AI140" i="56"/>
  <c r="AI212" i="56"/>
  <c r="AF212" i="56"/>
  <c r="AM212" i="56"/>
  <c r="AI211" i="56"/>
  <c r="AF211" i="56"/>
  <c r="AL211" i="56"/>
  <c r="AM211" i="56"/>
  <c r="AN211" i="56"/>
  <c r="AN104" i="56"/>
  <c r="AL104" i="56"/>
  <c r="AI104" i="56"/>
  <c r="AF104" i="56"/>
  <c r="AM104" i="56"/>
  <c r="AM201" i="56"/>
  <c r="AN201" i="56"/>
  <c r="AI230" i="56"/>
  <c r="AL230" i="56"/>
  <c r="AM230" i="56"/>
  <c r="AK222" i="56"/>
  <c r="AJ222" i="56" s="1"/>
  <c r="AH222" i="56"/>
  <c r="AG222" i="56" s="1"/>
  <c r="AD222" i="56"/>
  <c r="AP222" i="56"/>
  <c r="S59" i="59"/>
  <c r="AK154" i="56"/>
  <c r="AJ154" i="56" s="1"/>
  <c r="AK198" i="56"/>
  <c r="AJ198" i="56" s="1"/>
  <c r="AH198" i="56"/>
  <c r="AG198" i="56" s="1"/>
  <c r="AD198" i="56"/>
  <c r="AP198" i="56"/>
  <c r="AK169" i="56"/>
  <c r="AJ169" i="56" s="1"/>
  <c r="AH169" i="56"/>
  <c r="AG169" i="56" s="1"/>
  <c r="AD169" i="56"/>
  <c r="AP169" i="56"/>
  <c r="AK196" i="56"/>
  <c r="AJ196" i="56" s="1"/>
  <c r="AH196" i="56"/>
  <c r="AG196" i="56" s="1"/>
  <c r="AD196" i="56"/>
  <c r="AP196" i="56"/>
  <c r="AN95" i="56"/>
  <c r="AL95" i="56"/>
  <c r="AI95" i="56"/>
  <c r="AF95" i="56"/>
  <c r="AM95" i="56"/>
  <c r="AM238" i="56"/>
  <c r="AF238" i="56"/>
  <c r="AI238" i="56"/>
  <c r="AN238" i="56"/>
  <c r="AL238" i="56"/>
  <c r="AK242" i="56"/>
  <c r="AJ242" i="56" s="1"/>
  <c r="AH242" i="56"/>
  <c r="AG242" i="56" s="1"/>
  <c r="AD242" i="56"/>
  <c r="AP242" i="56"/>
  <c r="AK201" i="56"/>
  <c r="AJ201" i="56" s="1"/>
  <c r="AH201" i="56"/>
  <c r="AG201" i="56" s="1"/>
  <c r="AD201" i="56"/>
  <c r="AP201" i="56"/>
  <c r="AK177" i="56"/>
  <c r="AJ177" i="56" s="1"/>
  <c r="AH177" i="56"/>
  <c r="AG177" i="56" s="1"/>
  <c r="AD177" i="56"/>
  <c r="AP177" i="56"/>
  <c r="AI131" i="56"/>
  <c r="AF131" i="56"/>
  <c r="AL131" i="56"/>
  <c r="AN222" i="56"/>
  <c r="AL222" i="56"/>
  <c r="AI222" i="56"/>
  <c r="AM222" i="56"/>
  <c r="AL59" i="56"/>
  <c r="AM59" i="56"/>
  <c r="AF59" i="56"/>
  <c r="AI59" i="56"/>
  <c r="AN59" i="56"/>
  <c r="AH28" i="56"/>
  <c r="AG28" i="56" s="1"/>
  <c r="AM72" i="56"/>
  <c r="AF72" i="56"/>
  <c r="AI72" i="56"/>
  <c r="AL72" i="56"/>
  <c r="AN72" i="56"/>
  <c r="AN91" i="56"/>
  <c r="AF91" i="56"/>
  <c r="AM91" i="56"/>
  <c r="AI91" i="56"/>
  <c r="AL91" i="56"/>
  <c r="AD28" i="56"/>
  <c r="G60" i="59"/>
  <c r="H56" i="59"/>
  <c r="V41" i="59"/>
  <c r="C39" i="59"/>
  <c r="D48" i="59"/>
  <c r="R49" i="59"/>
  <c r="V61" i="59"/>
  <c r="Q45" i="59"/>
  <c r="D35" i="59"/>
  <c r="B56" i="59"/>
  <c r="O58" i="59"/>
  <c r="P52" i="59"/>
  <c r="I57" i="59"/>
  <c r="N40" i="59"/>
  <c r="J40" i="59"/>
  <c r="E50" i="59"/>
  <c r="B44" i="59"/>
  <c r="R51" i="59"/>
  <c r="U60" i="59"/>
  <c r="C40" i="59"/>
  <c r="H54" i="59"/>
  <c r="O47" i="59"/>
  <c r="G36" i="59"/>
  <c r="S52" i="59"/>
  <c r="I49" i="59"/>
  <c r="E60" i="59"/>
  <c r="J62" i="59"/>
  <c r="T58" i="59"/>
  <c r="G37" i="59"/>
  <c r="B41" i="59"/>
  <c r="S34" i="59"/>
  <c r="J35" i="59"/>
  <c r="R42" i="59"/>
  <c r="B60" i="59"/>
  <c r="R57" i="59"/>
  <c r="S57" i="59"/>
  <c r="I55" i="59"/>
  <c r="R56" i="59"/>
  <c r="G62" i="59"/>
  <c r="M63" i="59"/>
  <c r="M47" i="59"/>
  <c r="I44" i="59"/>
  <c r="J42" i="59"/>
  <c r="C41" i="59"/>
  <c r="G35" i="59"/>
  <c r="R41" i="59"/>
  <c r="C42" i="59"/>
  <c r="Q38" i="59"/>
  <c r="I48" i="59"/>
  <c r="E46" i="59"/>
  <c r="K45" i="59"/>
  <c r="P43" i="59"/>
  <c r="Q58" i="59"/>
  <c r="F62" i="59"/>
  <c r="U56" i="59"/>
  <c r="D54" i="59"/>
  <c r="K59" i="59"/>
  <c r="G48" i="59"/>
  <c r="L36" i="59"/>
  <c r="I37" i="59"/>
  <c r="P42" i="59"/>
  <c r="N41" i="59"/>
  <c r="C34" i="59"/>
  <c r="N37" i="59"/>
  <c r="Q51" i="59"/>
  <c r="L49" i="59"/>
  <c r="M52" i="59"/>
  <c r="C47" i="59"/>
  <c r="D62" i="59"/>
  <c r="D53" i="59"/>
  <c r="S63" i="59"/>
  <c r="U63" i="59"/>
  <c r="U59" i="59"/>
  <c r="M62" i="59"/>
  <c r="H37" i="59"/>
  <c r="J39" i="59"/>
  <c r="O41" i="59"/>
  <c r="M36" i="59"/>
  <c r="U42" i="59"/>
  <c r="K46" i="59"/>
  <c r="G44" i="59"/>
  <c r="U46" i="59"/>
  <c r="Q62" i="59"/>
  <c r="S56" i="59"/>
  <c r="Q63" i="59"/>
  <c r="U51" i="59"/>
  <c r="T60" i="59"/>
  <c r="K55" i="59"/>
  <c r="C52" i="59"/>
  <c r="C55" i="59"/>
  <c r="I56" i="59"/>
  <c r="P59" i="59"/>
  <c r="T52" i="59"/>
  <c r="K42" i="59"/>
  <c r="F46" i="59"/>
  <c r="G43" i="59"/>
  <c r="N50" i="59"/>
  <c r="B43" i="59"/>
  <c r="V59" i="59"/>
  <c r="J47" i="59"/>
  <c r="U45" i="59"/>
  <c r="O63" i="59"/>
  <c r="K60" i="59"/>
  <c r="B51" i="59"/>
  <c r="F44" i="59"/>
  <c r="Q60" i="59"/>
  <c r="N42" i="59"/>
  <c r="L45" i="59"/>
  <c r="I35" i="59"/>
  <c r="H34" i="59"/>
  <c r="N39" i="59"/>
  <c r="E57" i="59"/>
  <c r="N38" i="59"/>
  <c r="V47" i="59"/>
  <c r="R45" i="59"/>
  <c r="C45" i="59"/>
  <c r="H43" i="59"/>
  <c r="I58" i="59"/>
  <c r="P61" i="59"/>
  <c r="S55" i="59"/>
  <c r="O52" i="59"/>
  <c r="G58" i="59"/>
  <c r="E45" i="59"/>
  <c r="V38" i="59"/>
  <c r="C37" i="59"/>
  <c r="L35" i="59"/>
  <c r="L38" i="59"/>
  <c r="B35" i="59"/>
  <c r="C36" i="59"/>
  <c r="I51" i="59"/>
  <c r="D49" i="59"/>
  <c r="S51" i="59"/>
  <c r="P46" i="59"/>
  <c r="Q61" i="59"/>
  <c r="I52" i="59"/>
  <c r="C63" i="59"/>
  <c r="V62" i="59"/>
  <c r="R58" i="59"/>
  <c r="E59" i="59"/>
  <c r="I38" i="59"/>
  <c r="N35" i="59"/>
  <c r="L40" i="59"/>
  <c r="T40" i="59"/>
  <c r="E39" i="59"/>
  <c r="K36" i="59"/>
  <c r="Q54" i="59"/>
  <c r="M55" i="59"/>
  <c r="N55" i="59"/>
  <c r="C50" i="59"/>
  <c r="M51" i="59"/>
  <c r="C59" i="59"/>
  <c r="L51" i="59"/>
  <c r="C62" i="59"/>
  <c r="B52" i="59"/>
  <c r="T57" i="59"/>
  <c r="P39" i="59"/>
  <c r="R34" i="59"/>
  <c r="B39" i="59"/>
  <c r="F40" i="59"/>
  <c r="M42" i="59"/>
  <c r="K49" i="59"/>
  <c r="G50" i="59"/>
  <c r="U49" i="59"/>
  <c r="S44" i="59"/>
  <c r="T62" i="59"/>
  <c r="N48" i="59"/>
  <c r="R59" i="59"/>
  <c r="I47" i="59"/>
  <c r="V63" i="59"/>
  <c r="O61" i="59"/>
  <c r="U58" i="59"/>
  <c r="Q47" i="59"/>
  <c r="G46" i="59"/>
  <c r="D46" i="59"/>
  <c r="Q41" i="59"/>
  <c r="G51" i="59"/>
  <c r="V51" i="59"/>
  <c r="G41" i="59"/>
  <c r="B49" i="59"/>
  <c r="K63" i="59"/>
  <c r="V49" i="59"/>
  <c r="D56" i="59"/>
  <c r="N57" i="59"/>
  <c r="C54" i="59"/>
  <c r="B45" i="59"/>
  <c r="M40" i="59"/>
  <c r="Q40" i="59"/>
  <c r="J37" i="59"/>
  <c r="N43" i="59"/>
  <c r="E43" i="59"/>
  <c r="E38" i="59"/>
  <c r="H45" i="59"/>
  <c r="H55" i="59"/>
  <c r="J57" i="59"/>
  <c r="H35" i="59"/>
  <c r="H38" i="59"/>
  <c r="O43" i="59"/>
  <c r="J60" i="59"/>
  <c r="R53" i="59"/>
  <c r="F45" i="59"/>
  <c r="O56" i="59"/>
  <c r="S43" i="59"/>
  <c r="S42" i="59"/>
  <c r="P38" i="59"/>
  <c r="R55" i="59"/>
  <c r="B63" i="59"/>
  <c r="S58" i="59"/>
  <c r="G52" i="59"/>
  <c r="K44" i="59"/>
  <c r="U55" i="59"/>
  <c r="C49" i="59"/>
  <c r="R38" i="59"/>
  <c r="G42" i="59"/>
  <c r="P45" i="59"/>
  <c r="L37" i="59"/>
  <c r="J63" i="59"/>
  <c r="D61" i="59"/>
  <c r="R61" i="59"/>
  <c r="V60" i="59"/>
  <c r="K57" i="59"/>
  <c r="J48" i="59"/>
  <c r="O36" i="59"/>
  <c r="O60" i="59"/>
  <c r="P54" i="59"/>
  <c r="I62" i="59"/>
  <c r="L56" i="59"/>
  <c r="E53" i="59"/>
  <c r="N53" i="59"/>
  <c r="T54" i="59"/>
  <c r="E62" i="59"/>
  <c r="E40" i="59"/>
  <c r="O53" i="59"/>
  <c r="V34" i="59"/>
  <c r="F48" i="59"/>
  <c r="P58" i="59"/>
  <c r="I36" i="59"/>
  <c r="J36" i="59"/>
  <c r="L39" i="59"/>
  <c r="T34" i="59"/>
  <c r="V50" i="59"/>
  <c r="Q48" i="59"/>
  <c r="K51" i="59"/>
  <c r="H46" i="59"/>
  <c r="I61" i="59"/>
  <c r="O51" i="59"/>
  <c r="K62" i="59"/>
  <c r="B62" i="59"/>
  <c r="H57" i="59"/>
  <c r="Q53" i="59"/>
  <c r="U35" i="59"/>
  <c r="D39" i="59"/>
  <c r="M37" i="59"/>
  <c r="P35" i="59"/>
  <c r="L41" i="59"/>
  <c r="V40" i="59"/>
  <c r="I54" i="59"/>
  <c r="E55" i="59"/>
  <c r="F55" i="59"/>
  <c r="P49" i="59"/>
  <c r="R50" i="59"/>
  <c r="J58" i="59"/>
  <c r="L50" i="59"/>
  <c r="H61" i="59"/>
  <c r="F49" i="59"/>
  <c r="J52" i="59"/>
  <c r="K39" i="59"/>
  <c r="B40" i="59"/>
  <c r="M34" i="59"/>
  <c r="E34" i="59"/>
  <c r="R40" i="59"/>
  <c r="F41" i="59"/>
  <c r="L43" i="59"/>
  <c r="M58" i="59"/>
  <c r="N58" i="59"/>
  <c r="C56" i="59"/>
  <c r="H58" i="59"/>
  <c r="H63" i="59"/>
  <c r="M44" i="59"/>
  <c r="I50" i="59"/>
  <c r="O49" i="59"/>
  <c r="M60" i="59"/>
  <c r="J56" i="59"/>
  <c r="H42" i="59"/>
  <c r="T35" i="59"/>
  <c r="P40" i="59"/>
  <c r="I42" i="59"/>
  <c r="L55" i="59"/>
  <c r="G53" i="59"/>
  <c r="H53" i="59"/>
  <c r="S50" i="59"/>
  <c r="B47" i="59"/>
  <c r="O54" i="59"/>
  <c r="L44" i="59"/>
  <c r="B58" i="59"/>
  <c r="V52" i="59"/>
  <c r="G57" i="59"/>
  <c r="J50" i="59"/>
  <c r="Q50" i="59"/>
  <c r="K47" i="59"/>
  <c r="D37" i="59"/>
  <c r="I63" i="59"/>
  <c r="R46" i="59"/>
  <c r="S60" i="59"/>
  <c r="G38" i="59"/>
  <c r="K58" i="59"/>
  <c r="E44" i="59"/>
  <c r="O55" i="59"/>
  <c r="D44" i="59"/>
  <c r="N51" i="59"/>
  <c r="P47" i="59"/>
  <c r="F56" i="59"/>
  <c r="G40" i="59"/>
  <c r="E42" i="59"/>
  <c r="T37" i="59"/>
  <c r="B59" i="59"/>
  <c r="D52" i="59"/>
  <c r="F35" i="59"/>
  <c r="S48" i="59"/>
  <c r="V57" i="59"/>
  <c r="N56" i="59"/>
  <c r="D40" i="59"/>
  <c r="V37" i="59"/>
  <c r="C46" i="59"/>
  <c r="U44" i="59"/>
  <c r="G63" i="59"/>
  <c r="Q59" i="59"/>
  <c r="O44" i="59"/>
  <c r="O38" i="59"/>
  <c r="K38" i="59"/>
  <c r="D38" i="59"/>
  <c r="F52" i="59"/>
  <c r="J43" i="59"/>
  <c r="R63" i="59"/>
  <c r="L62" i="59"/>
  <c r="V58" i="59"/>
  <c r="T49" i="59"/>
  <c r="C43" i="59"/>
  <c r="H40" i="59"/>
  <c r="R37" i="59"/>
  <c r="E54" i="59"/>
  <c r="J51" i="59"/>
  <c r="E56" i="59"/>
  <c r="U62" i="59"/>
  <c r="T50" i="59"/>
  <c r="V54" i="59"/>
  <c r="C51" i="59"/>
  <c r="O59" i="59"/>
  <c r="E41" i="59"/>
  <c r="T36" i="59"/>
  <c r="M56" i="59"/>
  <c r="D58" i="59"/>
  <c r="J45" i="59"/>
  <c r="P57" i="59"/>
  <c r="M59" i="59"/>
  <c r="P55" i="59"/>
  <c r="N46" i="59"/>
  <c r="S35" i="59"/>
  <c r="O40" i="59"/>
  <c r="B36" i="59"/>
  <c r="L61" i="59"/>
  <c r="S46" i="59"/>
  <c r="G34" i="59"/>
  <c r="T41" i="59"/>
  <c r="D42" i="59"/>
  <c r="T38" i="59"/>
  <c r="V53" i="59"/>
  <c r="R54" i="59"/>
  <c r="S54" i="59"/>
  <c r="H49" i="59"/>
  <c r="B50" i="59"/>
  <c r="O57" i="59"/>
  <c r="N49" i="59"/>
  <c r="I60" i="59"/>
  <c r="O46" i="59"/>
  <c r="T45" i="59"/>
  <c r="B37" i="59"/>
  <c r="V36" i="59"/>
  <c r="U39" i="59"/>
  <c r="I34" i="59"/>
  <c r="R35" i="59"/>
  <c r="O35" i="59"/>
  <c r="D43" i="59"/>
  <c r="E58" i="59"/>
  <c r="F58" i="59"/>
  <c r="Q55" i="59"/>
  <c r="M57" i="59"/>
  <c r="R62" i="59"/>
  <c r="F43" i="59"/>
  <c r="V48" i="59"/>
  <c r="V46" i="59"/>
  <c r="C35" i="59"/>
  <c r="M50" i="59"/>
  <c r="K34" i="59"/>
  <c r="B34" i="59"/>
  <c r="J41" i="59"/>
  <c r="V42" i="59"/>
  <c r="P48" i="59"/>
  <c r="L46" i="59"/>
  <c r="S45" i="59"/>
  <c r="C44" i="59"/>
  <c r="D59" i="59"/>
  <c r="P62" i="59"/>
  <c r="U57" i="59"/>
  <c r="G55" i="59"/>
  <c r="L60" i="59"/>
  <c r="T51" i="59"/>
  <c r="C60" i="59"/>
  <c r="G39" i="59"/>
  <c r="D36" i="59"/>
  <c r="D51" i="59"/>
  <c r="Q39" i="59"/>
  <c r="K43" i="59"/>
  <c r="L58" i="59"/>
  <c r="G56" i="59"/>
  <c r="I59" i="59"/>
  <c r="S53" i="59"/>
  <c r="B53" i="59"/>
  <c r="R43" i="59"/>
  <c r="L53" i="59"/>
  <c r="Q44" i="59"/>
  <c r="H62" i="59"/>
  <c r="B55" i="59"/>
  <c r="J46" i="59"/>
  <c r="D60" i="59"/>
  <c r="M49" i="59"/>
  <c r="E37" i="59"/>
  <c r="T61" i="59"/>
  <c r="T44" i="59"/>
  <c r="C48" i="59"/>
  <c r="U38" i="59"/>
  <c r="G45" i="59"/>
  <c r="D45" i="59"/>
  <c r="C61" i="59"/>
  <c r="M54" i="59"/>
  <c r="N45" i="59"/>
  <c r="B57" i="59"/>
  <c r="F50" i="59"/>
  <c r="P41" i="59"/>
  <c r="P36" i="59"/>
  <c r="E51" i="59"/>
  <c r="K53" i="59"/>
  <c r="F39" i="59"/>
  <c r="O42" i="59"/>
  <c r="S61" i="59"/>
  <c r="V45" i="59"/>
  <c r="N44" i="59"/>
  <c r="O34" i="59"/>
  <c r="K61" i="59"/>
  <c r="O48" i="59"/>
  <c r="J55" i="59"/>
  <c r="F57" i="59"/>
  <c r="P53" i="59"/>
  <c r="T55" i="59"/>
  <c r="K41" i="59"/>
  <c r="M39" i="59"/>
  <c r="U41" i="59"/>
  <c r="R60" i="59"/>
  <c r="B46" i="59"/>
  <c r="T53" i="59"/>
  <c r="K56" i="59"/>
  <c r="U52" i="59"/>
  <c r="T43" i="59"/>
  <c r="F38" i="59"/>
  <c r="I53" i="59"/>
  <c r="O39" i="59"/>
  <c r="C38" i="59"/>
  <c r="B42" i="59"/>
  <c r="T39" i="59"/>
  <c r="I43" i="59"/>
  <c r="F37" i="59"/>
  <c r="N52" i="59"/>
  <c r="D55" i="59"/>
  <c r="T47" i="59"/>
  <c r="D57" i="59"/>
  <c r="E61" i="59"/>
  <c r="P44" i="59"/>
  <c r="M35" i="59"/>
  <c r="U50" i="59"/>
  <c r="H39" i="59"/>
  <c r="B61" i="59"/>
  <c r="U53" i="59"/>
  <c r="L48" i="59"/>
  <c r="L63" i="59"/>
  <c r="B54" i="59"/>
  <c r="F47" i="59"/>
  <c r="N34" i="59"/>
  <c r="D34" i="59"/>
  <c r="H41" i="59"/>
  <c r="Q49" i="59"/>
  <c r="I41" i="59"/>
  <c r="F51" i="59"/>
  <c r="M41" i="59"/>
  <c r="F63" i="59"/>
  <c r="J34" i="59"/>
  <c r="T46" i="59"/>
  <c r="H59" i="59"/>
  <c r="G49" i="59"/>
  <c r="J54" i="59"/>
  <c r="U34" i="59"/>
  <c r="L59" i="59"/>
  <c r="H48" i="59"/>
  <c r="M61" i="59"/>
  <c r="G61" i="59"/>
  <c r="N60" i="59"/>
  <c r="C57" i="59"/>
  <c r="B48" i="59"/>
  <c r="N36" i="59"/>
  <c r="V35" i="59"/>
  <c r="D41" i="59"/>
  <c r="U43" i="59"/>
  <c r="P51" i="59"/>
  <c r="T56" i="59"/>
  <c r="N62" i="59"/>
  <c r="H47" i="59"/>
  <c r="S62" i="59"/>
  <c r="K50" i="59"/>
  <c r="K35" i="59"/>
  <c r="O62" i="59"/>
  <c r="L47" i="59"/>
  <c r="U48" i="59"/>
  <c r="N47" i="59"/>
  <c r="H36" i="59"/>
  <c r="F42" i="59"/>
  <c r="E63" i="59"/>
  <c r="C58" i="59"/>
  <c r="D50" i="59"/>
  <c r="N54" i="59"/>
  <c r="P50" i="59"/>
  <c r="G59" i="59"/>
  <c r="Q35" i="59"/>
  <c r="U37" i="59"/>
  <c r="Q43" i="59"/>
  <c r="V55" i="59"/>
  <c r="K54" i="59"/>
  <c r="L54" i="59"/>
  <c r="S49" i="59"/>
  <c r="J61" i="59"/>
  <c r="M46" i="59"/>
  <c r="J38" i="59"/>
  <c r="P63" i="59"/>
  <c r="U54" i="59"/>
  <c r="T63" i="59"/>
  <c r="F34" i="59"/>
  <c r="S40" i="59"/>
  <c r="V43" i="59"/>
  <c r="O50" i="59"/>
  <c r="H60" i="59"/>
  <c r="P60" i="59"/>
  <c r="M48" i="59"/>
  <c r="H44" i="59"/>
  <c r="F53" i="59"/>
  <c r="S39" i="59"/>
  <c r="K40" i="59"/>
  <c r="S38" i="59"/>
  <c r="F59" i="59"/>
  <c r="AM46" i="56"/>
  <c r="AI46" i="56"/>
  <c r="AF46" i="56"/>
  <c r="AN46" i="56"/>
  <c r="AL46" i="56"/>
  <c r="AF70" i="56"/>
  <c r="AM70" i="56"/>
  <c r="AN70" i="56"/>
  <c r="AI70" i="56"/>
  <c r="AL70" i="56"/>
  <c r="AH149" i="56"/>
  <c r="AG149" i="56" s="1"/>
  <c r="AK149" i="56"/>
  <c r="AJ149" i="56" s="1"/>
  <c r="AD149" i="56"/>
  <c r="AP149" i="56"/>
  <c r="AD53" i="56"/>
  <c r="AH53" i="56"/>
  <c r="AG53" i="56" s="1"/>
  <c r="AK53" i="56"/>
  <c r="AJ53" i="56" s="1"/>
  <c r="AP53" i="56"/>
  <c r="N59" i="59"/>
  <c r="M43" i="59"/>
  <c r="Q37" i="59"/>
  <c r="U40" i="59"/>
  <c r="J49" i="59"/>
  <c r="D47" i="59"/>
  <c r="E49" i="59"/>
  <c r="R36" i="59"/>
  <c r="B38" i="59"/>
  <c r="J44" i="59"/>
  <c r="T48" i="59"/>
  <c r="N61" i="59"/>
  <c r="I45" i="59"/>
  <c r="T42" i="59"/>
  <c r="E47" i="59"/>
  <c r="L57" i="59"/>
  <c r="H52" i="59"/>
  <c r="V56" i="59"/>
  <c r="M38" i="59"/>
  <c r="D63" i="59"/>
  <c r="P56" i="59"/>
  <c r="L42" i="59"/>
  <c r="E36" i="59"/>
  <c r="F54" i="59"/>
  <c r="H50" i="59"/>
  <c r="AH78" i="56"/>
  <c r="AG78" i="56" s="1"/>
  <c r="AK78" i="56"/>
  <c r="AJ78" i="56" s="1"/>
  <c r="AD78" i="56"/>
  <c r="AP78" i="56"/>
  <c r="AK126" i="56"/>
  <c r="AJ126" i="56" s="1"/>
  <c r="AD126" i="56"/>
  <c r="AH126" i="56"/>
  <c r="AG126" i="56" s="1"/>
  <c r="AP126" i="56"/>
  <c r="T59" i="59"/>
  <c r="G47" i="59"/>
  <c r="S36" i="59"/>
  <c r="Q34" i="59"/>
  <c r="Q52" i="59"/>
  <c r="M45" i="59"/>
  <c r="L52" i="59"/>
  <c r="E35" i="59"/>
  <c r="I39" i="59"/>
  <c r="E48" i="59"/>
  <c r="I46" i="59"/>
  <c r="R48" i="59"/>
  <c r="S37" i="59"/>
  <c r="R39" i="59"/>
  <c r="N63" i="59"/>
  <c r="U47" i="59"/>
  <c r="F61" i="59"/>
  <c r="V44" i="59"/>
  <c r="U36" i="59"/>
  <c r="P37" i="59"/>
  <c r="F60" i="59"/>
  <c r="L34" i="59"/>
  <c r="R52" i="59"/>
  <c r="G54" i="59"/>
  <c r="Q56" i="59"/>
  <c r="AH20" i="56"/>
  <c r="AG20" i="56" s="1"/>
  <c r="AK20" i="56"/>
  <c r="AJ20" i="56" s="1"/>
  <c r="AD20" i="56"/>
  <c r="AP20" i="56"/>
  <c r="AH89" i="56"/>
  <c r="AG89" i="56" s="1"/>
  <c r="AK89" i="56"/>
  <c r="AJ89" i="56" s="1"/>
  <c r="AD89" i="56"/>
  <c r="AP89" i="56"/>
  <c r="S47" i="59"/>
  <c r="K52" i="59"/>
  <c r="V39" i="59"/>
  <c r="U61" i="59"/>
  <c r="J59" i="59"/>
  <c r="C53" i="59"/>
  <c r="Q57" i="59"/>
  <c r="M53" i="59"/>
  <c r="K37" i="59"/>
  <c r="H51" i="59"/>
  <c r="R44" i="59"/>
  <c r="E52" i="59"/>
  <c r="Q36" i="59"/>
  <c r="I40" i="59"/>
  <c r="Q46" i="59"/>
  <c r="O45" i="59"/>
  <c r="K48" i="59"/>
  <c r="P34" i="59"/>
  <c r="F36" i="59"/>
  <c r="Q42" i="59"/>
  <c r="R47" i="59"/>
  <c r="O37" i="59"/>
  <c r="S41" i="59"/>
  <c r="J53" i="59"/>
  <c r="O20" i="64"/>
  <c r="H20" i="64"/>
  <c r="AC20" i="64"/>
  <c r="W20" i="64"/>
  <c r="E20" i="64"/>
  <c r="AS419" i="61" l="1"/>
  <c r="AG419" i="61"/>
  <c r="AN419" i="61"/>
  <c r="AK419" i="61"/>
  <c r="AS467" i="61"/>
  <c r="AK467" i="61"/>
  <c r="AG467" i="61"/>
  <c r="AN467" i="61"/>
  <c r="AS176" i="61"/>
  <c r="AG176" i="61"/>
  <c r="AN176" i="61"/>
  <c r="AK176" i="61"/>
  <c r="AK470" i="56"/>
  <c r="AH470" i="56"/>
  <c r="AD470" i="56"/>
  <c r="AP470" i="56"/>
  <c r="AS67" i="61"/>
  <c r="AG67" i="61"/>
  <c r="AN67" i="61"/>
  <c r="AK67" i="61"/>
  <c r="AH378" i="56"/>
  <c r="AD378" i="56"/>
  <c r="AK378" i="56"/>
  <c r="AP378" i="56"/>
  <c r="AS372" i="61"/>
  <c r="AG372" i="61"/>
  <c r="AN372" i="61"/>
  <c r="AK372" i="61"/>
  <c r="AK419" i="56"/>
  <c r="AH419" i="56"/>
  <c r="AD419" i="56"/>
  <c r="AP419" i="56"/>
  <c r="AK342" i="56"/>
  <c r="AH342" i="56"/>
  <c r="AD342" i="56"/>
  <c r="AP342" i="56"/>
  <c r="AG29" i="61"/>
  <c r="AS29" i="61"/>
  <c r="AK29" i="61"/>
  <c r="AJ29" i="61" s="1"/>
  <c r="AN29" i="61"/>
  <c r="AM29" i="61" s="1"/>
  <c r="AS449" i="61"/>
  <c r="AK449" i="61"/>
  <c r="AG449" i="61"/>
  <c r="AN449" i="61"/>
  <c r="AS283" i="61"/>
  <c r="AK283" i="61"/>
  <c r="AG283" i="61"/>
  <c r="AN283" i="61"/>
  <c r="W42" i="64"/>
  <c r="AK270" i="56"/>
  <c r="AH270" i="56"/>
  <c r="AD270" i="56"/>
  <c r="AP270" i="56"/>
  <c r="AS358" i="61"/>
  <c r="AG358" i="61"/>
  <c r="AN358" i="61"/>
  <c r="AK358" i="61"/>
  <c r="AK379" i="56"/>
  <c r="AH379" i="56"/>
  <c r="AD379" i="56"/>
  <c r="AP379" i="56"/>
  <c r="AD495" i="56"/>
  <c r="AK495" i="56"/>
  <c r="AH495" i="56"/>
  <c r="AP495" i="56"/>
  <c r="AK423" i="56"/>
  <c r="AH423" i="56"/>
  <c r="AD423" i="56"/>
  <c r="AP423" i="56"/>
  <c r="AS172" i="61"/>
  <c r="AN172" i="61"/>
  <c r="AG172" i="61"/>
  <c r="AK172" i="61"/>
  <c r="AS496" i="61"/>
  <c r="AK496" i="61"/>
  <c r="AN496" i="61"/>
  <c r="AG496" i="61"/>
  <c r="AK505" i="56"/>
  <c r="AH505" i="56"/>
  <c r="AD505" i="56"/>
  <c r="AP505" i="56"/>
  <c r="AK381" i="56"/>
  <c r="AH381" i="56"/>
  <c r="AD381" i="56"/>
  <c r="AP381" i="56"/>
  <c r="AK246" i="56"/>
  <c r="AH246" i="56"/>
  <c r="AD246" i="56"/>
  <c r="AP246" i="56"/>
  <c r="AP99" i="56"/>
  <c r="AD99" i="56"/>
  <c r="AH99" i="56"/>
  <c r="AG99" i="56" s="1"/>
  <c r="AK99" i="56"/>
  <c r="AJ99" i="56" s="1"/>
  <c r="AK437" i="56"/>
  <c r="AH437" i="56"/>
  <c r="AD437" i="56"/>
  <c r="AP437" i="56"/>
  <c r="AS406" i="61"/>
  <c r="AK406" i="61"/>
  <c r="AN406" i="61"/>
  <c r="AG406" i="61"/>
  <c r="AK389" i="56"/>
  <c r="AH389" i="56"/>
  <c r="AD389" i="56"/>
  <c r="AP389" i="56"/>
  <c r="AH264" i="56"/>
  <c r="AD264" i="56"/>
  <c r="AK264" i="56"/>
  <c r="AP264" i="56"/>
  <c r="AS367" i="61"/>
  <c r="AG367" i="61"/>
  <c r="AN367" i="61"/>
  <c r="AK367" i="61"/>
  <c r="AS81" i="61"/>
  <c r="AG81" i="61"/>
  <c r="AK81" i="61"/>
  <c r="AN81" i="61"/>
  <c r="AG483" i="61"/>
  <c r="AN483" i="61"/>
  <c r="AK483" i="61"/>
  <c r="AS483" i="61"/>
  <c r="AK359" i="56"/>
  <c r="AH359" i="56"/>
  <c r="AD359" i="56"/>
  <c r="AP359" i="56"/>
  <c r="AS510" i="61"/>
  <c r="AK510" i="61"/>
  <c r="AN510" i="61"/>
  <c r="AG510" i="61"/>
  <c r="AS352" i="61"/>
  <c r="AG352" i="61"/>
  <c r="AN352" i="61"/>
  <c r="AK352" i="61"/>
  <c r="AS505" i="61"/>
  <c r="AK505" i="61"/>
  <c r="AN505" i="61"/>
  <c r="AG505" i="61"/>
  <c r="AS471" i="61"/>
  <c r="AN471" i="61"/>
  <c r="AK471" i="61"/>
  <c r="AG471" i="61"/>
  <c r="AK396" i="56"/>
  <c r="AH396" i="56"/>
  <c r="AD396" i="56"/>
  <c r="AP396" i="56"/>
  <c r="AP208" i="56"/>
  <c r="AK208" i="56"/>
  <c r="AJ208" i="56" s="1"/>
  <c r="AH208" i="56"/>
  <c r="AG208" i="56" s="1"/>
  <c r="AD208" i="56"/>
  <c r="AH370" i="56"/>
  <c r="AD370" i="56"/>
  <c r="AK370" i="56"/>
  <c r="AP370" i="56"/>
  <c r="AS357" i="61"/>
  <c r="AG357" i="61"/>
  <c r="AN357" i="61"/>
  <c r="AK357" i="61"/>
  <c r="AS363" i="61"/>
  <c r="AG363" i="61"/>
  <c r="AN363" i="61"/>
  <c r="AK363" i="61"/>
  <c r="AS148" i="61"/>
  <c r="AN148" i="61"/>
  <c r="AG148" i="61"/>
  <c r="AK148" i="61"/>
  <c r="AS76" i="61"/>
  <c r="AG76" i="61"/>
  <c r="AN76" i="61"/>
  <c r="AK76" i="61"/>
  <c r="AP71" i="56"/>
  <c r="AK71" i="56"/>
  <c r="AJ71" i="56" s="1"/>
  <c r="AH71" i="56"/>
  <c r="AG71" i="56" s="1"/>
  <c r="AD71" i="56"/>
  <c r="AS293" i="61"/>
  <c r="AG293" i="61"/>
  <c r="AN293" i="61"/>
  <c r="AK293" i="61"/>
  <c r="Q20" i="64"/>
  <c r="AD20" i="64"/>
  <c r="G20" i="64"/>
  <c r="J20" i="64"/>
  <c r="R20" i="64"/>
  <c r="V20" i="64"/>
  <c r="W55" i="64"/>
  <c r="AN64" i="61"/>
  <c r="AM64" i="61" s="1"/>
  <c r="AS64" i="61"/>
  <c r="AG64" i="61"/>
  <c r="AK64" i="61"/>
  <c r="AJ64" i="61" s="1"/>
  <c r="AS45" i="61"/>
  <c r="AK45" i="61"/>
  <c r="AN45" i="61"/>
  <c r="AM45" i="61" s="1"/>
  <c r="AG45" i="61"/>
  <c r="L20" i="64"/>
  <c r="U20" i="64"/>
  <c r="X20" i="64"/>
  <c r="N20" i="64"/>
  <c r="W59" i="64"/>
  <c r="AP140" i="56"/>
  <c r="AD140" i="56"/>
  <c r="AH140" i="56"/>
  <c r="AG140" i="56" s="1"/>
  <c r="AK140" i="56"/>
  <c r="AP69" i="56"/>
  <c r="AH69" i="56"/>
  <c r="AG69" i="56" s="1"/>
  <c r="AK69" i="56"/>
  <c r="AJ69" i="56" s="1"/>
  <c r="AD69" i="56"/>
  <c r="AP58" i="56"/>
  <c r="AD58" i="56"/>
  <c r="AK58" i="56"/>
  <c r="AJ58" i="56" s="1"/>
  <c r="AH58" i="56"/>
  <c r="AG58" i="56" s="1"/>
  <c r="AP19" i="56"/>
  <c r="AK19" i="56"/>
  <c r="AJ19" i="56" s="1"/>
  <c r="AH19" i="56"/>
  <c r="AG19" i="56" s="1"/>
  <c r="AD19" i="56"/>
  <c r="AP137" i="56"/>
  <c r="AH137" i="56"/>
  <c r="AK137" i="56"/>
  <c r="AD137" i="56"/>
  <c r="AP27" i="56"/>
  <c r="AD27" i="56"/>
  <c r="AK27" i="56"/>
  <c r="AJ27" i="56" s="1"/>
  <c r="AH27" i="56"/>
  <c r="AG27" i="56" s="1"/>
  <c r="AP23" i="56"/>
  <c r="AD23" i="56"/>
  <c r="AK23" i="56"/>
  <c r="AJ23" i="56" s="1"/>
  <c r="AH23" i="56"/>
  <c r="AG23" i="56" s="1"/>
  <c r="AP65" i="56"/>
  <c r="AD65" i="56"/>
  <c r="AH65" i="56"/>
  <c r="AG65" i="56" s="1"/>
  <c r="AK65" i="56"/>
  <c r="AJ65" i="56" s="1"/>
  <c r="AP48" i="56"/>
  <c r="AD48" i="56"/>
  <c r="AH48" i="56"/>
  <c r="AG48" i="56" s="1"/>
  <c r="AK48" i="56"/>
  <c r="AJ48" i="56" s="1"/>
  <c r="AP45" i="56"/>
  <c r="AH45" i="56"/>
  <c r="AG45" i="56" s="1"/>
  <c r="AK45" i="56"/>
  <c r="AJ45" i="56" s="1"/>
  <c r="AD45" i="56"/>
  <c r="AN16" i="61"/>
  <c r="AM16" i="61" s="1"/>
  <c r="AK16" i="61"/>
  <c r="AJ16" i="61" s="1"/>
  <c r="AG16" i="61"/>
  <c r="AS16" i="61"/>
  <c r="AB20" i="64"/>
  <c r="K20" i="64"/>
  <c r="AF20" i="64"/>
  <c r="AE20" i="64"/>
  <c r="M20" i="64"/>
  <c r="AH20" i="64"/>
  <c r="Y20" i="64"/>
  <c r="T20" i="64"/>
  <c r="AN59" i="61"/>
  <c r="AM59" i="61" s="1"/>
  <c r="AG59" i="61"/>
  <c r="AK59" i="61"/>
  <c r="AJ59" i="61" s="1"/>
  <c r="AS59" i="61"/>
  <c r="W49" i="64"/>
  <c r="W56" i="64"/>
  <c r="F64" i="64"/>
  <c r="D64" i="64"/>
  <c r="W61" i="64"/>
  <c r="U64" i="64"/>
  <c r="Q64" i="64"/>
  <c r="O64" i="64"/>
  <c r="J64" i="64"/>
  <c r="W54" i="64"/>
  <c r="W60" i="64"/>
  <c r="W47" i="64"/>
  <c r="W50" i="64"/>
  <c r="W45" i="64"/>
  <c r="W39" i="64"/>
  <c r="W37" i="64"/>
  <c r="E64" i="64"/>
  <c r="W35" i="64"/>
  <c r="W52" i="64"/>
  <c r="W46" i="64"/>
  <c r="W44" i="64"/>
  <c r="V64" i="64"/>
  <c r="W53" i="64"/>
  <c r="W51" i="64"/>
  <c r="P64" i="64"/>
  <c r="P20" i="64"/>
  <c r="F20" i="64"/>
  <c r="S20" i="64"/>
  <c r="Z20" i="64"/>
  <c r="AA20" i="64"/>
  <c r="AG20" i="64"/>
  <c r="C64" i="64"/>
  <c r="R64" i="64"/>
  <c r="W38" i="64"/>
  <c r="W58" i="64"/>
  <c r="W63" i="64"/>
  <c r="I64" i="64"/>
  <c r="S64" i="64"/>
  <c r="W41" i="64"/>
  <c r="W48" i="64"/>
  <c r="W34" i="64"/>
  <c r="B64" i="64"/>
  <c r="M64" i="64"/>
  <c r="G64" i="64"/>
  <c r="W62" i="64"/>
  <c r="L64" i="64"/>
  <c r="H64" i="64"/>
  <c r="W36" i="64"/>
  <c r="W43" i="64"/>
  <c r="T64" i="64"/>
  <c r="K64" i="64"/>
  <c r="W57" i="64"/>
  <c r="W40" i="64"/>
  <c r="AP104" i="56"/>
  <c r="AK104" i="56"/>
  <c r="AJ104" i="56" s="1"/>
  <c r="AD104" i="56"/>
  <c r="AH104" i="56"/>
  <c r="AG104" i="56" s="1"/>
  <c r="AP124" i="56"/>
  <c r="AD124" i="56"/>
  <c r="AH124" i="56"/>
  <c r="AG124" i="56" s="1"/>
  <c r="AK124" i="56"/>
  <c r="AJ124" i="56" s="1"/>
  <c r="AH49" i="56"/>
  <c r="AG49" i="56" s="1"/>
  <c r="AK49" i="56"/>
  <c r="AJ49" i="56" s="1"/>
  <c r="AP49" i="56"/>
  <c r="AD49" i="56"/>
  <c r="AP51" i="56"/>
  <c r="AK51" i="56"/>
  <c r="AJ51" i="56" s="1"/>
  <c r="AH51" i="56"/>
  <c r="AG51" i="56" s="1"/>
  <c r="AD51" i="56"/>
  <c r="AP157" i="56"/>
  <c r="AH157" i="56"/>
  <c r="AD157" i="56"/>
  <c r="AK157" i="56"/>
  <c r="AH138" i="56"/>
  <c r="AG138" i="56" s="1"/>
  <c r="AD138" i="56"/>
  <c r="AK138" i="56"/>
  <c r="AJ138" i="56" s="1"/>
  <c r="AP138" i="56"/>
  <c r="AP214" i="56"/>
  <c r="AH214" i="56"/>
  <c r="AG214" i="56" s="1"/>
  <c r="AD214" i="56"/>
  <c r="AK214" i="56"/>
  <c r="AJ214" i="56" s="1"/>
  <c r="AP223" i="56"/>
  <c r="AD223" i="56"/>
  <c r="AK223" i="56"/>
  <c r="AJ223" i="56" s="1"/>
  <c r="AH223" i="56"/>
  <c r="AG223" i="56" s="1"/>
  <c r="AP212" i="56"/>
  <c r="AK212" i="56"/>
  <c r="AJ212" i="56" s="1"/>
  <c r="AH212" i="56"/>
  <c r="AG212" i="56" s="1"/>
  <c r="AD212" i="56"/>
  <c r="AH130" i="56"/>
  <c r="AG130" i="56" s="1"/>
  <c r="AP130" i="56"/>
  <c r="AK130" i="56"/>
  <c r="AJ130" i="56" s="1"/>
  <c r="AD130" i="56"/>
  <c r="AP217" i="56"/>
  <c r="AK217" i="56"/>
  <c r="AJ217" i="56" s="1"/>
  <c r="AH217" i="56"/>
  <c r="AG217" i="56" s="1"/>
  <c r="AD217" i="56"/>
  <c r="AP213" i="56"/>
  <c r="AK213" i="56"/>
  <c r="AJ213" i="56" s="1"/>
  <c r="AH213" i="56"/>
  <c r="AG213" i="56" s="1"/>
  <c r="AD213" i="56"/>
  <c r="AP200" i="56"/>
  <c r="AK200" i="56"/>
  <c r="AJ200" i="56" s="1"/>
  <c r="AH200" i="56"/>
  <c r="AG200" i="56" s="1"/>
  <c r="AD200" i="56"/>
  <c r="AP54" i="56"/>
  <c r="AH54" i="56"/>
  <c r="AG54" i="56" s="1"/>
  <c r="AK54" i="56"/>
  <c r="AJ54" i="56" s="1"/>
  <c r="AD54" i="56"/>
  <c r="AH135" i="56"/>
  <c r="AG135" i="56" s="1"/>
  <c r="AD135" i="56"/>
  <c r="AP135" i="56"/>
  <c r="AK135" i="56"/>
  <c r="AJ135" i="56" s="1"/>
  <c r="AP211" i="56"/>
  <c r="AD211" i="56"/>
  <c r="AK211" i="56"/>
  <c r="AJ211" i="56" s="1"/>
  <c r="AH211" i="56"/>
  <c r="AG211" i="56" s="1"/>
  <c r="AP131" i="56"/>
  <c r="AH131" i="56"/>
  <c r="AG131" i="56" s="1"/>
  <c r="AD131" i="56"/>
  <c r="AK131" i="56"/>
  <c r="AJ131" i="56" s="1"/>
  <c r="AP95" i="56"/>
  <c r="AK95" i="56"/>
  <c r="AJ95" i="56" s="1"/>
  <c r="AH95" i="56"/>
  <c r="AG95" i="56" s="1"/>
  <c r="AD95" i="56"/>
  <c r="AK238" i="56"/>
  <c r="AJ238" i="56" s="1"/>
  <c r="AH238" i="56"/>
  <c r="AG238" i="56" s="1"/>
  <c r="AD238" i="56"/>
  <c r="AP238" i="56"/>
  <c r="AP72" i="56"/>
  <c r="AH72" i="56"/>
  <c r="AG72" i="56" s="1"/>
  <c r="AK72" i="56"/>
  <c r="AJ72" i="56" s="1"/>
  <c r="AD72" i="56"/>
  <c r="AH59" i="56"/>
  <c r="AG59" i="56" s="1"/>
  <c r="AD59" i="56"/>
  <c r="AP59" i="56"/>
  <c r="AK59" i="56"/>
  <c r="AJ59" i="56" s="1"/>
  <c r="AH91" i="56"/>
  <c r="AG91" i="56" s="1"/>
  <c r="AD91" i="56"/>
  <c r="AK91" i="56"/>
  <c r="AJ91" i="56" s="1"/>
  <c r="AP91" i="56"/>
  <c r="F64" i="59"/>
  <c r="U64" i="59"/>
  <c r="D64" i="59"/>
  <c r="W63" i="59"/>
  <c r="W42" i="59"/>
  <c r="O64" i="59"/>
  <c r="I64" i="59"/>
  <c r="W36" i="59"/>
  <c r="W59" i="59"/>
  <c r="W47" i="59"/>
  <c r="W62" i="59"/>
  <c r="T64" i="59"/>
  <c r="W49" i="59"/>
  <c r="C64" i="59"/>
  <c r="Q64" i="59"/>
  <c r="W38" i="59"/>
  <c r="AD46" i="56"/>
  <c r="AH46" i="56"/>
  <c r="AG46" i="56" s="1"/>
  <c r="AK46" i="56"/>
  <c r="AJ46" i="56" s="1"/>
  <c r="AP46" i="56"/>
  <c r="S64" i="59"/>
  <c r="W35" i="59"/>
  <c r="W48" i="59"/>
  <c r="J64" i="59"/>
  <c r="N64" i="59"/>
  <c r="L64" i="59"/>
  <c r="W46" i="59"/>
  <c r="W55" i="59"/>
  <c r="W34" i="59"/>
  <c r="W50" i="59"/>
  <c r="W58" i="59"/>
  <c r="W56" i="59"/>
  <c r="W52" i="59"/>
  <c r="H64" i="59"/>
  <c r="W43" i="59"/>
  <c r="W60" i="59"/>
  <c r="W41" i="59"/>
  <c r="AD70" i="56"/>
  <c r="T17" i="58" s="1"/>
  <c r="E17" i="58" s="1"/>
  <c r="AH70" i="56"/>
  <c r="AG70" i="56" s="1"/>
  <c r="AK70" i="56"/>
  <c r="AJ70" i="56" s="1"/>
  <c r="AP70" i="56"/>
  <c r="W40" i="59"/>
  <c r="G64" i="59"/>
  <c r="W53" i="59"/>
  <c r="K64" i="59"/>
  <c r="E64" i="59"/>
  <c r="V64" i="59"/>
  <c r="W45" i="59"/>
  <c r="R64" i="59"/>
  <c r="W44" i="59"/>
  <c r="W39" i="59"/>
  <c r="P64" i="59"/>
  <c r="B64" i="59"/>
  <c r="W54" i="59"/>
  <c r="W61" i="59"/>
  <c r="W57" i="59"/>
  <c r="W37" i="59"/>
  <c r="M64" i="59"/>
  <c r="W51" i="59"/>
  <c r="X6" i="63" l="1"/>
  <c r="Y13" i="63"/>
  <c r="D20" i="64"/>
  <c r="T14" i="58"/>
  <c r="E14" i="58" s="1"/>
  <c r="T13" i="58"/>
  <c r="S17" i="64"/>
  <c r="AH17" i="64"/>
  <c r="AF17" i="64"/>
  <c r="O17" i="64"/>
  <c r="I17" i="64"/>
  <c r="AG17" i="64"/>
  <c r="J17" i="64"/>
  <c r="M17" i="64"/>
  <c r="F17" i="64"/>
  <c r="X17" i="64"/>
  <c r="W17" i="64"/>
  <c r="U17" i="64"/>
  <c r="N17" i="64"/>
  <c r="AB17" i="64"/>
  <c r="R17" i="64"/>
  <c r="T17" i="64"/>
  <c r="H17" i="64"/>
  <c r="V17" i="64"/>
  <c r="K17" i="64"/>
  <c r="Q17" i="64"/>
  <c r="Z17" i="64"/>
  <c r="P17" i="64"/>
  <c r="L17" i="64"/>
  <c r="G17" i="64"/>
  <c r="AD17" i="64"/>
  <c r="AA17" i="64"/>
  <c r="E17" i="64"/>
  <c r="AE17" i="64"/>
  <c r="AC17" i="64"/>
  <c r="Y17" i="64"/>
  <c r="Z14" i="64"/>
  <c r="K14" i="64"/>
  <c r="AC14" i="64"/>
  <c r="AA14" i="64"/>
  <c r="G14" i="64"/>
  <c r="U14" i="64"/>
  <c r="L14" i="64"/>
  <c r="AF14" i="64"/>
  <c r="AE14" i="64"/>
  <c r="N14" i="64"/>
  <c r="F14" i="64"/>
  <c r="AH14" i="64"/>
  <c r="S14" i="64"/>
  <c r="I14" i="64"/>
  <c r="AD14" i="64"/>
  <c r="O14" i="64"/>
  <c r="W14" i="64"/>
  <c r="AB14" i="64"/>
  <c r="H14" i="64"/>
  <c r="P14" i="64"/>
  <c r="M14" i="64"/>
  <c r="V14" i="64"/>
  <c r="Q14" i="64"/>
  <c r="R14" i="64"/>
  <c r="AG14" i="64"/>
  <c r="X14" i="64"/>
  <c r="T14" i="64"/>
  <c r="J14" i="64"/>
  <c r="E14" i="64"/>
  <c r="Y14" i="64"/>
  <c r="S19" i="64"/>
  <c r="P19" i="64"/>
  <c r="F19" i="64"/>
  <c r="I19" i="64"/>
  <c r="H19" i="64"/>
  <c r="G19" i="64"/>
  <c r="AC19" i="64"/>
  <c r="AD19" i="64"/>
  <c r="M19" i="64"/>
  <c r="U19" i="64"/>
  <c r="Z19" i="64"/>
  <c r="K19" i="64"/>
  <c r="AG19" i="64"/>
  <c r="O19" i="64"/>
  <c r="AA19" i="64"/>
  <c r="T19" i="64"/>
  <c r="V19" i="64"/>
  <c r="AF19" i="64"/>
  <c r="N19" i="64"/>
  <c r="E19" i="64"/>
  <c r="AE19" i="64"/>
  <c r="L19" i="64"/>
  <c r="J19" i="64"/>
  <c r="X19" i="64"/>
  <c r="R19" i="64"/>
  <c r="W19" i="64"/>
  <c r="AB19" i="64"/>
  <c r="Y19" i="64"/>
  <c r="Q19" i="64"/>
  <c r="AH19" i="64"/>
  <c r="O23" i="64"/>
  <c r="AB23" i="64"/>
  <c r="G23" i="64"/>
  <c r="L23" i="64"/>
  <c r="N23" i="64"/>
  <c r="T23" i="64"/>
  <c r="U23" i="64"/>
  <c r="V23" i="64"/>
  <c r="I23" i="64"/>
  <c r="J23" i="64"/>
  <c r="Q23" i="64"/>
  <c r="AC23" i="64"/>
  <c r="M23" i="64"/>
  <c r="AA23" i="64"/>
  <c r="X23" i="64"/>
  <c r="AF23" i="64"/>
  <c r="R23" i="64"/>
  <c r="E23" i="64"/>
  <c r="AG23" i="64"/>
  <c r="AD23" i="64"/>
  <c r="Y23" i="64"/>
  <c r="F23" i="64"/>
  <c r="S23" i="64"/>
  <c r="Z23" i="64"/>
  <c r="AE23" i="64"/>
  <c r="W23" i="64"/>
  <c r="K23" i="64"/>
  <c r="H23" i="64"/>
  <c r="P23" i="64"/>
  <c r="AH23" i="64"/>
  <c r="O12" i="64"/>
  <c r="AD12" i="64"/>
  <c r="AA12" i="64"/>
  <c r="N12" i="64"/>
  <c r="Q12" i="64"/>
  <c r="L12" i="64"/>
  <c r="S12" i="64"/>
  <c r="J12" i="64"/>
  <c r="H12" i="64"/>
  <c r="G12" i="64"/>
  <c r="I12" i="64"/>
  <c r="W12" i="64"/>
  <c r="AC12" i="64"/>
  <c r="AH12" i="64"/>
  <c r="X12" i="64"/>
  <c r="AE12" i="64"/>
  <c r="E12" i="64"/>
  <c r="AG12" i="64"/>
  <c r="M12" i="64"/>
  <c r="AF12" i="64"/>
  <c r="U12" i="64"/>
  <c r="R12" i="64"/>
  <c r="F12" i="64"/>
  <c r="Z12" i="64"/>
  <c r="P12" i="64"/>
  <c r="K12" i="64"/>
  <c r="Y12" i="64"/>
  <c r="AB12" i="64"/>
  <c r="T12" i="64"/>
  <c r="V12" i="64"/>
  <c r="AF26" i="64"/>
  <c r="AB26" i="64"/>
  <c r="AH26" i="64"/>
  <c r="V26" i="64"/>
  <c r="O26" i="64"/>
  <c r="Q26" i="64"/>
  <c r="W26" i="64"/>
  <c r="G26" i="64"/>
  <c r="L26" i="64"/>
  <c r="N26" i="64"/>
  <c r="I26" i="64"/>
  <c r="H26" i="64"/>
  <c r="E26" i="64"/>
  <c r="T26" i="64"/>
  <c r="AG26" i="64"/>
  <c r="S26" i="64"/>
  <c r="AE26" i="64"/>
  <c r="M26" i="64"/>
  <c r="Z26" i="64"/>
  <c r="U26" i="64"/>
  <c r="X26" i="64"/>
  <c r="R26" i="64"/>
  <c r="AD26" i="64"/>
  <c r="Y26" i="64"/>
  <c r="J26" i="64"/>
  <c r="P26" i="64"/>
  <c r="AA26" i="64"/>
  <c r="F26" i="64"/>
  <c r="K26" i="64"/>
  <c r="AC26" i="64"/>
  <c r="R18" i="64"/>
  <c r="AF18" i="64"/>
  <c r="K18" i="64"/>
  <c r="P18" i="64"/>
  <c r="U18" i="64"/>
  <c r="T18" i="64"/>
  <c r="G18" i="64"/>
  <c r="AG18" i="64"/>
  <c r="X18" i="64"/>
  <c r="N18" i="64"/>
  <c r="O18" i="64"/>
  <c r="AB18" i="64"/>
  <c r="J18" i="64"/>
  <c r="L18" i="64"/>
  <c r="AH18" i="64"/>
  <c r="W18" i="64"/>
  <c r="Z18" i="64"/>
  <c r="I18" i="64"/>
  <c r="V18" i="64"/>
  <c r="Q18" i="64"/>
  <c r="Y18" i="64"/>
  <c r="AA18" i="64"/>
  <c r="AC18" i="64"/>
  <c r="F18" i="64"/>
  <c r="AD18" i="64"/>
  <c r="H18" i="64"/>
  <c r="S18" i="64"/>
  <c r="M18" i="64"/>
  <c r="E18" i="64"/>
  <c r="AE18" i="64"/>
  <c r="AC8" i="64"/>
  <c r="W8" i="64"/>
  <c r="AH8" i="64"/>
  <c r="J8" i="64"/>
  <c r="V8" i="64"/>
  <c r="AG8" i="64"/>
  <c r="F8" i="64"/>
  <c r="H8" i="64"/>
  <c r="L8" i="64"/>
  <c r="AF8" i="64"/>
  <c r="I8" i="64"/>
  <c r="Y8" i="64"/>
  <c r="Z8" i="64"/>
  <c r="AE8" i="64"/>
  <c r="X8" i="64"/>
  <c r="S8" i="64"/>
  <c r="AA8" i="64"/>
  <c r="G8" i="64"/>
  <c r="N8" i="64"/>
  <c r="AD8" i="64"/>
  <c r="P8" i="64"/>
  <c r="R8" i="64"/>
  <c r="U8" i="64"/>
  <c r="AB8" i="64"/>
  <c r="O8" i="64"/>
  <c r="T8" i="64"/>
  <c r="K8" i="64"/>
  <c r="E8" i="64"/>
  <c r="Q8" i="64"/>
  <c r="M8" i="64"/>
  <c r="AA25" i="64"/>
  <c r="K25" i="64"/>
  <c r="P25" i="64"/>
  <c r="H25" i="64"/>
  <c r="I25" i="64"/>
  <c r="AF25" i="64"/>
  <c r="Z25" i="64"/>
  <c r="L25" i="64"/>
  <c r="AD25" i="64"/>
  <c r="AB25" i="64"/>
  <c r="O25" i="64"/>
  <c r="AH25" i="64"/>
  <c r="J25" i="64"/>
  <c r="N25" i="64"/>
  <c r="F25" i="64"/>
  <c r="U25" i="64"/>
  <c r="W25" i="64"/>
  <c r="Q25" i="64"/>
  <c r="T25" i="64"/>
  <c r="S25" i="64"/>
  <c r="R25" i="64"/>
  <c r="X25" i="64"/>
  <c r="AG25" i="64"/>
  <c r="E25" i="64"/>
  <c r="G25" i="64"/>
  <c r="M25" i="64"/>
  <c r="AC25" i="64"/>
  <c r="AE25" i="64"/>
  <c r="Y25" i="64"/>
  <c r="V25" i="64"/>
  <c r="Z28" i="64"/>
  <c r="L28" i="64"/>
  <c r="V28" i="64"/>
  <c r="G28" i="64"/>
  <c r="I28" i="64"/>
  <c r="AC28" i="64"/>
  <c r="N28" i="64"/>
  <c r="T28" i="64"/>
  <c r="Q28" i="64"/>
  <c r="Y28" i="64"/>
  <c r="S28" i="64"/>
  <c r="AA28" i="64"/>
  <c r="AH28" i="64"/>
  <c r="AF28" i="64"/>
  <c r="H28" i="64"/>
  <c r="AE28" i="64"/>
  <c r="O28" i="64"/>
  <c r="W28" i="64"/>
  <c r="M28" i="64"/>
  <c r="U28" i="64"/>
  <c r="J28" i="64"/>
  <c r="K28" i="64"/>
  <c r="E28" i="64"/>
  <c r="X28" i="64"/>
  <c r="AB28" i="64"/>
  <c r="AG28" i="64"/>
  <c r="AD28" i="64"/>
  <c r="P28" i="64"/>
  <c r="F28" i="64"/>
  <c r="R28" i="64"/>
  <c r="F27" i="64"/>
  <c r="AF27" i="64"/>
  <c r="L27" i="64"/>
  <c r="W27" i="64"/>
  <c r="AB27" i="64"/>
  <c r="X27" i="64"/>
  <c r="AA27" i="64"/>
  <c r="I27" i="64"/>
  <c r="AC27" i="64"/>
  <c r="K27" i="64"/>
  <c r="H27" i="64"/>
  <c r="AG27" i="64"/>
  <c r="T27" i="64"/>
  <c r="AH27" i="64"/>
  <c r="J27" i="64"/>
  <c r="AD27" i="64"/>
  <c r="O27" i="64"/>
  <c r="P27" i="64"/>
  <c r="M27" i="64"/>
  <c r="Z27" i="64"/>
  <c r="AE27" i="64"/>
  <c r="S27" i="64"/>
  <c r="Q27" i="64"/>
  <c r="N27" i="64"/>
  <c r="U27" i="64"/>
  <c r="Y27" i="64"/>
  <c r="R27" i="64"/>
  <c r="E27" i="64"/>
  <c r="V27" i="64"/>
  <c r="G27" i="64"/>
  <c r="W64" i="64"/>
  <c r="R15" i="64"/>
  <c r="O15" i="64"/>
  <c r="X15" i="64"/>
  <c r="G15" i="64"/>
  <c r="S15" i="64"/>
  <c r="H15" i="64"/>
  <c r="AH15" i="64"/>
  <c r="AC15" i="64"/>
  <c r="V15" i="64"/>
  <c r="J15" i="64"/>
  <c r="T15" i="64"/>
  <c r="I15" i="64"/>
  <c r="M15" i="64"/>
  <c r="K15" i="64"/>
  <c r="AF15" i="64"/>
  <c r="W15" i="64"/>
  <c r="AA15" i="64"/>
  <c r="AB15" i="64"/>
  <c r="Z15" i="64"/>
  <c r="F15" i="64"/>
  <c r="Q15" i="64"/>
  <c r="U15" i="64"/>
  <c r="AE15" i="64"/>
  <c r="P15" i="64"/>
  <c r="Y15" i="64"/>
  <c r="E15" i="64"/>
  <c r="AD15" i="64"/>
  <c r="N15" i="64"/>
  <c r="AG15" i="64"/>
  <c r="L15" i="64"/>
  <c r="M24" i="64"/>
  <c r="F24" i="64"/>
  <c r="AE24" i="64"/>
  <c r="P24" i="64"/>
  <c r="G24" i="64"/>
  <c r="AC24" i="64"/>
  <c r="W24" i="64"/>
  <c r="AB24" i="64"/>
  <c r="U24" i="64"/>
  <c r="Z24" i="64"/>
  <c r="V24" i="64"/>
  <c r="I24" i="64"/>
  <c r="T24" i="64"/>
  <c r="L24" i="64"/>
  <c r="AA24" i="64"/>
  <c r="Q24" i="64"/>
  <c r="Y24" i="64"/>
  <c r="O24" i="64"/>
  <c r="K24" i="64"/>
  <c r="S24" i="64"/>
  <c r="H24" i="64"/>
  <c r="AH24" i="64"/>
  <c r="AD24" i="64"/>
  <c r="AG24" i="64"/>
  <c r="N24" i="64"/>
  <c r="AF24" i="64"/>
  <c r="E24" i="64"/>
  <c r="R24" i="64"/>
  <c r="J24" i="64"/>
  <c r="X24" i="64"/>
  <c r="M22" i="64"/>
  <c r="H22" i="64"/>
  <c r="AA22" i="64"/>
  <c r="W22" i="64"/>
  <c r="AF22" i="64"/>
  <c r="O22" i="64"/>
  <c r="AG22" i="64"/>
  <c r="Y22" i="64"/>
  <c r="I22" i="64"/>
  <c r="Q22" i="64"/>
  <c r="V22" i="64"/>
  <c r="L22" i="64"/>
  <c r="N22" i="64"/>
  <c r="AD22" i="64"/>
  <c r="AB22" i="64"/>
  <c r="K22" i="64"/>
  <c r="AE22" i="64"/>
  <c r="F22" i="64"/>
  <c r="Z22" i="64"/>
  <c r="T22" i="64"/>
  <c r="G22" i="64"/>
  <c r="S22" i="64"/>
  <c r="E22" i="64"/>
  <c r="AH22" i="64"/>
  <c r="P22" i="64"/>
  <c r="R22" i="64"/>
  <c r="J22" i="64"/>
  <c r="U22" i="64"/>
  <c r="AC22" i="64"/>
  <c r="X22" i="64"/>
  <c r="Y11" i="64"/>
  <c r="AB11" i="64"/>
  <c r="O11" i="64"/>
  <c r="R11" i="64"/>
  <c r="AD11" i="64"/>
  <c r="G11" i="64"/>
  <c r="AE11" i="64"/>
  <c r="Z11" i="64"/>
  <c r="Q11" i="64"/>
  <c r="X11" i="64"/>
  <c r="K11" i="64"/>
  <c r="AG11" i="64"/>
  <c r="P11" i="64"/>
  <c r="M11" i="64"/>
  <c r="I11" i="64"/>
  <c r="W11" i="64"/>
  <c r="T11" i="64"/>
  <c r="H11" i="64"/>
  <c r="J11" i="64"/>
  <c r="AF11" i="64"/>
  <c r="AA11" i="64"/>
  <c r="AC11" i="64"/>
  <c r="V11" i="64"/>
  <c r="U11" i="64"/>
  <c r="E11" i="64"/>
  <c r="L11" i="64"/>
  <c r="N11" i="64"/>
  <c r="F11" i="64"/>
  <c r="S11" i="64"/>
  <c r="AH11" i="64"/>
  <c r="H16" i="64"/>
  <c r="W16" i="64"/>
  <c r="AA16" i="64"/>
  <c r="J16" i="64"/>
  <c r="M16" i="64"/>
  <c r="Z16" i="64"/>
  <c r="AD16" i="64"/>
  <c r="S16" i="64"/>
  <c r="AF16" i="64"/>
  <c r="K16" i="64"/>
  <c r="U16" i="64"/>
  <c r="X16" i="64"/>
  <c r="Y16" i="64"/>
  <c r="G16" i="64"/>
  <c r="Q16" i="64"/>
  <c r="L16" i="64"/>
  <c r="T16" i="64"/>
  <c r="R16" i="64"/>
  <c r="AG16" i="64"/>
  <c r="F16" i="64"/>
  <c r="AB16" i="64"/>
  <c r="AE16" i="64"/>
  <c r="I16" i="64"/>
  <c r="V16" i="64"/>
  <c r="AC16" i="64"/>
  <c r="P16" i="64"/>
  <c r="N16" i="64"/>
  <c r="O16" i="64"/>
  <c r="AH16" i="64"/>
  <c r="E16" i="64"/>
  <c r="E13" i="64"/>
  <c r="AD13" i="64"/>
  <c r="H13" i="64"/>
  <c r="T13" i="64"/>
  <c r="AF13" i="64"/>
  <c r="J13" i="64"/>
  <c r="Y13" i="64"/>
  <c r="F13" i="64"/>
  <c r="G13" i="64"/>
  <c r="S13" i="64"/>
  <c r="O13" i="64"/>
  <c r="AG13" i="64"/>
  <c r="P13" i="64"/>
  <c r="Z13" i="64"/>
  <c r="AB13" i="64"/>
  <c r="Q13" i="64"/>
  <c r="I13" i="64"/>
  <c r="U13" i="64"/>
  <c r="K13" i="64"/>
  <c r="AA13" i="64"/>
  <c r="AE13" i="64"/>
  <c r="R13" i="64"/>
  <c r="AH13" i="64"/>
  <c r="V13" i="64"/>
  <c r="X13" i="64"/>
  <c r="N13" i="64"/>
  <c r="L13" i="64"/>
  <c r="AC13" i="64"/>
  <c r="W13" i="64"/>
  <c r="M13" i="64"/>
  <c r="M9" i="64"/>
  <c r="Z9" i="64"/>
  <c r="AF9" i="64"/>
  <c r="X9" i="64"/>
  <c r="Q9" i="64"/>
  <c r="O9" i="64"/>
  <c r="E9" i="64"/>
  <c r="I9" i="64"/>
  <c r="J9" i="64"/>
  <c r="P9" i="64"/>
  <c r="S9" i="64"/>
  <c r="W9" i="64"/>
  <c r="AA9" i="64"/>
  <c r="T9" i="64"/>
  <c r="AG9" i="64"/>
  <c r="AC9" i="64"/>
  <c r="AH9" i="64"/>
  <c r="AB9" i="64"/>
  <c r="AD9" i="64"/>
  <c r="H9" i="64"/>
  <c r="N9" i="64"/>
  <c r="R9" i="64"/>
  <c r="Y9" i="64"/>
  <c r="G9" i="64"/>
  <c r="F9" i="64"/>
  <c r="AE9" i="64"/>
  <c r="L9" i="64"/>
  <c r="V9" i="64"/>
  <c r="K9" i="64"/>
  <c r="U9" i="64"/>
  <c r="F21" i="64"/>
  <c r="M21" i="64"/>
  <c r="R21" i="64"/>
  <c r="V21" i="64"/>
  <c r="G21" i="64"/>
  <c r="H21" i="64"/>
  <c r="AF21" i="64"/>
  <c r="AE21" i="64"/>
  <c r="J21" i="64"/>
  <c r="I21" i="64"/>
  <c r="P21" i="64"/>
  <c r="Y21" i="64"/>
  <c r="U21" i="64"/>
  <c r="O21" i="64"/>
  <c r="T21" i="64"/>
  <c r="X21" i="64"/>
  <c r="Q21" i="64"/>
  <c r="AC21" i="64"/>
  <c r="Z21" i="64"/>
  <c r="AA21" i="64"/>
  <c r="N21" i="64"/>
  <c r="S21" i="64"/>
  <c r="W21" i="64"/>
  <c r="K21" i="64"/>
  <c r="AB21" i="64"/>
  <c r="E21" i="64"/>
  <c r="AD21" i="64"/>
  <c r="AG21" i="64"/>
  <c r="AH21" i="64"/>
  <c r="L21" i="64"/>
  <c r="X10" i="64"/>
  <c r="I10" i="64"/>
  <c r="AA10" i="64"/>
  <c r="Q10" i="64"/>
  <c r="AB10" i="64"/>
  <c r="N10" i="64"/>
  <c r="P10" i="64"/>
  <c r="W10" i="64"/>
  <c r="Z10" i="64"/>
  <c r="AH10" i="64"/>
  <c r="K10" i="64"/>
  <c r="Y10" i="64"/>
  <c r="AC10" i="64"/>
  <c r="AE10" i="64"/>
  <c r="M10" i="64"/>
  <c r="F10" i="64"/>
  <c r="O10" i="64"/>
  <c r="H10" i="64"/>
  <c r="R10" i="64"/>
  <c r="G10" i="64"/>
  <c r="S10" i="64"/>
  <c r="AG10" i="64"/>
  <c r="AF10" i="64"/>
  <c r="V10" i="64"/>
  <c r="J10" i="64"/>
  <c r="E10" i="64"/>
  <c r="L10" i="64"/>
  <c r="AD10" i="64"/>
  <c r="U10" i="64"/>
  <c r="T10" i="64"/>
  <c r="X10" i="63"/>
  <c r="X17" i="63"/>
  <c r="Y16" i="63"/>
  <c r="Y15" i="63"/>
  <c r="X13" i="63"/>
  <c r="X7" i="63"/>
  <c r="X16" i="63"/>
  <c r="Y17" i="63"/>
  <c r="X15" i="63"/>
  <c r="Y12" i="63"/>
  <c r="Y18" i="63"/>
  <c r="X12" i="63"/>
  <c r="Y11" i="63"/>
  <c r="X11" i="63"/>
  <c r="Y9" i="63"/>
  <c r="Y6" i="63"/>
  <c r="X8" i="63"/>
  <c r="X9" i="63"/>
  <c r="Y8" i="63"/>
  <c r="Y7" i="63"/>
  <c r="X18" i="63"/>
  <c r="Y10" i="63"/>
  <c r="H3" i="61"/>
  <c r="H6" i="61"/>
  <c r="L4" i="61"/>
  <c r="T8" i="58"/>
  <c r="E8" i="58" s="1"/>
  <c r="E8" i="63" s="1"/>
  <c r="E13" i="58"/>
  <c r="E13" i="63" s="1"/>
  <c r="N22" i="59"/>
  <c r="O22" i="59"/>
  <c r="Q22" i="59"/>
  <c r="L22" i="59"/>
  <c r="I22" i="59"/>
  <c r="U22" i="59"/>
  <c r="AH22" i="59"/>
  <c r="E22" i="59"/>
  <c r="X22" i="59"/>
  <c r="Y22" i="59"/>
  <c r="Z22" i="59"/>
  <c r="AG22" i="59"/>
  <c r="F22" i="59"/>
  <c r="AD22" i="59"/>
  <c r="K22" i="59"/>
  <c r="R22" i="59"/>
  <c r="S22" i="59"/>
  <c r="V22" i="59"/>
  <c r="H22" i="59"/>
  <c r="M22" i="59"/>
  <c r="W22" i="59"/>
  <c r="P22" i="59"/>
  <c r="G22" i="59"/>
  <c r="T22" i="59"/>
  <c r="AE22" i="59"/>
  <c r="AA22" i="59"/>
  <c r="J22" i="59"/>
  <c r="AB22" i="59"/>
  <c r="AF22" i="59"/>
  <c r="AC22" i="59"/>
  <c r="E28" i="59"/>
  <c r="L28" i="59"/>
  <c r="S28" i="59"/>
  <c r="R28" i="59"/>
  <c r="Q28" i="59"/>
  <c r="AH28" i="59"/>
  <c r="N28" i="59"/>
  <c r="U28" i="59"/>
  <c r="Y28" i="59"/>
  <c r="T28" i="59"/>
  <c r="I28" i="59"/>
  <c r="V28" i="59"/>
  <c r="X28" i="59"/>
  <c r="AF28" i="59"/>
  <c r="AD28" i="59"/>
  <c r="P28" i="59"/>
  <c r="M28" i="59"/>
  <c r="H28" i="59"/>
  <c r="G28" i="59"/>
  <c r="AB28" i="59"/>
  <c r="F28" i="59"/>
  <c r="AE28" i="59"/>
  <c r="AC28" i="59"/>
  <c r="AG28" i="59"/>
  <c r="AA28" i="59"/>
  <c r="O28" i="59"/>
  <c r="K28" i="59"/>
  <c r="Z28" i="59"/>
  <c r="W28" i="59"/>
  <c r="J28" i="59"/>
  <c r="AE11" i="59"/>
  <c r="X11" i="59"/>
  <c r="J11" i="59"/>
  <c r="M11" i="59"/>
  <c r="S11" i="59"/>
  <c r="O11" i="59"/>
  <c r="K11" i="59"/>
  <c r="E11" i="59"/>
  <c r="N11" i="59"/>
  <c r="L11" i="59"/>
  <c r="T11" i="59"/>
  <c r="F11" i="59"/>
  <c r="H11" i="59"/>
  <c r="AA11" i="59"/>
  <c r="AD11" i="59"/>
  <c r="G11" i="59"/>
  <c r="V11" i="59"/>
  <c r="I11" i="59"/>
  <c r="P11" i="59"/>
  <c r="R11" i="59"/>
  <c r="W11" i="59"/>
  <c r="AH11" i="59"/>
  <c r="AB11" i="59"/>
  <c r="Y11" i="59"/>
  <c r="AF11" i="59"/>
  <c r="AC11" i="59"/>
  <c r="Q11" i="59"/>
  <c r="U11" i="59"/>
  <c r="Z11" i="59"/>
  <c r="AG11" i="59"/>
  <c r="I14" i="59"/>
  <c r="R14" i="59"/>
  <c r="H14" i="59"/>
  <c r="Q14" i="59"/>
  <c r="Z14" i="59"/>
  <c r="M14" i="59"/>
  <c r="E14" i="59"/>
  <c r="L14" i="59"/>
  <c r="Y14" i="59"/>
  <c r="U14" i="59"/>
  <c r="AH14" i="59"/>
  <c r="W14" i="59"/>
  <c r="V14" i="59"/>
  <c r="AE14" i="59"/>
  <c r="G14" i="59"/>
  <c r="P14" i="59"/>
  <c r="T14" i="59"/>
  <c r="X14" i="59"/>
  <c r="O14" i="59"/>
  <c r="J14" i="59"/>
  <c r="AG14" i="59"/>
  <c r="AB14" i="59"/>
  <c r="S14" i="59"/>
  <c r="F14" i="59"/>
  <c r="AF14" i="59"/>
  <c r="N14" i="59"/>
  <c r="AC14" i="59"/>
  <c r="AD14" i="59"/>
  <c r="K14" i="59"/>
  <c r="AA14" i="59"/>
  <c r="Y18" i="59"/>
  <c r="U18" i="59"/>
  <c r="P18" i="59"/>
  <c r="AA18" i="59"/>
  <c r="S18" i="59"/>
  <c r="T18" i="59"/>
  <c r="Q18" i="59"/>
  <c r="AH18" i="59"/>
  <c r="AC18" i="59"/>
  <c r="J18" i="59"/>
  <c r="F18" i="59"/>
  <c r="Z18" i="59"/>
  <c r="X18" i="59"/>
  <c r="I18" i="59"/>
  <c r="O18" i="59"/>
  <c r="H18" i="59"/>
  <c r="AD18" i="59"/>
  <c r="AG18" i="59"/>
  <c r="M18" i="59"/>
  <c r="AE18" i="59"/>
  <c r="W18" i="59"/>
  <c r="G18" i="59"/>
  <c r="AB18" i="59"/>
  <c r="K18" i="59"/>
  <c r="R18" i="59"/>
  <c r="N18" i="59"/>
  <c r="L18" i="59"/>
  <c r="AF18" i="59"/>
  <c r="E18" i="59"/>
  <c r="V18" i="59"/>
  <c r="E9" i="59"/>
  <c r="AH9" i="59"/>
  <c r="Q9" i="59"/>
  <c r="K9" i="59"/>
  <c r="AA9" i="59"/>
  <c r="AF9" i="59"/>
  <c r="F9" i="59"/>
  <c r="AC9" i="59"/>
  <c r="N9" i="59"/>
  <c r="P9" i="59"/>
  <c r="S9" i="59"/>
  <c r="AG9" i="59"/>
  <c r="AB9" i="59"/>
  <c r="I9" i="59"/>
  <c r="AD9" i="59"/>
  <c r="J9" i="59"/>
  <c r="T9" i="59"/>
  <c r="O9" i="59"/>
  <c r="U9" i="59"/>
  <c r="M9" i="59"/>
  <c r="R9" i="59"/>
  <c r="H9" i="59"/>
  <c r="Y9" i="59"/>
  <c r="Z9" i="59"/>
  <c r="L9" i="59"/>
  <c r="W9" i="59"/>
  <c r="X9" i="59"/>
  <c r="V9" i="59"/>
  <c r="G9" i="59"/>
  <c r="AE9" i="59"/>
  <c r="J21" i="59"/>
  <c r="Y21" i="59"/>
  <c r="AF21" i="59"/>
  <c r="L21" i="59"/>
  <c r="Q21" i="59"/>
  <c r="U21" i="59"/>
  <c r="S21" i="59"/>
  <c r="G21" i="59"/>
  <c r="K21" i="59"/>
  <c r="T21" i="59"/>
  <c r="AD21" i="59"/>
  <c r="AH21" i="59"/>
  <c r="Z21" i="59"/>
  <c r="W21" i="59"/>
  <c r="AB21" i="59"/>
  <c r="X21" i="59"/>
  <c r="I21" i="59"/>
  <c r="E21" i="59"/>
  <c r="V21" i="59"/>
  <c r="AE21" i="59"/>
  <c r="AG21" i="59"/>
  <c r="AC21" i="59"/>
  <c r="R21" i="59"/>
  <c r="AA21" i="59"/>
  <c r="P21" i="59"/>
  <c r="N21" i="59"/>
  <c r="F21" i="59"/>
  <c r="O21" i="59"/>
  <c r="H21" i="59"/>
  <c r="M21" i="59"/>
  <c r="G27" i="59"/>
  <c r="W27" i="59"/>
  <c r="L27" i="59"/>
  <c r="U27" i="59"/>
  <c r="K27" i="59"/>
  <c r="H27" i="59"/>
  <c r="E27" i="59"/>
  <c r="X27" i="59"/>
  <c r="Q27" i="59"/>
  <c r="AD27" i="59"/>
  <c r="F27" i="59"/>
  <c r="AB27" i="59"/>
  <c r="T27" i="59"/>
  <c r="AH27" i="59"/>
  <c r="M27" i="59"/>
  <c r="P27" i="59"/>
  <c r="R27" i="59"/>
  <c r="S27" i="59"/>
  <c r="Y27" i="59"/>
  <c r="O27" i="59"/>
  <c r="AE27" i="59"/>
  <c r="J27" i="59"/>
  <c r="N27" i="59"/>
  <c r="I27" i="59"/>
  <c r="AA27" i="59"/>
  <c r="AG27" i="59"/>
  <c r="AF27" i="59"/>
  <c r="V27" i="59"/>
  <c r="AC27" i="59"/>
  <c r="Z27" i="59"/>
  <c r="O13" i="59"/>
  <c r="K13" i="59"/>
  <c r="N13" i="59"/>
  <c r="AG13" i="59"/>
  <c r="AC13" i="59"/>
  <c r="J13" i="59"/>
  <c r="S13" i="59"/>
  <c r="AD13" i="59"/>
  <c r="I13" i="59"/>
  <c r="F13" i="59"/>
  <c r="P13" i="59"/>
  <c r="L13" i="59"/>
  <c r="T13" i="59"/>
  <c r="R13" i="59"/>
  <c r="H13" i="59"/>
  <c r="Z13" i="59"/>
  <c r="U13" i="59"/>
  <c r="V13" i="59"/>
  <c r="Y13" i="59"/>
  <c r="M13" i="59"/>
  <c r="AE13" i="59"/>
  <c r="E13" i="59"/>
  <c r="AH13" i="59"/>
  <c r="AF13" i="59"/>
  <c r="AA13" i="59"/>
  <c r="AB13" i="59"/>
  <c r="X13" i="59"/>
  <c r="Q13" i="59"/>
  <c r="G13" i="59"/>
  <c r="W13" i="59"/>
  <c r="Y19" i="59"/>
  <c r="AA19" i="59"/>
  <c r="G19" i="59"/>
  <c r="Q19" i="59"/>
  <c r="M19" i="59"/>
  <c r="W19" i="59"/>
  <c r="AC19" i="59"/>
  <c r="AH19" i="59"/>
  <c r="F19" i="59"/>
  <c r="N19" i="59"/>
  <c r="V19" i="59"/>
  <c r="Z19" i="59"/>
  <c r="R19" i="59"/>
  <c r="AG19" i="59"/>
  <c r="AE19" i="59"/>
  <c r="I19" i="59"/>
  <c r="J19" i="59"/>
  <c r="T19" i="59"/>
  <c r="S19" i="59"/>
  <c r="AD19" i="59"/>
  <c r="AF19" i="59"/>
  <c r="K19" i="59"/>
  <c r="O19" i="59"/>
  <c r="E19" i="59"/>
  <c r="P19" i="59"/>
  <c r="U19" i="59"/>
  <c r="H19" i="59"/>
  <c r="AB19" i="59"/>
  <c r="L19" i="59"/>
  <c r="X19" i="59"/>
  <c r="R8" i="59"/>
  <c r="F8" i="59"/>
  <c r="Y8" i="59"/>
  <c r="G8" i="59"/>
  <c r="Q8" i="59"/>
  <c r="T8" i="59"/>
  <c r="L8" i="59"/>
  <c r="E8" i="59"/>
  <c r="AD8" i="59"/>
  <c r="N8" i="59"/>
  <c r="AG8" i="59"/>
  <c r="X8" i="59"/>
  <c r="P8" i="59"/>
  <c r="V8" i="59"/>
  <c r="AA8" i="59"/>
  <c r="U8" i="59"/>
  <c r="K8" i="59"/>
  <c r="I8" i="59"/>
  <c r="AE8" i="59"/>
  <c r="AC8" i="59"/>
  <c r="Z8" i="59"/>
  <c r="J8" i="59"/>
  <c r="O8" i="59"/>
  <c r="W8" i="59"/>
  <c r="S8" i="59"/>
  <c r="AH8" i="59"/>
  <c r="H8" i="59"/>
  <c r="M8" i="59"/>
  <c r="AF8" i="59"/>
  <c r="AB8" i="59"/>
  <c r="L24" i="59"/>
  <c r="W24" i="59"/>
  <c r="AE24" i="59"/>
  <c r="S24" i="59"/>
  <c r="U24" i="59"/>
  <c r="V24" i="59"/>
  <c r="AD24" i="59"/>
  <c r="AH24" i="59"/>
  <c r="R24" i="59"/>
  <c r="P24" i="59"/>
  <c r="K24" i="59"/>
  <c r="J24" i="59"/>
  <c r="M24" i="59"/>
  <c r="N24" i="59"/>
  <c r="I24" i="59"/>
  <c r="AC24" i="59"/>
  <c r="AA24" i="59"/>
  <c r="AF24" i="59"/>
  <c r="E24" i="59"/>
  <c r="F24" i="59"/>
  <c r="T24" i="59"/>
  <c r="X24" i="59"/>
  <c r="H24" i="59"/>
  <c r="AB24" i="59"/>
  <c r="Q24" i="59"/>
  <c r="AG24" i="59"/>
  <c r="G24" i="59"/>
  <c r="O24" i="59"/>
  <c r="Y24" i="59"/>
  <c r="Z24" i="59"/>
  <c r="I17" i="59"/>
  <c r="AF17" i="59"/>
  <c r="Q17" i="59"/>
  <c r="W17" i="59"/>
  <c r="AE17" i="59"/>
  <c r="AB17" i="59"/>
  <c r="N17" i="59"/>
  <c r="M17" i="59"/>
  <c r="J17" i="59"/>
  <c r="AD17" i="59"/>
  <c r="U17" i="59"/>
  <c r="G17" i="59"/>
  <c r="F17" i="59"/>
  <c r="V17" i="59"/>
  <c r="Y17" i="59"/>
  <c r="AH17" i="59"/>
  <c r="K17" i="59"/>
  <c r="Z17" i="59"/>
  <c r="T17" i="59"/>
  <c r="AC17" i="59"/>
  <c r="P17" i="59"/>
  <c r="AA17" i="59"/>
  <c r="S17" i="59"/>
  <c r="L17" i="59"/>
  <c r="H17" i="59"/>
  <c r="O17" i="59"/>
  <c r="E17" i="59"/>
  <c r="R17" i="59"/>
  <c r="AG17" i="59"/>
  <c r="X17" i="59"/>
  <c r="W64" i="59"/>
  <c r="AE20" i="59"/>
  <c r="E20" i="59"/>
  <c r="I20" i="59"/>
  <c r="P20" i="59"/>
  <c r="Z20" i="59"/>
  <c r="O20" i="59"/>
  <c r="G20" i="59"/>
  <c r="U20" i="59"/>
  <c r="K20" i="59"/>
  <c r="R20" i="59"/>
  <c r="AA20" i="59"/>
  <c r="S20" i="59"/>
  <c r="L20" i="59"/>
  <c r="AG20" i="59"/>
  <c r="Y20" i="59"/>
  <c r="AD20" i="59"/>
  <c r="Q20" i="59"/>
  <c r="J20" i="59"/>
  <c r="F20" i="59"/>
  <c r="T20" i="59"/>
  <c r="AB20" i="59"/>
  <c r="AC20" i="59"/>
  <c r="AF20" i="59"/>
  <c r="AH20" i="59"/>
  <c r="X20" i="59"/>
  <c r="H20" i="59"/>
  <c r="M20" i="59"/>
  <c r="V20" i="59"/>
  <c r="W20" i="59"/>
  <c r="N20" i="59"/>
  <c r="M25" i="59"/>
  <c r="AG25" i="59"/>
  <c r="AB25" i="59"/>
  <c r="Y25" i="59"/>
  <c r="S25" i="59"/>
  <c r="AD25" i="59"/>
  <c r="I25" i="59"/>
  <c r="Q25" i="59"/>
  <c r="P25" i="59"/>
  <c r="W25" i="59"/>
  <c r="X25" i="59"/>
  <c r="AH25" i="59"/>
  <c r="H25" i="59"/>
  <c r="AE25" i="59"/>
  <c r="F25" i="59"/>
  <c r="V25" i="59"/>
  <c r="G25" i="59"/>
  <c r="J25" i="59"/>
  <c r="E25" i="59"/>
  <c r="AC25" i="59"/>
  <c r="R25" i="59"/>
  <c r="L25" i="59"/>
  <c r="AF25" i="59"/>
  <c r="Z25" i="59"/>
  <c r="AA25" i="59"/>
  <c r="K25" i="59"/>
  <c r="N25" i="59"/>
  <c r="U25" i="59"/>
  <c r="O25" i="59"/>
  <c r="T25" i="59"/>
  <c r="T18" i="58"/>
  <c r="E18" i="58" s="1"/>
  <c r="T16" i="58"/>
  <c r="E16" i="58" s="1"/>
  <c r="T11" i="58"/>
  <c r="E11" i="58" s="1"/>
  <c r="T12" i="58"/>
  <c r="E12" i="58" s="1"/>
  <c r="T10" i="58"/>
  <c r="E10" i="58" s="1"/>
  <c r="T15" i="58"/>
  <c r="E15" i="58" s="1"/>
  <c r="T7" i="58"/>
  <c r="E7" i="58" s="1"/>
  <c r="T6" i="58"/>
  <c r="E6" i="58" s="1"/>
  <c r="O12" i="59"/>
  <c r="W12" i="59"/>
  <c r="X12" i="59"/>
  <c r="AB12" i="59"/>
  <c r="V12" i="59"/>
  <c r="J12" i="59"/>
  <c r="AD12" i="59"/>
  <c r="Y12" i="59"/>
  <c r="H12" i="59"/>
  <c r="N12" i="59"/>
  <c r="I12" i="59"/>
  <c r="Z12" i="59"/>
  <c r="AF12" i="59"/>
  <c r="E12" i="59"/>
  <c r="AA12" i="59"/>
  <c r="T12" i="59"/>
  <c r="AG12" i="59"/>
  <c r="U12" i="59"/>
  <c r="L12" i="59"/>
  <c r="P12" i="59"/>
  <c r="AE12" i="59"/>
  <c r="R12" i="59"/>
  <c r="AC12" i="59"/>
  <c r="K12" i="59"/>
  <c r="G12" i="59"/>
  <c r="Q12" i="59"/>
  <c r="F12" i="59"/>
  <c r="AH12" i="59"/>
  <c r="S12" i="59"/>
  <c r="M12" i="59"/>
  <c r="S16" i="59"/>
  <c r="R16" i="59"/>
  <c r="AH16" i="59"/>
  <c r="J16" i="59"/>
  <c r="Z16" i="59"/>
  <c r="AE16" i="59"/>
  <c r="AD16" i="59"/>
  <c r="AB16" i="59"/>
  <c r="E16" i="59"/>
  <c r="AG16" i="59"/>
  <c r="O16" i="59"/>
  <c r="X16" i="59"/>
  <c r="AA16" i="59"/>
  <c r="Y16" i="59"/>
  <c r="K16" i="59"/>
  <c r="T16" i="59"/>
  <c r="G16" i="59"/>
  <c r="I16" i="59"/>
  <c r="L16" i="59"/>
  <c r="AC16" i="59"/>
  <c r="Q16" i="59"/>
  <c r="F16" i="59"/>
  <c r="V16" i="59"/>
  <c r="H16" i="59"/>
  <c r="W16" i="59"/>
  <c r="N16" i="59"/>
  <c r="P16" i="59"/>
  <c r="AF16" i="59"/>
  <c r="M16" i="59"/>
  <c r="U16" i="59"/>
  <c r="AD26" i="59"/>
  <c r="X26" i="59"/>
  <c r="V26" i="59"/>
  <c r="AG26" i="59"/>
  <c r="M26" i="59"/>
  <c r="U26" i="59"/>
  <c r="AH26" i="59"/>
  <c r="AE26" i="59"/>
  <c r="Y26" i="59"/>
  <c r="Z26" i="59"/>
  <c r="R26" i="59"/>
  <c r="T26" i="59"/>
  <c r="S26" i="59"/>
  <c r="Q26" i="59"/>
  <c r="N26" i="59"/>
  <c r="AC26" i="59"/>
  <c r="E26" i="59"/>
  <c r="AA26" i="59"/>
  <c r="G26" i="59"/>
  <c r="P26" i="59"/>
  <c r="H26" i="59"/>
  <c r="AF26" i="59"/>
  <c r="O26" i="59"/>
  <c r="AB26" i="59"/>
  <c r="J26" i="59"/>
  <c r="L26" i="59"/>
  <c r="K26" i="59"/>
  <c r="F26" i="59"/>
  <c r="I26" i="59"/>
  <c r="W26" i="59"/>
  <c r="E17" i="63"/>
  <c r="R17" i="58"/>
  <c r="G23" i="59"/>
  <c r="V23" i="59"/>
  <c r="AF23" i="59"/>
  <c r="S23" i="59"/>
  <c r="E23" i="59"/>
  <c r="AG23" i="59"/>
  <c r="T23" i="59"/>
  <c r="O23" i="59"/>
  <c r="X23" i="59"/>
  <c r="AA23" i="59"/>
  <c r="K23" i="59"/>
  <c r="W23" i="59"/>
  <c r="R23" i="59"/>
  <c r="F23" i="59"/>
  <c r="M23" i="59"/>
  <c r="N23" i="59"/>
  <c r="AE23" i="59"/>
  <c r="H23" i="59"/>
  <c r="I23" i="59"/>
  <c r="AB23" i="59"/>
  <c r="Q23" i="59"/>
  <c r="J23" i="59"/>
  <c r="U23" i="59"/>
  <c r="AH23" i="59"/>
  <c r="AC23" i="59"/>
  <c r="AD23" i="59"/>
  <c r="Z23" i="59"/>
  <c r="Y23" i="59"/>
  <c r="L23" i="59"/>
  <c r="P23" i="59"/>
  <c r="AF15" i="59"/>
  <c r="AD15" i="59"/>
  <c r="W15" i="59"/>
  <c r="K15" i="59"/>
  <c r="AH15" i="59"/>
  <c r="Y15" i="59"/>
  <c r="P15" i="59"/>
  <c r="T15" i="59"/>
  <c r="AE15" i="59"/>
  <c r="O15" i="59"/>
  <c r="S15" i="59"/>
  <c r="AA15" i="59"/>
  <c r="M15" i="59"/>
  <c r="AG15" i="59"/>
  <c r="L15" i="59"/>
  <c r="G15" i="59"/>
  <c r="R15" i="59"/>
  <c r="U15" i="59"/>
  <c r="AC15" i="59"/>
  <c r="I15" i="59"/>
  <c r="X15" i="59"/>
  <c r="N15" i="59"/>
  <c r="F15" i="59"/>
  <c r="Q15" i="59"/>
  <c r="J15" i="59"/>
  <c r="E15" i="59"/>
  <c r="Z15" i="59"/>
  <c r="H15" i="59"/>
  <c r="AB15" i="59"/>
  <c r="V15" i="59"/>
  <c r="P10" i="59"/>
  <c r="Y10" i="59"/>
  <c r="I10" i="59"/>
  <c r="AF10" i="59"/>
  <c r="AB10" i="59"/>
  <c r="L10" i="59"/>
  <c r="Z10" i="59"/>
  <c r="M10" i="59"/>
  <c r="N10" i="59"/>
  <c r="S10" i="59"/>
  <c r="R10" i="59"/>
  <c r="AD10" i="59"/>
  <c r="E10" i="59"/>
  <c r="F10" i="59"/>
  <c r="H10" i="59"/>
  <c r="AH10" i="59"/>
  <c r="K10" i="59"/>
  <c r="AG10" i="59"/>
  <c r="V10" i="59"/>
  <c r="W10" i="59"/>
  <c r="J10" i="59"/>
  <c r="Q10" i="59"/>
  <c r="U10" i="59"/>
  <c r="T10" i="59"/>
  <c r="AA10" i="59"/>
  <c r="X10" i="59"/>
  <c r="AC10" i="59"/>
  <c r="G10" i="59"/>
  <c r="AE10" i="59"/>
  <c r="O10" i="59"/>
  <c r="T9" i="58"/>
  <c r="E9" i="58" s="1"/>
  <c r="K4" i="61" l="1"/>
  <c r="R13" i="58"/>
  <c r="V17" i="63"/>
  <c r="H17" i="63"/>
  <c r="V13" i="63"/>
  <c r="H13" i="63"/>
  <c r="V8" i="63"/>
  <c r="H8" i="63"/>
  <c r="D23" i="64"/>
  <c r="L3" i="61"/>
  <c r="L5" i="61" s="1"/>
  <c r="H5" i="61"/>
  <c r="K3" i="61"/>
  <c r="D9" i="64"/>
  <c r="D24" i="64"/>
  <c r="D27" i="64"/>
  <c r="D25" i="64"/>
  <c r="M29" i="64"/>
  <c r="T29" i="64"/>
  <c r="R29" i="64"/>
  <c r="G29" i="64"/>
  <c r="AE29" i="64"/>
  <c r="AF29" i="64"/>
  <c r="AG29" i="64"/>
  <c r="W29" i="64"/>
  <c r="D21" i="64"/>
  <c r="Q29" i="64"/>
  <c r="O29" i="64"/>
  <c r="P29" i="64"/>
  <c r="AA29" i="64"/>
  <c r="Z29" i="64"/>
  <c r="L29" i="64"/>
  <c r="V29" i="64"/>
  <c r="AC29" i="64"/>
  <c r="D26" i="64"/>
  <c r="D19" i="64"/>
  <c r="D14" i="64"/>
  <c r="D13" i="64"/>
  <c r="D11" i="64"/>
  <c r="D22" i="64"/>
  <c r="E29" i="64"/>
  <c r="D8" i="64"/>
  <c r="AB29" i="64"/>
  <c r="AD29" i="64"/>
  <c r="S29" i="64"/>
  <c r="Y29" i="64"/>
  <c r="H29" i="64"/>
  <c r="J29" i="64"/>
  <c r="K6" i="61"/>
  <c r="L6" i="61"/>
  <c r="H8" i="61"/>
  <c r="D10" i="64"/>
  <c r="D16" i="64"/>
  <c r="D15" i="64"/>
  <c r="D28" i="64"/>
  <c r="K29" i="64"/>
  <c r="U29" i="64"/>
  <c r="N29" i="64"/>
  <c r="X29" i="64"/>
  <c r="I29" i="64"/>
  <c r="F29" i="64"/>
  <c r="AH29" i="64"/>
  <c r="D18" i="64"/>
  <c r="D12" i="64"/>
  <c r="D17" i="64"/>
  <c r="R8" i="58"/>
  <c r="L7" i="61"/>
  <c r="L8" i="61" s="1"/>
  <c r="K7" i="61"/>
  <c r="D24" i="59"/>
  <c r="D12" i="59"/>
  <c r="R15" i="58"/>
  <c r="E15" i="63"/>
  <c r="R11" i="58"/>
  <c r="E11" i="63"/>
  <c r="M29" i="59"/>
  <c r="AB29" i="59"/>
  <c r="AH29" i="59"/>
  <c r="J29" i="59"/>
  <c r="I29" i="59"/>
  <c r="V29" i="59"/>
  <c r="N29" i="59"/>
  <c r="F29" i="59"/>
  <c r="D19" i="59"/>
  <c r="D13" i="59"/>
  <c r="S29" i="59"/>
  <c r="AD29" i="59"/>
  <c r="D11" i="59"/>
  <c r="D22" i="59"/>
  <c r="D10" i="59"/>
  <c r="D23" i="59"/>
  <c r="D26" i="59"/>
  <c r="R10" i="58"/>
  <c r="E10" i="63"/>
  <c r="E16" i="63"/>
  <c r="R16" i="58"/>
  <c r="D20" i="59"/>
  <c r="AF29" i="59"/>
  <c r="Z29" i="59"/>
  <c r="K29" i="59"/>
  <c r="P29" i="59"/>
  <c r="Q29" i="59"/>
  <c r="R29" i="59"/>
  <c r="D9" i="59"/>
  <c r="D28" i="59"/>
  <c r="D15" i="59"/>
  <c r="E6" i="63"/>
  <c r="E19" i="58"/>
  <c r="E19" i="63" s="1"/>
  <c r="R6" i="58"/>
  <c r="E20" i="58"/>
  <c r="E20" i="63" s="1"/>
  <c r="H20" i="63" s="1"/>
  <c r="K20" i="63" s="1"/>
  <c r="N20" i="63" s="1"/>
  <c r="Q20" i="63" s="1"/>
  <c r="R14" i="58"/>
  <c r="E14" i="63"/>
  <c r="R18" i="58"/>
  <c r="E18" i="63"/>
  <c r="D25" i="59"/>
  <c r="W29" i="59"/>
  <c r="AC29" i="59"/>
  <c r="U29" i="59"/>
  <c r="X29" i="59"/>
  <c r="D8" i="59"/>
  <c r="E29" i="59"/>
  <c r="G29" i="59"/>
  <c r="D21" i="59"/>
  <c r="E9" i="63"/>
  <c r="R9" i="58"/>
  <c r="D16" i="59"/>
  <c r="R7" i="58"/>
  <c r="E7" i="63"/>
  <c r="E12" i="63"/>
  <c r="R12" i="58"/>
  <c r="T29" i="59"/>
  <c r="D17" i="59"/>
  <c r="H29" i="59"/>
  <c r="O29" i="59"/>
  <c r="AE29" i="59"/>
  <c r="AA29" i="59"/>
  <c r="AG29" i="59"/>
  <c r="L29" i="59"/>
  <c r="Y29" i="59"/>
  <c r="D27" i="59"/>
  <c r="D18" i="59"/>
  <c r="D14" i="59"/>
  <c r="K5" i="61" l="1"/>
  <c r="V7" i="63"/>
  <c r="H7" i="63"/>
  <c r="V9" i="63"/>
  <c r="H9" i="63"/>
  <c r="V14" i="63"/>
  <c r="H14" i="63"/>
  <c r="V6" i="63"/>
  <c r="H6" i="63"/>
  <c r="V16" i="63"/>
  <c r="H16" i="63"/>
  <c r="V11" i="63"/>
  <c r="H11" i="63"/>
  <c r="V18" i="63"/>
  <c r="H18" i="63"/>
  <c r="V10" i="63"/>
  <c r="H10" i="63"/>
  <c r="V12" i="63"/>
  <c r="H12" i="63"/>
  <c r="V15" i="63"/>
  <c r="H15" i="63"/>
  <c r="D29" i="64"/>
  <c r="I22" i="60" s="1"/>
  <c r="V19" i="63" s="1"/>
  <c r="K8" i="61"/>
  <c r="D29" i="59"/>
  <c r="I22" i="55" s="1"/>
  <c r="R19" i="58" s="1"/>
  <c r="R20" i="58"/>
  <c r="H21" i="63"/>
  <c r="K21" i="63"/>
  <c r="N21" i="63"/>
  <c r="Q21" i="63"/>
  <c r="V20" i="63" l="1"/>
  <c r="H19"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3" authorId="0" shapeId="0" xr:uid="{00000000-0006-0000-0000-00000100000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900-000001000000}">
      <text>
        <r>
          <rPr>
            <sz val="9"/>
            <color indexed="81"/>
            <rFont val="ＭＳ Ｐゴシック"/>
            <family val="3"/>
            <charset val="128"/>
          </rPr>
          <t>マイナスの値が表示されている場合はエラーの可能性があります。減少台数と新規使用台数を確認してください。</t>
        </r>
      </text>
    </comment>
    <comment ref="K4" authorId="0" shapeId="0" xr:uid="{00000000-0006-0000-0900-000002000000}">
      <text>
        <r>
          <rPr>
            <sz val="9"/>
            <color indexed="81"/>
            <rFont val="ＭＳ Ｐゴシック"/>
            <family val="3"/>
            <charset val="128"/>
          </rPr>
          <t>マイナスの値が表示されている場合はエラーの可能性があります。減少台数と新規使用台数を確認してください。</t>
        </r>
      </text>
    </comment>
    <comment ref="N4" authorId="0" shapeId="0" xr:uid="{00000000-0006-0000-0900-000003000000}">
      <text>
        <r>
          <rPr>
            <sz val="9"/>
            <color indexed="81"/>
            <rFont val="ＭＳ Ｐゴシック"/>
            <family val="3"/>
            <charset val="128"/>
          </rPr>
          <t>マイナスの値が表示されている場合はエラーの可能性があります。減少台数と新規使用台数を確認してください。</t>
        </r>
      </text>
    </comment>
    <comment ref="Q4" authorId="0" shapeId="0" xr:uid="{00000000-0006-0000-0900-000004000000}">
      <text>
        <r>
          <rPr>
            <sz val="9"/>
            <color indexed="81"/>
            <rFont val="ＭＳ Ｐゴシック"/>
            <family val="3"/>
            <charset val="128"/>
          </rPr>
          <t>マイナスの値が表示されている場合はエラーの可能性があります。減少台数と新規使用台数を確認してください。</t>
        </r>
      </text>
    </comment>
    <comment ref="V4" authorId="0" shapeId="0" xr:uid="{00000000-0006-0000-0900-000005000000}">
      <text>
        <r>
          <rPr>
            <sz val="9"/>
            <color indexed="81"/>
            <rFont val="ＭＳ Ｐゴシック"/>
            <family val="3"/>
            <charset val="128"/>
          </rPr>
          <t>マイナスの値が表示されている場合はエラーの可能性があります。減少台数と新規使用台数を確認してください。</t>
        </r>
      </text>
    </comment>
    <comment ref="X4" authorId="0" shapeId="0" xr:uid="{00000000-0006-0000-0900-000006000000}">
      <text>
        <r>
          <rPr>
            <sz val="9"/>
            <color indexed="81"/>
            <rFont val="MS P ゴシック"/>
            <family val="3"/>
            <charset val="128"/>
          </rPr>
          <t>【注意】
ここに表示される台数を、</t>
        </r>
        <r>
          <rPr>
            <b/>
            <sz val="9"/>
            <color indexed="10"/>
            <rFont val="MS P ゴシック"/>
            <family val="3"/>
            <charset val="128"/>
          </rPr>
          <t>「ゼロ」の欄も含めて</t>
        </r>
        <r>
          <rPr>
            <sz val="9"/>
            <color indexed="81"/>
            <rFont val="MS P ゴシック"/>
            <family val="3"/>
            <charset val="128"/>
          </rPr>
          <t>左側の報告年度の欄に</t>
        </r>
        <r>
          <rPr>
            <b/>
            <sz val="9"/>
            <color indexed="10"/>
            <rFont val="MS P ゴシック"/>
            <family val="3"/>
            <charset val="128"/>
          </rPr>
          <t>値として貼り付けてください</t>
        </r>
        <r>
          <rPr>
            <sz val="9"/>
            <color indexed="81"/>
            <rFont val="MS P ゴシック"/>
            <family val="3"/>
            <charset val="128"/>
          </rPr>
          <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 authorId="0" shapeId="0" xr:uid="{00000000-0006-0000-0A00-000001000000}">
      <text>
        <r>
          <rPr>
            <sz val="9"/>
            <color indexed="81"/>
            <rFont val="ＭＳ Ｐゴシック"/>
            <family val="3"/>
            <charset val="128"/>
          </rPr>
          <t xml:space="preserve">実績年度末の日付を記載してください。（例）令和３年度実績を令和４年度に報告する場合”令和３年3月31日現在”
</t>
        </r>
      </text>
    </comment>
    <comment ref="A3" authorId="0" shapeId="0" xr:uid="{00000000-0006-0000-0A00-000002000000}">
      <text>
        <r>
          <rPr>
            <sz val="9"/>
            <color indexed="81"/>
            <rFont val="ＭＳ Ｐゴシック"/>
            <family val="3"/>
            <charset val="128"/>
          </rPr>
          <t xml:space="preserve">事業場の名称を入力してください。
</t>
        </r>
      </text>
    </comment>
    <comment ref="A4" authorId="0" shapeId="0" xr:uid="{00000000-0006-0000-0A00-000003000000}">
      <text>
        <r>
          <rPr>
            <sz val="9"/>
            <color indexed="81"/>
            <rFont val="ＭＳ Ｐゴシック"/>
            <family val="3"/>
            <charset val="128"/>
          </rPr>
          <t xml:space="preserve">事業場の所在地を入力してください。
</t>
        </r>
      </text>
    </comment>
    <comment ref="A5" authorId="0" shapeId="0" xr:uid="{00000000-0006-0000-0A00-000004000000}">
      <text>
        <r>
          <rPr>
            <sz val="9"/>
            <color indexed="81"/>
            <rFont val="ＭＳ Ｐゴシック"/>
            <family val="3"/>
            <charset val="128"/>
          </rPr>
          <t xml:space="preserve">事業場の連絡先を入力してください。
</t>
        </r>
      </text>
    </comment>
    <comment ref="A6" authorId="0" shapeId="0" xr:uid="{00000000-0006-0000-0A00-000005000000}">
      <text>
        <r>
          <rPr>
            <sz val="9"/>
            <color indexed="81"/>
            <rFont val="ＭＳ Ｐゴシック"/>
            <family val="3"/>
            <charset val="128"/>
          </rPr>
          <t xml:space="preserve">各事業場の従業員数を入力してください。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 authorId="0" shapeId="0" xr:uid="{00000000-0006-0000-0100-000001000000}">
      <text>
        <r>
          <rPr>
            <sz val="9"/>
            <color indexed="81"/>
            <rFont val="ＭＳ Ｐゴシック"/>
            <family val="3"/>
            <charset val="128"/>
          </rPr>
          <t xml:space="preserve">提出日を記載してください
</t>
        </r>
      </text>
    </comment>
    <comment ref="M8" authorId="0" shapeId="0" xr:uid="{00000000-0006-0000-0100-000002000000}">
      <text>
        <r>
          <rPr>
            <sz val="9"/>
            <color indexed="81"/>
            <rFont val="ＭＳ Ｐゴシック"/>
            <family val="3"/>
            <charset val="128"/>
          </rPr>
          <t>本社の住所を記載してください。</t>
        </r>
      </text>
    </comment>
    <comment ref="M10" authorId="0" shapeId="0" xr:uid="{00000000-0006-0000-0100-000003000000}">
      <text>
        <r>
          <rPr>
            <sz val="9"/>
            <color indexed="81"/>
            <rFont val="ＭＳ Ｐゴシック"/>
            <family val="3"/>
            <charset val="128"/>
          </rPr>
          <t>名称のフリガナを記載してください。</t>
        </r>
      </text>
    </comment>
    <comment ref="M11" authorId="0" shapeId="0" xr:uid="{00000000-0006-0000-0100-000004000000}">
      <text>
        <r>
          <rPr>
            <sz val="9"/>
            <color indexed="81"/>
            <rFont val="ＭＳ Ｐゴシック"/>
            <family val="3"/>
            <charset val="128"/>
          </rPr>
          <t>会社等の名称を記載してください。</t>
        </r>
      </text>
    </comment>
    <comment ref="M12" authorId="0" shapeId="0" xr:uid="{00000000-0006-0000-0100-000005000000}">
      <text>
        <r>
          <rPr>
            <sz val="9"/>
            <color indexed="81"/>
            <rFont val="ＭＳ Ｐゴシック"/>
            <family val="3"/>
            <charset val="128"/>
          </rPr>
          <t>代表者氏名を記載してください。</t>
        </r>
      </text>
    </comment>
    <comment ref="I21" authorId="0" shapeId="0" xr:uid="{00000000-0006-0000-0100-000006000000}">
      <text>
        <r>
          <rPr>
            <b/>
            <sz val="9"/>
            <color indexed="81"/>
            <rFont val="ＭＳ Ｐゴシック"/>
            <family val="3"/>
            <charset val="128"/>
          </rPr>
          <t>大阪府における主たる事業場の郵便番号、所在地を入力してください。</t>
        </r>
      </text>
    </comment>
    <comment ref="I22" authorId="0" shapeId="0" xr:uid="{00000000-0006-0000-0100-000007000000}">
      <text>
        <r>
          <rPr>
            <sz val="10"/>
            <color indexed="81"/>
            <rFont val="ＭＳ Ｐゴシック"/>
            <family val="3"/>
            <charset val="128"/>
          </rPr>
          <t>事業場計画のシートの車両台数の合計値が反映されます。</t>
        </r>
      </text>
    </comment>
    <comment ref="I24" authorId="0" shapeId="0" xr:uid="{00000000-0006-0000-0100-000008000000}">
      <text>
        <r>
          <rPr>
            <sz val="10"/>
            <color indexed="81"/>
            <rFont val="ＭＳ Ｐゴシック"/>
            <family val="3"/>
            <charset val="128"/>
          </rPr>
          <t>業種番号を記載すると自動的に業種名が入力されます。</t>
        </r>
      </text>
    </comment>
    <comment ref="T24" authorId="0" shapeId="0" xr:uid="{00000000-0006-0000-0100-00000900000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xr:uid="{00000000-0006-0000-0100-00000A000000}">
      <text>
        <r>
          <rPr>
            <sz val="9"/>
            <color indexed="81"/>
            <rFont val="ＭＳ Ｐゴシック"/>
            <family val="3"/>
            <charset val="128"/>
          </rPr>
          <t>事業の概要を入力してください。</t>
        </r>
      </text>
    </comment>
    <comment ref="I26" authorId="0" shapeId="0" xr:uid="{00000000-0006-0000-0100-00000B000000}">
      <text>
        <r>
          <rPr>
            <sz val="10"/>
            <color indexed="81"/>
            <rFont val="ＭＳ Ｐゴシック"/>
            <family val="3"/>
            <charset val="128"/>
          </rPr>
          <t>事業場計画のシートにおいて従業員数を入力するとこちらに反映されます。</t>
        </r>
      </text>
    </comment>
    <comment ref="M27" authorId="0" shapeId="0" xr:uid="{00000000-0006-0000-0100-00000C000000}">
      <text>
        <r>
          <rPr>
            <sz val="9"/>
            <color indexed="81"/>
            <rFont val="ＭＳ Ｐゴシック"/>
            <family val="3"/>
            <charset val="128"/>
          </rPr>
          <t>記載した担当者の所属、氏名を記載してください。</t>
        </r>
      </text>
    </comment>
    <comment ref="M28" authorId="0" shapeId="0" xr:uid="{00000000-0006-0000-0100-00000D000000}">
      <text>
        <r>
          <rPr>
            <sz val="9"/>
            <color indexed="81"/>
            <rFont val="ＭＳ Ｐゴシック"/>
            <family val="3"/>
            <charset val="128"/>
          </rPr>
          <t>記載した担当者の所属所在地を記載してください。</t>
        </r>
      </text>
    </comment>
    <comment ref="M29" authorId="0" shapeId="0" xr:uid="{00000000-0006-0000-0100-00000E000000}">
      <text>
        <r>
          <rPr>
            <sz val="9"/>
            <color indexed="81"/>
            <rFont val="ＭＳ Ｐゴシック"/>
            <family val="3"/>
            <charset val="128"/>
          </rPr>
          <t>電話番号を記載してください。
内線がある場合は、内線番号を（　）で記載してください。</t>
        </r>
      </text>
    </comment>
    <comment ref="M30" authorId="0" shapeId="0" xr:uid="{00000000-0006-0000-0100-00000F000000}">
      <text>
        <r>
          <rPr>
            <sz val="9"/>
            <color indexed="81"/>
            <rFont val="ＭＳ Ｐゴシック"/>
            <family val="3"/>
            <charset val="128"/>
          </rPr>
          <t>FAX番号を記載してください。</t>
        </r>
      </text>
    </comment>
    <comment ref="M31" authorId="0" shapeId="0" xr:uid="{00000000-0006-0000-0100-000010000000}">
      <text>
        <r>
          <rPr>
            <sz val="9"/>
            <color indexed="81"/>
            <rFont val="ＭＳ Ｐゴシック"/>
            <family val="3"/>
            <charset val="128"/>
          </rPr>
          <t>組織または担当者のE-mailアドレスを記載してください。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4" authorId="0" shapeId="0" xr:uid="{00000000-0006-0000-0200-000001000000}">
      <text>
        <r>
          <rPr>
            <sz val="9"/>
            <color indexed="81"/>
            <rFont val="ＭＳ Ｐゴシック"/>
            <family val="3"/>
            <charset val="128"/>
          </rPr>
          <t>計画事業場のシートにおいて事業場の名称に対応するコードとして1～30が入力可能であり、30の事業場を持つ事業者まで対応しております。</t>
        </r>
      </text>
    </comment>
    <comment ref="C14" authorId="0" shapeId="0" xr:uid="{00000000-0006-0000-0200-000002000000}">
      <text>
        <r>
          <rPr>
            <sz val="9"/>
            <color indexed="81"/>
            <rFont val="ＭＳ Ｐゴシック"/>
            <family val="3"/>
            <charset val="128"/>
          </rPr>
          <t xml:space="preserve">ナンバープレート表記を、使用の本拠、分類番号、文字、指定番号、それぞれの項目に分けて記入してください。
</t>
        </r>
      </text>
    </comment>
    <comment ref="H14" authorId="0" shapeId="0" xr:uid="{00000000-0006-0000-0200-000003000000}">
      <text>
        <r>
          <rPr>
            <sz val="10"/>
            <color indexed="81"/>
            <rFont val="ＭＳ Ｐゴシック"/>
            <family val="3"/>
            <charset val="128"/>
          </rPr>
          <t>リストから選択してください。
ナンバープレートの分類番号を先に指定しないと自動車の種別が選択できないようになっています。</t>
        </r>
      </text>
    </comment>
    <comment ref="I14" authorId="0" shapeId="0" xr:uid="{00000000-0006-0000-0200-000004000000}">
      <text>
        <r>
          <rPr>
            <sz val="9"/>
            <color indexed="81"/>
            <rFont val="ＭＳ Ｐゴシック"/>
            <family val="3"/>
            <charset val="128"/>
          </rPr>
          <t>リストから参照して頂いても直接入力して頂いても構いません。</t>
        </r>
      </text>
    </comment>
    <comment ref="J14" authorId="0" shapeId="0" xr:uid="{00000000-0006-0000-0200-00000500000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K14" authorId="0" shapeId="0" xr:uid="{00000000-0006-0000-0200-000006000000}">
      <text>
        <r>
          <rPr>
            <sz val="9"/>
            <color indexed="81"/>
            <rFont val="ＭＳ Ｐゴシック"/>
            <family val="3"/>
            <charset val="128"/>
          </rPr>
          <t>リストから選択してください</t>
        </r>
      </text>
    </comment>
    <comment ref="L14" authorId="0" shapeId="0" xr:uid="{00000000-0006-0000-0200-00000700000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S14" authorId="0" shapeId="0" xr:uid="{00000000-0006-0000-0200-000008000000}">
      <text>
        <r>
          <rPr>
            <sz val="9"/>
            <color indexed="81"/>
            <rFont val="ＭＳ Ｐゴシック"/>
            <family val="3"/>
            <charset val="128"/>
          </rPr>
          <t>・廃車したとき→「</t>
        </r>
        <r>
          <rPr>
            <b/>
            <sz val="9"/>
            <color indexed="10"/>
            <rFont val="ＭＳ Ｐゴシック"/>
            <family val="3"/>
            <charset val="128"/>
          </rPr>
          <t>廃止</t>
        </r>
        <r>
          <rPr>
            <sz val="9"/>
            <color indexed="81"/>
            <rFont val="ＭＳ Ｐゴシック"/>
            <family val="3"/>
            <charset val="128"/>
          </rPr>
          <t>」を選択。
・使用の本拠の位置を移転して特定自動車ではなくなった（大阪府域内から大阪府域外へ移転した）とき→「</t>
        </r>
        <r>
          <rPr>
            <b/>
            <sz val="9"/>
            <color indexed="10"/>
            <rFont val="ＭＳ Ｐゴシック"/>
            <family val="3"/>
            <charset val="128"/>
          </rPr>
          <t>廃止</t>
        </r>
        <r>
          <rPr>
            <sz val="9"/>
            <color indexed="81"/>
            <rFont val="ＭＳ Ｐゴシック"/>
            <family val="3"/>
            <charset val="128"/>
          </rPr>
          <t xml:space="preserve">」を選択。
</t>
        </r>
      </text>
    </comment>
    <comment ref="C15" authorId="0" shapeId="0" xr:uid="{00000000-0006-0000-0200-000009000000}">
      <text>
        <r>
          <rPr>
            <b/>
            <sz val="9"/>
            <color indexed="10"/>
            <rFont val="MS P ゴシック"/>
            <family val="3"/>
            <charset val="128"/>
          </rPr>
          <t>大阪府外</t>
        </r>
        <r>
          <rPr>
            <sz val="9"/>
            <color indexed="81"/>
            <rFont val="MS P ゴシック"/>
            <family val="3"/>
            <charset val="128"/>
          </rPr>
          <t>のナンバーは入力しないでください。</t>
        </r>
      </text>
    </comment>
    <comment ref="L15" authorId="0" shapeId="0" xr:uid="{00000000-0006-0000-0200-00000A000000}">
      <text>
        <r>
          <rPr>
            <sz val="9"/>
            <color indexed="81"/>
            <rFont val="ＭＳ Ｐゴシック"/>
            <family val="3"/>
            <charset val="128"/>
          </rPr>
          <t>使用車種規制非適合の古い車に同時低減装置を</t>
        </r>
        <r>
          <rPr>
            <u/>
            <sz val="9"/>
            <color indexed="81"/>
            <rFont val="ＭＳ Ｐゴシック"/>
            <family val="3"/>
            <charset val="128"/>
          </rPr>
          <t>後付けで装着</t>
        </r>
        <r>
          <rPr>
            <sz val="9"/>
            <color indexed="81"/>
            <rFont val="ＭＳ Ｐゴシック"/>
            <family val="3"/>
            <charset val="128"/>
          </rPr>
          <t>して改造した車両で、車検証の備考欄に「使用車種規制（NOx・PM）適合。NOx・PM法対応変更有り。脱着装置」のような記載があれば、ドロップダウンリストから「あり」を選んでください。</t>
        </r>
      </text>
    </comment>
    <comment ref="M15" authorId="0" shapeId="0" xr:uid="{00000000-0006-0000-0200-00000B00000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 authorId="0" shapeId="0" xr:uid="{00000000-0006-0000-0300-000001000000}">
      <text>
        <r>
          <rPr>
            <sz val="9"/>
            <color indexed="81"/>
            <rFont val="ＭＳ Ｐゴシック"/>
            <family val="3"/>
            <charset val="128"/>
          </rPr>
          <t xml:space="preserve">計画の有無をリストから選択してください。
</t>
        </r>
      </text>
    </comment>
    <comment ref="D2" authorId="0" shapeId="0" xr:uid="{00000000-0006-0000-0300-000002000000}">
      <text>
        <r>
          <rPr>
            <sz val="9"/>
            <color indexed="81"/>
            <rFont val="ＭＳ Ｐゴシック"/>
            <family val="3"/>
            <charset val="128"/>
          </rPr>
          <t>計画がある場合に該当する内容の項目分だけ○をつけてください。その他にある場合はその他にそれを記載してください。</t>
        </r>
      </text>
    </comment>
    <comment ref="C3" authorId="0" shapeId="0" xr:uid="{00000000-0006-0000-0300-000003000000}">
      <text>
        <r>
          <rPr>
            <sz val="9"/>
            <color indexed="81"/>
            <rFont val="ＭＳ Ｐゴシック"/>
            <family val="3"/>
            <charset val="128"/>
          </rPr>
          <t>必ず「あり」としてください。</t>
        </r>
      </text>
    </comment>
    <comment ref="D6" authorId="0" shapeId="0" xr:uid="{00000000-0006-0000-0300-000004000000}">
      <text>
        <r>
          <rPr>
            <sz val="9"/>
            <color indexed="81"/>
            <rFont val="ＭＳ Ｐゴシック"/>
            <family val="3"/>
            <charset val="128"/>
          </rPr>
          <t xml:space="preserve">必ず「○」としてください。
</t>
        </r>
      </text>
    </comment>
    <comment ref="C10" authorId="0" shapeId="0" xr:uid="{00000000-0006-0000-0300-000005000000}">
      <text>
        <r>
          <rPr>
            <sz val="9"/>
            <color indexed="81"/>
            <rFont val="ＭＳ Ｐゴシック"/>
            <family val="3"/>
            <charset val="128"/>
          </rPr>
          <t>必ず「あり」としてください。</t>
        </r>
      </text>
    </comment>
    <comment ref="C36" authorId="0" shapeId="0" xr:uid="{00000000-0006-0000-0300-000006000000}">
      <text>
        <r>
          <rPr>
            <sz val="9"/>
            <color indexed="81"/>
            <rFont val="ＭＳ Ｐゴシック"/>
            <family val="3"/>
            <charset val="128"/>
          </rPr>
          <t>取り組み可能なら「あり」としてください。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0400-000001000000}">
      <text>
        <r>
          <rPr>
            <sz val="9"/>
            <color indexed="81"/>
            <rFont val="ＭＳ Ｐゴシック"/>
            <family val="3"/>
            <charset val="128"/>
          </rPr>
          <t>令和２年度実績を報告した特定事業者の場合は、「令和３年3月31日現在」と記入したしてください。</t>
        </r>
      </text>
    </comment>
    <comment ref="F4" authorId="0" shapeId="0" xr:uid="{00000000-0006-0000-0400-000002000000}">
      <text>
        <r>
          <rPr>
            <sz val="9"/>
            <color indexed="81"/>
            <rFont val="ＭＳ Ｐゴシック"/>
            <family val="3"/>
            <charset val="128"/>
          </rPr>
          <t xml:space="preserve">年度内で減少する自動車があれば、台数を入力してください。
</t>
        </r>
      </text>
    </comment>
    <comment ref="G4" authorId="0" shapeId="0" xr:uid="{00000000-0006-0000-0400-000003000000}">
      <text>
        <r>
          <rPr>
            <sz val="9"/>
            <color indexed="81"/>
            <rFont val="ＭＳ Ｐゴシック"/>
            <family val="3"/>
            <charset val="128"/>
          </rPr>
          <t xml:space="preserve">年度内で新規に導入する自動車がある場合に台数を入力してください。
</t>
        </r>
      </text>
    </comment>
    <comment ref="H4" authorId="0" shapeId="0" xr:uid="{00000000-0006-0000-0400-000004000000}">
      <text>
        <r>
          <rPr>
            <sz val="9"/>
            <color indexed="81"/>
            <rFont val="ＭＳ Ｐゴシック"/>
            <family val="3"/>
            <charset val="128"/>
          </rPr>
          <t xml:space="preserve">年度内で減少する自動車があれば、台数を入力してください。
</t>
        </r>
      </text>
    </comment>
    <comment ref="I4" authorId="0" shapeId="0" xr:uid="{00000000-0006-0000-0400-000005000000}">
      <text>
        <r>
          <rPr>
            <sz val="9"/>
            <color indexed="81"/>
            <rFont val="ＭＳ Ｐゴシック"/>
            <family val="3"/>
            <charset val="128"/>
          </rPr>
          <t xml:space="preserve">年度内で新規に導入する自動車がある場合に台数を入力してください。
</t>
        </r>
      </text>
    </comment>
    <comment ref="J4" authorId="0" shapeId="0" xr:uid="{00000000-0006-0000-0400-000006000000}">
      <text>
        <r>
          <rPr>
            <sz val="9"/>
            <color indexed="81"/>
            <rFont val="ＭＳ Ｐゴシック"/>
            <family val="3"/>
            <charset val="128"/>
          </rPr>
          <t xml:space="preserve">年度内で減少する自動車があれば、台数を入力してください。
</t>
        </r>
      </text>
    </comment>
    <comment ref="K4" authorId="0" shapeId="0" xr:uid="{00000000-0006-0000-0400-000007000000}">
      <text>
        <r>
          <rPr>
            <sz val="9"/>
            <color indexed="81"/>
            <rFont val="ＭＳ Ｐゴシック"/>
            <family val="3"/>
            <charset val="128"/>
          </rPr>
          <t xml:space="preserve">年度内で新規に導入する自動車がある場合に台数を入力してください。
</t>
        </r>
      </text>
    </comment>
    <comment ref="L4" authorId="0" shapeId="0" xr:uid="{00000000-0006-0000-0400-000008000000}">
      <text>
        <r>
          <rPr>
            <sz val="9"/>
            <color indexed="81"/>
            <rFont val="ＭＳ Ｐゴシック"/>
            <family val="3"/>
            <charset val="128"/>
          </rPr>
          <t>年度内で減少する自動車があれば、台数を入力してください。</t>
        </r>
      </text>
    </comment>
    <comment ref="M4" authorId="0" shapeId="0" xr:uid="{00000000-0006-0000-0400-000009000000}">
      <text>
        <r>
          <rPr>
            <sz val="9"/>
            <color indexed="81"/>
            <rFont val="ＭＳ Ｐゴシック"/>
            <family val="3"/>
            <charset val="128"/>
          </rPr>
          <t xml:space="preserve">年度内で新規に導入する自動車がある場合に台数を入力してください。
</t>
        </r>
      </text>
    </comment>
    <comment ref="N4" authorId="0" shapeId="0" xr:uid="{00000000-0006-0000-0400-00000A000000}">
      <text>
        <r>
          <rPr>
            <sz val="9"/>
            <color indexed="81"/>
            <rFont val="ＭＳ Ｐゴシック"/>
            <family val="3"/>
            <charset val="128"/>
          </rPr>
          <t>年度内で減少する自動車があれば、台数を入力してください。</t>
        </r>
      </text>
    </comment>
    <comment ref="O4" authorId="0" shapeId="0" xr:uid="{00000000-0006-0000-0400-00000B000000}">
      <text>
        <r>
          <rPr>
            <sz val="9"/>
            <color indexed="81"/>
            <rFont val="ＭＳ Ｐゴシック"/>
            <family val="3"/>
            <charset val="128"/>
          </rPr>
          <t xml:space="preserve">年度内で新規に導入する自動車がある場合に台数を入力してください。
</t>
        </r>
      </text>
    </comment>
    <comment ref="R4" authorId="0" shapeId="0" xr:uid="{00000000-0006-0000-0400-00000C00000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500-000001000000}">
      <text>
        <r>
          <rPr>
            <sz val="9"/>
            <color indexed="81"/>
            <rFont val="ＭＳ Ｐゴシック"/>
            <family val="3"/>
            <charset val="128"/>
          </rPr>
          <t xml:space="preserve">事業場の名称を入力してください
</t>
        </r>
      </text>
    </comment>
    <comment ref="A4" authorId="0" shapeId="0" xr:uid="{00000000-0006-0000-0500-000002000000}">
      <text>
        <r>
          <rPr>
            <sz val="9"/>
            <color indexed="81"/>
            <rFont val="ＭＳ Ｐゴシック"/>
            <family val="3"/>
            <charset val="128"/>
          </rPr>
          <t xml:space="preserve">事業場の所在地を入力してください。
</t>
        </r>
      </text>
    </comment>
    <comment ref="A5" authorId="0" shapeId="0" xr:uid="{00000000-0006-0000-0500-000003000000}">
      <text>
        <r>
          <rPr>
            <sz val="9"/>
            <color indexed="81"/>
            <rFont val="ＭＳ Ｐゴシック"/>
            <family val="3"/>
            <charset val="128"/>
          </rPr>
          <t xml:space="preserve">事業場の連絡先を入力してください。
</t>
        </r>
      </text>
    </comment>
    <comment ref="A6" authorId="0" shapeId="0" xr:uid="{00000000-0006-0000-0500-000004000000}">
      <text>
        <r>
          <rPr>
            <sz val="9"/>
            <color indexed="81"/>
            <rFont val="ＭＳ Ｐゴシック"/>
            <family val="3"/>
            <charset val="128"/>
          </rPr>
          <t xml:space="preserve">各事業場の従業員数を入力してください。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 authorId="0" shapeId="0" xr:uid="{00000000-0006-0000-0600-000001000000}">
      <text>
        <r>
          <rPr>
            <sz val="9"/>
            <color indexed="81"/>
            <rFont val="ＭＳ Ｐゴシック"/>
            <family val="3"/>
            <charset val="128"/>
          </rPr>
          <t xml:space="preserve">提出日を記載してください
</t>
        </r>
      </text>
    </comment>
    <comment ref="M8" authorId="0" shapeId="0" xr:uid="{00000000-0006-0000-0600-000002000000}">
      <text>
        <r>
          <rPr>
            <sz val="9"/>
            <color indexed="81"/>
            <rFont val="ＭＳ Ｐゴシック"/>
            <family val="3"/>
            <charset val="128"/>
          </rPr>
          <t>本社の住所を記載してください。</t>
        </r>
      </text>
    </comment>
    <comment ref="M10" authorId="0" shapeId="0" xr:uid="{00000000-0006-0000-0600-000003000000}">
      <text>
        <r>
          <rPr>
            <sz val="9"/>
            <color indexed="81"/>
            <rFont val="ＭＳ Ｐゴシック"/>
            <family val="3"/>
            <charset val="128"/>
          </rPr>
          <t>名称のフリガナを記載してください。</t>
        </r>
      </text>
    </comment>
    <comment ref="M11" authorId="0" shapeId="0" xr:uid="{00000000-0006-0000-0600-000004000000}">
      <text>
        <r>
          <rPr>
            <sz val="9"/>
            <color indexed="81"/>
            <rFont val="ＭＳ Ｐゴシック"/>
            <family val="3"/>
            <charset val="128"/>
          </rPr>
          <t>会社等の名称を記載してください。</t>
        </r>
      </text>
    </comment>
    <comment ref="M12" authorId="0" shapeId="0" xr:uid="{00000000-0006-0000-0600-000005000000}">
      <text>
        <r>
          <rPr>
            <sz val="9"/>
            <color indexed="81"/>
            <rFont val="ＭＳ Ｐゴシック"/>
            <family val="3"/>
            <charset val="128"/>
          </rPr>
          <t>代表者氏名を記載してください。</t>
        </r>
      </text>
    </comment>
    <comment ref="I21" authorId="0" shapeId="0" xr:uid="{00000000-0006-0000-0600-000006000000}">
      <text>
        <r>
          <rPr>
            <sz val="9"/>
            <color indexed="81"/>
            <rFont val="ＭＳ Ｐゴシック"/>
            <family val="3"/>
            <charset val="128"/>
          </rPr>
          <t>大阪府における主たる事業場の郵便番号、所在地を入力してください。</t>
        </r>
      </text>
    </comment>
    <comment ref="I22" authorId="0" shapeId="0" xr:uid="{00000000-0006-0000-0600-000007000000}">
      <text>
        <r>
          <rPr>
            <sz val="10"/>
            <color indexed="81"/>
            <rFont val="ＭＳ Ｐゴシック"/>
            <family val="3"/>
            <charset val="128"/>
          </rPr>
          <t>実績事業場シートの車両台数の合計値が反映されます。</t>
        </r>
      </text>
    </comment>
    <comment ref="I24" authorId="0" shapeId="0" xr:uid="{00000000-0006-0000-0600-000008000000}">
      <text>
        <r>
          <rPr>
            <sz val="10"/>
            <color indexed="81"/>
            <rFont val="ＭＳ Ｐゴシック"/>
            <family val="3"/>
            <charset val="128"/>
          </rPr>
          <t>業種番号を記載すると自動的に業種名が入力されます。</t>
        </r>
      </text>
    </comment>
    <comment ref="T24" authorId="0" shapeId="0" xr:uid="{00000000-0006-0000-0600-00000900000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xr:uid="{00000000-0006-0000-0600-00000A000000}">
      <text>
        <r>
          <rPr>
            <sz val="9"/>
            <color indexed="81"/>
            <rFont val="ＭＳ Ｐゴシック"/>
            <family val="3"/>
            <charset val="128"/>
          </rPr>
          <t>事業の概要を入力してください。</t>
        </r>
      </text>
    </comment>
    <comment ref="I26" authorId="0" shapeId="0" xr:uid="{00000000-0006-0000-0600-00000B000000}">
      <text>
        <r>
          <rPr>
            <sz val="10"/>
            <color indexed="81"/>
            <rFont val="ＭＳ Ｐゴシック"/>
            <family val="3"/>
            <charset val="128"/>
          </rPr>
          <t>実績事業場シートで従業員数を入力するとこちらに反映されます。</t>
        </r>
      </text>
    </comment>
    <comment ref="M27" authorId="0" shapeId="0" xr:uid="{00000000-0006-0000-0600-00000C000000}">
      <text>
        <r>
          <rPr>
            <sz val="9"/>
            <color indexed="81"/>
            <rFont val="ＭＳ Ｐゴシック"/>
            <family val="3"/>
            <charset val="128"/>
          </rPr>
          <t>記載した担当者の所属、氏名を記載してください。</t>
        </r>
      </text>
    </comment>
    <comment ref="M28" authorId="0" shapeId="0" xr:uid="{00000000-0006-0000-0600-00000D000000}">
      <text>
        <r>
          <rPr>
            <sz val="9"/>
            <color indexed="81"/>
            <rFont val="ＭＳ Ｐゴシック"/>
            <family val="3"/>
            <charset val="128"/>
          </rPr>
          <t>記載した担当者の所属所在地を記載してください。</t>
        </r>
      </text>
    </comment>
    <comment ref="M29" authorId="0" shapeId="0" xr:uid="{00000000-0006-0000-0600-00000E000000}">
      <text>
        <r>
          <rPr>
            <sz val="9"/>
            <color indexed="81"/>
            <rFont val="ＭＳ Ｐゴシック"/>
            <family val="3"/>
            <charset val="128"/>
          </rPr>
          <t>電話番号を記載してください。
内線がある場合は、内線番号を（　）で記載してください。</t>
        </r>
      </text>
    </comment>
    <comment ref="M30" authorId="0" shapeId="0" xr:uid="{00000000-0006-0000-0600-00000F000000}">
      <text>
        <r>
          <rPr>
            <sz val="9"/>
            <color indexed="81"/>
            <rFont val="ＭＳ Ｐゴシック"/>
            <family val="3"/>
            <charset val="128"/>
          </rPr>
          <t>FAX番号を記載してください。</t>
        </r>
      </text>
    </comment>
    <comment ref="M31" authorId="0" shapeId="0" xr:uid="{00000000-0006-0000-0600-000010000000}">
      <text>
        <r>
          <rPr>
            <sz val="9"/>
            <color indexed="81"/>
            <rFont val="ＭＳ Ｐゴシック"/>
            <family val="3"/>
            <charset val="128"/>
          </rPr>
          <t>組織または担当者のE-mailアドレスを記載してください。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700-000001000000}">
      <text>
        <r>
          <rPr>
            <b/>
            <sz val="14"/>
            <color indexed="10"/>
            <rFont val="ＭＳ Ｐゴシック"/>
            <family val="3"/>
            <charset val="128"/>
          </rPr>
          <t>実績報告年度を選択してください。</t>
        </r>
      </text>
    </comment>
    <comment ref="B14" authorId="0" shapeId="0" xr:uid="{00000000-0006-0000-0700-000002000000}">
      <text>
        <r>
          <rPr>
            <sz val="9"/>
            <color indexed="81"/>
            <rFont val="ＭＳ Ｐゴシック"/>
            <family val="3"/>
            <charset val="128"/>
          </rPr>
          <t>計画事業場のシートにおいて事業場の名称に対応するコードとして1～30が入力可能であり、30の事業場を持つ事業者まで対応しております。</t>
        </r>
      </text>
    </comment>
    <comment ref="C14" authorId="0" shapeId="0" xr:uid="{00000000-0006-0000-0700-000003000000}">
      <text>
        <r>
          <rPr>
            <sz val="9"/>
            <color indexed="81"/>
            <rFont val="ＭＳ Ｐゴシック"/>
            <family val="3"/>
            <charset val="128"/>
          </rPr>
          <t xml:space="preserve">ナンバープレート表記を、使用の本拠、分類番号、文字、指定番号、それぞれの項目に分けて記入してください。
</t>
        </r>
      </text>
    </comment>
    <comment ref="H14" authorId="0" shapeId="0" xr:uid="{00000000-0006-0000-0700-000004000000}">
      <text>
        <r>
          <rPr>
            <sz val="10"/>
            <color indexed="81"/>
            <rFont val="ＭＳ Ｐゴシック"/>
            <family val="3"/>
            <charset val="128"/>
          </rPr>
          <t>リストから選択してください。
ナンバープレートの分類番号を先に指定しないと自動車の種別が選択できないようになっています。</t>
        </r>
      </text>
    </comment>
    <comment ref="I14" authorId="0" shapeId="0" xr:uid="{00000000-0006-0000-0700-000005000000}">
      <text>
        <r>
          <rPr>
            <sz val="9"/>
            <color indexed="81"/>
            <rFont val="ＭＳ Ｐゴシック"/>
            <family val="3"/>
            <charset val="128"/>
          </rPr>
          <t>リストから参照して頂いても直接入力して頂いても構いません。</t>
        </r>
      </text>
    </comment>
    <comment ref="J14" authorId="0" shapeId="0" xr:uid="{00000000-0006-0000-0700-00000600000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K14" authorId="0" shapeId="0" xr:uid="{00000000-0006-0000-0700-000007000000}">
      <text>
        <r>
          <rPr>
            <sz val="9"/>
            <color indexed="81"/>
            <rFont val="ＭＳ Ｐゴシック"/>
            <family val="3"/>
            <charset val="128"/>
          </rPr>
          <t>リストから選択してください。</t>
        </r>
      </text>
    </comment>
    <comment ref="L14" authorId="0" shapeId="0" xr:uid="{00000000-0006-0000-0700-00000800000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T14" authorId="0" shapeId="0" xr:uid="{00000000-0006-0000-0700-000009000000}">
      <text>
        <r>
          <rPr>
            <b/>
            <sz val="9"/>
            <color indexed="81"/>
            <rFont val="ＭＳ Ｐゴシック"/>
            <family val="3"/>
            <charset val="128"/>
          </rPr>
          <t>以下に従い、「新規」、「廃止」または「新規廃止」を選択してください。</t>
        </r>
        <r>
          <rPr>
            <sz val="9"/>
            <color indexed="81"/>
            <rFont val="ＭＳ Ｐゴシック"/>
            <family val="3"/>
            <charset val="128"/>
          </rPr>
          <t xml:space="preserve">
・新車又は中古車を新規導入したとき。
・使用の本拠の位置を移転して特定自動車となった（大阪府域外から大阪府域内へ移転した）とき。
 →</t>
        </r>
        <r>
          <rPr>
            <b/>
            <sz val="9"/>
            <color indexed="10"/>
            <rFont val="ＭＳ Ｐゴシック"/>
            <family val="3"/>
            <charset val="128"/>
          </rPr>
          <t xml:space="preserve"> 「新規」</t>
        </r>
        <r>
          <rPr>
            <sz val="9"/>
            <color indexed="81"/>
            <rFont val="ＭＳ Ｐゴシック"/>
            <family val="3"/>
            <charset val="128"/>
          </rPr>
          <t>を選択。
・廃車したとき。
・使用の本拠の位置を移転して特定自動車ではなくなった(大阪府域内から大阪府域外へ移転した）とき。
 →</t>
        </r>
        <r>
          <rPr>
            <b/>
            <sz val="9"/>
            <color indexed="10"/>
            <rFont val="ＭＳ Ｐゴシック"/>
            <family val="3"/>
            <charset val="128"/>
          </rPr>
          <t xml:space="preserve"> 「廃止」</t>
        </r>
        <r>
          <rPr>
            <sz val="9"/>
            <color indexed="81"/>
            <rFont val="ＭＳ Ｐゴシック"/>
            <family val="3"/>
            <charset val="128"/>
          </rPr>
          <t>を選択。
・同年度内に、新規導入した自動車を廃止または移転した場合。
 →</t>
        </r>
        <r>
          <rPr>
            <b/>
            <sz val="9"/>
            <color indexed="10"/>
            <rFont val="ＭＳ Ｐゴシック"/>
            <family val="3"/>
            <charset val="128"/>
          </rPr>
          <t xml:space="preserve"> 「新規かつ廃止」</t>
        </r>
        <r>
          <rPr>
            <sz val="9"/>
            <color indexed="81"/>
            <rFont val="ＭＳ Ｐゴシック"/>
            <family val="3"/>
            <charset val="128"/>
          </rPr>
          <t>を選択。</t>
        </r>
      </text>
    </comment>
    <comment ref="C15" authorId="0" shapeId="0" xr:uid="{00000000-0006-0000-0700-00000A000000}">
      <text>
        <r>
          <rPr>
            <b/>
            <sz val="9"/>
            <color indexed="10"/>
            <rFont val="MS P ゴシック"/>
            <family val="3"/>
            <charset val="128"/>
          </rPr>
          <t>大阪府外</t>
        </r>
        <r>
          <rPr>
            <sz val="9"/>
            <color indexed="81"/>
            <rFont val="MS P ゴシック"/>
            <family val="3"/>
            <charset val="128"/>
          </rPr>
          <t>のナンバーは入力しないでください。</t>
        </r>
      </text>
    </comment>
    <comment ref="L15" authorId="0" shapeId="0" xr:uid="{00000000-0006-0000-0700-00000B000000}">
      <text>
        <r>
          <rPr>
            <sz val="9"/>
            <color indexed="81"/>
            <rFont val="ＭＳ Ｐゴシック"/>
            <family val="3"/>
            <charset val="128"/>
          </rPr>
          <t>使用車種規制非適合の古い車に同時低減装置を</t>
        </r>
        <r>
          <rPr>
            <u/>
            <sz val="9"/>
            <color indexed="81"/>
            <rFont val="ＭＳ Ｐゴシック"/>
            <family val="3"/>
            <charset val="128"/>
          </rPr>
          <t>後付けで装着</t>
        </r>
        <r>
          <rPr>
            <sz val="9"/>
            <color indexed="81"/>
            <rFont val="ＭＳ Ｐゴシック"/>
            <family val="3"/>
            <charset val="128"/>
          </rPr>
          <t xml:space="preserve">して改造した車両で、車検証の備考欄に「使用車種規制（NOx・PM）適合。NOx・PM法対応変更有り。脱着装置」のような記載があれば、ドロップダウンリストから「あり」を選んでください。
</t>
        </r>
      </text>
    </comment>
    <comment ref="M15" authorId="0" shapeId="0" xr:uid="{00000000-0006-0000-0700-00000C00000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800-000001000000}">
      <text>
        <r>
          <rPr>
            <sz val="9"/>
            <color indexed="81"/>
            <rFont val="ＭＳ Ｐゴシック"/>
            <family val="3"/>
            <charset val="128"/>
          </rPr>
          <t>実施した場合に該当する内容の項目分だけ○をつけてください。その他にある場合はその他にそれを記載してください。</t>
        </r>
      </text>
    </comment>
    <comment ref="D6" authorId="0" shapeId="0" xr:uid="{00000000-0006-0000-0800-000002000000}">
      <text>
        <r>
          <rPr>
            <sz val="9"/>
            <color indexed="81"/>
            <rFont val="ＭＳ Ｐゴシック"/>
            <family val="3"/>
            <charset val="128"/>
          </rPr>
          <t>必ず実施してください。</t>
        </r>
      </text>
    </comment>
  </commentList>
</comments>
</file>

<file path=xl/sharedStrings.xml><?xml version="1.0" encoding="utf-8"?>
<sst xmlns="http://schemas.openxmlformats.org/spreadsheetml/2006/main" count="21271" uniqueCount="2998">
  <si>
    <t>S54</t>
  </si>
  <si>
    <t>記号</t>
    <rPh sb="0" eb="2">
      <t>キゴウ</t>
    </rPh>
    <phoneticPr fontId="3"/>
  </si>
  <si>
    <t>年度</t>
  </si>
  <si>
    <t>型式</t>
  </si>
  <si>
    <t>ＮＯｘ排出係数</t>
  </si>
  <si>
    <t>ＰＭ排出係数</t>
  </si>
  <si>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</si>
  <si>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</si>
  <si>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</si>
  <si>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</si>
  <si>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</si>
  <si>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</si>
  <si>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</si>
  <si>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</si>
  <si>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</si>
  <si>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</si>
  <si>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</si>
  <si>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</si>
  <si>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</si>
  <si>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</si>
  <si>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</si>
  <si>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</si>
  <si>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</si>
  <si>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</si>
  <si>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</si>
  <si>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</si>
  <si>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</si>
  <si>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</si>
  <si>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</si>
  <si>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</si>
  <si>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</si>
  <si>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</si>
  <si>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</si>
  <si>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</si>
  <si>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</si>
  <si>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</si>
  <si>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</si>
  <si>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</si>
  <si>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</si>
  <si>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排出係数一覧</t>
    <rPh sb="0" eb="2">
      <t>ハイシュツ</t>
    </rPh>
    <rPh sb="2" eb="4">
      <t>ケイスウ</t>
    </rPh>
    <rPh sb="4" eb="6">
      <t>イチラン</t>
    </rPh>
    <phoneticPr fontId="3"/>
  </si>
  <si>
    <t>ＮＯｘ排出係数</t>
    <rPh sb="3" eb="5">
      <t>ハイシュツ</t>
    </rPh>
    <rPh sb="5" eb="7">
      <t>ケイスウ</t>
    </rPh>
    <phoneticPr fontId="3"/>
  </si>
  <si>
    <t>ＰＭ排出係数</t>
    <rPh sb="2" eb="4">
      <t>ハイシュツ</t>
    </rPh>
    <rPh sb="4" eb="6">
      <t>ケイスウ</t>
    </rPh>
    <phoneticPr fontId="3"/>
  </si>
  <si>
    <t>電</t>
    <rPh sb="0" eb="1">
      <t>デン</t>
    </rPh>
    <phoneticPr fontId="3"/>
  </si>
  <si>
    <t>普通貨物</t>
    <rPh sb="0" eb="2">
      <t>フツウ</t>
    </rPh>
    <rPh sb="2" eb="4">
      <t>カモツ</t>
    </rPh>
    <phoneticPr fontId="3"/>
  </si>
  <si>
    <t>特種</t>
    <rPh sb="0" eb="2">
      <t>トクシュ</t>
    </rPh>
    <phoneticPr fontId="3"/>
  </si>
  <si>
    <t>特殊</t>
    <rPh sb="0" eb="2">
      <t>トクシュ</t>
    </rPh>
    <phoneticPr fontId="3"/>
  </si>
  <si>
    <t>B</t>
  </si>
  <si>
    <t>C</t>
  </si>
  <si>
    <t>E</t>
  </si>
  <si>
    <t>GA</t>
  </si>
  <si>
    <t>GB</t>
  </si>
  <si>
    <t>GC</t>
  </si>
  <si>
    <t>GE</t>
  </si>
  <si>
    <t>GF</t>
  </si>
  <si>
    <t>GG</t>
  </si>
  <si>
    <t>GH</t>
  </si>
  <si>
    <t>GJ</t>
  </si>
  <si>
    <t>GK</t>
  </si>
  <si>
    <t>GL</t>
  </si>
  <si>
    <t>HG</t>
  </si>
  <si>
    <t>HJ</t>
  </si>
  <si>
    <t>HK</t>
  </si>
  <si>
    <t>HL</t>
  </si>
  <si>
    <t>HN</t>
  </si>
  <si>
    <t>HP</t>
  </si>
  <si>
    <t>新長期</t>
    <rPh sb="0" eb="1">
      <t>シン</t>
    </rPh>
    <rPh sb="1" eb="3">
      <t>チョウキ</t>
    </rPh>
    <phoneticPr fontId="3"/>
  </si>
  <si>
    <t>軽油（新長期規制）</t>
    <rPh sb="0" eb="2">
      <t>ケイユ</t>
    </rPh>
    <rPh sb="3" eb="4">
      <t>シン</t>
    </rPh>
    <rPh sb="4" eb="6">
      <t>チョウキ</t>
    </rPh>
    <rPh sb="6" eb="8">
      <t>キセイ</t>
    </rPh>
    <phoneticPr fontId="3"/>
  </si>
  <si>
    <t>低公害分類</t>
    <rPh sb="0" eb="1">
      <t>テイ</t>
    </rPh>
    <rPh sb="1" eb="3">
      <t>コウガイ</t>
    </rPh>
    <rPh sb="3" eb="5">
      <t>ブンルイ</t>
    </rPh>
    <phoneticPr fontId="3"/>
  </si>
  <si>
    <t>HQ</t>
  </si>
  <si>
    <t>HR</t>
  </si>
  <si>
    <t>LA</t>
  </si>
  <si>
    <t>LB</t>
  </si>
  <si>
    <t>LC</t>
  </si>
  <si>
    <t>LD</t>
  </si>
  <si>
    <t>ナンバー</t>
    <phoneticPr fontId="3"/>
  </si>
  <si>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</si>
  <si>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</si>
  <si>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</si>
  <si>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</si>
  <si>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</si>
  <si>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</si>
  <si>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</si>
  <si>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</si>
  <si>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</si>
  <si>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</si>
  <si>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</si>
  <si>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</si>
  <si>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</si>
  <si>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</si>
  <si>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</si>
  <si>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</si>
  <si>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</si>
  <si>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</si>
  <si>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</si>
  <si>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</si>
  <si>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</si>
  <si>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</si>
  <si>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</si>
  <si>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</si>
  <si>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</si>
  <si>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</si>
  <si>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</si>
  <si>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</si>
  <si>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</si>
  <si>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</si>
  <si>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</si>
  <si>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</si>
  <si>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</si>
  <si>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</si>
  <si>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</si>
  <si>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</si>
  <si>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</si>
  <si>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</si>
  <si>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</si>
  <si>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</si>
  <si>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</si>
  <si>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</si>
  <si>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</si>
  <si>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</si>
  <si>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</si>
  <si>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</si>
  <si>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</si>
  <si>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</si>
  <si>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</si>
  <si>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</si>
  <si>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</si>
  <si>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</si>
  <si>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</si>
  <si>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</si>
  <si>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</si>
  <si>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</si>
  <si>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</si>
  <si>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</si>
  <si>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</si>
  <si>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</si>
  <si>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</si>
  <si>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</si>
  <si>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</si>
  <si>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</si>
  <si>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</si>
  <si>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</si>
  <si>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</si>
  <si>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</si>
  <si>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</si>
  <si>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</si>
  <si>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</si>
  <si>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</si>
  <si>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</si>
  <si>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</si>
  <si>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</si>
  <si>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</si>
  <si>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</si>
  <si>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</si>
  <si>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</si>
  <si>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</si>
  <si>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</si>
  <si>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</si>
  <si>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</si>
  <si>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</si>
  <si>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</si>
  <si>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</si>
  <si>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</si>
  <si>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</si>
  <si>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</si>
  <si>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</si>
  <si>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</si>
  <si>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</si>
  <si>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</si>
  <si>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</si>
  <si>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</si>
  <si>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</si>
  <si>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</si>
  <si>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</si>
  <si>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</si>
  <si>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</si>
  <si>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</si>
  <si>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</si>
  <si>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</si>
  <si>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</si>
  <si>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</si>
  <si>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</si>
  <si>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</si>
  <si>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</si>
  <si>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</si>
  <si>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</si>
  <si>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</si>
  <si>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</si>
  <si>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</si>
  <si>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</si>
  <si>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</si>
  <si>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</si>
  <si>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</si>
  <si>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</si>
  <si>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</si>
  <si>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</si>
  <si>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</si>
  <si>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</si>
  <si>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</si>
  <si>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</si>
  <si>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CO2排出係数</t>
    <rPh sb="3" eb="5">
      <t>ハイシュツ</t>
    </rPh>
    <rPh sb="5" eb="7">
      <t>ケイスウ</t>
    </rPh>
    <phoneticPr fontId="3"/>
  </si>
  <si>
    <t>排出係数(CO2）</t>
    <rPh sb="0" eb="2">
      <t>ハイシュツ</t>
    </rPh>
    <rPh sb="2" eb="4">
      <t>ケイスウ</t>
    </rPh>
    <phoneticPr fontId="3"/>
  </si>
  <si>
    <t>電気</t>
    <rPh sb="0" eb="2">
      <t>デンキ</t>
    </rPh>
    <phoneticPr fontId="3"/>
  </si>
  <si>
    <t>種類</t>
    <rPh sb="0" eb="2">
      <t>シュルイ</t>
    </rPh>
    <phoneticPr fontId="3"/>
  </si>
  <si>
    <t>車両総重量</t>
    <rPh sb="0" eb="2">
      <t>シャリョウ</t>
    </rPh>
    <rPh sb="2" eb="5">
      <t>ソウジュウリョウ</t>
    </rPh>
    <phoneticPr fontId="3"/>
  </si>
  <si>
    <t>台数</t>
    <rPh sb="0" eb="2">
      <t>ダイスウ</t>
    </rPh>
    <phoneticPr fontId="3"/>
  </si>
  <si>
    <t>普　通　貨　物　自　動　車</t>
    <rPh sb="0" eb="7">
      <t>フツウカモツ</t>
    </rPh>
    <rPh sb="8" eb="13">
      <t>ジドウシャ</t>
    </rPh>
    <phoneticPr fontId="3"/>
  </si>
  <si>
    <t>小　型　貨　物　自　動　車</t>
    <rPh sb="0" eb="3">
      <t>コガタ</t>
    </rPh>
    <rPh sb="4" eb="7">
      <t>カモツ</t>
    </rPh>
    <rPh sb="8" eb="13">
      <t>ジドウシャ</t>
    </rPh>
    <phoneticPr fontId="3"/>
  </si>
  <si>
    <t>大　型　バ　ス</t>
    <rPh sb="0" eb="3">
      <t>オオガタ</t>
    </rPh>
    <phoneticPr fontId="3"/>
  </si>
  <si>
    <t>特　種　自　動　車</t>
    <rPh sb="0" eb="3">
      <t>トクダネ</t>
    </rPh>
    <rPh sb="4" eb="9">
      <t>ジドウシャ</t>
    </rPh>
    <phoneticPr fontId="3"/>
  </si>
  <si>
    <t>乗用自動車</t>
    <rPh sb="0" eb="2">
      <t>ジョウヨウ</t>
    </rPh>
    <rPh sb="2" eb="5">
      <t>ジドウシャ</t>
    </rPh>
    <phoneticPr fontId="3"/>
  </si>
  <si>
    <t>合　　計</t>
    <rPh sb="0" eb="4">
      <t>ゴウケイ</t>
    </rPh>
    <phoneticPr fontId="3"/>
  </si>
  <si>
    <t>適正運転の実施</t>
  </si>
  <si>
    <t>内　　　　　　　　　　　　　　　　　　　　　容</t>
    <rPh sb="0" eb="23">
      <t>ナイヨウ</t>
    </rPh>
    <phoneticPr fontId="3"/>
  </si>
  <si>
    <t>合　　計</t>
  </si>
  <si>
    <t>新規使用台数</t>
  </si>
  <si>
    <t>減少台数</t>
  </si>
  <si>
    <t>天然ガス</t>
  </si>
  <si>
    <t>他</t>
  </si>
  <si>
    <t>合　　　計</t>
  </si>
  <si>
    <t>うち低公害車の合計</t>
  </si>
  <si>
    <t>他</t>
    <rPh sb="0" eb="1">
      <t>ホカ</t>
    </rPh>
    <phoneticPr fontId="3"/>
  </si>
  <si>
    <t>事業場コード</t>
    <rPh sb="0" eb="2">
      <t>ジギョウ</t>
    </rPh>
    <rPh sb="2" eb="3">
      <t>バ</t>
    </rPh>
    <phoneticPr fontId="3"/>
  </si>
  <si>
    <t>従業員数</t>
    <rPh sb="0" eb="2">
      <t>ジュウギョウ</t>
    </rPh>
    <rPh sb="2" eb="4">
      <t>インスウ</t>
    </rPh>
    <phoneticPr fontId="3"/>
  </si>
  <si>
    <t>大型バス</t>
    <rPh sb="0" eb="2">
      <t>オオガタ</t>
    </rPh>
    <phoneticPr fontId="3"/>
  </si>
  <si>
    <t>普通貨物車</t>
    <rPh sb="0" eb="2">
      <t>フツウ</t>
    </rPh>
    <phoneticPr fontId="3"/>
  </si>
  <si>
    <t>小型貨物車</t>
    <rPh sb="0" eb="2">
      <t>コガタ</t>
    </rPh>
    <phoneticPr fontId="3"/>
  </si>
  <si>
    <t>特種車(乗用系)</t>
    <rPh sb="4" eb="6">
      <t>ジョウヨウ</t>
    </rPh>
    <rPh sb="6" eb="7">
      <t>ケイ</t>
    </rPh>
    <phoneticPr fontId="3"/>
  </si>
  <si>
    <t>計画区分</t>
    <rPh sb="0" eb="2">
      <t>ケイカク</t>
    </rPh>
    <rPh sb="2" eb="4">
      <t>クブン</t>
    </rPh>
    <phoneticPr fontId="3"/>
  </si>
  <si>
    <t>e運行管理</t>
    <rPh sb="1" eb="3">
      <t>ウンコウ</t>
    </rPh>
    <rPh sb="3" eb="5">
      <t>カンリ</t>
    </rPh>
    <phoneticPr fontId="3"/>
  </si>
  <si>
    <t>計算用走行距離（km）</t>
    <rPh sb="0" eb="2">
      <t>ケイサン</t>
    </rPh>
    <rPh sb="2" eb="3">
      <t>ヨウ</t>
    </rPh>
    <phoneticPr fontId="3"/>
  </si>
  <si>
    <t>計算用燃料給油量(L)</t>
    <rPh sb="0" eb="2">
      <t>ケイサン</t>
    </rPh>
    <rPh sb="2" eb="3">
      <t>ヨウ</t>
    </rPh>
    <rPh sb="3" eb="5">
      <t>ネンリョウ</t>
    </rPh>
    <rPh sb="5" eb="8">
      <t>キュウユリョウ</t>
    </rPh>
    <phoneticPr fontId="3"/>
  </si>
  <si>
    <t>貨1ガ-</t>
  </si>
  <si>
    <t>ガL3</t>
  </si>
  <si>
    <t>貨1ガH</t>
  </si>
  <si>
    <t>貨1ガJ</t>
  </si>
  <si>
    <t>貨1ガL</t>
  </si>
  <si>
    <t>貨1ガR</t>
  </si>
  <si>
    <t>貨1ガGG</t>
  </si>
  <si>
    <t>貨1ガHL</t>
  </si>
  <si>
    <t>ハ</t>
  </si>
  <si>
    <t>ハイブリット</t>
  </si>
  <si>
    <t>貨1ガGJ</t>
  </si>
  <si>
    <t>貨1ガHP</t>
  </si>
  <si>
    <t>貨1ガTB</t>
  </si>
  <si>
    <t>☆</t>
  </si>
  <si>
    <t>貨1ガXB</t>
  </si>
  <si>
    <t>貨1ガLB</t>
  </si>
  <si>
    <t>☆☆</t>
  </si>
  <si>
    <t>貨1ガYB</t>
  </si>
  <si>
    <t>貨1ガUB</t>
  </si>
  <si>
    <t>☆☆☆</t>
  </si>
  <si>
    <t>貨1ガZB</t>
  </si>
  <si>
    <t>貨1ガABE</t>
  </si>
  <si>
    <t>ABE</t>
  </si>
  <si>
    <t>貨1ガAAE</t>
  </si>
  <si>
    <t>AAE</t>
  </si>
  <si>
    <t>貨1ガBAE</t>
  </si>
  <si>
    <t>貨1ガBBE</t>
  </si>
  <si>
    <t>貨1ガCAE</t>
  </si>
  <si>
    <t>貨1ガCBE</t>
  </si>
  <si>
    <t>ガL1</t>
  </si>
  <si>
    <t>貨1ガDAE</t>
  </si>
  <si>
    <t>貨1ガDBE</t>
  </si>
  <si>
    <t>ガL2</t>
  </si>
  <si>
    <t>貨1ガNAE</t>
  </si>
  <si>
    <t>NAE</t>
  </si>
  <si>
    <t>貨1ガNBE</t>
  </si>
  <si>
    <t>NBE</t>
  </si>
  <si>
    <t>貨1ガLBE</t>
  </si>
  <si>
    <t>LBE</t>
  </si>
  <si>
    <t>貨1ガLAE</t>
  </si>
  <si>
    <t>LAE</t>
  </si>
  <si>
    <t>貨1ガMBE</t>
  </si>
  <si>
    <t>MBE</t>
  </si>
  <si>
    <t>貨1ガMAE</t>
  </si>
  <si>
    <t>MAE</t>
  </si>
  <si>
    <t>貨1ガRBE</t>
  </si>
  <si>
    <t>RBE</t>
  </si>
  <si>
    <t>貨1ガRAE</t>
  </si>
  <si>
    <t>RAE</t>
  </si>
  <si>
    <t>貨1ガQBE</t>
  </si>
  <si>
    <t>QBE</t>
  </si>
  <si>
    <t>貨1ガQAE</t>
  </si>
  <si>
    <t>QAE</t>
  </si>
  <si>
    <t>貨2ガ-</t>
  </si>
  <si>
    <t>貨2ガH</t>
  </si>
  <si>
    <t>貨2ガJ</t>
  </si>
  <si>
    <t>貨2ガL</t>
  </si>
  <si>
    <t>貨2ガT</t>
  </si>
  <si>
    <t>貨2ガGA</t>
  </si>
  <si>
    <t>貨2ガGC</t>
  </si>
  <si>
    <t>貨2ガHG</t>
  </si>
  <si>
    <t>貨2ガGK</t>
  </si>
  <si>
    <t>貨2ガHQ</t>
  </si>
  <si>
    <t>貨2ガTC</t>
  </si>
  <si>
    <t>貨2ガXC</t>
  </si>
  <si>
    <t>貨2ガLC</t>
  </si>
  <si>
    <t>貨2ガYC</t>
  </si>
  <si>
    <t>貨2ガUC</t>
  </si>
  <si>
    <t>貨2ガZC</t>
  </si>
  <si>
    <t>貨2ガABF</t>
  </si>
  <si>
    <t>ABF</t>
  </si>
  <si>
    <t>貨2ガAAF</t>
  </si>
  <si>
    <t>AAF</t>
  </si>
  <si>
    <t>貨2ガBAF</t>
  </si>
  <si>
    <t>貨2ガBBF</t>
  </si>
  <si>
    <t>貨2ガCAF</t>
  </si>
  <si>
    <t>貨2ガCBF</t>
  </si>
  <si>
    <t>貨2ガDAF</t>
  </si>
  <si>
    <t>貨2ガDBF</t>
  </si>
  <si>
    <t>貨2ガNAF</t>
  </si>
  <si>
    <t>NAF</t>
  </si>
  <si>
    <t>貨2ガNBF</t>
  </si>
  <si>
    <t>NBF</t>
  </si>
  <si>
    <t>貨2ガLBF</t>
  </si>
  <si>
    <t>LBF</t>
  </si>
  <si>
    <t>貨2ガLAF</t>
  </si>
  <si>
    <t>LAF</t>
  </si>
  <si>
    <t>貨2ガMBF</t>
  </si>
  <si>
    <t>MBF</t>
  </si>
  <si>
    <t>貨2ガMAF</t>
  </si>
  <si>
    <t>MAF</t>
  </si>
  <si>
    <t>貨2ガRBF</t>
  </si>
  <si>
    <t>RBF</t>
  </si>
  <si>
    <t>貨2ガRAF</t>
  </si>
  <si>
    <t>RAF</t>
  </si>
  <si>
    <t>貨2ガQBF</t>
  </si>
  <si>
    <t>QBF</t>
  </si>
  <si>
    <t>貨2ガQAF</t>
  </si>
  <si>
    <t>QAF</t>
  </si>
  <si>
    <t>貨3ガ-</t>
  </si>
  <si>
    <t>貨3ガJ</t>
  </si>
  <si>
    <t>貨3ガM</t>
  </si>
  <si>
    <t>貨3ガT</t>
  </si>
  <si>
    <t>貨3ガZ</t>
  </si>
  <si>
    <t>貨3ガGB</t>
  </si>
  <si>
    <t>貨3ガGE</t>
  </si>
  <si>
    <t>貨3ガHJ</t>
  </si>
  <si>
    <t>貨3ガGK</t>
  </si>
  <si>
    <t>貨3ガHQ</t>
  </si>
  <si>
    <t>貨3ガTC</t>
  </si>
  <si>
    <t>貨3ガXC</t>
  </si>
  <si>
    <t>貨3ガLC</t>
  </si>
  <si>
    <t>貨3ガYC</t>
  </si>
  <si>
    <t>貨3ガUC</t>
  </si>
  <si>
    <t>貨3ガZC</t>
  </si>
  <si>
    <t>貨3ガABF</t>
  </si>
  <si>
    <t>貨3ガAAF</t>
  </si>
  <si>
    <t>貨3ガBAF</t>
  </si>
  <si>
    <t>貨3ガBBF</t>
  </si>
  <si>
    <t>貨3ガCAF</t>
  </si>
  <si>
    <t>貨3ガCBF</t>
  </si>
  <si>
    <t>貨3ガDAF</t>
  </si>
  <si>
    <t>貨3ガDBF</t>
  </si>
  <si>
    <t>貨3ガNAF</t>
  </si>
  <si>
    <t>貨3ガNBF</t>
  </si>
  <si>
    <t>貨3ガLBF</t>
  </si>
  <si>
    <t>貨3ガLAF</t>
  </si>
  <si>
    <t>貨3ガMBF</t>
  </si>
  <si>
    <t>貨3ガMAF</t>
  </si>
  <si>
    <t>貨3ガRBF</t>
  </si>
  <si>
    <t>貨3ガRAF</t>
  </si>
  <si>
    <t>貨3ガQBF</t>
  </si>
  <si>
    <t>貨3ガQAF</t>
  </si>
  <si>
    <t>貨4ガ-</t>
  </si>
  <si>
    <t>貨4ガJ</t>
  </si>
  <si>
    <t>貨4ガM</t>
  </si>
  <si>
    <t>貨4ガT</t>
  </si>
  <si>
    <t>貨4ガZ</t>
  </si>
  <si>
    <t>貨4ガGB</t>
  </si>
  <si>
    <t>貨4ガGE</t>
  </si>
  <si>
    <t>貨4ガHJ</t>
  </si>
  <si>
    <t>貨4ガGL</t>
  </si>
  <si>
    <t>貨4ガHR</t>
  </si>
  <si>
    <t>貨4ガTD</t>
  </si>
  <si>
    <t>貨4ガXD</t>
  </si>
  <si>
    <t>貨4ガLD</t>
  </si>
  <si>
    <t>貨4ガYD</t>
  </si>
  <si>
    <t>貨4ガUD</t>
  </si>
  <si>
    <t>貨4ガZD</t>
  </si>
  <si>
    <t>貨4ガABG</t>
  </si>
  <si>
    <t>ABG</t>
  </si>
  <si>
    <t>貨4ガAAG</t>
  </si>
  <si>
    <t>AAG</t>
  </si>
  <si>
    <t>貨4ガBAG</t>
  </si>
  <si>
    <t>貨4ガBBG</t>
  </si>
  <si>
    <t>貨4ガCAG</t>
  </si>
  <si>
    <t>貨4ガCBG</t>
  </si>
  <si>
    <t>貨4ガDAG</t>
  </si>
  <si>
    <t>貨4ガDBG</t>
  </si>
  <si>
    <t>貨4ガNAG</t>
  </si>
  <si>
    <t>NAG</t>
  </si>
  <si>
    <t>貨4ガNBG</t>
  </si>
  <si>
    <t>NBG</t>
  </si>
  <si>
    <t>貨4ガLBG</t>
  </si>
  <si>
    <t>LBG</t>
  </si>
  <si>
    <t>貨4ガLAG</t>
  </si>
  <si>
    <t>LAG</t>
  </si>
  <si>
    <t>貨4ガMBG</t>
  </si>
  <si>
    <t>MBG</t>
  </si>
  <si>
    <t>貨4ガMAG</t>
  </si>
  <si>
    <t>MAG</t>
  </si>
  <si>
    <t>貨4ガRBG</t>
  </si>
  <si>
    <t>RBG</t>
  </si>
  <si>
    <t>貨4ガRAG</t>
  </si>
  <si>
    <t>RAG</t>
  </si>
  <si>
    <t>貨4ガQBG</t>
  </si>
  <si>
    <t>QBG</t>
  </si>
  <si>
    <t>貨4ガQAG</t>
  </si>
  <si>
    <t>QAG</t>
  </si>
  <si>
    <t>貨1L-</t>
  </si>
  <si>
    <t>貨1LH</t>
  </si>
  <si>
    <t>貨1LJ</t>
  </si>
  <si>
    <t>貨1LL</t>
  </si>
  <si>
    <t>貨1LR</t>
  </si>
  <si>
    <t>貨1LGG</t>
  </si>
  <si>
    <t>貨1LHL</t>
  </si>
  <si>
    <t>貨1LGJ</t>
  </si>
  <si>
    <t>貨1LHP</t>
  </si>
  <si>
    <t>貨1LTB</t>
  </si>
  <si>
    <t>貨1LXB</t>
  </si>
  <si>
    <t>貨1LLB</t>
  </si>
  <si>
    <t>貨1LYB</t>
  </si>
  <si>
    <t>貨1LUB</t>
  </si>
  <si>
    <t>貨1LZB</t>
  </si>
  <si>
    <t>貨1LABE</t>
  </si>
  <si>
    <t>貨1LAAE</t>
  </si>
  <si>
    <t>貨1LBAE</t>
  </si>
  <si>
    <t>貨1LBBE</t>
  </si>
  <si>
    <t>貨1LCAE</t>
  </si>
  <si>
    <t>貨1LCBE</t>
  </si>
  <si>
    <t>貨1LDAE</t>
  </si>
  <si>
    <t>貨1LDBE</t>
  </si>
  <si>
    <t>貨1LNAE</t>
  </si>
  <si>
    <t>貨1LNBE</t>
  </si>
  <si>
    <t>貨1LLBE</t>
  </si>
  <si>
    <t>貨1LLAE</t>
  </si>
  <si>
    <t>貨1LMBE</t>
  </si>
  <si>
    <t>貨1LMAE</t>
  </si>
  <si>
    <t>貨1LRBE</t>
  </si>
  <si>
    <t>貨1LRAE</t>
  </si>
  <si>
    <t>貨1LQBE</t>
  </si>
  <si>
    <t>貨1LQAE</t>
  </si>
  <si>
    <t>貨2L-</t>
  </si>
  <si>
    <t>貨2LH</t>
  </si>
  <si>
    <t>貨2LJ</t>
  </si>
  <si>
    <t>貨2LL</t>
  </si>
  <si>
    <t>貨2LT</t>
  </si>
  <si>
    <t>貨2LGA</t>
  </si>
  <si>
    <t>貨2LGC</t>
  </si>
  <si>
    <t>貨2LHG</t>
  </si>
  <si>
    <t>貨2LGK</t>
  </si>
  <si>
    <t>貨2LHQ</t>
  </si>
  <si>
    <t>貨2LTC</t>
  </si>
  <si>
    <t>貨2LXC</t>
  </si>
  <si>
    <t>貨2LLC</t>
  </si>
  <si>
    <t>貨2LYC</t>
  </si>
  <si>
    <t>貨2LUC</t>
  </si>
  <si>
    <t>貨2LZC</t>
  </si>
  <si>
    <t>貨2LABF</t>
  </si>
  <si>
    <t>貨2LAAF</t>
  </si>
  <si>
    <t>貨2LBAF</t>
  </si>
  <si>
    <t>貨2LBBF</t>
  </si>
  <si>
    <t>貨2LCAF</t>
  </si>
  <si>
    <t>貨2LCBF</t>
  </si>
  <si>
    <t>貨2LDAF</t>
  </si>
  <si>
    <t>貨2LDBF</t>
  </si>
  <si>
    <t>貨2LNAF</t>
  </si>
  <si>
    <t>貨2LNBF</t>
  </si>
  <si>
    <t>貨2LLBF</t>
  </si>
  <si>
    <t>貨2LLAF</t>
  </si>
  <si>
    <t>貨2LMBF</t>
  </si>
  <si>
    <t>貨2LMAF</t>
  </si>
  <si>
    <t>貨2LRBF</t>
  </si>
  <si>
    <t>貨2LRAF</t>
  </si>
  <si>
    <t>貨2LQBF</t>
  </si>
  <si>
    <t>貨2LQAF</t>
  </si>
  <si>
    <t>貨3L-</t>
  </si>
  <si>
    <t>貨3LJ</t>
  </si>
  <si>
    <t>貨3LM</t>
  </si>
  <si>
    <t>貨3LT</t>
  </si>
  <si>
    <t>貨3LZ</t>
  </si>
  <si>
    <t>貨3LGB</t>
  </si>
  <si>
    <t>貨3LGE</t>
  </si>
  <si>
    <t>貨3LHJ</t>
  </si>
  <si>
    <t>貨3LGK</t>
  </si>
  <si>
    <t>貨3LHQ</t>
  </si>
  <si>
    <t>貨3LTC</t>
  </si>
  <si>
    <t>貨3LXC</t>
  </si>
  <si>
    <t>貨3LLC</t>
  </si>
  <si>
    <t>貨3LYC</t>
  </si>
  <si>
    <t>貨3LUC</t>
  </si>
  <si>
    <t>貨3LZC</t>
  </si>
  <si>
    <t>貨3LABF</t>
  </si>
  <si>
    <t>貨3LAAF</t>
  </si>
  <si>
    <t>貨3LBAF</t>
  </si>
  <si>
    <t>貨3LBBF</t>
  </si>
  <si>
    <t>貨3LCAF</t>
  </si>
  <si>
    <t>貨3LCBF</t>
  </si>
  <si>
    <t>貨3LDAF</t>
  </si>
  <si>
    <t>貨3LDBF</t>
  </si>
  <si>
    <t>貨3LNAF</t>
  </si>
  <si>
    <t>貨3LNBF</t>
  </si>
  <si>
    <t>貨3LLBF</t>
  </si>
  <si>
    <t>貨3LLAF</t>
  </si>
  <si>
    <t>貨3LMBF</t>
  </si>
  <si>
    <t>貨3LMAF</t>
  </si>
  <si>
    <t>貨3LRBF</t>
  </si>
  <si>
    <t>貨3LRAF</t>
  </si>
  <si>
    <t>貨3LQBF</t>
  </si>
  <si>
    <t>貨3LQAF</t>
  </si>
  <si>
    <t>貨4L-</t>
  </si>
  <si>
    <t>貨4LJ</t>
  </si>
  <si>
    <t>貨4LM</t>
  </si>
  <si>
    <t>貨4LT</t>
  </si>
  <si>
    <t>貨4LZ</t>
  </si>
  <si>
    <t>貨4LGB</t>
  </si>
  <si>
    <t>貨4LGE</t>
  </si>
  <si>
    <t>貨4LHJ</t>
  </si>
  <si>
    <t>貨4LGL</t>
  </si>
  <si>
    <t>貨4LHR</t>
  </si>
  <si>
    <t>貨4LTD</t>
  </si>
  <si>
    <t>貨4LXD</t>
  </si>
  <si>
    <t>貨4LLD</t>
  </si>
  <si>
    <t>貨4LYD</t>
  </si>
  <si>
    <t>貨4LUD</t>
  </si>
  <si>
    <t>貨4LZD</t>
  </si>
  <si>
    <t>貨4LABG</t>
  </si>
  <si>
    <t>貨4LAAG</t>
  </si>
  <si>
    <t>貨4LBAG</t>
  </si>
  <si>
    <t>貨4LBBG</t>
  </si>
  <si>
    <t>貨4LCAG</t>
  </si>
  <si>
    <t>貨4LCBG</t>
  </si>
  <si>
    <t>貨4LDAG</t>
  </si>
  <si>
    <t>貨4LDBG</t>
  </si>
  <si>
    <t>貨4LNAG</t>
  </si>
  <si>
    <t>貨4LNBG</t>
  </si>
  <si>
    <t>貨4LLBG</t>
  </si>
  <si>
    <t>貨4LLAG</t>
  </si>
  <si>
    <t>貨4LMBG</t>
  </si>
  <si>
    <t>貨4LMAG</t>
  </si>
  <si>
    <t>貨4LRBG</t>
  </si>
  <si>
    <t>貨4LRAG</t>
  </si>
  <si>
    <t>貨4LQBG</t>
  </si>
  <si>
    <t>貨4LQAG</t>
  </si>
  <si>
    <t>貨1軽-</t>
  </si>
  <si>
    <t>貨1軽K</t>
  </si>
  <si>
    <t>貨1軽N</t>
  </si>
  <si>
    <t>貨1軽P</t>
  </si>
  <si>
    <t>貨1軽S</t>
  </si>
  <si>
    <t>貨1軽KA</t>
  </si>
  <si>
    <t>貨1軽KE</t>
  </si>
  <si>
    <t>貨1軽HA</t>
  </si>
  <si>
    <t>貨1軽KP</t>
  </si>
  <si>
    <t>貨1軽HW</t>
  </si>
  <si>
    <t>貨1軽TH</t>
  </si>
  <si>
    <t>貨1軽XH</t>
  </si>
  <si>
    <t>貨1軽LH</t>
  </si>
  <si>
    <t>貨1軽YH</t>
  </si>
  <si>
    <t>貨1軽UH</t>
  </si>
  <si>
    <t>貨1軽ZH</t>
  </si>
  <si>
    <t>貨1軽ADE</t>
  </si>
  <si>
    <t>ADE</t>
  </si>
  <si>
    <t>貨1軽AKE</t>
  </si>
  <si>
    <t>AKE</t>
  </si>
  <si>
    <t>貨1軽ACE</t>
  </si>
  <si>
    <t>ACE</t>
  </si>
  <si>
    <t>貨1軽AJE</t>
  </si>
  <si>
    <t>AJE</t>
  </si>
  <si>
    <t>貨1軽BCE</t>
  </si>
  <si>
    <t>貨1軽BJE</t>
  </si>
  <si>
    <t>BJE</t>
  </si>
  <si>
    <t>貨1軽BDE</t>
  </si>
  <si>
    <t>軽新長1</t>
    <rPh sb="0" eb="1">
      <t>ケイ</t>
    </rPh>
    <rPh sb="1" eb="2">
      <t>シン</t>
    </rPh>
    <rPh sb="2" eb="3">
      <t>チョウ</t>
    </rPh>
    <phoneticPr fontId="3"/>
  </si>
  <si>
    <t>貨1軽BKE</t>
  </si>
  <si>
    <t>BKE</t>
  </si>
  <si>
    <t>貨1軽CCE</t>
  </si>
  <si>
    <t>貨1軽CJE</t>
  </si>
  <si>
    <t>CJE</t>
  </si>
  <si>
    <t>貨1軽CDE</t>
  </si>
  <si>
    <t>貨1軽CKE</t>
  </si>
  <si>
    <t>CKE</t>
  </si>
  <si>
    <t>貨1軽DCE</t>
  </si>
  <si>
    <t>貨1軽DJE</t>
  </si>
  <si>
    <t>DJE</t>
  </si>
  <si>
    <t>貨1軽DDE</t>
  </si>
  <si>
    <t>☆☆☆☆</t>
  </si>
  <si>
    <t>貨1軽DKE</t>
  </si>
  <si>
    <t>DKE</t>
  </si>
  <si>
    <t>貨1軽NCE</t>
  </si>
  <si>
    <t>NCE</t>
  </si>
  <si>
    <t>貨1軽NJE</t>
  </si>
  <si>
    <t>NJE</t>
  </si>
  <si>
    <t>貨1軽NDE</t>
  </si>
  <si>
    <t>NDE</t>
  </si>
  <si>
    <t>貨1軽NKE</t>
  </si>
  <si>
    <t>NKE</t>
  </si>
  <si>
    <t>貨1軽PCE</t>
  </si>
  <si>
    <t>PCE</t>
  </si>
  <si>
    <t>貨1軽PJE</t>
  </si>
  <si>
    <t>PJE</t>
  </si>
  <si>
    <t>貨1軽PDE</t>
  </si>
  <si>
    <t>PDE</t>
  </si>
  <si>
    <t>貨1軽PKE</t>
  </si>
  <si>
    <t>PKE</t>
  </si>
  <si>
    <t>貨1軽LDE</t>
  </si>
  <si>
    <t>LDE</t>
  </si>
  <si>
    <t>軽ポ</t>
    <rPh sb="0" eb="1">
      <t>ケイ</t>
    </rPh>
    <phoneticPr fontId="3"/>
  </si>
  <si>
    <t>貨1軽LKE</t>
  </si>
  <si>
    <t>LKE</t>
  </si>
  <si>
    <t>貨1軽LPE</t>
  </si>
  <si>
    <t>LPE</t>
  </si>
  <si>
    <t>貨1軽LRE</t>
  </si>
  <si>
    <t>LRE</t>
  </si>
  <si>
    <t>貨1軽LCE</t>
  </si>
  <si>
    <t>LCE</t>
  </si>
  <si>
    <t>貨1軽LJE</t>
  </si>
  <si>
    <t>LJE</t>
  </si>
  <si>
    <t>貨1軽LNE</t>
  </si>
  <si>
    <t>LNE</t>
  </si>
  <si>
    <t>貨1軽LQE</t>
  </si>
  <si>
    <t>LQE</t>
  </si>
  <si>
    <t>貨1軽MDE</t>
  </si>
  <si>
    <t>MDE</t>
  </si>
  <si>
    <t>貨1軽MKE</t>
  </si>
  <si>
    <t>MKE</t>
  </si>
  <si>
    <t>貨1軽MPE</t>
  </si>
  <si>
    <t>MPE</t>
  </si>
  <si>
    <t>貨1軽MRE</t>
  </si>
  <si>
    <t>MRE</t>
  </si>
  <si>
    <t>貨1軽MCE</t>
  </si>
  <si>
    <t>MCE</t>
  </si>
  <si>
    <t>貨1軽MJE</t>
  </si>
  <si>
    <t>MJE</t>
  </si>
  <si>
    <t>貨1軽MNE</t>
  </si>
  <si>
    <t>MNE</t>
  </si>
  <si>
    <t>貨1軽MQE</t>
  </si>
  <si>
    <t>MQE</t>
  </si>
  <si>
    <t>貨1軽RDE</t>
  </si>
  <si>
    <t>RDE</t>
  </si>
  <si>
    <t>貨1軽RKE</t>
  </si>
  <si>
    <t>RKE</t>
  </si>
  <si>
    <t>貨1軽RPE</t>
  </si>
  <si>
    <t>RPE</t>
  </si>
  <si>
    <t>貨1軽RRE</t>
  </si>
  <si>
    <t>RRE</t>
  </si>
  <si>
    <t>貨1軽RCE</t>
  </si>
  <si>
    <t>RCE</t>
  </si>
  <si>
    <t>貨1軽RJE</t>
  </si>
  <si>
    <t>RJE</t>
  </si>
  <si>
    <t>貨1軽RNE</t>
  </si>
  <si>
    <t>RNE</t>
  </si>
  <si>
    <t>貨1軽RQE</t>
  </si>
  <si>
    <t>RQE</t>
  </si>
  <si>
    <t>貨1軽QDE</t>
  </si>
  <si>
    <t>QDE</t>
  </si>
  <si>
    <t>貨1軽QKE</t>
  </si>
  <si>
    <t>QKE</t>
  </si>
  <si>
    <t>貨1軽QPE</t>
  </si>
  <si>
    <t>QPE</t>
  </si>
  <si>
    <t>貨1軽QRE</t>
  </si>
  <si>
    <t>QRE</t>
  </si>
  <si>
    <t>貨1軽QCE</t>
  </si>
  <si>
    <t>QCE</t>
  </si>
  <si>
    <t>貨1軽QJE</t>
  </si>
  <si>
    <t>QJE</t>
  </si>
  <si>
    <t>貨1軽QNE</t>
  </si>
  <si>
    <t>QNE</t>
  </si>
  <si>
    <t>貨1軽QQE</t>
  </si>
  <si>
    <t>QQE</t>
  </si>
  <si>
    <t>貨2軽-</t>
  </si>
  <si>
    <t>貨2軽K</t>
  </si>
  <si>
    <t>貨2軽N</t>
  </si>
  <si>
    <t>貨2軽P</t>
  </si>
  <si>
    <t>貨2軽S</t>
  </si>
  <si>
    <t>貨2軽KB</t>
  </si>
  <si>
    <t>貨2軽KF</t>
  </si>
  <si>
    <t>貨2軽HB</t>
  </si>
  <si>
    <t>貨2軽KJ</t>
  </si>
  <si>
    <t>貨2軽HE</t>
  </si>
  <si>
    <t>貨2軽DD</t>
  </si>
  <si>
    <t>DD</t>
  </si>
  <si>
    <t>貨2軽WD</t>
  </si>
  <si>
    <t>WD</t>
  </si>
  <si>
    <t>貨2軽DE</t>
  </si>
  <si>
    <t>DE</t>
  </si>
  <si>
    <t>貨2軽WE</t>
  </si>
  <si>
    <t>WE</t>
  </si>
  <si>
    <t>貨2軽DF</t>
  </si>
  <si>
    <t>DF</t>
  </si>
  <si>
    <t>貨2軽WF</t>
  </si>
  <si>
    <t>WF</t>
  </si>
  <si>
    <t>貨2軽DN</t>
  </si>
  <si>
    <t>DN</t>
  </si>
  <si>
    <t>貨2軽WN</t>
  </si>
  <si>
    <t>WN</t>
  </si>
  <si>
    <t>貨2軽DP</t>
  </si>
  <si>
    <t>DP</t>
  </si>
  <si>
    <t>貨2軽WP</t>
  </si>
  <si>
    <t>WP</t>
  </si>
  <si>
    <t>貨2軽DQ</t>
  </si>
  <si>
    <t>DQ</t>
  </si>
  <si>
    <t>貨2軽WQ</t>
  </si>
  <si>
    <t>WQ</t>
  </si>
  <si>
    <t>貨2軽KQ</t>
  </si>
  <si>
    <t>貨2軽HX</t>
  </si>
  <si>
    <t>貨2軽TJ</t>
  </si>
  <si>
    <t>貨2軽XJ</t>
  </si>
  <si>
    <t>貨2軽LJ</t>
  </si>
  <si>
    <t>貨2軽YJ</t>
  </si>
  <si>
    <t>貨2軽UJ</t>
  </si>
  <si>
    <t>貨2軽ZJ</t>
  </si>
  <si>
    <t>貨2軽ADF</t>
  </si>
  <si>
    <t>ADF</t>
  </si>
  <si>
    <t>貨2軽AKF</t>
  </si>
  <si>
    <t>AKF</t>
  </si>
  <si>
    <t>貨2軽ACF</t>
  </si>
  <si>
    <t>ACF</t>
  </si>
  <si>
    <t>貨2軽AJF</t>
  </si>
  <si>
    <t>AJF</t>
  </si>
  <si>
    <t>貨2軽BCF</t>
  </si>
  <si>
    <t>貨2軽BJF</t>
  </si>
  <si>
    <t>BJF</t>
  </si>
  <si>
    <t>貨2軽BDF</t>
  </si>
  <si>
    <t>貨2軽BKF</t>
  </si>
  <si>
    <t>BKF</t>
  </si>
  <si>
    <t>貨2軽CCF</t>
  </si>
  <si>
    <t>貨2軽CJF</t>
  </si>
  <si>
    <t>CJF</t>
  </si>
  <si>
    <t>貨2軽CDF</t>
  </si>
  <si>
    <t>貨2軽CKF</t>
  </si>
  <si>
    <t>CKF</t>
  </si>
  <si>
    <t>貨2軽DCF</t>
  </si>
  <si>
    <t>貨2軽DJF</t>
  </si>
  <si>
    <t>DJF</t>
  </si>
  <si>
    <t>貨2軽DDF</t>
  </si>
  <si>
    <t>貨2軽DKF</t>
  </si>
  <si>
    <t>DKF</t>
  </si>
  <si>
    <t>貨2軽NCF</t>
  </si>
  <si>
    <t>NCF</t>
  </si>
  <si>
    <t>貨2軽NJF</t>
  </si>
  <si>
    <t>NJF</t>
  </si>
  <si>
    <t>貨2軽NDF</t>
  </si>
  <si>
    <t>NDF</t>
  </si>
  <si>
    <t>貨2軽NKF</t>
  </si>
  <si>
    <t>NKF</t>
  </si>
  <si>
    <t>貨2軽PCF</t>
  </si>
  <si>
    <t>PCF</t>
  </si>
  <si>
    <t>貨2軽PJF</t>
  </si>
  <si>
    <t>PJF</t>
  </si>
  <si>
    <t>貨2軽PDF</t>
  </si>
  <si>
    <t>PDF</t>
  </si>
  <si>
    <t>貨2軽PKF</t>
  </si>
  <si>
    <t>PKF</t>
  </si>
  <si>
    <t>貨2軽SDF</t>
  </si>
  <si>
    <t>SDF</t>
  </si>
  <si>
    <t>貨2軽SKF</t>
  </si>
  <si>
    <t>SKF</t>
  </si>
  <si>
    <t>貨2軽SPF</t>
  </si>
  <si>
    <t>SPF</t>
  </si>
  <si>
    <t>貨2軽SRF</t>
  </si>
  <si>
    <t>SRF</t>
  </si>
  <si>
    <t>貨2軽SCF</t>
  </si>
  <si>
    <t>SCF</t>
  </si>
  <si>
    <t>貨2軽SJF</t>
  </si>
  <si>
    <t>SJF</t>
  </si>
  <si>
    <t>貨2軽SNF</t>
  </si>
  <si>
    <t>SNF</t>
  </si>
  <si>
    <t>貨2軽SQF</t>
  </si>
  <si>
    <t>SQF</t>
  </si>
  <si>
    <t>貨2軽TDF</t>
  </si>
  <si>
    <t>TDF</t>
  </si>
  <si>
    <t>貨2軽TKF</t>
  </si>
  <si>
    <t>TKF</t>
  </si>
  <si>
    <t>貨2軽TPF</t>
  </si>
  <si>
    <t>TPF</t>
  </si>
  <si>
    <t>貨2軽TRF</t>
  </si>
  <si>
    <t>TRF</t>
  </si>
  <si>
    <t>貨2軽TCF</t>
  </si>
  <si>
    <t>TCF</t>
  </si>
  <si>
    <t>貨2軽TJF</t>
  </si>
  <si>
    <t>TJF</t>
  </si>
  <si>
    <t>貨2軽TNF</t>
  </si>
  <si>
    <t>TNF</t>
  </si>
  <si>
    <t>貨2軽TQF</t>
  </si>
  <si>
    <t>TQF</t>
  </si>
  <si>
    <t>貨3軽-</t>
  </si>
  <si>
    <t>貨3軽K</t>
  </si>
  <si>
    <t>貨3軽N</t>
  </si>
  <si>
    <t>貨3軽P</t>
  </si>
  <si>
    <t>貨3軽S</t>
  </si>
  <si>
    <t>貨3軽U</t>
  </si>
  <si>
    <t>貨3軽KC</t>
  </si>
  <si>
    <t>貨3軽KG</t>
  </si>
  <si>
    <t>貨3軽HC</t>
  </si>
  <si>
    <t>貨3軽DG</t>
  </si>
  <si>
    <t>DG</t>
  </si>
  <si>
    <t>貨3軽WG</t>
  </si>
  <si>
    <t>WG</t>
  </si>
  <si>
    <t>貨3軽DH</t>
  </si>
  <si>
    <t>DH</t>
  </si>
  <si>
    <t>貨3軽WH</t>
  </si>
  <si>
    <t>WH</t>
  </si>
  <si>
    <t>貨3軽DJ</t>
  </si>
  <si>
    <t>DJ</t>
  </si>
  <si>
    <t>貨3軽WJ</t>
  </si>
  <si>
    <t>WJ</t>
  </si>
  <si>
    <t>貨3軽KR</t>
  </si>
  <si>
    <t>貨3軽HY</t>
  </si>
  <si>
    <t>貨3軽TK</t>
  </si>
  <si>
    <t>貨3軽XK</t>
  </si>
  <si>
    <t>貨3軽LK</t>
  </si>
  <si>
    <t>貨3軽YK</t>
  </si>
  <si>
    <t>貨3軽UK</t>
  </si>
  <si>
    <t>貨3軽ZK</t>
  </si>
  <si>
    <t>貨3軽ADF</t>
  </si>
  <si>
    <t>貨3軽AKF</t>
  </si>
  <si>
    <t>貨3軽ACF</t>
  </si>
  <si>
    <t>貨3軽AJF</t>
  </si>
  <si>
    <t>貨3軽BCF</t>
  </si>
  <si>
    <t>貨3軽BJF</t>
  </si>
  <si>
    <t>貨3軽BDF</t>
  </si>
  <si>
    <t>貨3軽BKF</t>
  </si>
  <si>
    <t>貨3軽CCF</t>
  </si>
  <si>
    <t>貨3軽CJF</t>
  </si>
  <si>
    <t>貨3軽CDF</t>
  </si>
  <si>
    <t>貨3軽CKF</t>
  </si>
  <si>
    <t>貨3軽DCF</t>
  </si>
  <si>
    <t>貨3軽DJF</t>
  </si>
  <si>
    <t>貨3軽DDF</t>
  </si>
  <si>
    <t>貨3軽DKF</t>
  </si>
  <si>
    <t>貨3軽NCF</t>
  </si>
  <si>
    <t>貨3軽NJF</t>
  </si>
  <si>
    <t>貨3軽NDF</t>
  </si>
  <si>
    <t>貨3軽NKF</t>
  </si>
  <si>
    <t>貨3軽PCF</t>
  </si>
  <si>
    <t>貨3軽PJF</t>
  </si>
  <si>
    <t>貨3軽PDF</t>
  </si>
  <si>
    <t>貨3軽PKF</t>
  </si>
  <si>
    <t>貨3軽LDF</t>
  </si>
  <si>
    <t>LDF</t>
  </si>
  <si>
    <t>貨3軽LKF</t>
  </si>
  <si>
    <t>LKF</t>
  </si>
  <si>
    <t>貨3軽LPF</t>
  </si>
  <si>
    <t>LPF</t>
  </si>
  <si>
    <t>貨3軽LRF</t>
  </si>
  <si>
    <t>LRF</t>
  </si>
  <si>
    <t>貨3軽LCF</t>
  </si>
  <si>
    <t>LCF</t>
  </si>
  <si>
    <t>貨3軽LJF</t>
  </si>
  <si>
    <t>LJF</t>
  </si>
  <si>
    <t>貨3軽LNF</t>
  </si>
  <si>
    <t>LNF</t>
  </si>
  <si>
    <t>貨3軽LQF</t>
  </si>
  <si>
    <t>LQF</t>
  </si>
  <si>
    <t>貨3軽MDF</t>
  </si>
  <si>
    <t>MDF</t>
  </si>
  <si>
    <t>貨3軽MKF</t>
  </si>
  <si>
    <t>MKF</t>
  </si>
  <si>
    <t>貨3軽MPF</t>
  </si>
  <si>
    <t>MPF</t>
  </si>
  <si>
    <t>貨3軽MRF</t>
  </si>
  <si>
    <t>MRF</t>
  </si>
  <si>
    <t>貨3軽MCF</t>
  </si>
  <si>
    <t>MCF</t>
  </si>
  <si>
    <t>貨3軽MJF</t>
  </si>
  <si>
    <t>MJF</t>
  </si>
  <si>
    <t>貨3軽MNF</t>
  </si>
  <si>
    <t>MNF</t>
  </si>
  <si>
    <t>貨3軽MQF</t>
  </si>
  <si>
    <t>MQF</t>
  </si>
  <si>
    <t>貨3軽RDF</t>
  </si>
  <si>
    <t>RDF</t>
  </si>
  <si>
    <t>貨3軽RKF</t>
  </si>
  <si>
    <t>RKF</t>
  </si>
  <si>
    <t>貨3軽RPF</t>
  </si>
  <si>
    <t>RPF</t>
  </si>
  <si>
    <t>貨3軽RRF</t>
  </si>
  <si>
    <t>RRF</t>
  </si>
  <si>
    <t>貨3軽RCF</t>
  </si>
  <si>
    <t>RCF</t>
  </si>
  <si>
    <t>貨3軽RJF</t>
  </si>
  <si>
    <t>RJF</t>
  </si>
  <si>
    <t>貨3軽RNF</t>
  </si>
  <si>
    <t>RNF</t>
  </si>
  <si>
    <t>貨3軽RQF</t>
  </si>
  <si>
    <t>RQF</t>
  </si>
  <si>
    <t>貨3軽QDF</t>
  </si>
  <si>
    <t>QDF</t>
  </si>
  <si>
    <t>貨3軽QKF</t>
  </si>
  <si>
    <t>QKF</t>
  </si>
  <si>
    <t>貨3軽QPF</t>
  </si>
  <si>
    <t>QPF</t>
  </si>
  <si>
    <t>貨3軽QRF</t>
  </si>
  <si>
    <t>QRF</t>
  </si>
  <si>
    <t>貨3軽QCF</t>
  </si>
  <si>
    <t>QCF</t>
  </si>
  <si>
    <t>貨3軽QJF</t>
  </si>
  <si>
    <t>QJF</t>
  </si>
  <si>
    <t>貨3軽QNF</t>
  </si>
  <si>
    <t>QNF</t>
  </si>
  <si>
    <t>貨3軽QQF</t>
  </si>
  <si>
    <t>QQF</t>
  </si>
  <si>
    <t>貨4軽-</t>
  </si>
  <si>
    <t>貨4軽K</t>
  </si>
  <si>
    <t>貨4軽N</t>
  </si>
  <si>
    <t>貨4軽P</t>
  </si>
  <si>
    <t>貨4軽U</t>
  </si>
  <si>
    <t>貨4軽W</t>
  </si>
  <si>
    <t>貨4軽KC</t>
  </si>
  <si>
    <t>貨4軽KK</t>
  </si>
  <si>
    <t>貨4軽HF</t>
  </si>
  <si>
    <t>貨4軽KL</t>
  </si>
  <si>
    <t>貨4軽HM</t>
  </si>
  <si>
    <t>貨4軽DR</t>
  </si>
  <si>
    <t>H10</t>
  </si>
  <si>
    <t>DR</t>
  </si>
  <si>
    <t>貨4軽WR</t>
  </si>
  <si>
    <t>WR</t>
  </si>
  <si>
    <t>貨4軽DS</t>
  </si>
  <si>
    <t>DS</t>
  </si>
  <si>
    <t>貨4軽WS</t>
  </si>
  <si>
    <t>WS</t>
  </si>
  <si>
    <t>貨4軽DT</t>
  </si>
  <si>
    <t>DT</t>
  </si>
  <si>
    <t>貨4軽WT</t>
  </si>
  <si>
    <t>WT</t>
  </si>
  <si>
    <t>貨4軽DU</t>
  </si>
  <si>
    <t>H11</t>
  </si>
  <si>
    <t>DU</t>
  </si>
  <si>
    <t>貨4軽WU</t>
  </si>
  <si>
    <t>WU</t>
  </si>
  <si>
    <t>貨4軽DV</t>
  </si>
  <si>
    <t>DV</t>
  </si>
  <si>
    <t>貨4軽WV</t>
  </si>
  <si>
    <t>WV</t>
  </si>
  <si>
    <t>貨4軽DW</t>
  </si>
  <si>
    <t>DW</t>
  </si>
  <si>
    <t>貨4軽WW</t>
  </si>
  <si>
    <t>WW</t>
  </si>
  <si>
    <t>貨4軽KR</t>
  </si>
  <si>
    <t>貨4軽HY</t>
  </si>
  <si>
    <t>貨4軽KS</t>
  </si>
  <si>
    <t>貨4軽HZ</t>
  </si>
  <si>
    <t>貨4軽TL</t>
  </si>
  <si>
    <t>貨4軽XL</t>
  </si>
  <si>
    <t>貨4軽LL</t>
  </si>
  <si>
    <t>貨4軽YL</t>
  </si>
  <si>
    <t>貨4軽UL</t>
  </si>
  <si>
    <t>貨4軽ZL</t>
  </si>
  <si>
    <t>貨4軽PA</t>
  </si>
  <si>
    <t>☆☆☆(PMのみ)</t>
  </si>
  <si>
    <t>貨4軽VA</t>
  </si>
  <si>
    <t>☆☆☆(PMのみ),ハイブリット</t>
  </si>
  <si>
    <t>貨4軽PB</t>
  </si>
  <si>
    <t>☆☆☆☆（ＰＭのみ）</t>
  </si>
  <si>
    <t>貨4軽VB</t>
  </si>
  <si>
    <t>☆☆☆☆(PMのみ）,ハイブリット</t>
  </si>
  <si>
    <t>貨4軽PC</t>
  </si>
  <si>
    <t>☆(NOX),☆☆☆(PM)</t>
  </si>
  <si>
    <t>貨4軽VC</t>
  </si>
  <si>
    <t>☆(NOX),☆☆☆(PM),ハイブリット</t>
  </si>
  <si>
    <t>貨4軽PD</t>
  </si>
  <si>
    <t>☆(NOX),☆☆☆☆(PM)</t>
  </si>
  <si>
    <t>貨4軽VD</t>
  </si>
  <si>
    <t>☆(NOX),☆☆☆☆(PM),ハイブリット</t>
  </si>
  <si>
    <t>貨4軽PE</t>
  </si>
  <si>
    <t>☆☆(NOX),☆☆☆(PM)</t>
  </si>
  <si>
    <t>貨4軽VE</t>
  </si>
  <si>
    <t>☆☆(NOX),☆☆☆(PM),ハイブリット</t>
  </si>
  <si>
    <t>貨4軽PF</t>
  </si>
  <si>
    <t>☆☆(NOX),☆☆☆☆(PM)</t>
  </si>
  <si>
    <t>貨4軽VF</t>
  </si>
  <si>
    <t>☆☆(NOX),☆☆☆☆(PM),ハイブリット</t>
  </si>
  <si>
    <t>貨4軽PG</t>
  </si>
  <si>
    <t>☆☆☆(NOX),☆☆☆(PM)</t>
  </si>
  <si>
    <t>貨4軽VG</t>
  </si>
  <si>
    <t>☆☆☆(NOX),☆☆☆(PM),ハイブリット</t>
  </si>
  <si>
    <t>貨4軽PH</t>
  </si>
  <si>
    <t>☆☆☆(NOX),☆☆☆☆(PM)</t>
  </si>
  <si>
    <t>貨4軽VH</t>
  </si>
  <si>
    <t>☆☆☆(NOX),☆☆☆☆(PM),ハイブリット</t>
  </si>
  <si>
    <t>貨4軽TM</t>
  </si>
  <si>
    <t>貨4軽XM</t>
  </si>
  <si>
    <t>貨4軽LM</t>
  </si>
  <si>
    <t>貨4軽YM</t>
  </si>
  <si>
    <t>貨4軽UM</t>
  </si>
  <si>
    <t>貨4軽ZM</t>
  </si>
  <si>
    <t>貨4軽PJ</t>
  </si>
  <si>
    <t>貨4軽VJ</t>
  </si>
  <si>
    <t>貨4軽PK</t>
  </si>
  <si>
    <t>貨4軽VK</t>
  </si>
  <si>
    <t>貨4軽PL</t>
  </si>
  <si>
    <t>貨4軽VL</t>
  </si>
  <si>
    <t>貨4軽PM</t>
  </si>
  <si>
    <t>貨4軽VM</t>
  </si>
  <si>
    <t>貨4軽PN</t>
  </si>
  <si>
    <t>貨4軽VN</t>
  </si>
  <si>
    <t>貨4軽PP</t>
  </si>
  <si>
    <t>貨4軽VP</t>
  </si>
  <si>
    <t>貨4軽PQ</t>
  </si>
  <si>
    <t>貨4軽VQ</t>
  </si>
  <si>
    <t>貨4軽PR</t>
  </si>
  <si>
    <t>貨4軽VR</t>
  </si>
  <si>
    <t>貨4軽ADG</t>
  </si>
  <si>
    <t>ADG</t>
  </si>
  <si>
    <t>貨4軽AKG</t>
  </si>
  <si>
    <t>AKG</t>
  </si>
  <si>
    <t>貨4軽ACG</t>
  </si>
  <si>
    <t>ACG</t>
  </si>
  <si>
    <t>貨4軽AJG</t>
  </si>
  <si>
    <t>AJG</t>
  </si>
  <si>
    <t>貨4軽BCG</t>
  </si>
  <si>
    <t>貨4軽BJG</t>
  </si>
  <si>
    <t>BJG</t>
  </si>
  <si>
    <t>貨4軽BDG</t>
  </si>
  <si>
    <t>貨4軽BKG</t>
  </si>
  <si>
    <t>BKG</t>
  </si>
  <si>
    <t>貨4軽CCG</t>
  </si>
  <si>
    <t>貨4軽CJG</t>
  </si>
  <si>
    <t>CJG</t>
  </si>
  <si>
    <t>貨4軽CDG</t>
  </si>
  <si>
    <t>貨4軽CKG</t>
  </si>
  <si>
    <t>CKG</t>
  </si>
  <si>
    <t>貨4軽DCG</t>
  </si>
  <si>
    <t>貨4軽DJG</t>
  </si>
  <si>
    <t>DJG</t>
  </si>
  <si>
    <t>貨4軽DDG</t>
  </si>
  <si>
    <t>貨4軽DKG</t>
  </si>
  <si>
    <t>DKG</t>
  </si>
  <si>
    <t>貨4軽NCG</t>
  </si>
  <si>
    <t>NCG</t>
  </si>
  <si>
    <t>貨4軽NJG</t>
  </si>
  <si>
    <t>NJG</t>
  </si>
  <si>
    <t>貨4軽NDG</t>
  </si>
  <si>
    <t>NDG</t>
  </si>
  <si>
    <t>貨4軽NKG</t>
  </si>
  <si>
    <t>NKG</t>
  </si>
  <si>
    <t>貨4軽PCG</t>
  </si>
  <si>
    <t>PCG</t>
  </si>
  <si>
    <t>貨4軽PJG</t>
  </si>
  <si>
    <t>PJG</t>
  </si>
  <si>
    <t>貨4軽PDG</t>
  </si>
  <si>
    <t>PDG</t>
  </si>
  <si>
    <t>貨4軽PKG</t>
  </si>
  <si>
    <t>PKG</t>
  </si>
  <si>
    <t>貨4軽LDG</t>
  </si>
  <si>
    <t>LDG</t>
  </si>
  <si>
    <t>貨4軽LKG</t>
  </si>
  <si>
    <t>LKG</t>
  </si>
  <si>
    <t>貨4軽LPG</t>
  </si>
  <si>
    <t>LPG</t>
  </si>
  <si>
    <t>貨4軽LRG</t>
  </si>
  <si>
    <t>LRG</t>
  </si>
  <si>
    <t>貨4軽LCG</t>
  </si>
  <si>
    <t>LCG</t>
  </si>
  <si>
    <t>貨4軽LJG</t>
  </si>
  <si>
    <t>LJG</t>
  </si>
  <si>
    <t>貨4軽LNG</t>
  </si>
  <si>
    <t>LNG</t>
  </si>
  <si>
    <t>貨4軽LQG</t>
  </si>
  <si>
    <t>LQG</t>
  </si>
  <si>
    <t>貨4軽MDG</t>
  </si>
  <si>
    <t>MDG</t>
  </si>
  <si>
    <t>貨4軽MKG</t>
  </si>
  <si>
    <t>MKG</t>
  </si>
  <si>
    <t>貨4軽MPG</t>
  </si>
  <si>
    <t>MPG</t>
  </si>
  <si>
    <t>貨4軽MRG</t>
  </si>
  <si>
    <t>MRG</t>
  </si>
  <si>
    <t>貨4軽MCG</t>
  </si>
  <si>
    <t>MCG</t>
  </si>
  <si>
    <t>貨4軽MJG</t>
  </si>
  <si>
    <t>MJG</t>
  </si>
  <si>
    <t>貨4軽MNG</t>
  </si>
  <si>
    <t>MNG</t>
  </si>
  <si>
    <t>貨4軽MQG</t>
  </si>
  <si>
    <t>MQG</t>
  </si>
  <si>
    <t>貨4軽RDG</t>
  </si>
  <si>
    <t>RDG</t>
  </si>
  <si>
    <t>貨4軽RKG</t>
  </si>
  <si>
    <t>RKG</t>
  </si>
  <si>
    <t>貨4軽RPG</t>
  </si>
  <si>
    <t>RPG</t>
  </si>
  <si>
    <t>貨4軽RRG</t>
  </si>
  <si>
    <t>RRG</t>
  </si>
  <si>
    <t>貨4軽RCG</t>
  </si>
  <si>
    <t>RCG</t>
  </si>
  <si>
    <t>貨4軽RJG</t>
  </si>
  <si>
    <t>RJG</t>
  </si>
  <si>
    <t>貨4軽RNG</t>
  </si>
  <si>
    <t>RNG</t>
  </si>
  <si>
    <t>貨4軽RQG</t>
  </si>
  <si>
    <t>RQG</t>
  </si>
  <si>
    <t>貨4軽SDG</t>
  </si>
  <si>
    <t>SDG</t>
  </si>
  <si>
    <t>貨4軽SKG</t>
  </si>
  <si>
    <t>SKG</t>
  </si>
  <si>
    <t>貨4軽SPG</t>
  </si>
  <si>
    <t>SPG</t>
  </si>
  <si>
    <t>貨4軽SRG</t>
  </si>
  <si>
    <t>SRG</t>
  </si>
  <si>
    <t>貨4軽SCG</t>
  </si>
  <si>
    <t>SCG</t>
  </si>
  <si>
    <t>貨4軽SJG</t>
  </si>
  <si>
    <t>SJG</t>
  </si>
  <si>
    <t>貨4軽SNG</t>
  </si>
  <si>
    <t>SNG</t>
  </si>
  <si>
    <t>貨4軽SQG</t>
  </si>
  <si>
    <t>SQG</t>
  </si>
  <si>
    <t>貨4軽TDG</t>
  </si>
  <si>
    <t>TDG</t>
  </si>
  <si>
    <t>貨4軽TKG</t>
  </si>
  <si>
    <t>TKG</t>
  </si>
  <si>
    <t>貨4軽TPG</t>
  </si>
  <si>
    <t>TPG</t>
  </si>
  <si>
    <t>貨4軽TRG</t>
  </si>
  <si>
    <t>TRG</t>
  </si>
  <si>
    <t>貨4軽TCG</t>
  </si>
  <si>
    <t>TCG</t>
  </si>
  <si>
    <t>貨4軽TJG</t>
  </si>
  <si>
    <t>TJG</t>
  </si>
  <si>
    <t>貨4軽TNG</t>
  </si>
  <si>
    <t>TNG</t>
  </si>
  <si>
    <t>貨4軽TQG</t>
  </si>
  <si>
    <t>TQG</t>
  </si>
  <si>
    <t>貨1CTP</t>
  </si>
  <si>
    <t>☆,CNG</t>
  </si>
  <si>
    <t>貨1CLP</t>
  </si>
  <si>
    <t>☆☆,CNG</t>
  </si>
  <si>
    <t>貨1CUP</t>
  </si>
  <si>
    <t>☆☆☆,CNG</t>
  </si>
  <si>
    <t>貨1CAFE</t>
  </si>
  <si>
    <t>AFE</t>
  </si>
  <si>
    <t>CNG</t>
  </si>
  <si>
    <t>貨1CAEE</t>
  </si>
  <si>
    <t>AEE</t>
  </si>
  <si>
    <t>CNG,ハイブリット</t>
  </si>
  <si>
    <t>貨1CBEE</t>
  </si>
  <si>
    <t>貨1CBFE</t>
  </si>
  <si>
    <t>貨1CCEE</t>
  </si>
  <si>
    <t>貨1CCFE</t>
  </si>
  <si>
    <t>貨1CDEE</t>
  </si>
  <si>
    <t>貨1CDFE</t>
  </si>
  <si>
    <t>貨1CLFE</t>
  </si>
  <si>
    <t>LFE</t>
  </si>
  <si>
    <t>貨1CLEE</t>
  </si>
  <si>
    <t>LEE</t>
  </si>
  <si>
    <t>貨1CMFE</t>
  </si>
  <si>
    <t>MFE</t>
  </si>
  <si>
    <t>貨1CMEE</t>
  </si>
  <si>
    <t>MEE</t>
  </si>
  <si>
    <t>貨1CRFE</t>
  </si>
  <si>
    <t>RFE</t>
  </si>
  <si>
    <t>貨1CREE</t>
  </si>
  <si>
    <t>REE</t>
  </si>
  <si>
    <t>貨1CQFE</t>
  </si>
  <si>
    <t>QFE</t>
  </si>
  <si>
    <t>貨1CQEE</t>
  </si>
  <si>
    <t>QEE</t>
  </si>
  <si>
    <t>貨2CTQ</t>
  </si>
  <si>
    <t>貨2CLQ</t>
  </si>
  <si>
    <t>貨2CUQ</t>
  </si>
  <si>
    <t>貨2CAFF</t>
  </si>
  <si>
    <t>AFF</t>
  </si>
  <si>
    <t>貨2CAEF</t>
  </si>
  <si>
    <t>AEF</t>
  </si>
  <si>
    <t>貨2CBEF</t>
  </si>
  <si>
    <t>貨2CBFF</t>
  </si>
  <si>
    <t>貨2CCEF</t>
  </si>
  <si>
    <t>貨2CCFF</t>
  </si>
  <si>
    <t>貨2CDEF</t>
  </si>
  <si>
    <t>貨2CDFF</t>
  </si>
  <si>
    <t>貨2CNEF</t>
  </si>
  <si>
    <t>NEF</t>
  </si>
  <si>
    <t>貨2CNFF</t>
  </si>
  <si>
    <t>NFF</t>
  </si>
  <si>
    <t>貨2CLFF</t>
  </si>
  <si>
    <t>LFF</t>
  </si>
  <si>
    <t>貨2CLEF</t>
  </si>
  <si>
    <t>LEF</t>
  </si>
  <si>
    <t>貨2CMFF</t>
  </si>
  <si>
    <t>MFF</t>
  </si>
  <si>
    <t>貨2CMEF</t>
  </si>
  <si>
    <t>MEF</t>
  </si>
  <si>
    <t>貨2CRFF</t>
  </si>
  <si>
    <t>RFF</t>
  </si>
  <si>
    <t>貨2CREF</t>
  </si>
  <si>
    <t>REF</t>
  </si>
  <si>
    <t>貨2CQFF</t>
  </si>
  <si>
    <t>QFF</t>
  </si>
  <si>
    <t>貨2CQEF</t>
  </si>
  <si>
    <t>QEF</t>
  </si>
  <si>
    <t>貨3CTQ</t>
  </si>
  <si>
    <t>貨3CLQ</t>
  </si>
  <si>
    <t>貨3CUQ</t>
  </si>
  <si>
    <t>貨3CAFF</t>
  </si>
  <si>
    <t>貨3CAEF</t>
  </si>
  <si>
    <t>貨3CBEF</t>
  </si>
  <si>
    <t>貨3CBFF</t>
  </si>
  <si>
    <t>貨3CCEF</t>
  </si>
  <si>
    <t>貨3CCFF</t>
  </si>
  <si>
    <t>貨3CDEF</t>
  </si>
  <si>
    <t>貨3CDFF</t>
  </si>
  <si>
    <t>貨3CNEF</t>
  </si>
  <si>
    <t>貨3CNFF</t>
  </si>
  <si>
    <t>貨3CLFF</t>
  </si>
  <si>
    <t>貨3CLEF</t>
  </si>
  <si>
    <t>貨3CMFF</t>
  </si>
  <si>
    <t>貨3CMEF</t>
  </si>
  <si>
    <t>貨3CRFF</t>
  </si>
  <si>
    <t>貨3CREF</t>
  </si>
  <si>
    <t>貨3CQFF</t>
  </si>
  <si>
    <t>貨3CQEF</t>
  </si>
  <si>
    <t>貨4CTR</t>
  </si>
  <si>
    <t>TR</t>
  </si>
  <si>
    <t>貨4CLR</t>
  </si>
  <si>
    <t>LR</t>
  </si>
  <si>
    <t>貨4CUR</t>
  </si>
  <si>
    <t>UR</t>
  </si>
  <si>
    <t>貨4CAFG</t>
  </si>
  <si>
    <t>AFG</t>
  </si>
  <si>
    <t>貨4CAEG</t>
  </si>
  <si>
    <t>AEG</t>
  </si>
  <si>
    <t>貨4CBEG</t>
  </si>
  <si>
    <t>貨4CBFG</t>
  </si>
  <si>
    <t>貨4CCEG</t>
  </si>
  <si>
    <t>貨4CCFG</t>
  </si>
  <si>
    <t>貨4CDEG</t>
  </si>
  <si>
    <t>貨4CDFG</t>
  </si>
  <si>
    <t>貨4CNEG</t>
  </si>
  <si>
    <t>NEG</t>
  </si>
  <si>
    <t>貨4CNFG</t>
  </si>
  <si>
    <t>NFG</t>
  </si>
  <si>
    <t>貨4CPEG</t>
  </si>
  <si>
    <t>PEG</t>
  </si>
  <si>
    <t>貨4CPFG</t>
  </si>
  <si>
    <t>PFG</t>
  </si>
  <si>
    <t>貨4CLFG</t>
  </si>
  <si>
    <t>LFG</t>
  </si>
  <si>
    <t>貨4CLEG</t>
  </si>
  <si>
    <t>LEG</t>
  </si>
  <si>
    <t>貨4CMFG</t>
  </si>
  <si>
    <t>MFG</t>
  </si>
  <si>
    <t>貨4CMEG</t>
  </si>
  <si>
    <t>MEG</t>
  </si>
  <si>
    <t>貨4CRFG</t>
  </si>
  <si>
    <t>RFG</t>
  </si>
  <si>
    <t>貨4CREG</t>
  </si>
  <si>
    <t>REG</t>
  </si>
  <si>
    <t>貨4CSFG</t>
  </si>
  <si>
    <t>SFG</t>
  </si>
  <si>
    <t>貨4CSEG</t>
  </si>
  <si>
    <t>SEG</t>
  </si>
  <si>
    <t>貨4CTFG</t>
  </si>
  <si>
    <t>TFG</t>
  </si>
  <si>
    <t>貨4CTEG</t>
  </si>
  <si>
    <t>TEG</t>
  </si>
  <si>
    <t>貨1メTP</t>
  </si>
  <si>
    <t>メ</t>
  </si>
  <si>
    <t>☆,メタノール</t>
  </si>
  <si>
    <t>貨1メLP</t>
  </si>
  <si>
    <t>☆☆,メタノール</t>
  </si>
  <si>
    <t>貨1メUP</t>
  </si>
  <si>
    <t>☆☆☆,メタノール</t>
  </si>
  <si>
    <t>貨1メAHE</t>
  </si>
  <si>
    <t>AHE</t>
  </si>
  <si>
    <t>メタノール</t>
  </si>
  <si>
    <t>貨1メAGE</t>
  </si>
  <si>
    <t>AGE</t>
  </si>
  <si>
    <t>メタノール,ハイブリット</t>
  </si>
  <si>
    <t>貨1メBGE</t>
  </si>
  <si>
    <t>BGE</t>
  </si>
  <si>
    <t>貨1メBHE</t>
  </si>
  <si>
    <t>BHE</t>
  </si>
  <si>
    <t>貨1メCGE</t>
  </si>
  <si>
    <t>貨1メCHE</t>
  </si>
  <si>
    <t>貨1メDGE</t>
  </si>
  <si>
    <t>貨1メDHE</t>
  </si>
  <si>
    <t>貨1メLHE</t>
  </si>
  <si>
    <t>LHE</t>
  </si>
  <si>
    <t>貨1メLGE</t>
  </si>
  <si>
    <t>LGE</t>
  </si>
  <si>
    <t>貨1メMHE</t>
  </si>
  <si>
    <t>MHE</t>
  </si>
  <si>
    <t>貨1メMGE</t>
  </si>
  <si>
    <t>MGE</t>
  </si>
  <si>
    <t>貨1メRHE</t>
  </si>
  <si>
    <t>RHE</t>
  </si>
  <si>
    <t>貨1メRGE</t>
  </si>
  <si>
    <t>RGE</t>
  </si>
  <si>
    <t>貨1メQHE</t>
  </si>
  <si>
    <t>QHE</t>
  </si>
  <si>
    <t>貨1メQGE</t>
  </si>
  <si>
    <t>QGE</t>
  </si>
  <si>
    <t>貨2メTQ</t>
  </si>
  <si>
    <t>貨2メLQ</t>
  </si>
  <si>
    <t>貨2メUQ</t>
  </si>
  <si>
    <t>貨2メAHF</t>
  </si>
  <si>
    <t>AHF</t>
  </si>
  <si>
    <t>貨2メAGF</t>
  </si>
  <si>
    <t>AGF</t>
  </si>
  <si>
    <t>貨2メBGF</t>
  </si>
  <si>
    <t>BGF</t>
  </si>
  <si>
    <t>貨2メBHF</t>
  </si>
  <si>
    <t>BHF</t>
  </si>
  <si>
    <t>貨2メCGF</t>
  </si>
  <si>
    <t>貨2メCHF</t>
  </si>
  <si>
    <t>貨2メDGF</t>
  </si>
  <si>
    <t>貨2メDHF</t>
  </si>
  <si>
    <t>貨2メLHF</t>
  </si>
  <si>
    <t>LHF</t>
  </si>
  <si>
    <t>貨2メLGF</t>
  </si>
  <si>
    <t>LGF</t>
  </si>
  <si>
    <t>貨2メMHF</t>
  </si>
  <si>
    <t>MHF</t>
  </si>
  <si>
    <t>貨2メMGF</t>
  </si>
  <si>
    <t>MGF</t>
  </si>
  <si>
    <t>貨2メRHF</t>
  </si>
  <si>
    <t>RHF</t>
  </si>
  <si>
    <t>貨2メRGF</t>
  </si>
  <si>
    <t>RGF</t>
  </si>
  <si>
    <t>貨2メQHF</t>
  </si>
  <si>
    <t>QHF</t>
  </si>
  <si>
    <t>貨2メQGF</t>
  </si>
  <si>
    <t>QGF</t>
  </si>
  <si>
    <t>貨3メTQ</t>
  </si>
  <si>
    <t>貨3メLQ</t>
  </si>
  <si>
    <t>貨3メUQ</t>
  </si>
  <si>
    <t>貨3メAHF</t>
  </si>
  <si>
    <t>貨3メAGF</t>
  </si>
  <si>
    <t>貨3メBGF</t>
  </si>
  <si>
    <t>貨3メBHF</t>
  </si>
  <si>
    <t>貨3メCGF</t>
  </si>
  <si>
    <t>貨3メCHF</t>
  </si>
  <si>
    <t>貨3メDGF</t>
  </si>
  <si>
    <t>貨3メDHF</t>
  </si>
  <si>
    <t>貨3メLHF</t>
  </si>
  <si>
    <t>貨3メLGF</t>
  </si>
  <si>
    <t>貨3メMHF</t>
  </si>
  <si>
    <t>貨3メMGF</t>
  </si>
  <si>
    <t>貨3メRHF</t>
  </si>
  <si>
    <t>貨3メRGF</t>
  </si>
  <si>
    <t>貨3メQHF</t>
  </si>
  <si>
    <t>貨3メQGF</t>
  </si>
  <si>
    <t>貨4メTR</t>
  </si>
  <si>
    <t>貨4メLR</t>
  </si>
  <si>
    <t>貨4メUR</t>
  </si>
  <si>
    <t>貨4メAHG</t>
  </si>
  <si>
    <t>AHG</t>
  </si>
  <si>
    <t>貨4メAGG</t>
  </si>
  <si>
    <t>AGG</t>
  </si>
  <si>
    <t>貨4メBGG</t>
  </si>
  <si>
    <t>BGG</t>
  </si>
  <si>
    <t>貨4メBHG</t>
  </si>
  <si>
    <t>BHG</t>
  </si>
  <si>
    <t>貨4メCGG</t>
  </si>
  <si>
    <t>貨4メCHG</t>
  </si>
  <si>
    <t>貨4メDGG</t>
  </si>
  <si>
    <t>貨4メDHG</t>
  </si>
  <si>
    <t>貨4メLHG</t>
  </si>
  <si>
    <t>LHG</t>
  </si>
  <si>
    <t>貨4メLGG</t>
  </si>
  <si>
    <t>LGG</t>
  </si>
  <si>
    <t>貨4メMHG</t>
  </si>
  <si>
    <t>MHG</t>
  </si>
  <si>
    <t>貨4メMGG</t>
  </si>
  <si>
    <t>MGG</t>
  </si>
  <si>
    <t>貨4メRHG</t>
  </si>
  <si>
    <t>RHG</t>
  </si>
  <si>
    <t>貨4メRGG</t>
  </si>
  <si>
    <t>RGG</t>
  </si>
  <si>
    <t>貨4メQHG</t>
  </si>
  <si>
    <t>QHG</t>
  </si>
  <si>
    <t>貨4メQGG</t>
  </si>
  <si>
    <t>QGG</t>
  </si>
  <si>
    <t>貨4メSHG</t>
  </si>
  <si>
    <t>SHG</t>
  </si>
  <si>
    <t>貨4メSGG</t>
  </si>
  <si>
    <t>SGG</t>
  </si>
  <si>
    <t>貨4メTHG</t>
  </si>
  <si>
    <t>THG</t>
  </si>
  <si>
    <t>貨4メTGG</t>
  </si>
  <si>
    <t>TGG</t>
  </si>
  <si>
    <t>乗0ガ-</t>
  </si>
  <si>
    <t>乗0ガA</t>
  </si>
  <si>
    <t>乗0ガB</t>
  </si>
  <si>
    <t>乗0ガC</t>
  </si>
  <si>
    <t>乗0ガE</t>
  </si>
  <si>
    <t>乗0ガGF</t>
  </si>
  <si>
    <t>乗0ガHK</t>
  </si>
  <si>
    <t>乗0ガGH</t>
  </si>
  <si>
    <t>乗0ガHN</t>
  </si>
  <si>
    <t>乗0ガTA</t>
  </si>
  <si>
    <t>乗0ガXA</t>
  </si>
  <si>
    <t>乗0ガLA</t>
  </si>
  <si>
    <t>乗0ガYA</t>
  </si>
  <si>
    <t>乗0ガUA</t>
  </si>
  <si>
    <t>乗0ガZA</t>
  </si>
  <si>
    <t>乗0ガABA</t>
  </si>
  <si>
    <t>ABA</t>
  </si>
  <si>
    <t>乗0ガAAA</t>
  </si>
  <si>
    <t>AAA</t>
  </si>
  <si>
    <t>乗0ガALA</t>
  </si>
  <si>
    <t>ALA</t>
  </si>
  <si>
    <t>Pハ</t>
  </si>
  <si>
    <t>プラグインハイブリット</t>
  </si>
  <si>
    <t>乗0ガCAA</t>
  </si>
  <si>
    <t>乗0ガCBA</t>
  </si>
  <si>
    <t>乗0ガCLA</t>
  </si>
  <si>
    <t>CLA</t>
  </si>
  <si>
    <t>乗0ガDAA</t>
  </si>
  <si>
    <t>乗0ガDBA</t>
  </si>
  <si>
    <t>乗0ガDLA</t>
  </si>
  <si>
    <t>DLA</t>
  </si>
  <si>
    <t>乗0ガLBA</t>
  </si>
  <si>
    <t>LBA</t>
  </si>
  <si>
    <t>乗0ガLAA</t>
  </si>
  <si>
    <t>LAA</t>
  </si>
  <si>
    <t>乗0ガLLA</t>
  </si>
  <si>
    <t>LLA</t>
  </si>
  <si>
    <t>乗0ガMBA</t>
  </si>
  <si>
    <t>MBA</t>
  </si>
  <si>
    <t>乗0ガMAA</t>
  </si>
  <si>
    <t>MAA</t>
  </si>
  <si>
    <t>乗0ガMLA</t>
  </si>
  <si>
    <t>MLA</t>
  </si>
  <si>
    <t>乗0ガRBA</t>
  </si>
  <si>
    <t>RBA</t>
  </si>
  <si>
    <t>乗0ガRAA</t>
  </si>
  <si>
    <t>RAA</t>
  </si>
  <si>
    <t>乗0ガRLA</t>
  </si>
  <si>
    <t>RLA</t>
  </si>
  <si>
    <t>乗0ガQBA</t>
  </si>
  <si>
    <t>QBA</t>
  </si>
  <si>
    <t>乗0ガQAA</t>
  </si>
  <si>
    <t>QAA</t>
  </si>
  <si>
    <t>新☆(優先）,ハイブリット</t>
    <rPh sb="0" eb="1">
      <t>シン</t>
    </rPh>
    <rPh sb="3" eb="5">
      <t>ユウセン</t>
    </rPh>
    <phoneticPr fontId="3"/>
  </si>
  <si>
    <t>乗0ガQLA</t>
  </si>
  <si>
    <t>QLA</t>
  </si>
  <si>
    <t>新☆(優先),プラグインハイブリット</t>
    <rPh sb="0" eb="1">
      <t>シン</t>
    </rPh>
    <rPh sb="3" eb="5">
      <t>ユウセン</t>
    </rPh>
    <phoneticPr fontId="3"/>
  </si>
  <si>
    <t>乗0L-</t>
  </si>
  <si>
    <t>乗0LA</t>
  </si>
  <si>
    <t>乗0LB</t>
  </si>
  <si>
    <t>乗0LC</t>
  </si>
  <si>
    <t>乗0LE</t>
  </si>
  <si>
    <t>乗0LGF</t>
  </si>
  <si>
    <t>乗0LHK</t>
  </si>
  <si>
    <t>乗0LGH</t>
  </si>
  <si>
    <t>乗0LHN</t>
  </si>
  <si>
    <t>乗0LTA</t>
  </si>
  <si>
    <t>乗0LXA</t>
  </si>
  <si>
    <t>乗0LLA</t>
  </si>
  <si>
    <t>乗0LYA</t>
  </si>
  <si>
    <t>乗0LUA</t>
  </si>
  <si>
    <t>乗0LZA</t>
  </si>
  <si>
    <t>乗0LABA</t>
  </si>
  <si>
    <t>乗0LAAA</t>
  </si>
  <si>
    <t>乗0LALA</t>
  </si>
  <si>
    <t>乗0LCAA</t>
  </si>
  <si>
    <t>乗0LCBA</t>
  </si>
  <si>
    <t>乗0LCLA</t>
  </si>
  <si>
    <t>乗0LDAA</t>
  </si>
  <si>
    <t>乗0LDBA</t>
  </si>
  <si>
    <t>乗0LDLA</t>
  </si>
  <si>
    <t>乗0LLBA</t>
  </si>
  <si>
    <t>乗0LLAA</t>
  </si>
  <si>
    <t>乗0LLLA</t>
  </si>
  <si>
    <t>乗0LMBA</t>
  </si>
  <si>
    <t>乗0LMAA</t>
  </si>
  <si>
    <t>乗0LMLA</t>
  </si>
  <si>
    <t>乗0LRBA</t>
  </si>
  <si>
    <t>乗0LRAA</t>
  </si>
  <si>
    <t>乗0LRLA</t>
  </si>
  <si>
    <t>乗0LQBA</t>
  </si>
  <si>
    <t>乗0LQAA</t>
  </si>
  <si>
    <t>乗0LQLA</t>
  </si>
  <si>
    <t>乗0軽-</t>
  </si>
  <si>
    <t>乗0軽K</t>
  </si>
  <si>
    <t>乗0軽N</t>
  </si>
  <si>
    <t>乗0軽P</t>
  </si>
  <si>
    <t>乗0軽Q</t>
  </si>
  <si>
    <t>乗0軽X</t>
  </si>
  <si>
    <t>乗0軽Y</t>
  </si>
  <si>
    <t>乗0軽KD</t>
  </si>
  <si>
    <t>乗0軽KE</t>
  </si>
  <si>
    <t>乗0軽HA</t>
  </si>
  <si>
    <t>乗0軽KH</t>
  </si>
  <si>
    <t>乗0軽HD</t>
  </si>
  <si>
    <t>乗0軽DA</t>
  </si>
  <si>
    <t>DA</t>
  </si>
  <si>
    <t>乗0軽WA</t>
  </si>
  <si>
    <t>WA</t>
  </si>
  <si>
    <t>乗0軽DB</t>
  </si>
  <si>
    <t>DB</t>
  </si>
  <si>
    <t>乗0軽WB</t>
  </si>
  <si>
    <t>WB</t>
  </si>
  <si>
    <t>乗0軽DC</t>
  </si>
  <si>
    <t>DC</t>
  </si>
  <si>
    <t>乗0軽WC</t>
  </si>
  <si>
    <t>WC</t>
  </si>
  <si>
    <t>乗0軽DK</t>
  </si>
  <si>
    <t>DK</t>
  </si>
  <si>
    <t>乗0軽WK</t>
  </si>
  <si>
    <t>WK</t>
  </si>
  <si>
    <t>乗0軽DL</t>
  </si>
  <si>
    <t>DL</t>
  </si>
  <si>
    <t>乗0軽WL</t>
  </si>
  <si>
    <t>WL</t>
  </si>
  <si>
    <t>乗0軽DM</t>
  </si>
  <si>
    <t>DM</t>
  </si>
  <si>
    <t>乗0軽WM</t>
  </si>
  <si>
    <t>WM</t>
  </si>
  <si>
    <t>乗0軽KM</t>
  </si>
  <si>
    <t>乗0軽HT</t>
  </si>
  <si>
    <t>乗0軽KN</t>
  </si>
  <si>
    <t>乗0軽HU</t>
  </si>
  <si>
    <t>乗0軽TF</t>
  </si>
  <si>
    <t>TF</t>
  </si>
  <si>
    <t>乗0軽XF</t>
  </si>
  <si>
    <t>XF</t>
  </si>
  <si>
    <t>乗0軽TG</t>
  </si>
  <si>
    <t>TG</t>
  </si>
  <si>
    <t>乗0軽XG</t>
  </si>
  <si>
    <t>XG</t>
  </si>
  <si>
    <t>乗0軽LF</t>
  </si>
  <si>
    <t>LF</t>
  </si>
  <si>
    <t>乗0軽YF</t>
  </si>
  <si>
    <t>YF</t>
  </si>
  <si>
    <t>乗0軽LG</t>
  </si>
  <si>
    <t>LG</t>
  </si>
  <si>
    <t>乗0軽YG</t>
  </si>
  <si>
    <t>YG</t>
  </si>
  <si>
    <t>乗0軽UF</t>
  </si>
  <si>
    <t>UF</t>
  </si>
  <si>
    <t>乗0軽ZF</t>
  </si>
  <si>
    <t>ZF</t>
  </si>
  <si>
    <t>乗0軽UG</t>
  </si>
  <si>
    <t>UG</t>
  </si>
  <si>
    <t>乗0軽ZG</t>
  </si>
  <si>
    <t>ZG</t>
  </si>
  <si>
    <t>乗0軽ADB</t>
  </si>
  <si>
    <t>ADB</t>
  </si>
  <si>
    <t>乗0軽ADC</t>
  </si>
  <si>
    <t>ADC</t>
  </si>
  <si>
    <t>乗0軽ACB</t>
  </si>
  <si>
    <t>ACB</t>
  </si>
  <si>
    <t>乗0軽ACC</t>
  </si>
  <si>
    <t>ACC</t>
  </si>
  <si>
    <t>乗0軽AMB</t>
  </si>
  <si>
    <t>AMB</t>
  </si>
  <si>
    <t>乗0軽AMC</t>
  </si>
  <si>
    <t>AMC</t>
  </si>
  <si>
    <t>乗0軽CCB</t>
  </si>
  <si>
    <t>乗0軽CCC</t>
  </si>
  <si>
    <t>乗0軽CDB</t>
  </si>
  <si>
    <t>乗0軽CDC</t>
  </si>
  <si>
    <t>乗0軽CMB</t>
  </si>
  <si>
    <t>CMB</t>
  </si>
  <si>
    <t>乗0軽CMC</t>
  </si>
  <si>
    <t>CMC</t>
  </si>
  <si>
    <t>乗0軽DCB</t>
  </si>
  <si>
    <t>乗0軽DCC</t>
  </si>
  <si>
    <t>乗0軽DDB</t>
  </si>
  <si>
    <t>乗0軽DDC</t>
  </si>
  <si>
    <t>乗0軽DMB</t>
  </si>
  <si>
    <t>DMB</t>
  </si>
  <si>
    <t>乗0軽DMC</t>
  </si>
  <si>
    <t>DMC</t>
  </si>
  <si>
    <t>乗0軽LDA</t>
  </si>
  <si>
    <t>LDA</t>
  </si>
  <si>
    <t>乗0軽LDB</t>
  </si>
  <si>
    <t>LDB</t>
  </si>
  <si>
    <t>乗0軽LDC</t>
  </si>
  <si>
    <t>LDC</t>
  </si>
  <si>
    <t>乗0軽LCA</t>
  </si>
  <si>
    <t>LCA</t>
  </si>
  <si>
    <t>乗0軽LCB</t>
  </si>
  <si>
    <t>LCB</t>
  </si>
  <si>
    <t>乗0軽LCC</t>
  </si>
  <si>
    <t>LCC</t>
  </si>
  <si>
    <t>乗0軽LMA</t>
  </si>
  <si>
    <t>LMA</t>
  </si>
  <si>
    <t>乗0軽LMB</t>
  </si>
  <si>
    <t>LMB</t>
  </si>
  <si>
    <t>乗0軽LMC</t>
  </si>
  <si>
    <t>LMC</t>
  </si>
  <si>
    <t>乗0軽FDA</t>
  </si>
  <si>
    <t>FDA</t>
  </si>
  <si>
    <t>乗0軽FDB</t>
  </si>
  <si>
    <t>FDB</t>
  </si>
  <si>
    <t>乗0軽FDC</t>
  </si>
  <si>
    <t>FDC</t>
  </si>
  <si>
    <t>乗0軽FCA</t>
  </si>
  <si>
    <t>FCA</t>
  </si>
  <si>
    <t>乗0軽FCB</t>
  </si>
  <si>
    <t>FCB</t>
  </si>
  <si>
    <t>乗0軽FCC</t>
  </si>
  <si>
    <t>FCC</t>
  </si>
  <si>
    <t>乗0軽FMA</t>
  </si>
  <si>
    <t>FMA</t>
  </si>
  <si>
    <t>乗0軽FMB</t>
  </si>
  <si>
    <t>FMB</t>
  </si>
  <si>
    <t>乗0軽FMC</t>
  </si>
  <si>
    <t>FMC</t>
  </si>
  <si>
    <t>乗0軽MDA</t>
  </si>
  <si>
    <t>MDA</t>
  </si>
  <si>
    <t>乗0軽MDB</t>
  </si>
  <si>
    <t>MDB</t>
  </si>
  <si>
    <t>乗0軽MDC</t>
  </si>
  <si>
    <t>MDC</t>
  </si>
  <si>
    <t>乗0軽MCA</t>
  </si>
  <si>
    <t>MCA</t>
  </si>
  <si>
    <t>乗0軽MCB</t>
  </si>
  <si>
    <t>MCB</t>
  </si>
  <si>
    <t>乗0軽MCC</t>
  </si>
  <si>
    <t>MCC</t>
  </si>
  <si>
    <t>乗0軽MMA</t>
  </si>
  <si>
    <t>MMA</t>
  </si>
  <si>
    <t>乗0軽MMB</t>
  </si>
  <si>
    <t>MMB</t>
  </si>
  <si>
    <t>乗0軽MMC</t>
  </si>
  <si>
    <t>MMC</t>
  </si>
  <si>
    <t>乗0軽RDA</t>
  </si>
  <si>
    <t>RDA</t>
  </si>
  <si>
    <t>乗0軽RDB</t>
  </si>
  <si>
    <t>RDB</t>
  </si>
  <si>
    <t>乗0軽RDC</t>
  </si>
  <si>
    <t>RDC</t>
  </si>
  <si>
    <t>乗0軽RCA</t>
  </si>
  <si>
    <t>RCA</t>
  </si>
  <si>
    <t>乗0軽RCB</t>
  </si>
  <si>
    <t>RCB</t>
  </si>
  <si>
    <t>乗0軽RCC</t>
  </si>
  <si>
    <t>RCC</t>
  </si>
  <si>
    <t>乗0軽RMA</t>
  </si>
  <si>
    <t>RMA</t>
  </si>
  <si>
    <t>乗0軽RMB</t>
  </si>
  <si>
    <t>RMB</t>
  </si>
  <si>
    <t>乗0軽RMC</t>
  </si>
  <si>
    <t>RMC</t>
  </si>
  <si>
    <t>乗0軽QDA</t>
  </si>
  <si>
    <t>QDA</t>
  </si>
  <si>
    <t>乗0軽QDB</t>
  </si>
  <si>
    <t>QDB</t>
  </si>
  <si>
    <t>乗0軽QDC</t>
  </si>
  <si>
    <t>QDC</t>
  </si>
  <si>
    <t>乗0軽QCA</t>
  </si>
  <si>
    <t>QCA</t>
  </si>
  <si>
    <t>乗0軽QCB</t>
  </si>
  <si>
    <t>QCB</t>
  </si>
  <si>
    <t>乗0軽QCC</t>
  </si>
  <si>
    <t>QCC</t>
  </si>
  <si>
    <t>乗0軽QMA</t>
  </si>
  <si>
    <t>QMA</t>
  </si>
  <si>
    <t>乗0軽QMB</t>
  </si>
  <si>
    <t>QMB</t>
  </si>
  <si>
    <t>乗0軽QMC</t>
  </si>
  <si>
    <t>QMC</t>
  </si>
  <si>
    <t>乗0CTN</t>
  </si>
  <si>
    <t>乗0CLN</t>
  </si>
  <si>
    <t>乗0CUN</t>
  </si>
  <si>
    <t>乗0CAFA</t>
  </si>
  <si>
    <t>AFA</t>
  </si>
  <si>
    <t>乗0CAFB</t>
  </si>
  <si>
    <t>AFB</t>
  </si>
  <si>
    <t>乗0CAEA</t>
  </si>
  <si>
    <t>AEA</t>
  </si>
  <si>
    <t>乗0CAEB</t>
  </si>
  <si>
    <t>AEB</t>
  </si>
  <si>
    <t>CNG、ハイブリット</t>
  </si>
  <si>
    <t>乗0CCEA</t>
  </si>
  <si>
    <t>乗0CCFA</t>
  </si>
  <si>
    <t>乗0CDEA</t>
  </si>
  <si>
    <t>乗0CDFA</t>
  </si>
  <si>
    <t>乗0CLFA</t>
  </si>
  <si>
    <t>LFA</t>
  </si>
  <si>
    <t>乗0CLEA</t>
  </si>
  <si>
    <t>LEA</t>
  </si>
  <si>
    <t>乗0CMFA</t>
  </si>
  <si>
    <t>MFA</t>
  </si>
  <si>
    <t>乗0CMEA</t>
  </si>
  <si>
    <t>MEA</t>
  </si>
  <si>
    <t>乗0CRFA</t>
  </si>
  <si>
    <t>RFA</t>
  </si>
  <si>
    <t>乗0CREA</t>
  </si>
  <si>
    <t>REA</t>
  </si>
  <si>
    <t>乗0CQFA</t>
  </si>
  <si>
    <t>QFA</t>
  </si>
  <si>
    <t>乗0CQEA</t>
  </si>
  <si>
    <t>QEA</t>
  </si>
  <si>
    <t>新☆（優先）,ハイブリット</t>
    <rPh sb="0" eb="1">
      <t>シン</t>
    </rPh>
    <rPh sb="3" eb="5">
      <t>ユウセン</t>
    </rPh>
    <phoneticPr fontId="3"/>
  </si>
  <si>
    <t>乗0メTN</t>
  </si>
  <si>
    <t>乗0メLN</t>
  </si>
  <si>
    <t>乗0メUN</t>
  </si>
  <si>
    <t>乗0メAHA</t>
  </si>
  <si>
    <t>AHA</t>
  </si>
  <si>
    <t>乗0メAGA</t>
  </si>
  <si>
    <t>AGA</t>
  </si>
  <si>
    <t>乗0メCGA</t>
  </si>
  <si>
    <t>乗0メCHA</t>
  </si>
  <si>
    <t>乗0メDGA</t>
  </si>
  <si>
    <t>乗0メDHA</t>
  </si>
  <si>
    <t>乗0メLHA</t>
  </si>
  <si>
    <t>LHA</t>
  </si>
  <si>
    <t>乗0メLGA</t>
  </si>
  <si>
    <t>LGA</t>
  </si>
  <si>
    <t>乗0メMHA</t>
  </si>
  <si>
    <t>MHA</t>
  </si>
  <si>
    <t>乗0メMGA</t>
  </si>
  <si>
    <t>MGA</t>
  </si>
  <si>
    <t>乗0メRHA</t>
  </si>
  <si>
    <t>RHA</t>
  </si>
  <si>
    <t>乗0メRGA</t>
  </si>
  <si>
    <t>RGA</t>
  </si>
  <si>
    <t>乗0メQHA</t>
  </si>
  <si>
    <t>QHA</t>
  </si>
  <si>
    <t>乗0メQGA</t>
  </si>
  <si>
    <t>QGA</t>
  </si>
  <si>
    <t>乗0電EA</t>
  </si>
  <si>
    <t>EA</t>
  </si>
  <si>
    <t>貨1電EB</t>
  </si>
  <si>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3"/>
  </si>
  <si>
    <t>EB</t>
  </si>
  <si>
    <t>貨2電EC</t>
  </si>
  <si>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3"/>
  </si>
  <si>
    <t>EC</t>
  </si>
  <si>
    <t>貨3電EC</t>
  </si>
  <si>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3"/>
  </si>
  <si>
    <t>貨4電ED</t>
  </si>
  <si>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3"/>
  </si>
  <si>
    <t>ED</t>
  </si>
  <si>
    <t>乗0電ZAA</t>
  </si>
  <si>
    <t>ZAA</t>
  </si>
  <si>
    <t>貨1電ZAB</t>
  </si>
  <si>
    <t>ZAB</t>
  </si>
  <si>
    <t>貨2電ZAB</t>
  </si>
  <si>
    <t>貨3電ZAB</t>
  </si>
  <si>
    <t>貨4電ZAB</t>
  </si>
  <si>
    <t>貨1電ZAC</t>
  </si>
  <si>
    <t>ZAC</t>
  </si>
  <si>
    <t>貨2電ZAC</t>
  </si>
  <si>
    <t>貨3電ZAC</t>
  </si>
  <si>
    <t>貨4電ZAC</t>
  </si>
  <si>
    <t>乗0燃電ZBA</t>
  </si>
  <si>
    <t>ZBA</t>
  </si>
  <si>
    <t>貨1燃電ZBB</t>
  </si>
  <si>
    <t>ZBB</t>
  </si>
  <si>
    <t>貨2燃電ZBB</t>
  </si>
  <si>
    <t>貨3燃電ZBB</t>
  </si>
  <si>
    <t>貨4燃電ZBB</t>
  </si>
  <si>
    <t>貨1燃電ZBC</t>
  </si>
  <si>
    <t>ZBC</t>
  </si>
  <si>
    <t>貨2燃電ZBC</t>
  </si>
  <si>
    <t>貨3燃電ZBC</t>
  </si>
  <si>
    <t>貨4燃電ZBC</t>
  </si>
  <si>
    <t>トラック・バス</t>
    <phoneticPr fontId="3"/>
  </si>
  <si>
    <t>ガソリン</t>
    <phoneticPr fontId="3"/>
  </si>
  <si>
    <r>
      <t>～1</t>
    </r>
    <r>
      <rPr>
        <sz val="11"/>
        <rFont val="ＭＳ Ｐゴシック"/>
        <family val="3"/>
        <charset val="128"/>
      </rPr>
      <t>.7t</t>
    </r>
    <phoneticPr fontId="3"/>
  </si>
  <si>
    <r>
      <t>～1</t>
    </r>
    <r>
      <rPr>
        <sz val="11"/>
        <rFont val="ＭＳ Ｐゴシック"/>
        <family val="3"/>
        <charset val="128"/>
      </rPr>
      <t>.7t</t>
    </r>
    <r>
      <rPr>
        <sz val="11"/>
        <rFont val="ＭＳ Ｐゴシック"/>
        <family val="3"/>
        <charset val="128"/>
      </rPr>
      <t/>
    </r>
  </si>
  <si>
    <t>トラック・バス</t>
  </si>
  <si>
    <t>ガソリン</t>
  </si>
  <si>
    <t>新☆</t>
  </si>
  <si>
    <r>
      <t>1</t>
    </r>
    <r>
      <rPr>
        <sz val="11"/>
        <rFont val="ＭＳ Ｐゴシック"/>
        <family val="3"/>
        <charset val="128"/>
      </rPr>
      <t>.7～2.5t</t>
    </r>
    <r>
      <rPr>
        <sz val="11"/>
        <rFont val="ＭＳ Ｐゴシック"/>
        <family val="3"/>
        <charset val="128"/>
      </rPr>
      <t/>
    </r>
  </si>
  <si>
    <t>～1.7t</t>
    <phoneticPr fontId="3"/>
  </si>
  <si>
    <t>☆</t>
    <phoneticPr fontId="3"/>
  </si>
  <si>
    <t>☆☆</t>
    <phoneticPr fontId="3"/>
  </si>
  <si>
    <t>☆☆☆</t>
    <phoneticPr fontId="3"/>
  </si>
  <si>
    <t>軽油</t>
  </si>
  <si>
    <t>新☆☆☆</t>
  </si>
  <si>
    <t>新☆☆☆☆</t>
  </si>
  <si>
    <t>2.5～3.5t</t>
    <phoneticPr fontId="3"/>
  </si>
  <si>
    <t>3.5t～</t>
    <phoneticPr fontId="3"/>
  </si>
  <si>
    <t>乗用車</t>
  </si>
  <si>
    <t>全て</t>
  </si>
  <si>
    <r>
      <t>H</t>
    </r>
    <r>
      <rPr>
        <sz val="11"/>
        <rFont val="ＭＳ Ｐゴシック"/>
        <family val="3"/>
        <charset val="128"/>
      </rPr>
      <t>22</t>
    </r>
    <r>
      <rPr>
        <sz val="11"/>
        <rFont val="ＭＳ Ｐゴシック"/>
        <family val="3"/>
        <charset val="128"/>
      </rPr>
      <t/>
    </r>
  </si>
  <si>
    <r>
      <t>H</t>
    </r>
    <r>
      <rPr>
        <sz val="11"/>
        <rFont val="ＭＳ Ｐゴシック"/>
        <family val="3"/>
        <charset val="128"/>
      </rPr>
      <t>23</t>
    </r>
    <r>
      <rPr>
        <sz val="11"/>
        <rFont val="ＭＳ Ｐゴシック"/>
        <family val="3"/>
        <charset val="128"/>
      </rPr>
      <t/>
    </r>
  </si>
  <si>
    <t>1.7～3.5t</t>
    <phoneticPr fontId="3"/>
  </si>
  <si>
    <t>電気</t>
  </si>
  <si>
    <t>トラック</t>
  </si>
  <si>
    <t>バス</t>
  </si>
  <si>
    <t>燃料電池</t>
  </si>
  <si>
    <t>排出係数（ＮＯｘ）</t>
    <rPh sb="0" eb="2">
      <t>ハイシュツ</t>
    </rPh>
    <rPh sb="2" eb="4">
      <t>ケイスウ</t>
    </rPh>
    <phoneticPr fontId="3"/>
  </si>
  <si>
    <t>排出係数記号</t>
    <rPh sb="0" eb="2">
      <t>ハイシュツ</t>
    </rPh>
    <rPh sb="2" eb="4">
      <t>ケイスウ</t>
    </rPh>
    <rPh sb="4" eb="6">
      <t>キゴウ</t>
    </rPh>
    <phoneticPr fontId="3"/>
  </si>
  <si>
    <t>車種別重量別記号</t>
    <rPh sb="0" eb="3">
      <t>シャシュベツ</t>
    </rPh>
    <rPh sb="3" eb="5">
      <t>ジュウリョウ</t>
    </rPh>
    <rPh sb="5" eb="6">
      <t>ベツ</t>
    </rPh>
    <rPh sb="6" eb="8">
      <t>キゴウ</t>
    </rPh>
    <phoneticPr fontId="3"/>
  </si>
  <si>
    <t>重量（車種別重量別用）</t>
    <rPh sb="0" eb="2">
      <t>ジュウリョウ</t>
    </rPh>
    <rPh sb="3" eb="6">
      <t>シャシュベツ</t>
    </rPh>
    <rPh sb="6" eb="8">
      <t>ジュウリョウ</t>
    </rPh>
    <rPh sb="8" eb="9">
      <t>ベツ</t>
    </rPh>
    <rPh sb="9" eb="10">
      <t>ヨウ</t>
    </rPh>
    <phoneticPr fontId="3"/>
  </si>
  <si>
    <t>排ガス記号</t>
    <rPh sb="0" eb="1">
      <t>ハイ</t>
    </rPh>
    <rPh sb="3" eb="5">
      <t>キゴウ</t>
    </rPh>
    <phoneticPr fontId="3"/>
  </si>
  <si>
    <t>使用管理計画作成又はe運行管理作成</t>
    <rPh sb="0" eb="2">
      <t>シヨウ</t>
    </rPh>
    <rPh sb="2" eb="4">
      <t>カンリ</t>
    </rPh>
    <rPh sb="4" eb="6">
      <t>ケイカク</t>
    </rPh>
    <rPh sb="6" eb="8">
      <t>サクセイ</t>
    </rPh>
    <rPh sb="8" eb="9">
      <t>マタ</t>
    </rPh>
    <rPh sb="11" eb="13">
      <t>ウンコウ</t>
    </rPh>
    <rPh sb="13" eb="15">
      <t>カンリ</t>
    </rPh>
    <rPh sb="15" eb="17">
      <t>サクセイ</t>
    </rPh>
    <phoneticPr fontId="3"/>
  </si>
  <si>
    <t>使用管理</t>
    <rPh sb="0" eb="2">
      <t>シヨウ</t>
    </rPh>
    <rPh sb="2" eb="4">
      <t>カンリ</t>
    </rPh>
    <phoneticPr fontId="3"/>
  </si>
  <si>
    <t>燃料種類</t>
    <rPh sb="0" eb="2">
      <t>ネンリョウ</t>
    </rPh>
    <rPh sb="2" eb="4">
      <t>シュルイ</t>
    </rPh>
    <phoneticPr fontId="3"/>
  </si>
  <si>
    <t>車種</t>
    <rPh sb="0" eb="2">
      <t>シャシュ</t>
    </rPh>
    <phoneticPr fontId="3"/>
  </si>
  <si>
    <t>メタノール</t>
    <phoneticPr fontId="3"/>
  </si>
  <si>
    <t>エラー</t>
    <phoneticPr fontId="3"/>
  </si>
  <si>
    <t>ＮＯｘ(kg)</t>
    <phoneticPr fontId="3"/>
  </si>
  <si>
    <t>ＰＭ(kg)</t>
    <phoneticPr fontId="3"/>
  </si>
  <si>
    <t>A2</t>
    <phoneticPr fontId="3"/>
  </si>
  <si>
    <t>バス</t>
    <phoneticPr fontId="3"/>
  </si>
  <si>
    <t>ガ</t>
    <phoneticPr fontId="3"/>
  </si>
  <si>
    <t>A3</t>
    <phoneticPr fontId="3"/>
  </si>
  <si>
    <t>マイクロバス</t>
    <phoneticPr fontId="3"/>
  </si>
  <si>
    <t>A4</t>
    <phoneticPr fontId="3"/>
  </si>
  <si>
    <t>ハイブリッド（ガソリン）</t>
    <phoneticPr fontId="3"/>
  </si>
  <si>
    <t>A5</t>
    <phoneticPr fontId="3"/>
  </si>
  <si>
    <t>A6</t>
    <phoneticPr fontId="3"/>
  </si>
  <si>
    <t>A7</t>
    <phoneticPr fontId="3"/>
  </si>
  <si>
    <t>メ</t>
    <phoneticPr fontId="3"/>
  </si>
  <si>
    <t>A8</t>
    <phoneticPr fontId="3"/>
  </si>
  <si>
    <t>A9</t>
    <phoneticPr fontId="3"/>
  </si>
  <si>
    <t>A0</t>
    <phoneticPr fontId="3"/>
  </si>
  <si>
    <r>
      <t>N</t>
    </r>
    <r>
      <rPr>
        <sz val="11"/>
        <rFont val="ＭＳ Ｐゴシック"/>
        <family val="3"/>
        <charset val="128"/>
      </rPr>
      <t>Ox：0.48g/km</t>
    </r>
    <phoneticPr fontId="3"/>
  </si>
  <si>
    <r>
      <t>P</t>
    </r>
    <r>
      <rPr>
        <sz val="11"/>
        <rFont val="ＭＳ Ｐゴシック"/>
        <family val="3"/>
        <charset val="128"/>
      </rPr>
      <t>M：0.055g/km</t>
    </r>
    <phoneticPr fontId="3"/>
  </si>
  <si>
    <r>
      <t>　1</t>
    </r>
    <r>
      <rPr>
        <sz val="11"/>
        <rFont val="ＭＳ Ｐゴシック"/>
        <family val="3"/>
        <charset val="128"/>
      </rPr>
      <t>.7t以下</t>
    </r>
    <rPh sb="5" eb="7">
      <t>イカ</t>
    </rPh>
    <phoneticPr fontId="3"/>
  </si>
  <si>
    <r>
      <t>　1</t>
    </r>
    <r>
      <rPr>
        <sz val="11"/>
        <rFont val="ＭＳ Ｐゴシック"/>
        <family val="3"/>
        <charset val="128"/>
      </rPr>
      <t>.7t超2.5t以下</t>
    </r>
    <rPh sb="5" eb="6">
      <t>チョウ</t>
    </rPh>
    <rPh sb="10" eb="12">
      <t>イカ</t>
    </rPh>
    <phoneticPr fontId="3"/>
  </si>
  <si>
    <r>
      <t>N</t>
    </r>
    <r>
      <rPr>
        <sz val="11"/>
        <rFont val="ＭＳ Ｐゴシック"/>
        <family val="3"/>
        <charset val="128"/>
      </rPr>
      <t>Ox：0.63g/km</t>
    </r>
    <phoneticPr fontId="3"/>
  </si>
  <si>
    <r>
      <t>P</t>
    </r>
    <r>
      <rPr>
        <sz val="11"/>
        <rFont val="ＭＳ Ｐゴシック"/>
        <family val="3"/>
        <charset val="128"/>
      </rPr>
      <t>M：0.06g/km</t>
    </r>
    <phoneticPr fontId="3"/>
  </si>
  <si>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3"/>
  </si>
  <si>
    <t>NOx：0.63g/km</t>
    <phoneticPr fontId="3"/>
  </si>
  <si>
    <t>PM：0.06g/km</t>
    <phoneticPr fontId="3"/>
  </si>
  <si>
    <r>
      <t>　</t>
    </r>
    <r>
      <rPr>
        <sz val="11"/>
        <rFont val="ＭＳ Ｐゴシック"/>
        <family val="3"/>
        <charset val="128"/>
      </rPr>
      <t>3.5</t>
    </r>
    <r>
      <rPr>
        <sz val="11"/>
        <rFont val="ＭＳ Ｐゴシック"/>
        <family val="3"/>
        <charset val="128"/>
      </rPr>
      <t>t超</t>
    </r>
    <rPh sb="5" eb="6">
      <t>チョウ</t>
    </rPh>
    <phoneticPr fontId="3"/>
  </si>
  <si>
    <r>
      <t>N</t>
    </r>
    <r>
      <rPr>
        <sz val="11"/>
        <rFont val="ＭＳ Ｐゴシック"/>
        <family val="3"/>
        <charset val="128"/>
      </rPr>
      <t>Ox：0.35g/km/t</t>
    </r>
    <phoneticPr fontId="3"/>
  </si>
  <si>
    <r>
      <t>P</t>
    </r>
    <r>
      <rPr>
        <sz val="11"/>
        <rFont val="ＭＳ Ｐゴシック"/>
        <family val="3"/>
        <charset val="128"/>
      </rPr>
      <t>M：0.023g/km/t</t>
    </r>
    <phoneticPr fontId="3"/>
  </si>
  <si>
    <t>カテゴリー１,２</t>
    <phoneticPr fontId="3"/>
  </si>
  <si>
    <r>
      <t>カテゴリー３,４</t>
    </r>
    <r>
      <rPr>
        <sz val="11"/>
        <rFont val="ＭＳ Ｐゴシック"/>
        <family val="3"/>
        <charset val="128"/>
      </rPr>
      <t>,</t>
    </r>
    <r>
      <rPr>
        <sz val="11"/>
        <rFont val="ＭＳ Ｐゴシック"/>
        <family val="3"/>
        <charset val="128"/>
      </rPr>
      <t>５</t>
    </r>
    <phoneticPr fontId="3"/>
  </si>
  <si>
    <t>0.080g/km</t>
    <phoneticPr fontId="3"/>
  </si>
  <si>
    <r>
      <t>0</t>
    </r>
    <r>
      <rPr>
        <sz val="11"/>
        <rFont val="ＭＳ Ｐゴシック"/>
        <family val="3"/>
        <charset val="128"/>
      </rPr>
      <t>.052g/km</t>
    </r>
    <phoneticPr fontId="3"/>
  </si>
  <si>
    <t>0.090g/km</t>
    <phoneticPr fontId="3"/>
  </si>
  <si>
    <r>
      <t>0</t>
    </r>
    <r>
      <rPr>
        <sz val="11"/>
        <rFont val="ＭＳ Ｐゴシック"/>
        <family val="3"/>
        <charset val="128"/>
      </rPr>
      <t>.060g/km</t>
    </r>
    <phoneticPr fontId="3"/>
  </si>
  <si>
    <r>
      <t>0.0</t>
    </r>
    <r>
      <rPr>
        <sz val="11"/>
        <rFont val="ＭＳ Ｐゴシック"/>
        <family val="3"/>
        <charset val="128"/>
      </rPr>
      <t>90</t>
    </r>
    <r>
      <rPr>
        <sz val="11"/>
        <rFont val="ＭＳ Ｐゴシック"/>
        <family val="3"/>
        <charset val="128"/>
      </rPr>
      <t>g/km</t>
    </r>
    <phoneticPr fontId="3"/>
  </si>
  <si>
    <t>0.060g/km</t>
    <phoneticPr fontId="3"/>
  </si>
  <si>
    <t>0.023g/km/t</t>
    <phoneticPr fontId="3"/>
  </si>
  <si>
    <r>
      <t>0</t>
    </r>
    <r>
      <rPr>
        <sz val="11"/>
        <rFont val="ＭＳ Ｐゴシック"/>
        <family val="3"/>
        <charset val="128"/>
      </rPr>
      <t>.017g/km/t</t>
    </r>
    <phoneticPr fontId="3"/>
  </si>
  <si>
    <t>・・・水色は記載してください。(必須項目)</t>
    <rPh sb="3" eb="5">
      <t>ミズイロ</t>
    </rPh>
    <rPh sb="6" eb="8">
      <t>キサイ</t>
    </rPh>
    <rPh sb="16" eb="18">
      <t>ヒッス</t>
    </rPh>
    <rPh sb="18" eb="20">
      <t>コウモク</t>
    </rPh>
    <phoneticPr fontId="3"/>
  </si>
  <si>
    <t>・・・橙色は必要であれば記載してください。(任意項目)</t>
    <rPh sb="3" eb="4">
      <t>ダイダイ</t>
    </rPh>
    <rPh sb="4" eb="5">
      <t>イロ</t>
    </rPh>
    <rPh sb="6" eb="8">
      <t>ヒツヨウ</t>
    </rPh>
    <rPh sb="12" eb="14">
      <t>キサイ</t>
    </rPh>
    <rPh sb="22" eb="24">
      <t>ニンイ</t>
    </rPh>
    <rPh sb="24" eb="26">
      <t>コウモク</t>
    </rPh>
    <phoneticPr fontId="3"/>
  </si>
  <si>
    <t>L</t>
    <phoneticPr fontId="3"/>
  </si>
  <si>
    <t>・・・白色は記載しなくて結構です。(入力不可)</t>
    <rPh sb="3" eb="4">
      <t>シロ</t>
    </rPh>
    <rPh sb="4" eb="5">
      <t>イロ</t>
    </rPh>
    <rPh sb="6" eb="8">
      <t>キサイ</t>
    </rPh>
    <rPh sb="12" eb="14">
      <t>ケッコウ</t>
    </rPh>
    <rPh sb="18" eb="20">
      <t>ニュウリョク</t>
    </rPh>
    <rPh sb="20" eb="22">
      <t>フカ</t>
    </rPh>
    <phoneticPr fontId="3"/>
  </si>
  <si>
    <t>・・・黄色は記載しなくて結構です。(入力不可)</t>
    <rPh sb="3" eb="5">
      <t>キイロ</t>
    </rPh>
    <rPh sb="6" eb="8">
      <t>キサイ</t>
    </rPh>
    <rPh sb="12" eb="14">
      <t>ケッコウ</t>
    </rPh>
    <rPh sb="18" eb="20">
      <t>ニュウリョク</t>
    </rPh>
    <rPh sb="20" eb="22">
      <t>フカ</t>
    </rPh>
    <phoneticPr fontId="3"/>
  </si>
  <si>
    <t>文字(※3)・・・さ</t>
    <rPh sb="0" eb="2">
      <t>モジ</t>
    </rPh>
    <phoneticPr fontId="3"/>
  </si>
  <si>
    <t>指定番号(※4)・・・2345</t>
    <rPh sb="0" eb="2">
      <t>シテイ</t>
    </rPh>
    <rPh sb="2" eb="4">
      <t>バンゴウ</t>
    </rPh>
    <phoneticPr fontId="3"/>
  </si>
  <si>
    <t>正式名称</t>
    <rPh sb="0" eb="2">
      <t>セイシキ</t>
    </rPh>
    <rPh sb="2" eb="4">
      <t>メイショウ</t>
    </rPh>
    <phoneticPr fontId="3"/>
  </si>
  <si>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3"/>
  </si>
  <si>
    <t>※2・・・自動車の種別及び用途による分類番号</t>
    <rPh sb="5" eb="8">
      <t>ジドウシャ</t>
    </rPh>
    <rPh sb="9" eb="11">
      <t>シュベツ</t>
    </rPh>
    <rPh sb="11" eb="12">
      <t>オヨ</t>
    </rPh>
    <rPh sb="13" eb="15">
      <t>ヨウト</t>
    </rPh>
    <rPh sb="18" eb="20">
      <t>ブンルイ</t>
    </rPh>
    <rPh sb="20" eb="22">
      <t>バンゴウ</t>
    </rPh>
    <phoneticPr fontId="3"/>
  </si>
  <si>
    <t>※3・・・事業用かどうかの別等を表示する文字</t>
    <rPh sb="5" eb="8">
      <t>ジギョウヨウ</t>
    </rPh>
    <rPh sb="13" eb="14">
      <t>ベツ</t>
    </rPh>
    <rPh sb="14" eb="15">
      <t>トウ</t>
    </rPh>
    <rPh sb="16" eb="18">
      <t>ヒョウジ</t>
    </rPh>
    <rPh sb="20" eb="22">
      <t>モジ</t>
    </rPh>
    <phoneticPr fontId="3"/>
  </si>
  <si>
    <t>略称</t>
    <rPh sb="0" eb="1">
      <t>リャク</t>
    </rPh>
    <rPh sb="1" eb="2">
      <t>ショウ</t>
    </rPh>
    <phoneticPr fontId="3"/>
  </si>
  <si>
    <t>※4・・・一連指定番号</t>
    <rPh sb="5" eb="7">
      <t>イチレン</t>
    </rPh>
    <rPh sb="7" eb="9">
      <t>シテイ</t>
    </rPh>
    <rPh sb="9" eb="11">
      <t>バンゴウ</t>
    </rPh>
    <phoneticPr fontId="3"/>
  </si>
  <si>
    <t>例</t>
    <rPh sb="0" eb="1">
      <t>レイ</t>
    </rPh>
    <phoneticPr fontId="3"/>
  </si>
  <si>
    <t>例えば赤枠のセルをクリックすると右側にリストの矢印が現れ、それをクリックするとリストの中から値を選んで入力することができます。</t>
    <rPh sb="0" eb="1">
      <t>タト</t>
    </rPh>
    <rPh sb="3" eb="4">
      <t>アカ</t>
    </rPh>
    <rPh sb="4" eb="5">
      <t>ワク</t>
    </rPh>
    <rPh sb="16" eb="17">
      <t>ミギ</t>
    </rPh>
    <rPh sb="17" eb="18">
      <t>ガワ</t>
    </rPh>
    <rPh sb="23" eb="25">
      <t>ヤジルシ</t>
    </rPh>
    <rPh sb="26" eb="27">
      <t>アラワ</t>
    </rPh>
    <rPh sb="43" eb="44">
      <t>ナカ</t>
    </rPh>
    <rPh sb="46" eb="47">
      <t>アタイ</t>
    </rPh>
    <rPh sb="48" eb="49">
      <t>エラ</t>
    </rPh>
    <rPh sb="51" eb="53">
      <t>ニュウリョク</t>
    </rPh>
    <phoneticPr fontId="3"/>
  </si>
  <si>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3"/>
  </si>
  <si>
    <t>カーシェアリングの導入</t>
    <rPh sb="9" eb="11">
      <t>ドウニュウ</t>
    </rPh>
    <phoneticPr fontId="3"/>
  </si>
  <si>
    <t>ＶＩＣＳ搭載カーナビゲーションシステム等による渋滞回避</t>
    <rPh sb="4" eb="6">
      <t>トウサイ</t>
    </rPh>
    <rPh sb="19" eb="20">
      <t>トウ</t>
    </rPh>
    <rPh sb="23" eb="25">
      <t>ジュウタイ</t>
    </rPh>
    <rPh sb="25" eb="27">
      <t>カイヒ</t>
    </rPh>
    <phoneticPr fontId="3"/>
  </si>
  <si>
    <t>アイドリングストップの徹底</t>
    <phoneticPr fontId="3"/>
  </si>
  <si>
    <t>特定自動車代替状況、排出ガス低減装置装着状況</t>
    <rPh sb="0" eb="2">
      <t>トクテイ</t>
    </rPh>
    <rPh sb="7" eb="9">
      <t>ジョウキョウ</t>
    </rPh>
    <rPh sb="10" eb="12">
      <t>ハイシュツ</t>
    </rPh>
    <rPh sb="14" eb="16">
      <t>テイゲン</t>
    </rPh>
    <rPh sb="16" eb="18">
      <t>ソウチ</t>
    </rPh>
    <rPh sb="18" eb="20">
      <t>ソウチャク</t>
    </rPh>
    <rPh sb="20" eb="22">
      <t>ジョウキョウ</t>
    </rPh>
    <phoneticPr fontId="3"/>
  </si>
  <si>
    <t>ハ</t>
    <phoneticPr fontId="3"/>
  </si>
  <si>
    <t>計画作成時の台数</t>
    <rPh sb="0" eb="2">
      <t>ケイカク</t>
    </rPh>
    <rPh sb="2" eb="4">
      <t>サクセイ</t>
    </rPh>
    <rPh sb="4" eb="5">
      <t>ジ</t>
    </rPh>
    <phoneticPr fontId="3"/>
  </si>
  <si>
    <t>集計対象外です</t>
    <rPh sb="0" eb="2">
      <t>シュウケイ</t>
    </rPh>
    <rPh sb="2" eb="4">
      <t>タイショウ</t>
    </rPh>
    <rPh sb="4" eb="5">
      <t>ガイ</t>
    </rPh>
    <phoneticPr fontId="3"/>
  </si>
  <si>
    <t>Jナンバー</t>
    <phoneticPr fontId="3"/>
  </si>
  <si>
    <t>あり</t>
    <phoneticPr fontId="3"/>
  </si>
  <si>
    <t>なし</t>
    <phoneticPr fontId="3"/>
  </si>
  <si>
    <t>エコドライブマニュアルの作成、配布</t>
    <rPh sb="12" eb="14">
      <t>サクセイ</t>
    </rPh>
    <rPh sb="15" eb="17">
      <t>ハイフ</t>
    </rPh>
    <phoneticPr fontId="3"/>
  </si>
  <si>
    <t>エコドライブに関する教育、訓練の実施</t>
    <rPh sb="7" eb="8">
      <t>カン</t>
    </rPh>
    <rPh sb="10" eb="12">
      <t>キョウイク</t>
    </rPh>
    <rPh sb="13" eb="15">
      <t>クンレン</t>
    </rPh>
    <rPh sb="16" eb="18">
      <t>ジッシ</t>
    </rPh>
    <phoneticPr fontId="3"/>
  </si>
  <si>
    <t>デジタル式運行記録計等の活用</t>
    <rPh sb="4" eb="5">
      <t>シキ</t>
    </rPh>
    <rPh sb="5" eb="7">
      <t>ウンコウ</t>
    </rPh>
    <rPh sb="7" eb="9">
      <t>キロク</t>
    </rPh>
    <rPh sb="9" eb="10">
      <t>ケイ</t>
    </rPh>
    <rPh sb="10" eb="11">
      <t>トウ</t>
    </rPh>
    <rPh sb="12" eb="14">
      <t>カツヨウ</t>
    </rPh>
    <phoneticPr fontId="3"/>
  </si>
  <si>
    <t>優良ドライバーの表彰</t>
    <rPh sb="0" eb="2">
      <t>ユウリョウ</t>
    </rPh>
    <rPh sb="8" eb="10">
      <t>ヒョウショウ</t>
    </rPh>
    <phoneticPr fontId="3"/>
  </si>
  <si>
    <t>その他（　　　　　　　　　　　　　　　　　　　　　　　　　　　　　　　　　　　　　）</t>
    <rPh sb="2" eb="3">
      <t>タ</t>
    </rPh>
    <phoneticPr fontId="3"/>
  </si>
  <si>
    <t>○</t>
    <phoneticPr fontId="3"/>
  </si>
  <si>
    <t>車両の維持管理</t>
    <rPh sb="0" eb="2">
      <t>シャリョウ</t>
    </rPh>
    <rPh sb="3" eb="5">
      <t>イジ</t>
    </rPh>
    <rPh sb="5" eb="7">
      <t>カンリ</t>
    </rPh>
    <phoneticPr fontId="3"/>
  </si>
  <si>
    <t>日常点検・整備マニュアルの作成、配布</t>
    <rPh sb="0" eb="2">
      <t>ニチジョウ</t>
    </rPh>
    <rPh sb="2" eb="4">
      <t>テンケン</t>
    </rPh>
    <rPh sb="5" eb="7">
      <t>セイビ</t>
    </rPh>
    <rPh sb="13" eb="15">
      <t>サクセイ</t>
    </rPh>
    <rPh sb="16" eb="18">
      <t>ハイフ</t>
    </rPh>
    <phoneticPr fontId="3"/>
  </si>
  <si>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3"/>
  </si>
  <si>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3"/>
  </si>
  <si>
    <t>エアークリーナーの定期的な点検</t>
    <rPh sb="9" eb="12">
      <t>テイキテキ</t>
    </rPh>
    <rPh sb="13" eb="15">
      <t>テンケン</t>
    </rPh>
    <phoneticPr fontId="3"/>
  </si>
  <si>
    <t>運転日報の作成</t>
    <rPh sb="0" eb="2">
      <t>ウンテン</t>
    </rPh>
    <rPh sb="2" eb="4">
      <t>ニッポウ</t>
    </rPh>
    <rPh sb="5" eb="7">
      <t>サクセイ</t>
    </rPh>
    <phoneticPr fontId="3"/>
  </si>
  <si>
    <t>共同輸配送の促進</t>
    <rPh sb="0" eb="2">
      <t>キョウドウ</t>
    </rPh>
    <rPh sb="2" eb="3">
      <t>ユ</t>
    </rPh>
    <rPh sb="3" eb="5">
      <t>ハイソウ</t>
    </rPh>
    <rPh sb="6" eb="8">
      <t>ソクシン</t>
    </rPh>
    <phoneticPr fontId="3"/>
  </si>
  <si>
    <t>帰り荷の確保</t>
    <rPh sb="0" eb="1">
      <t>カエ</t>
    </rPh>
    <rPh sb="2" eb="3">
      <t>ニ</t>
    </rPh>
    <rPh sb="4" eb="6">
      <t>カクホ</t>
    </rPh>
    <phoneticPr fontId="3"/>
  </si>
  <si>
    <t>ジャスト・イン・タイムサービスの改善</t>
    <rPh sb="16" eb="18">
      <t>カイゼン</t>
    </rPh>
    <phoneticPr fontId="3"/>
  </si>
  <si>
    <t>受注時間と配送時間のルール化</t>
    <rPh sb="0" eb="2">
      <t>ジュチュウ</t>
    </rPh>
    <rPh sb="2" eb="4">
      <t>ジカン</t>
    </rPh>
    <rPh sb="5" eb="7">
      <t>ハイソウ</t>
    </rPh>
    <rPh sb="7" eb="9">
      <t>ジカン</t>
    </rPh>
    <rPh sb="13" eb="14">
      <t>カ</t>
    </rPh>
    <phoneticPr fontId="3"/>
  </si>
  <si>
    <t>検品の簡略化</t>
    <rPh sb="0" eb="1">
      <t>ケン</t>
    </rPh>
    <rPh sb="1" eb="2">
      <t>ヒン</t>
    </rPh>
    <rPh sb="3" eb="5">
      <t>カンリャク</t>
    </rPh>
    <rPh sb="5" eb="6">
      <t>カ</t>
    </rPh>
    <phoneticPr fontId="3"/>
  </si>
  <si>
    <t>道路混雑時の輸配送の見直し等</t>
    <rPh sb="0" eb="2">
      <t>ドウロ</t>
    </rPh>
    <rPh sb="2" eb="4">
      <t>コンザツ</t>
    </rPh>
    <rPh sb="4" eb="5">
      <t>ジ</t>
    </rPh>
    <rPh sb="6" eb="7">
      <t>ユ</t>
    </rPh>
    <rPh sb="7" eb="9">
      <t>ハイソウ</t>
    </rPh>
    <rPh sb="10" eb="12">
      <t>ミナオ</t>
    </rPh>
    <rPh sb="13" eb="14">
      <t>ナド</t>
    </rPh>
    <phoneticPr fontId="3"/>
  </si>
  <si>
    <t>商品の標準化等</t>
    <rPh sb="0" eb="2">
      <t>ショウヒン</t>
    </rPh>
    <rPh sb="3" eb="6">
      <t>ヒョウジュンカ</t>
    </rPh>
    <rPh sb="6" eb="7">
      <t>ナド</t>
    </rPh>
    <phoneticPr fontId="3"/>
  </si>
  <si>
    <t>モーダルシフトの推進</t>
    <rPh sb="8" eb="10">
      <t>スイシン</t>
    </rPh>
    <phoneticPr fontId="3"/>
  </si>
  <si>
    <t>公共交通機関の利用の促進</t>
    <rPh sb="0" eb="2">
      <t>コウキョウ</t>
    </rPh>
    <rPh sb="2" eb="4">
      <t>コウツウ</t>
    </rPh>
    <rPh sb="4" eb="6">
      <t>キカン</t>
    </rPh>
    <rPh sb="7" eb="9">
      <t>リヨウ</t>
    </rPh>
    <rPh sb="10" eb="12">
      <t>ソクシン</t>
    </rPh>
    <phoneticPr fontId="3"/>
  </si>
  <si>
    <t>情報化の推進</t>
    <rPh sb="0" eb="3">
      <t>ジョウホウカ</t>
    </rPh>
    <rPh sb="4" eb="6">
      <t>スイシン</t>
    </rPh>
    <phoneticPr fontId="3"/>
  </si>
  <si>
    <t>物流施設の高度化、物流拠点の整備等</t>
    <rPh sb="0" eb="2">
      <t>ブツリュウ</t>
    </rPh>
    <rPh sb="2" eb="4">
      <t>シセツ</t>
    </rPh>
    <rPh sb="5" eb="8">
      <t>コウドカ</t>
    </rPh>
    <rPh sb="9" eb="11">
      <t>ブツリュウ</t>
    </rPh>
    <rPh sb="11" eb="13">
      <t>キョテン</t>
    </rPh>
    <rPh sb="14" eb="16">
      <t>セイビ</t>
    </rPh>
    <rPh sb="16" eb="17">
      <t>ナド</t>
    </rPh>
    <phoneticPr fontId="3"/>
  </si>
  <si>
    <t>その他</t>
    <rPh sb="2" eb="3">
      <t>タ</t>
    </rPh>
    <phoneticPr fontId="3"/>
  </si>
  <si>
    <t>上記についての特記事項（独自の取組について記載してください）</t>
    <rPh sb="0" eb="2">
      <t>ジョウキ</t>
    </rPh>
    <rPh sb="7" eb="9">
      <t>トッキ</t>
    </rPh>
    <rPh sb="9" eb="11">
      <t>ジコウ</t>
    </rPh>
    <rPh sb="12" eb="14">
      <t>ドクジ</t>
    </rPh>
    <rPh sb="15" eb="17">
      <t>トリクミ</t>
    </rPh>
    <rPh sb="21" eb="23">
      <t>キサイ</t>
    </rPh>
    <phoneticPr fontId="3"/>
  </si>
  <si>
    <t>車両の有効利用の促進</t>
    <rPh sb="0" eb="2">
      <t>シャリョウ</t>
    </rPh>
    <rPh sb="3" eb="5">
      <t>ユウコウ</t>
    </rPh>
    <rPh sb="5" eb="7">
      <t>リヨウ</t>
    </rPh>
    <rPh sb="8" eb="10">
      <t>ソクシン</t>
    </rPh>
    <phoneticPr fontId="3"/>
  </si>
  <si>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3"/>
  </si>
  <si>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3"/>
  </si>
  <si>
    <t>配送と集荷を１台で実施できるように工夫</t>
    <rPh sb="0" eb="2">
      <t>ハイソウ</t>
    </rPh>
    <rPh sb="3" eb="5">
      <t>シュウカ</t>
    </rPh>
    <rPh sb="7" eb="8">
      <t>ダイ</t>
    </rPh>
    <rPh sb="9" eb="11">
      <t>ジッシ</t>
    </rPh>
    <rPh sb="17" eb="19">
      <t>クフウ</t>
    </rPh>
    <phoneticPr fontId="3"/>
  </si>
  <si>
    <t>時間指定配送の回数の低減を要請</t>
    <rPh sb="0" eb="2">
      <t>ジカン</t>
    </rPh>
    <rPh sb="2" eb="4">
      <t>シテイ</t>
    </rPh>
    <rPh sb="4" eb="6">
      <t>ハイソウ</t>
    </rPh>
    <rPh sb="7" eb="9">
      <t>カイスウ</t>
    </rPh>
    <rPh sb="10" eb="12">
      <t>テイゲン</t>
    </rPh>
    <rPh sb="13" eb="15">
      <t>ヨウセイ</t>
    </rPh>
    <phoneticPr fontId="3"/>
  </si>
  <si>
    <t>受注時間と配送時間の設定（ルール化）</t>
    <rPh sb="0" eb="2">
      <t>ジュチュウ</t>
    </rPh>
    <rPh sb="2" eb="4">
      <t>ジカン</t>
    </rPh>
    <rPh sb="5" eb="7">
      <t>ハイソウ</t>
    </rPh>
    <rPh sb="7" eb="9">
      <t>ジカン</t>
    </rPh>
    <rPh sb="10" eb="12">
      <t>セッテイ</t>
    </rPh>
    <rPh sb="16" eb="17">
      <t>カ</t>
    </rPh>
    <phoneticPr fontId="3"/>
  </si>
  <si>
    <t>緊急配送をできるだけ避ける（随時配送の廃止）</t>
    <rPh sb="0" eb="2">
      <t>キンキュウ</t>
    </rPh>
    <rPh sb="2" eb="4">
      <t>ハイソウ</t>
    </rPh>
    <rPh sb="10" eb="11">
      <t>サ</t>
    </rPh>
    <rPh sb="14" eb="16">
      <t>ズイジ</t>
    </rPh>
    <rPh sb="16" eb="18">
      <t>ハイソウ</t>
    </rPh>
    <rPh sb="19" eb="21">
      <t>ハイシ</t>
    </rPh>
    <phoneticPr fontId="3"/>
  </si>
  <si>
    <t>検品のルーチン化による時間の短縮</t>
    <rPh sb="0" eb="1">
      <t>ケン</t>
    </rPh>
    <rPh sb="1" eb="2">
      <t>ヒン</t>
    </rPh>
    <rPh sb="7" eb="8">
      <t>カ</t>
    </rPh>
    <rPh sb="11" eb="13">
      <t>ジカン</t>
    </rPh>
    <rPh sb="14" eb="16">
      <t>タンシュク</t>
    </rPh>
    <phoneticPr fontId="3"/>
  </si>
  <si>
    <t>朝夕ラッシュ時の配送を昼間配送に振替</t>
    <rPh sb="0" eb="2">
      <t>アサユウ</t>
    </rPh>
    <rPh sb="6" eb="7">
      <t>ジ</t>
    </rPh>
    <rPh sb="8" eb="10">
      <t>ハイソウ</t>
    </rPh>
    <rPh sb="11" eb="13">
      <t>ヒルマ</t>
    </rPh>
    <rPh sb="13" eb="15">
      <t>ハイソウ</t>
    </rPh>
    <rPh sb="16" eb="18">
      <t>フリカエ</t>
    </rPh>
    <phoneticPr fontId="3"/>
  </si>
  <si>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3"/>
  </si>
  <si>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3"/>
  </si>
  <si>
    <t>鉄道輸送の活用</t>
    <rPh sb="0" eb="2">
      <t>テツドウ</t>
    </rPh>
    <rPh sb="2" eb="4">
      <t>ユソウ</t>
    </rPh>
    <rPh sb="5" eb="7">
      <t>カツヨウ</t>
    </rPh>
    <phoneticPr fontId="3"/>
  </si>
  <si>
    <t>海運の活用</t>
    <rPh sb="0" eb="2">
      <t>カイウン</t>
    </rPh>
    <rPh sb="3" eb="5">
      <t>カツヨウ</t>
    </rPh>
    <phoneticPr fontId="3"/>
  </si>
  <si>
    <t>鉄道、バス等の公共交通機関の利用</t>
    <rPh sb="0" eb="2">
      <t>テツドウ</t>
    </rPh>
    <rPh sb="5" eb="6">
      <t>トウ</t>
    </rPh>
    <rPh sb="7" eb="9">
      <t>コウキョウ</t>
    </rPh>
    <rPh sb="9" eb="11">
      <t>コウツウ</t>
    </rPh>
    <rPh sb="11" eb="13">
      <t>キカン</t>
    </rPh>
    <rPh sb="14" eb="16">
      <t>リヨウ</t>
    </rPh>
    <phoneticPr fontId="3"/>
  </si>
  <si>
    <t>自転車、徒歩による移動</t>
    <rPh sb="0" eb="3">
      <t>ジテンシャ</t>
    </rPh>
    <rPh sb="4" eb="6">
      <t>トホ</t>
    </rPh>
    <rPh sb="9" eb="11">
      <t>イドウ</t>
    </rPh>
    <phoneticPr fontId="3"/>
  </si>
  <si>
    <t>マイカー通勤の禁止</t>
    <rPh sb="4" eb="6">
      <t>ツウキン</t>
    </rPh>
    <rPh sb="7" eb="9">
      <t>キンシ</t>
    </rPh>
    <phoneticPr fontId="3"/>
  </si>
  <si>
    <t>車載端末、パソコンによる配車システムの導入・拡大</t>
    <rPh sb="0" eb="2">
      <t>シャサイ</t>
    </rPh>
    <rPh sb="2" eb="4">
      <t>タンマツ</t>
    </rPh>
    <rPh sb="12" eb="14">
      <t>ハイシャ</t>
    </rPh>
    <rPh sb="19" eb="21">
      <t>ドウニュウ</t>
    </rPh>
    <rPh sb="22" eb="24">
      <t>カクダイ</t>
    </rPh>
    <phoneticPr fontId="3"/>
  </si>
  <si>
    <t>燃費等の記録管理</t>
    <rPh sb="0" eb="2">
      <t>ネンピ</t>
    </rPh>
    <rPh sb="2" eb="3">
      <t>トウ</t>
    </rPh>
    <rPh sb="4" eb="6">
      <t>キロク</t>
    </rPh>
    <rPh sb="6" eb="8">
      <t>カンリ</t>
    </rPh>
    <phoneticPr fontId="3"/>
  </si>
  <si>
    <t>既存施設の機械化・自動化など</t>
    <rPh sb="0" eb="2">
      <t>キゾン</t>
    </rPh>
    <rPh sb="2" eb="4">
      <t>シセツ</t>
    </rPh>
    <rPh sb="5" eb="7">
      <t>キカイ</t>
    </rPh>
    <rPh sb="7" eb="8">
      <t>カ</t>
    </rPh>
    <rPh sb="9" eb="12">
      <t>ジドウカ</t>
    </rPh>
    <phoneticPr fontId="3"/>
  </si>
  <si>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3"/>
  </si>
  <si>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3"/>
  </si>
  <si>
    <t>路上駐停車の自粛</t>
    <rPh sb="0" eb="2">
      <t>ロジョウ</t>
    </rPh>
    <rPh sb="2" eb="5">
      <t>チュウテイシャ</t>
    </rPh>
    <rPh sb="6" eb="8">
      <t>ジシュク</t>
    </rPh>
    <phoneticPr fontId="3"/>
  </si>
  <si>
    <t>ISO14001の認証を取得</t>
    <rPh sb="9" eb="11">
      <t>ニンショウ</t>
    </rPh>
    <rPh sb="12" eb="14">
      <t>シュトク</t>
    </rPh>
    <phoneticPr fontId="3"/>
  </si>
  <si>
    <t>エコアクション21等の環境マネジメントシステムの認証を取得</t>
    <rPh sb="9" eb="10">
      <t>トウ</t>
    </rPh>
    <rPh sb="11" eb="13">
      <t>カンキョウ</t>
    </rPh>
    <rPh sb="24" eb="26">
      <t>ニンショウ</t>
    </rPh>
    <rPh sb="27" eb="29">
      <t>シュトク</t>
    </rPh>
    <phoneticPr fontId="3"/>
  </si>
  <si>
    <t>グリーン経営認証の取得</t>
    <rPh sb="4" eb="6">
      <t>ケイエイ</t>
    </rPh>
    <rPh sb="6" eb="8">
      <t>ニンショウ</t>
    </rPh>
    <rPh sb="9" eb="11">
      <t>シュトク</t>
    </rPh>
    <phoneticPr fontId="3"/>
  </si>
  <si>
    <t>環境報告書の作成</t>
    <rPh sb="0" eb="2">
      <t>カンキョウ</t>
    </rPh>
    <rPh sb="2" eb="5">
      <t>ホウコクショ</t>
    </rPh>
    <rPh sb="6" eb="8">
      <t>サクセイ</t>
    </rPh>
    <phoneticPr fontId="3"/>
  </si>
  <si>
    <t>適正運転の実施等及び車両走行量の削減の計画</t>
    <rPh sb="0" eb="2">
      <t>テキセイ</t>
    </rPh>
    <rPh sb="2" eb="4">
      <t>ウンテン</t>
    </rPh>
    <rPh sb="5" eb="7">
      <t>ジッシ</t>
    </rPh>
    <rPh sb="7" eb="8">
      <t>トウ</t>
    </rPh>
    <rPh sb="8" eb="9">
      <t>オヨ</t>
    </rPh>
    <rPh sb="10" eb="12">
      <t>シャリョウ</t>
    </rPh>
    <rPh sb="12" eb="15">
      <t>ソウコウリョウ</t>
    </rPh>
    <rPh sb="16" eb="18">
      <t>サクゲン</t>
    </rPh>
    <rPh sb="19" eb="21">
      <t>ケイカク</t>
    </rPh>
    <phoneticPr fontId="3"/>
  </si>
  <si>
    <t>計画事項</t>
    <rPh sb="0" eb="2">
      <t>ケイカク</t>
    </rPh>
    <rPh sb="2" eb="4">
      <t>ジコウ</t>
    </rPh>
    <phoneticPr fontId="3"/>
  </si>
  <si>
    <t>計画の有無</t>
    <rPh sb="0" eb="2">
      <t>ケイカク</t>
    </rPh>
    <rPh sb="3" eb="5">
      <t>ウム</t>
    </rPh>
    <phoneticPr fontId="3"/>
  </si>
  <si>
    <t>計画項目</t>
    <rPh sb="0" eb="2">
      <t>ケイカク</t>
    </rPh>
    <rPh sb="2" eb="4">
      <t>コウモク</t>
    </rPh>
    <phoneticPr fontId="3"/>
  </si>
  <si>
    <t>適正運転の実施等及び車両走行量の削減の実施状況</t>
    <rPh sb="0" eb="2">
      <t>テキセイ</t>
    </rPh>
    <rPh sb="2" eb="4">
      <t>ウンテン</t>
    </rPh>
    <rPh sb="5" eb="7">
      <t>ジッシ</t>
    </rPh>
    <rPh sb="7" eb="8">
      <t>トウ</t>
    </rPh>
    <rPh sb="8" eb="9">
      <t>オヨ</t>
    </rPh>
    <rPh sb="10" eb="12">
      <t>シャリョウ</t>
    </rPh>
    <rPh sb="12" eb="15">
      <t>ソウコウリョウ</t>
    </rPh>
    <rPh sb="16" eb="18">
      <t>サクゲン</t>
    </rPh>
    <rPh sb="19" eb="21">
      <t>ジッシ</t>
    </rPh>
    <rPh sb="21" eb="23">
      <t>ジョウキョウ</t>
    </rPh>
    <phoneticPr fontId="3"/>
  </si>
  <si>
    <t>ＥＴＣの導入　</t>
  </si>
  <si>
    <t>CGA</t>
  </si>
  <si>
    <t>CGE</t>
  </si>
  <si>
    <t>CGF</t>
  </si>
  <si>
    <t>CGG</t>
  </si>
  <si>
    <t>CHA</t>
  </si>
  <si>
    <t>CHE</t>
  </si>
  <si>
    <t>CHF</t>
  </si>
  <si>
    <t>CHG</t>
  </si>
  <si>
    <t>実施項目</t>
    <rPh sb="0" eb="2">
      <t>ジッシ</t>
    </rPh>
    <rPh sb="2" eb="4">
      <t>コウモク</t>
    </rPh>
    <phoneticPr fontId="3"/>
  </si>
  <si>
    <t>真排出係数（ＰＭ）</t>
    <rPh sb="0" eb="1">
      <t>シン</t>
    </rPh>
    <rPh sb="1" eb="3">
      <t>ハイシュツ</t>
    </rPh>
    <rPh sb="3" eb="5">
      <t>ケイスウ</t>
    </rPh>
    <phoneticPr fontId="3"/>
  </si>
  <si>
    <t>排出係数表（ＰＭ）</t>
    <rPh sb="0" eb="2">
      <t>ハイシュツ</t>
    </rPh>
    <rPh sb="2" eb="4">
      <t>ケイスウ</t>
    </rPh>
    <rPh sb="4" eb="5">
      <t>ヒョウ</t>
    </rPh>
    <phoneticPr fontId="3"/>
  </si>
  <si>
    <t>DGA</t>
  </si>
  <si>
    <t>DGE</t>
  </si>
  <si>
    <t>DGF</t>
  </si>
  <si>
    <t>DGG</t>
  </si>
  <si>
    <t>DHA</t>
  </si>
  <si>
    <t>DHE</t>
  </si>
  <si>
    <t>DHF</t>
  </si>
  <si>
    <t>DHG</t>
  </si>
  <si>
    <t>貨1L</t>
    <rPh sb="0" eb="1">
      <t>カ</t>
    </rPh>
    <phoneticPr fontId="3"/>
  </si>
  <si>
    <t>貨2L</t>
    <rPh sb="0" eb="1">
      <t>カ</t>
    </rPh>
    <phoneticPr fontId="3"/>
  </si>
  <si>
    <t>貨3L</t>
    <rPh sb="0" eb="1">
      <t>カ</t>
    </rPh>
    <phoneticPr fontId="3"/>
  </si>
  <si>
    <t>貨4L</t>
    <rPh sb="0" eb="1">
      <t>カ</t>
    </rPh>
    <phoneticPr fontId="3"/>
  </si>
  <si>
    <t>乗0L</t>
    <rPh sb="0" eb="1">
      <t>ジョウ</t>
    </rPh>
    <phoneticPr fontId="3"/>
  </si>
  <si>
    <t>☆(優先),CNG</t>
    <rPh sb="2" eb="4">
      <t>ユウセン</t>
    </rPh>
    <phoneticPr fontId="3"/>
  </si>
  <si>
    <t>☆(優先),CNG,ハイブリット</t>
    <rPh sb="2" eb="4">
      <t>ユウセン</t>
    </rPh>
    <phoneticPr fontId="3"/>
  </si>
  <si>
    <t>☆☆☆(優先),CNG</t>
    <rPh sb="4" eb="6">
      <t>ユウセン</t>
    </rPh>
    <phoneticPr fontId="3"/>
  </si>
  <si>
    <t>☆☆☆(優先),CNG,ハイブリット</t>
    <rPh sb="4" eb="6">
      <t>ユウセン</t>
    </rPh>
    <phoneticPr fontId="3"/>
  </si>
  <si>
    <t>注意事項(☆は車両の規制値に対して)</t>
    <rPh sb="0" eb="2">
      <t>チュウイ</t>
    </rPh>
    <rPh sb="2" eb="4">
      <t>ジコウ</t>
    </rPh>
    <rPh sb="7" eb="9">
      <t>シャリョウ</t>
    </rPh>
    <rPh sb="10" eb="12">
      <t>キセイ</t>
    </rPh>
    <rPh sb="12" eb="13">
      <t>チ</t>
    </rPh>
    <rPh sb="14" eb="15">
      <t>タイ</t>
    </rPh>
    <phoneticPr fontId="3"/>
  </si>
  <si>
    <t>☆(優先),メタノール</t>
    <rPh sb="2" eb="4">
      <t>ユウセン</t>
    </rPh>
    <phoneticPr fontId="3"/>
  </si>
  <si>
    <t>☆(優先),メタノール,ハイブリット</t>
    <rPh sb="2" eb="4">
      <t>ユウセン</t>
    </rPh>
    <phoneticPr fontId="3"/>
  </si>
  <si>
    <t>セルの色で記載すべき場所を表しています。</t>
    <rPh sb="3" eb="4">
      <t>イロ</t>
    </rPh>
    <rPh sb="5" eb="7">
      <t>キサイ</t>
    </rPh>
    <rPh sb="10" eb="12">
      <t>バショ</t>
    </rPh>
    <rPh sb="13" eb="14">
      <t>アラワ</t>
    </rPh>
    <phoneticPr fontId="3"/>
  </si>
  <si>
    <t>赤いセルの右上の</t>
    <rPh sb="0" eb="1">
      <t>アカ</t>
    </rPh>
    <rPh sb="5" eb="7">
      <t>ミギウエ</t>
    </rPh>
    <phoneticPr fontId="3"/>
  </si>
  <si>
    <t>にカーソルを近づけると注意書きを読むことができます。</t>
    <rPh sb="6" eb="7">
      <t>チカ</t>
    </rPh>
    <rPh sb="11" eb="14">
      <t>チュウイガ</t>
    </rPh>
    <rPh sb="16" eb="17">
      <t>ヨ</t>
    </rPh>
    <phoneticPr fontId="3"/>
  </si>
  <si>
    <t>例）</t>
    <rPh sb="0" eb="1">
      <t>レイ</t>
    </rPh>
    <phoneticPr fontId="3"/>
  </si>
  <si>
    <t>初度登録年月</t>
    <rPh sb="0" eb="1">
      <t>ショ</t>
    </rPh>
    <rPh sb="1" eb="2">
      <t>ド</t>
    </rPh>
    <rPh sb="2" eb="4">
      <t>トウロク</t>
    </rPh>
    <rPh sb="4" eb="6">
      <t>ネンゲツ</t>
    </rPh>
    <phoneticPr fontId="3"/>
  </si>
  <si>
    <t>特種車(それ以外)</t>
    <rPh sb="0" eb="2">
      <t>トクシュ</t>
    </rPh>
    <rPh sb="2" eb="3">
      <t>クルマ</t>
    </rPh>
    <rPh sb="6" eb="8">
      <t>イガイ</t>
    </rPh>
    <phoneticPr fontId="3"/>
  </si>
  <si>
    <t>後付け装置</t>
    <rPh sb="0" eb="2">
      <t>アトヅケ</t>
    </rPh>
    <rPh sb="3" eb="5">
      <t>ソウチ</t>
    </rPh>
    <phoneticPr fontId="3"/>
  </si>
  <si>
    <t>NOx・PM低減</t>
    <rPh sb="6" eb="8">
      <t>テイゲン</t>
    </rPh>
    <phoneticPr fontId="3"/>
  </si>
  <si>
    <t>PM低減</t>
    <rPh sb="2" eb="4">
      <t>テイゲン</t>
    </rPh>
    <phoneticPr fontId="3"/>
  </si>
  <si>
    <r>
      <t>N</t>
    </r>
    <r>
      <rPr>
        <sz val="11"/>
        <rFont val="ＭＳ Ｐゴシック"/>
        <family val="3"/>
        <charset val="128"/>
      </rPr>
      <t>Ox排出量(kg)</t>
    </r>
    <phoneticPr fontId="3"/>
  </si>
  <si>
    <t>実績</t>
    <rPh sb="0" eb="2">
      <t>ジッセキ</t>
    </rPh>
    <phoneticPr fontId="3"/>
  </si>
  <si>
    <t>目標</t>
    <rPh sb="0" eb="2">
      <t>モクヒョウ</t>
    </rPh>
    <phoneticPr fontId="3"/>
  </si>
  <si>
    <t>あり(H17なし)</t>
  </si>
  <si>
    <t>あり(H17あり)</t>
  </si>
  <si>
    <t>☆☆☆(優先),メタノール</t>
    <rPh sb="4" eb="6">
      <t>ユウセン</t>
    </rPh>
    <phoneticPr fontId="3"/>
  </si>
  <si>
    <t>☆☆☆(優先),メタノール,ハイブリット</t>
    <rPh sb="4" eb="6">
      <t>ユウセン</t>
    </rPh>
    <phoneticPr fontId="3"/>
  </si>
  <si>
    <t>乗用車</t>
    <rPh sb="0" eb="3">
      <t>ジョウヨウシャ</t>
    </rPh>
    <phoneticPr fontId="3"/>
  </si>
  <si>
    <t>燃電</t>
    <rPh sb="0" eb="1">
      <t>ネン</t>
    </rPh>
    <rPh sb="1" eb="2">
      <t>デン</t>
    </rPh>
    <phoneticPr fontId="3"/>
  </si>
  <si>
    <t>燃料電池(圧縮水素)</t>
    <rPh sb="0" eb="2">
      <t>ネンリョウ</t>
    </rPh>
    <rPh sb="2" eb="4">
      <t>デンチ</t>
    </rPh>
    <rPh sb="5" eb="7">
      <t>アッシュク</t>
    </rPh>
    <rPh sb="7" eb="9">
      <t>スイソ</t>
    </rPh>
    <phoneticPr fontId="3"/>
  </si>
  <si>
    <t>排出係数</t>
    <phoneticPr fontId="3"/>
  </si>
  <si>
    <t>ＮＯｘ</t>
    <phoneticPr fontId="3"/>
  </si>
  <si>
    <t>ＰＭ</t>
    <phoneticPr fontId="3"/>
  </si>
  <si>
    <t>種別2</t>
    <rPh sb="0" eb="2">
      <t>シュベツ</t>
    </rPh>
    <phoneticPr fontId="3"/>
  </si>
  <si>
    <t>軽油（超低PM☆☆☆)</t>
    <rPh sb="0" eb="2">
      <t>ケイユ</t>
    </rPh>
    <rPh sb="3" eb="4">
      <t>チョウ</t>
    </rPh>
    <rPh sb="4" eb="5">
      <t>テイ</t>
    </rPh>
    <phoneticPr fontId="3"/>
  </si>
  <si>
    <t>軽油（超低PM☆☆☆☆)</t>
    <rPh sb="0" eb="2">
      <t>ケイユ</t>
    </rPh>
    <rPh sb="3" eb="4">
      <t>チョウ</t>
    </rPh>
    <rPh sb="4" eb="5">
      <t>テイ</t>
    </rPh>
    <phoneticPr fontId="3"/>
  </si>
  <si>
    <t>軽油（その他）</t>
    <rPh sb="0" eb="2">
      <t>ケイユ</t>
    </rPh>
    <rPh sb="5" eb="6">
      <t>タ</t>
    </rPh>
    <phoneticPr fontId="3"/>
  </si>
  <si>
    <t>軽1</t>
    <rPh sb="0" eb="1">
      <t>ケイ</t>
    </rPh>
    <phoneticPr fontId="3"/>
  </si>
  <si>
    <t>軽2</t>
    <rPh sb="0" eb="1">
      <t>ケイ</t>
    </rPh>
    <phoneticPr fontId="3"/>
  </si>
  <si>
    <t>軽3</t>
    <rPh sb="0" eb="1">
      <t>ケイ</t>
    </rPh>
    <phoneticPr fontId="3"/>
  </si>
  <si>
    <t>燃料電池</t>
    <rPh sb="0" eb="2">
      <t>ネンリョウ</t>
    </rPh>
    <rPh sb="2" eb="4">
      <t>デンチ</t>
    </rPh>
    <phoneticPr fontId="3"/>
  </si>
  <si>
    <t>液化石油ガス(ＬＰＧ)</t>
    <rPh sb="0" eb="2">
      <t>エキカ</t>
    </rPh>
    <rPh sb="2" eb="4">
      <t>セキユ</t>
    </rPh>
    <phoneticPr fontId="3"/>
  </si>
  <si>
    <t>天然ガス(ＣＮＧ)</t>
    <rPh sb="0" eb="2">
      <t>テンネン</t>
    </rPh>
    <phoneticPr fontId="3"/>
  </si>
  <si>
    <t>燃料記号2</t>
    <rPh sb="0" eb="2">
      <t>ネンリョウ</t>
    </rPh>
    <rPh sb="2" eb="4">
      <t>キゴウ</t>
    </rPh>
    <phoneticPr fontId="3"/>
  </si>
  <si>
    <t>乗用車(軽乗用を除く)</t>
    <rPh sb="0" eb="3">
      <t>ジョウヨウシャ</t>
    </rPh>
    <rPh sb="4" eb="5">
      <t>ケイ</t>
    </rPh>
    <rPh sb="5" eb="7">
      <t>ジョウヨウ</t>
    </rPh>
    <rPh sb="8" eb="9">
      <t>ノゾ</t>
    </rPh>
    <phoneticPr fontId="3"/>
  </si>
  <si>
    <t>H17</t>
  </si>
  <si>
    <t>貨1ガ</t>
    <rPh sb="0" eb="1">
      <t>カ</t>
    </rPh>
    <phoneticPr fontId="3"/>
  </si>
  <si>
    <t>BAE</t>
  </si>
  <si>
    <t>BBE</t>
  </si>
  <si>
    <t>CAE</t>
  </si>
  <si>
    <t>CBE</t>
  </si>
  <si>
    <t>DAE</t>
  </si>
  <si>
    <t>DBE</t>
  </si>
  <si>
    <t>貨2ガ</t>
    <rPh sb="0" eb="1">
      <t>カ</t>
    </rPh>
    <phoneticPr fontId="3"/>
  </si>
  <si>
    <t>年度</t>
    <rPh sb="0" eb="2">
      <t>ネンド</t>
    </rPh>
    <phoneticPr fontId="3"/>
  </si>
  <si>
    <t>BAF</t>
  </si>
  <si>
    <t>BBF</t>
  </si>
  <si>
    <t>CAF</t>
  </si>
  <si>
    <t>CBF</t>
  </si>
  <si>
    <t>DAF</t>
  </si>
  <si>
    <t>DBF</t>
  </si>
  <si>
    <t>H6,H10</t>
  </si>
  <si>
    <t>貨3ガ</t>
    <rPh sb="0" eb="1">
      <t>カ</t>
    </rPh>
    <phoneticPr fontId="3"/>
  </si>
  <si>
    <t>区分</t>
    <rPh sb="0" eb="2">
      <t>クブン</t>
    </rPh>
    <phoneticPr fontId="3"/>
  </si>
  <si>
    <t>H4</t>
  </si>
  <si>
    <t>H7,H10</t>
  </si>
  <si>
    <t>貨4ガ</t>
    <rPh sb="0" eb="1">
      <t>カ</t>
    </rPh>
    <phoneticPr fontId="3"/>
  </si>
  <si>
    <t>BAG</t>
  </si>
  <si>
    <t>BBG</t>
  </si>
  <si>
    <t>CAG</t>
  </si>
  <si>
    <t>CBG</t>
  </si>
  <si>
    <t>DAG</t>
  </si>
  <si>
    <t>DBG</t>
  </si>
  <si>
    <t>名称</t>
    <rPh sb="0" eb="2">
      <t>メイショウ</t>
    </rPh>
    <phoneticPr fontId="3"/>
  </si>
  <si>
    <t>バス貨物～1.7t(ガソリン・LPG)</t>
    <rPh sb="2" eb="4">
      <t>カモツ</t>
    </rPh>
    <phoneticPr fontId="3"/>
  </si>
  <si>
    <t>バス貨物1.7～2.5t(ガソリン・LPG)</t>
    <rPh sb="2" eb="4">
      <t>カモツ</t>
    </rPh>
    <phoneticPr fontId="3"/>
  </si>
  <si>
    <t>フリガナ</t>
    <phoneticPr fontId="3"/>
  </si>
  <si>
    <t>（法人にあっては、名称及び代表者の氏名）</t>
    <phoneticPr fontId="3"/>
  </si>
  <si>
    <t>業　種　名</t>
    <phoneticPr fontId="3"/>
  </si>
  <si>
    <t>番　号</t>
    <phoneticPr fontId="3"/>
  </si>
  <si>
    <t>従　業　員　数</t>
    <phoneticPr fontId="3"/>
  </si>
  <si>
    <t>担当者氏名及び連絡先</t>
    <phoneticPr fontId="3"/>
  </si>
  <si>
    <t xml:space="preserve">  ＦＡＸ</t>
    <phoneticPr fontId="3"/>
  </si>
  <si>
    <t xml:space="preserve">  Ｅメール</t>
    <phoneticPr fontId="3"/>
  </si>
  <si>
    <t>使用の本拠</t>
    <rPh sb="0" eb="2">
      <t>シヨウ</t>
    </rPh>
    <rPh sb="3" eb="5">
      <t>ホンキョ</t>
    </rPh>
    <phoneticPr fontId="3"/>
  </si>
  <si>
    <t>分類番号</t>
    <rPh sb="0" eb="2">
      <t>ブンルイ</t>
    </rPh>
    <rPh sb="2" eb="4">
      <t>バンゴウ</t>
    </rPh>
    <phoneticPr fontId="3"/>
  </si>
  <si>
    <t>文字</t>
    <rPh sb="0" eb="2">
      <t>モジ</t>
    </rPh>
    <phoneticPr fontId="3"/>
  </si>
  <si>
    <t>指定番号</t>
    <rPh sb="0" eb="2">
      <t>シテイ</t>
    </rPh>
    <rPh sb="2" eb="4">
      <t>バンゴウ</t>
    </rPh>
    <phoneticPr fontId="3"/>
  </si>
  <si>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3"/>
  </si>
  <si>
    <t>ナンバープレート</t>
    <phoneticPr fontId="3"/>
  </si>
  <si>
    <t>達成率(%)</t>
    <rPh sb="0" eb="3">
      <t>タッセイリツ</t>
    </rPh>
    <phoneticPr fontId="3"/>
  </si>
  <si>
    <t>車種A</t>
    <rPh sb="0" eb="2">
      <t>シャシュ</t>
    </rPh>
    <phoneticPr fontId="3"/>
  </si>
  <si>
    <t>車種B</t>
    <rPh sb="0" eb="2">
      <t>シャシュ</t>
    </rPh>
    <phoneticPr fontId="3"/>
  </si>
  <si>
    <t>車種C</t>
    <rPh sb="0" eb="2">
      <t>シャシュ</t>
    </rPh>
    <phoneticPr fontId="3"/>
  </si>
  <si>
    <t>車種D</t>
    <rPh sb="0" eb="2">
      <t>シャシュ</t>
    </rPh>
    <phoneticPr fontId="3"/>
  </si>
  <si>
    <t>このように記載してださい。</t>
    <rPh sb="5" eb="7">
      <t>キサイ</t>
    </rPh>
    <phoneticPr fontId="3"/>
  </si>
  <si>
    <t>バス貨物2.5～3.5t(ガソリン・LPG)</t>
    <rPh sb="2" eb="4">
      <t>カモツ</t>
    </rPh>
    <phoneticPr fontId="3"/>
  </si>
  <si>
    <t>バス貨物3.5t～(ガソリン・LPG)</t>
    <rPh sb="2" eb="4">
      <t>カモツ</t>
    </rPh>
    <phoneticPr fontId="3"/>
  </si>
  <si>
    <t>H5</t>
  </si>
  <si>
    <t>H9</t>
  </si>
  <si>
    <t>BCE</t>
  </si>
  <si>
    <t>BDE</t>
  </si>
  <si>
    <t>事業場コード</t>
    <rPh sb="0" eb="3">
      <t>ジギョウジョウ</t>
    </rPh>
    <phoneticPr fontId="3"/>
  </si>
  <si>
    <t>事業場別の特定自動車の台数</t>
    <rPh sb="0" eb="2">
      <t>ジギョウショ</t>
    </rPh>
    <rPh sb="2" eb="3">
      <t>ジョウ</t>
    </rPh>
    <rPh sb="3" eb="4">
      <t>ベツ</t>
    </rPh>
    <rPh sb="5" eb="7">
      <t>トクテイ</t>
    </rPh>
    <rPh sb="9" eb="10">
      <t>シャ</t>
    </rPh>
    <rPh sb="11" eb="13">
      <t>ダイスウ</t>
    </rPh>
    <phoneticPr fontId="3"/>
  </si>
  <si>
    <t>マ　　イ　　ク　　ロ　　バ　　ス</t>
    <phoneticPr fontId="3"/>
  </si>
  <si>
    <t>CCE</t>
  </si>
  <si>
    <t>CDE</t>
  </si>
  <si>
    <t>DCE</t>
  </si>
  <si>
    <t>DDE</t>
  </si>
  <si>
    <t>貨1軽</t>
    <rPh sb="0" eb="1">
      <t>カ</t>
    </rPh>
    <rPh sb="2" eb="3">
      <t>ケイ</t>
    </rPh>
    <phoneticPr fontId="3"/>
  </si>
  <si>
    <t>バス貨物3.5t～(軽油)</t>
    <rPh sb="2" eb="4">
      <t>カモツ</t>
    </rPh>
    <rPh sb="10" eb="12">
      <t>ケイユ</t>
    </rPh>
    <phoneticPr fontId="3"/>
  </si>
  <si>
    <t>バス貨物～1.7t(軽油)</t>
    <rPh sb="2" eb="4">
      <t>カモツ</t>
    </rPh>
    <rPh sb="10" eb="12">
      <t>ケイユ</t>
    </rPh>
    <phoneticPr fontId="3"/>
  </si>
  <si>
    <t>H9・H10</t>
  </si>
  <si>
    <t>BCF</t>
  </si>
  <si>
    <t>BDF</t>
  </si>
  <si>
    <t>CCF</t>
  </si>
  <si>
    <t>CDF</t>
  </si>
  <si>
    <t>DCF</t>
  </si>
  <si>
    <t>DDF</t>
  </si>
  <si>
    <t>貨2軽</t>
    <rPh sb="0" eb="1">
      <t>カ</t>
    </rPh>
    <rPh sb="2" eb="3">
      <t>ケイ</t>
    </rPh>
    <phoneticPr fontId="3"/>
  </si>
  <si>
    <t>バス貨物1.7～2.5t(軽油)</t>
    <rPh sb="2" eb="4">
      <t>カモツ</t>
    </rPh>
    <rPh sb="13" eb="15">
      <t>ケイユ</t>
    </rPh>
    <phoneticPr fontId="3"/>
  </si>
  <si>
    <t>乗0電</t>
    <rPh sb="0" eb="1">
      <t>ジョウ</t>
    </rPh>
    <rPh sb="2" eb="3">
      <t>デン</t>
    </rPh>
    <phoneticPr fontId="3"/>
  </si>
  <si>
    <t>貨1電</t>
    <rPh sb="2" eb="3">
      <t>デン</t>
    </rPh>
    <phoneticPr fontId="3"/>
  </si>
  <si>
    <t>貨2電</t>
    <rPh sb="2" eb="3">
      <t>デン</t>
    </rPh>
    <phoneticPr fontId="3"/>
  </si>
  <si>
    <t>貨3電</t>
    <rPh sb="2" eb="3">
      <t>デン</t>
    </rPh>
    <phoneticPr fontId="3"/>
  </si>
  <si>
    <t>貨4電</t>
    <rPh sb="2" eb="3">
      <t>デン</t>
    </rPh>
    <phoneticPr fontId="3"/>
  </si>
  <si>
    <t>乗0燃電</t>
    <rPh sb="0" eb="1">
      <t>ジョウ</t>
    </rPh>
    <rPh sb="2" eb="3">
      <t>ネン</t>
    </rPh>
    <rPh sb="3" eb="4">
      <t>デン</t>
    </rPh>
    <phoneticPr fontId="3"/>
  </si>
  <si>
    <t>貨1燃電</t>
    <rPh sb="3" eb="4">
      <t>デン</t>
    </rPh>
    <phoneticPr fontId="3"/>
  </si>
  <si>
    <t>貨2燃電</t>
    <rPh sb="3" eb="4">
      <t>デン</t>
    </rPh>
    <phoneticPr fontId="3"/>
  </si>
  <si>
    <t>貨3燃電</t>
    <rPh sb="3" eb="4">
      <t>デン</t>
    </rPh>
    <phoneticPr fontId="3"/>
  </si>
  <si>
    <t>貨4燃電</t>
    <rPh sb="3" eb="4">
      <t>デン</t>
    </rPh>
    <phoneticPr fontId="3"/>
  </si>
  <si>
    <r>
      <t>乗用(電気</t>
    </r>
    <r>
      <rPr>
        <sz val="11"/>
        <rFont val="ＭＳ Ｐゴシック"/>
        <family val="3"/>
        <charset val="128"/>
      </rPr>
      <t>)</t>
    </r>
    <rPh sb="0" eb="2">
      <t>ジョウヨウ</t>
    </rPh>
    <rPh sb="3" eb="5">
      <t>デンキ</t>
    </rPh>
    <phoneticPr fontId="3"/>
  </si>
  <si>
    <t>貨3軽</t>
    <rPh sb="0" eb="1">
      <t>カ</t>
    </rPh>
    <rPh sb="2" eb="3">
      <t>ケイ</t>
    </rPh>
    <phoneticPr fontId="3"/>
  </si>
  <si>
    <t>バス貨物2.5～3.5t(軽油)</t>
    <rPh sb="2" eb="4">
      <t>カモツ</t>
    </rPh>
    <rPh sb="13" eb="15">
      <t>ケイユ</t>
    </rPh>
    <phoneticPr fontId="3"/>
  </si>
  <si>
    <t>貨4軽</t>
    <rPh sb="0" eb="1">
      <t>カ</t>
    </rPh>
    <rPh sb="2" eb="3">
      <t>ケイ</t>
    </rPh>
    <phoneticPr fontId="3"/>
  </si>
  <si>
    <t>BCG</t>
  </si>
  <si>
    <t>BDG</t>
  </si>
  <si>
    <t>CCG</t>
  </si>
  <si>
    <t>CDG</t>
  </si>
  <si>
    <t>DCG</t>
  </si>
  <si>
    <t>DDG</t>
  </si>
  <si>
    <t>BEE</t>
  </si>
  <si>
    <t>BFE</t>
  </si>
  <si>
    <t>CEE</t>
  </si>
  <si>
    <t>CFE</t>
  </si>
  <si>
    <t>DEE</t>
  </si>
  <si>
    <t>DFE</t>
  </si>
  <si>
    <t>貨1C</t>
    <rPh sb="0" eb="1">
      <t>カ</t>
    </rPh>
    <phoneticPr fontId="3"/>
  </si>
  <si>
    <t>バス貨物～1.7t(CNG)</t>
    <rPh sb="2" eb="4">
      <t>カモツ</t>
    </rPh>
    <phoneticPr fontId="3"/>
  </si>
  <si>
    <t>貨2C</t>
    <rPh sb="0" eb="1">
      <t>カ</t>
    </rPh>
    <phoneticPr fontId="3"/>
  </si>
  <si>
    <t>BEF</t>
  </si>
  <si>
    <t>BFF</t>
  </si>
  <si>
    <t>CEF</t>
  </si>
  <si>
    <t>CFF</t>
  </si>
  <si>
    <t>DEF</t>
  </si>
  <si>
    <t>DFF</t>
  </si>
  <si>
    <t>バス貨物1.7～2.5t(CNG)</t>
    <rPh sb="2" eb="4">
      <t>カモツ</t>
    </rPh>
    <phoneticPr fontId="3"/>
  </si>
  <si>
    <t>貨3C</t>
    <rPh sb="0" eb="1">
      <t>カ</t>
    </rPh>
    <phoneticPr fontId="3"/>
  </si>
  <si>
    <t>バス貨物2.5～3.5t(CNG)</t>
    <rPh sb="2" eb="4">
      <t>カモツ</t>
    </rPh>
    <phoneticPr fontId="3"/>
  </si>
  <si>
    <t>BEG</t>
  </si>
  <si>
    <t>BFG</t>
  </si>
  <si>
    <t>CEG</t>
  </si>
  <si>
    <t>CFG</t>
  </si>
  <si>
    <t>DEG</t>
  </si>
  <si>
    <t>DFG</t>
  </si>
  <si>
    <t>貨4C</t>
    <rPh sb="0" eb="1">
      <t>カ</t>
    </rPh>
    <phoneticPr fontId="3"/>
  </si>
  <si>
    <t>バス貨物3.5t～(CNG)</t>
    <rPh sb="2" eb="4">
      <t>カモツ</t>
    </rPh>
    <phoneticPr fontId="3"/>
  </si>
  <si>
    <t>貨1メ</t>
    <rPh sb="0" eb="1">
      <t>カ</t>
    </rPh>
    <phoneticPr fontId="3"/>
  </si>
  <si>
    <t>バス貨物～1.7t(メタノール)</t>
    <rPh sb="2" eb="4">
      <t>カモツ</t>
    </rPh>
    <phoneticPr fontId="3"/>
  </si>
  <si>
    <t>貨2メ</t>
    <rPh sb="0" eb="1">
      <t>カ</t>
    </rPh>
    <phoneticPr fontId="3"/>
  </si>
  <si>
    <t>バス貨物1.7～2.5t(メタノール)</t>
    <rPh sb="2" eb="4">
      <t>カモツ</t>
    </rPh>
    <phoneticPr fontId="3"/>
  </si>
  <si>
    <t>貨3メ</t>
    <rPh sb="0" eb="1">
      <t>カ</t>
    </rPh>
    <phoneticPr fontId="3"/>
  </si>
  <si>
    <t>バス貨物2.5～3.5t(メタノール)</t>
    <rPh sb="2" eb="4">
      <t>カモツ</t>
    </rPh>
    <phoneticPr fontId="3"/>
  </si>
  <si>
    <t>貨4メ</t>
    <rPh sb="0" eb="1">
      <t>カ</t>
    </rPh>
    <phoneticPr fontId="3"/>
  </si>
  <si>
    <t>バス貨物3.5t～(メタノール)</t>
    <rPh sb="2" eb="4">
      <t>カモツ</t>
    </rPh>
    <phoneticPr fontId="3"/>
  </si>
  <si>
    <t>CAA</t>
  </si>
  <si>
    <t>CBA</t>
  </si>
  <si>
    <t>DAA</t>
  </si>
  <si>
    <t>DBA</t>
  </si>
  <si>
    <t>乗0メ</t>
    <rPh sb="0" eb="1">
      <t>ジョウ</t>
    </rPh>
    <phoneticPr fontId="3"/>
  </si>
  <si>
    <t>乗0ガ</t>
    <rPh sb="0" eb="1">
      <t>ジョウ</t>
    </rPh>
    <phoneticPr fontId="3"/>
  </si>
  <si>
    <t>乗用(ガソリン・LPG)</t>
    <rPh sb="0" eb="2">
      <t>ジョウヨウ</t>
    </rPh>
    <phoneticPr fontId="3"/>
  </si>
  <si>
    <t>乗0軽</t>
    <rPh sb="0" eb="1">
      <t>ジョウ</t>
    </rPh>
    <rPh sb="2" eb="3">
      <t>ケイ</t>
    </rPh>
    <phoneticPr fontId="3"/>
  </si>
  <si>
    <t>CCB</t>
  </si>
  <si>
    <t>CCC</t>
  </si>
  <si>
    <t>CDB</t>
  </si>
  <si>
    <t>CDC</t>
  </si>
  <si>
    <t>DCB</t>
  </si>
  <si>
    <t>DCC</t>
  </si>
  <si>
    <t>DDB</t>
  </si>
  <si>
    <t>DDC</t>
  </si>
  <si>
    <t>乗用(軽油)</t>
    <rPh sb="0" eb="2">
      <t>ジョウヨウ</t>
    </rPh>
    <rPh sb="3" eb="5">
      <t>ケイユ</t>
    </rPh>
    <phoneticPr fontId="3"/>
  </si>
  <si>
    <t>CEA</t>
  </si>
  <si>
    <t>CFA</t>
  </si>
  <si>
    <t>DEA</t>
  </si>
  <si>
    <t>DFA</t>
  </si>
  <si>
    <t>乗0C</t>
    <rPh sb="0" eb="1">
      <t>ジョウ</t>
    </rPh>
    <phoneticPr fontId="3"/>
  </si>
  <si>
    <t>乗用(CNG)</t>
    <rPh sb="0" eb="2">
      <t>ジョウヨウ</t>
    </rPh>
    <phoneticPr fontId="3"/>
  </si>
  <si>
    <t>乗用(メタノール)</t>
    <rPh sb="0" eb="2">
      <t>ジョウヨウ</t>
    </rPh>
    <phoneticPr fontId="3"/>
  </si>
  <si>
    <t>電気自動車全て</t>
    <rPh sb="0" eb="2">
      <t>デンキ</t>
    </rPh>
    <rPh sb="2" eb="5">
      <t>ジドウシャ</t>
    </rPh>
    <rPh sb="5" eb="6">
      <t>スベ</t>
    </rPh>
    <phoneticPr fontId="3"/>
  </si>
  <si>
    <t>☆(優先),ハイブリット</t>
    <rPh sb="2" eb="4">
      <t>ユウセン</t>
    </rPh>
    <phoneticPr fontId="3"/>
  </si>
  <si>
    <t>☆☆(優先),ハイブリット</t>
    <rPh sb="3" eb="5">
      <t>ユウセン</t>
    </rPh>
    <phoneticPr fontId="3"/>
  </si>
  <si>
    <t>☆☆☆(優先),ハイブリット</t>
    <rPh sb="4" eb="6">
      <t>ユウセン</t>
    </rPh>
    <phoneticPr fontId="3"/>
  </si>
  <si>
    <t>排出量</t>
    <phoneticPr fontId="3"/>
  </si>
  <si>
    <r>
      <t>P</t>
    </r>
    <r>
      <rPr>
        <sz val="11"/>
        <rFont val="ＭＳ Ｐゴシック"/>
        <family val="3"/>
        <charset val="128"/>
      </rPr>
      <t>M排出量(kg)</t>
    </r>
    <rPh sb="2" eb="5">
      <t>ハイシュツリョウ</t>
    </rPh>
    <phoneticPr fontId="3"/>
  </si>
  <si>
    <t>ハイブリッド(軽油）</t>
    <rPh sb="7" eb="9">
      <t>ケイユ</t>
    </rPh>
    <phoneticPr fontId="3"/>
  </si>
  <si>
    <t>車種区分</t>
    <rPh sb="0" eb="2">
      <t>シャシュ</t>
    </rPh>
    <rPh sb="2" eb="4">
      <t>クブン</t>
    </rPh>
    <phoneticPr fontId="3"/>
  </si>
  <si>
    <t>重量区分</t>
    <rPh sb="0" eb="2">
      <t>ジュウリョウ</t>
    </rPh>
    <rPh sb="2" eb="4">
      <t>クブン</t>
    </rPh>
    <phoneticPr fontId="3"/>
  </si>
  <si>
    <t>燃料区分</t>
    <rPh sb="0" eb="2">
      <t>ネンリョウ</t>
    </rPh>
    <rPh sb="2" eb="4">
      <t>クブン</t>
    </rPh>
    <phoneticPr fontId="3"/>
  </si>
  <si>
    <t>NOX低減装置</t>
    <rPh sb="3" eb="5">
      <t>テイゲン</t>
    </rPh>
    <rPh sb="5" eb="7">
      <t>ソウチ</t>
    </rPh>
    <phoneticPr fontId="3"/>
  </si>
  <si>
    <t>PM低減装置</t>
    <rPh sb="2" eb="4">
      <t>テイゲン</t>
    </rPh>
    <rPh sb="4" eb="6">
      <t>ソウチ</t>
    </rPh>
    <phoneticPr fontId="3"/>
  </si>
  <si>
    <t>車両毎の排出量</t>
    <rPh sb="0" eb="2">
      <t>シャリョウ</t>
    </rPh>
    <rPh sb="2" eb="3">
      <t>ゴト</t>
    </rPh>
    <rPh sb="4" eb="7">
      <t>ハイシュツリョウ</t>
    </rPh>
    <phoneticPr fontId="3"/>
  </si>
  <si>
    <t>繊維・衣服等卸売業</t>
  </si>
  <si>
    <t>飲食良品卸売業</t>
  </si>
  <si>
    <t>建築器具卸売業</t>
  </si>
  <si>
    <t>機械器具卸売業</t>
  </si>
  <si>
    <t>その他の卸売業</t>
  </si>
  <si>
    <t>各種商品小売業</t>
  </si>
  <si>
    <t>織物・衣服・身の回り品小売業</t>
  </si>
  <si>
    <t>飲食料品小売業</t>
  </si>
  <si>
    <t>自動車・自動車小売業</t>
  </si>
  <si>
    <t>家具・じゅう器・機械器具小売業</t>
  </si>
  <si>
    <t>その他の小売業</t>
  </si>
  <si>
    <t>銀行業</t>
  </si>
  <si>
    <t>協同組織金融業</t>
  </si>
  <si>
    <t>郵便貯金取機関、政府関係金融機関</t>
  </si>
  <si>
    <t>貸金業、投資業等非預金信用機関</t>
  </si>
  <si>
    <t>証券業、商品先物取引業</t>
  </si>
  <si>
    <t>補助的金融業、金融附帯業</t>
  </si>
  <si>
    <t>保険業（保険媒介代理業、保険サービス業を含む）</t>
  </si>
  <si>
    <t>不動産取引業</t>
  </si>
  <si>
    <t>不動産賃貸業・管理業</t>
  </si>
  <si>
    <t>一般飲食店</t>
  </si>
  <si>
    <t>遊興飲食店</t>
  </si>
  <si>
    <t>宿泊業</t>
  </si>
  <si>
    <t>医療業</t>
  </si>
  <si>
    <t>保健衛生</t>
  </si>
  <si>
    <t>社会保険・社会福祉・介護事業</t>
  </si>
  <si>
    <t>学校教育</t>
  </si>
  <si>
    <t>その他の教育、学習支援業</t>
  </si>
  <si>
    <t>郵便局（別掲を除く）</t>
  </si>
  <si>
    <t>協同組合（他に分類されないもの）</t>
  </si>
  <si>
    <t>専門サービス業（他に分類されないもの）</t>
  </si>
  <si>
    <t>学術・開発研究機関</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</si>
  <si>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</si>
  <si>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</si>
  <si>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</si>
  <si>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</si>
  <si>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</si>
  <si>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</si>
  <si>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</si>
  <si>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</si>
  <si>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</si>
  <si>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</si>
  <si>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</si>
  <si>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</si>
  <si>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外国公務</t>
  </si>
  <si>
    <t>国家公務</t>
  </si>
  <si>
    <t>地方公務</t>
  </si>
  <si>
    <t>分類不能の産業</t>
  </si>
  <si>
    <t>日本標準産業分類　中分類</t>
    <rPh sb="0" eb="2">
      <t>ニホン</t>
    </rPh>
    <rPh sb="2" eb="4">
      <t>ヒョウジュン</t>
    </rPh>
    <rPh sb="4" eb="6">
      <t>サンギョウ</t>
    </rPh>
    <rPh sb="6" eb="8">
      <t>ブンルイ</t>
    </rPh>
    <rPh sb="9" eb="10">
      <t>チュウ</t>
    </rPh>
    <rPh sb="10" eb="12">
      <t>ブンルイ</t>
    </rPh>
    <phoneticPr fontId="3"/>
  </si>
  <si>
    <t>農業</t>
    <rPh sb="0" eb="2">
      <t>ノウギョウ</t>
    </rPh>
    <phoneticPr fontId="3"/>
  </si>
  <si>
    <t>繊維・衣服等卸売業</t>
    <rPh sb="0" eb="2">
      <t>センイ</t>
    </rPh>
    <rPh sb="3" eb="5">
      <t>イフク</t>
    </rPh>
    <rPh sb="5" eb="6">
      <t>トウ</t>
    </rPh>
    <rPh sb="6" eb="9">
      <t>オロシウリギョウ</t>
    </rPh>
    <phoneticPr fontId="3"/>
  </si>
  <si>
    <t>ガソリン・LPG（新☆☆☆)</t>
    <rPh sb="9" eb="10">
      <t>シン</t>
    </rPh>
    <phoneticPr fontId="3"/>
  </si>
  <si>
    <t>ガソリン・LPG（新☆☆☆☆)</t>
    <rPh sb="9" eb="10">
      <t>シン</t>
    </rPh>
    <phoneticPr fontId="3"/>
  </si>
  <si>
    <t>ガソリン・LPG（その他）</t>
    <rPh sb="11" eb="12">
      <t>タ</t>
    </rPh>
    <phoneticPr fontId="3"/>
  </si>
  <si>
    <t>ガL1</t>
    <phoneticPr fontId="3"/>
  </si>
  <si>
    <t>ガL3</t>
    <phoneticPr fontId="3"/>
  </si>
  <si>
    <t>ガL2</t>
    <phoneticPr fontId="3"/>
  </si>
  <si>
    <t>ハイブリッド</t>
    <phoneticPr fontId="3"/>
  </si>
  <si>
    <t>林業</t>
    <rPh sb="0" eb="2">
      <t>リンギョウ</t>
    </rPh>
    <phoneticPr fontId="3"/>
  </si>
  <si>
    <t>漁業</t>
    <rPh sb="0" eb="2">
      <t>ギョギョウ</t>
    </rPh>
    <phoneticPr fontId="3"/>
  </si>
  <si>
    <t>建築器具卸売業</t>
    <rPh sb="0" eb="2">
      <t>ケンチク</t>
    </rPh>
    <rPh sb="2" eb="4">
      <t>キグ</t>
    </rPh>
    <rPh sb="4" eb="7">
      <t>オロシウリギョウ</t>
    </rPh>
    <phoneticPr fontId="3"/>
  </si>
  <si>
    <t>水産養殖業</t>
    <rPh sb="0" eb="2">
      <t>スイサン</t>
    </rPh>
    <rPh sb="2" eb="5">
      <t>ヨウショクギョウ</t>
    </rPh>
    <phoneticPr fontId="3"/>
  </si>
  <si>
    <t>機械器具卸売業</t>
    <rPh sb="0" eb="2">
      <t>キカイ</t>
    </rPh>
    <rPh sb="2" eb="4">
      <t>キグ</t>
    </rPh>
    <rPh sb="4" eb="6">
      <t>オロシウ</t>
    </rPh>
    <rPh sb="6" eb="7">
      <t>ギョウ</t>
    </rPh>
    <phoneticPr fontId="3"/>
  </si>
  <si>
    <t>鉱業</t>
    <rPh sb="0" eb="2">
      <t>コウギョウ</t>
    </rPh>
    <phoneticPr fontId="3"/>
  </si>
  <si>
    <t>その他の卸売業</t>
    <rPh sb="2" eb="3">
      <t>タ</t>
    </rPh>
    <rPh sb="4" eb="6">
      <t>オロシウ</t>
    </rPh>
    <rPh sb="6" eb="7">
      <t>ギョウ</t>
    </rPh>
    <phoneticPr fontId="3"/>
  </si>
  <si>
    <t>総合工事業</t>
    <rPh sb="0" eb="2">
      <t>ソウゴウ</t>
    </rPh>
    <rPh sb="2" eb="4">
      <t>コウジ</t>
    </rPh>
    <rPh sb="4" eb="5">
      <t>ギョウ</t>
    </rPh>
    <phoneticPr fontId="3"/>
  </si>
  <si>
    <t>各種商品小売業</t>
    <rPh sb="0" eb="2">
      <t>カクシュ</t>
    </rPh>
    <rPh sb="2" eb="4">
      <t>ショウヒン</t>
    </rPh>
    <rPh sb="4" eb="7">
      <t>コウリギョウ</t>
    </rPh>
    <phoneticPr fontId="3"/>
  </si>
  <si>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3"/>
  </si>
  <si>
    <t>織物・衣服・身の回り品小売業</t>
    <rPh sb="0" eb="2">
      <t>オリモノ</t>
    </rPh>
    <rPh sb="3" eb="5">
      <t>イフク</t>
    </rPh>
    <rPh sb="6" eb="7">
      <t>ミ</t>
    </rPh>
    <rPh sb="8" eb="9">
      <t>マワ</t>
    </rPh>
    <rPh sb="10" eb="11">
      <t>ヒン</t>
    </rPh>
    <rPh sb="11" eb="14">
      <t>コウリギョウ</t>
    </rPh>
    <phoneticPr fontId="3"/>
  </si>
  <si>
    <t>設備工事業</t>
    <rPh sb="0" eb="2">
      <t>セツビ</t>
    </rPh>
    <rPh sb="2" eb="4">
      <t>コウジ</t>
    </rPh>
    <rPh sb="4" eb="5">
      <t>ギョウ</t>
    </rPh>
    <phoneticPr fontId="3"/>
  </si>
  <si>
    <t>飲食料品小売業</t>
    <rPh sb="0" eb="2">
      <t>インショク</t>
    </rPh>
    <rPh sb="2" eb="3">
      <t>ショクリョウ</t>
    </rPh>
    <rPh sb="3" eb="4">
      <t>ヒン</t>
    </rPh>
    <rPh sb="4" eb="7">
      <t>コウリギョウ</t>
    </rPh>
    <phoneticPr fontId="3"/>
  </si>
  <si>
    <t>食料品製造業</t>
    <rPh sb="0" eb="3">
      <t>ショクリョウヒン</t>
    </rPh>
    <rPh sb="3" eb="6">
      <t>セイゾウギョウ</t>
    </rPh>
    <phoneticPr fontId="3"/>
  </si>
  <si>
    <t>自動車・自動車小売業</t>
    <rPh sb="0" eb="3">
      <t>ジドウシャ</t>
    </rPh>
    <rPh sb="4" eb="7">
      <t>ジドウシャ</t>
    </rPh>
    <rPh sb="7" eb="10">
      <t>コウリギョウ</t>
    </rPh>
    <phoneticPr fontId="3"/>
  </si>
  <si>
    <t>飲料・たばこ・飼料製造業</t>
    <rPh sb="0" eb="2">
      <t>インリョウ</t>
    </rPh>
    <rPh sb="7" eb="9">
      <t>シリョウ</t>
    </rPh>
    <rPh sb="9" eb="12">
      <t>セイゾウギョウ</t>
    </rPh>
    <phoneticPr fontId="3"/>
  </si>
  <si>
    <t>家具・じゅう器・機械器具小売業</t>
    <rPh sb="0" eb="2">
      <t>カグ</t>
    </rPh>
    <rPh sb="6" eb="7">
      <t>キ</t>
    </rPh>
    <rPh sb="8" eb="10">
      <t>キカイ</t>
    </rPh>
    <rPh sb="10" eb="12">
      <t>キグ</t>
    </rPh>
    <rPh sb="12" eb="15">
      <t>コウリギョウ</t>
    </rPh>
    <phoneticPr fontId="3"/>
  </si>
  <si>
    <t>繊維工業（衣服、その他の繊維製品を除く）</t>
    <rPh sb="0" eb="2">
      <t>センイ</t>
    </rPh>
    <rPh sb="2" eb="4">
      <t>コウギョウ</t>
    </rPh>
    <rPh sb="5" eb="7">
      <t>イフク</t>
    </rPh>
    <rPh sb="8" eb="11">
      <t>ソノタ</t>
    </rPh>
    <rPh sb="12" eb="14">
      <t>センイ</t>
    </rPh>
    <rPh sb="14" eb="16">
      <t>セイヒン</t>
    </rPh>
    <rPh sb="17" eb="18">
      <t>ノゾ</t>
    </rPh>
    <phoneticPr fontId="3"/>
  </si>
  <si>
    <t>その他の小売業</t>
    <rPh sb="2" eb="3">
      <t>タ</t>
    </rPh>
    <rPh sb="4" eb="7">
      <t>コウリギョウ</t>
    </rPh>
    <phoneticPr fontId="3"/>
  </si>
  <si>
    <t>衣服・その他の繊維製品製造業</t>
    <rPh sb="0" eb="2">
      <t>イフク</t>
    </rPh>
    <rPh sb="5" eb="6">
      <t>タ</t>
    </rPh>
    <rPh sb="7" eb="9">
      <t>センイ</t>
    </rPh>
    <rPh sb="9" eb="11">
      <t>セイヒン</t>
    </rPh>
    <rPh sb="11" eb="14">
      <t>セイゾウギョウ</t>
    </rPh>
    <phoneticPr fontId="3"/>
  </si>
  <si>
    <t>銀行業</t>
    <rPh sb="0" eb="2">
      <t>ギンコウ</t>
    </rPh>
    <rPh sb="2" eb="3">
      <t>ギョウ</t>
    </rPh>
    <phoneticPr fontId="3"/>
  </si>
  <si>
    <t>木材・木製品製造業（家具を除く）</t>
    <rPh sb="0" eb="2">
      <t>モクザイ</t>
    </rPh>
    <rPh sb="3" eb="6">
      <t>モクセイヒン</t>
    </rPh>
    <rPh sb="6" eb="9">
      <t>セイゾウギョウ</t>
    </rPh>
    <rPh sb="10" eb="12">
      <t>カグ</t>
    </rPh>
    <rPh sb="13" eb="14">
      <t>ノゾ</t>
    </rPh>
    <phoneticPr fontId="3"/>
  </si>
  <si>
    <t>協同組織金融業</t>
    <rPh sb="0" eb="2">
      <t>キョウドウ</t>
    </rPh>
    <rPh sb="2" eb="4">
      <t>ソシキ</t>
    </rPh>
    <rPh sb="4" eb="7">
      <t>キンユウギョウ</t>
    </rPh>
    <phoneticPr fontId="3"/>
  </si>
  <si>
    <t>家具・装備品製造業</t>
    <rPh sb="0" eb="2">
      <t>カグ</t>
    </rPh>
    <rPh sb="3" eb="6">
      <t>ソウビヒン</t>
    </rPh>
    <rPh sb="6" eb="9">
      <t>セイゾウギョウ</t>
    </rPh>
    <phoneticPr fontId="3"/>
  </si>
  <si>
    <t>郵便貯金取機関、政府関係金融機関</t>
    <rPh sb="0" eb="2">
      <t>ユウビン</t>
    </rPh>
    <rPh sb="2" eb="4">
      <t>チョキン</t>
    </rPh>
    <rPh sb="4" eb="5">
      <t>トリアツカイ</t>
    </rPh>
    <rPh sb="5" eb="7">
      <t>キカン</t>
    </rPh>
    <rPh sb="8" eb="10">
      <t>セイフ</t>
    </rPh>
    <rPh sb="10" eb="12">
      <t>カンケイ</t>
    </rPh>
    <rPh sb="12" eb="14">
      <t>キンユウ</t>
    </rPh>
    <rPh sb="14" eb="16">
      <t>キカン</t>
    </rPh>
    <phoneticPr fontId="3"/>
  </si>
  <si>
    <t>パルプ・紙・紙加工品製造業</t>
    <rPh sb="4" eb="5">
      <t>カミ</t>
    </rPh>
    <rPh sb="6" eb="7">
      <t>カミ</t>
    </rPh>
    <rPh sb="7" eb="10">
      <t>カコウヒン</t>
    </rPh>
    <rPh sb="10" eb="13">
      <t>セイゾウギョウ</t>
    </rPh>
    <phoneticPr fontId="3"/>
  </si>
  <si>
    <t>貸金業、投資業等非預金信用機関</t>
    <rPh sb="0" eb="1">
      <t>カシキン</t>
    </rPh>
    <rPh sb="1" eb="2">
      <t>キン</t>
    </rPh>
    <rPh sb="2" eb="3">
      <t>ギョウ</t>
    </rPh>
    <rPh sb="4" eb="6">
      <t>トウシ</t>
    </rPh>
    <rPh sb="6" eb="7">
      <t>ギョウ</t>
    </rPh>
    <rPh sb="7" eb="8">
      <t>トウ</t>
    </rPh>
    <rPh sb="8" eb="9">
      <t>ヒ</t>
    </rPh>
    <rPh sb="9" eb="11">
      <t>ヨキン</t>
    </rPh>
    <rPh sb="11" eb="13">
      <t>シンヨウ</t>
    </rPh>
    <rPh sb="13" eb="15">
      <t>キカン</t>
    </rPh>
    <phoneticPr fontId="3"/>
  </si>
  <si>
    <t>印刷・同関連業</t>
    <rPh sb="0" eb="2">
      <t>インサツ</t>
    </rPh>
    <rPh sb="3" eb="4">
      <t>ドウ</t>
    </rPh>
    <rPh sb="4" eb="6">
      <t>カンレン</t>
    </rPh>
    <rPh sb="6" eb="7">
      <t>ギョウ</t>
    </rPh>
    <phoneticPr fontId="3"/>
  </si>
  <si>
    <t>証券業、商品先物取引業</t>
    <rPh sb="0" eb="3">
      <t>ショウケンギョウ</t>
    </rPh>
    <rPh sb="4" eb="6">
      <t>ショウヒン</t>
    </rPh>
    <rPh sb="6" eb="8">
      <t>サキモノ</t>
    </rPh>
    <rPh sb="8" eb="10">
      <t>トリヒキ</t>
    </rPh>
    <rPh sb="10" eb="11">
      <t>ギョウ</t>
    </rPh>
    <phoneticPr fontId="3"/>
  </si>
  <si>
    <t>化学工業</t>
    <rPh sb="0" eb="2">
      <t>カガク</t>
    </rPh>
    <rPh sb="2" eb="4">
      <t>コウギョウ</t>
    </rPh>
    <phoneticPr fontId="3"/>
  </si>
  <si>
    <t>補助的金融業、金融附帯業</t>
    <rPh sb="0" eb="3">
      <t>ホジョテキ</t>
    </rPh>
    <rPh sb="3" eb="6">
      <t>キンユウギョウ</t>
    </rPh>
    <rPh sb="7" eb="9">
      <t>キンユウ</t>
    </rPh>
    <rPh sb="9" eb="11">
      <t>フタイ</t>
    </rPh>
    <rPh sb="11" eb="12">
      <t>ギョウ</t>
    </rPh>
    <phoneticPr fontId="3"/>
  </si>
  <si>
    <t>石油製品・石炭製品製造業</t>
    <rPh sb="0" eb="2">
      <t>セキユ</t>
    </rPh>
    <rPh sb="2" eb="4">
      <t>セイヒン</t>
    </rPh>
    <rPh sb="5" eb="7">
      <t>セキタン</t>
    </rPh>
    <rPh sb="7" eb="9">
      <t>セイヒン</t>
    </rPh>
    <rPh sb="9" eb="12">
      <t>セイゾウギョウ</t>
    </rPh>
    <phoneticPr fontId="3"/>
  </si>
  <si>
    <t>保険業（保険媒介代理業、保険サービス業を含む）</t>
    <rPh sb="0" eb="2">
      <t>ホケン</t>
    </rPh>
    <rPh sb="2" eb="3">
      <t>ギョウ</t>
    </rPh>
    <rPh sb="4" eb="6">
      <t>ホケン</t>
    </rPh>
    <rPh sb="6" eb="8">
      <t>バイカイ</t>
    </rPh>
    <rPh sb="8" eb="10">
      <t>ダイリ</t>
    </rPh>
    <rPh sb="10" eb="11">
      <t>ギョウ</t>
    </rPh>
    <rPh sb="12" eb="14">
      <t>ホケン</t>
    </rPh>
    <rPh sb="18" eb="19">
      <t>ギョウ</t>
    </rPh>
    <rPh sb="20" eb="21">
      <t>フク</t>
    </rPh>
    <phoneticPr fontId="3"/>
  </si>
  <si>
    <t>プラスチック製品製造業（別掲を除く）</t>
    <rPh sb="6" eb="8">
      <t>セイヒン</t>
    </rPh>
    <rPh sb="8" eb="11">
      <t>セイゾウギョウ</t>
    </rPh>
    <rPh sb="12" eb="14">
      <t>ベッケイ</t>
    </rPh>
    <rPh sb="15" eb="16">
      <t>ノゾ</t>
    </rPh>
    <phoneticPr fontId="3"/>
  </si>
  <si>
    <t>不動産取引業</t>
    <rPh sb="0" eb="3">
      <t>フドウサン</t>
    </rPh>
    <rPh sb="3" eb="6">
      <t>トリヒキギョウ</t>
    </rPh>
    <phoneticPr fontId="3"/>
  </si>
  <si>
    <t>ゴム製品製造業</t>
    <rPh sb="2" eb="4">
      <t>セイヒン</t>
    </rPh>
    <rPh sb="4" eb="7">
      <t>セイゾウギョウ</t>
    </rPh>
    <phoneticPr fontId="3"/>
  </si>
  <si>
    <t>不動産賃貸業・管理業</t>
    <rPh sb="0" eb="3">
      <t>フドウサン</t>
    </rPh>
    <rPh sb="3" eb="6">
      <t>チンタイギョウ</t>
    </rPh>
    <rPh sb="7" eb="9">
      <t>カンリ</t>
    </rPh>
    <rPh sb="9" eb="10">
      <t>ギョウ</t>
    </rPh>
    <phoneticPr fontId="3"/>
  </si>
  <si>
    <t>なめし革・同製品・毛皮製造業</t>
    <rPh sb="3" eb="4">
      <t>カワ</t>
    </rPh>
    <rPh sb="5" eb="6">
      <t>ドウ</t>
    </rPh>
    <rPh sb="6" eb="8">
      <t>セイヒン</t>
    </rPh>
    <rPh sb="9" eb="11">
      <t>ケガワ</t>
    </rPh>
    <rPh sb="11" eb="14">
      <t>セイゾウギョウ</t>
    </rPh>
    <phoneticPr fontId="3"/>
  </si>
  <si>
    <t>一般飲食店</t>
    <rPh sb="0" eb="2">
      <t>イッパン</t>
    </rPh>
    <rPh sb="2" eb="4">
      <t>インショク</t>
    </rPh>
    <rPh sb="4" eb="5">
      <t>テン</t>
    </rPh>
    <phoneticPr fontId="3"/>
  </si>
  <si>
    <t>〒</t>
    <phoneticPr fontId="3"/>
  </si>
  <si>
    <t>－</t>
    <phoneticPr fontId="3"/>
  </si>
  <si>
    <t>燃料</t>
    <rPh sb="0" eb="2">
      <t>ネンリョウ</t>
    </rPh>
    <phoneticPr fontId="3"/>
  </si>
  <si>
    <t>(g/km,g/km/t)</t>
    <phoneticPr fontId="3"/>
  </si>
  <si>
    <t>(kg・CO2/L),CNGは(kg・CO2/m3)</t>
    <phoneticPr fontId="3"/>
  </si>
  <si>
    <t>【はじめに】</t>
    <phoneticPr fontId="3"/>
  </si>
  <si>
    <t>[セルの記載について]</t>
    <rPh sb="4" eb="6">
      <t>キサイ</t>
    </rPh>
    <phoneticPr fontId="3"/>
  </si>
  <si>
    <t>②セルによってはリストの中から選択し、入力するセルもあります。</t>
    <rPh sb="12" eb="13">
      <t>ナカ</t>
    </rPh>
    <rPh sb="15" eb="17">
      <t>センタク</t>
    </rPh>
    <rPh sb="19" eb="21">
      <t>ニュウリョク</t>
    </rPh>
    <phoneticPr fontId="3"/>
  </si>
  <si>
    <t>③車両ナンバーの記載について</t>
    <rPh sb="1" eb="3">
      <t>シャリョウ</t>
    </rPh>
    <rPh sb="8" eb="10">
      <t>キサイ</t>
    </rPh>
    <phoneticPr fontId="3"/>
  </si>
  <si>
    <t>分類番号(※2)・・・500</t>
    <rPh sb="0" eb="2">
      <t>ブンルイ</t>
    </rPh>
    <rPh sb="2" eb="4">
      <t>バンゴウ</t>
    </rPh>
    <phoneticPr fontId="3"/>
  </si>
  <si>
    <t>[セル記載上の留意事項について]</t>
    <rPh sb="3" eb="5">
      <t>キサイ</t>
    </rPh>
    <rPh sb="5" eb="6">
      <t>ジョウ</t>
    </rPh>
    <rPh sb="7" eb="9">
      <t>リュウイ</t>
    </rPh>
    <rPh sb="9" eb="11">
      <t>ジコウ</t>
    </rPh>
    <phoneticPr fontId="3"/>
  </si>
  <si>
    <t>低排出
ガス
レベル</t>
    <rPh sb="0" eb="1">
      <t>テイ</t>
    </rPh>
    <rPh sb="1" eb="3">
      <t>ハイシュツ</t>
    </rPh>
    <phoneticPr fontId="3"/>
  </si>
  <si>
    <t>☆及び
PM☆☆☆</t>
    <rPh sb="1" eb="2">
      <t>オヨ</t>
    </rPh>
    <phoneticPr fontId="3"/>
  </si>
  <si>
    <t>☆及び
PM☆☆☆☆</t>
    <rPh sb="1" eb="2">
      <t>オヨ</t>
    </rPh>
    <phoneticPr fontId="3"/>
  </si>
  <si>
    <t>☆☆及び
PM☆☆☆</t>
    <rPh sb="2" eb="3">
      <t>オヨ</t>
    </rPh>
    <phoneticPr fontId="3"/>
  </si>
  <si>
    <t>☆☆及び
PM☆☆☆☆</t>
    <rPh sb="2" eb="3">
      <t>オヨ</t>
    </rPh>
    <phoneticPr fontId="3"/>
  </si>
  <si>
    <t>☆☆☆及び
PM☆☆☆☆</t>
    <rPh sb="3" eb="4">
      <t>オヨ</t>
    </rPh>
    <phoneticPr fontId="3"/>
  </si>
  <si>
    <t>☆☆☆及び
PM☆☆☆</t>
    <rPh sb="3" eb="4">
      <t>オヨ</t>
    </rPh>
    <phoneticPr fontId="3"/>
  </si>
  <si>
    <t>新☆☆☆</t>
    <rPh sb="0" eb="1">
      <t>シン</t>
    </rPh>
    <phoneticPr fontId="3"/>
  </si>
  <si>
    <t>新☆☆☆☆</t>
    <rPh sb="0" eb="1">
      <t>シン</t>
    </rPh>
    <phoneticPr fontId="3"/>
  </si>
  <si>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3"/>
  </si>
  <si>
    <t>注）後付け装置の装着車両の扱い</t>
    <rPh sb="0" eb="1">
      <t>チュウ</t>
    </rPh>
    <rPh sb="2" eb="4">
      <t>アトヅケ</t>
    </rPh>
    <rPh sb="5" eb="7">
      <t>ソウチ</t>
    </rPh>
    <rPh sb="8" eb="10">
      <t>ソウチャク</t>
    </rPh>
    <rPh sb="10" eb="12">
      <t>シャリョウ</t>
    </rPh>
    <rPh sb="13" eb="14">
      <t>アツカ</t>
    </rPh>
    <phoneticPr fontId="3"/>
  </si>
  <si>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3"/>
  </si>
  <si>
    <t>ディーゼル乗用車</t>
    <rPh sb="5" eb="8">
      <t>ジョウヨウシャ</t>
    </rPh>
    <phoneticPr fontId="3"/>
  </si>
  <si>
    <t>バス・トラック等</t>
    <rPh sb="7" eb="8">
      <t>トウ</t>
    </rPh>
    <phoneticPr fontId="3"/>
  </si>
  <si>
    <r>
      <t>（２）</t>
    </r>
    <r>
      <rPr>
        <sz val="11"/>
        <rFont val="ＭＳ Ｐゴシック"/>
        <family val="3"/>
        <charset val="128"/>
      </rPr>
      <t>PM低減装置の装着車両</t>
    </r>
    <rPh sb="5" eb="7">
      <t>テイゲン</t>
    </rPh>
    <rPh sb="7" eb="9">
      <t>ソウチ</t>
    </rPh>
    <rPh sb="10" eb="12">
      <t>ソウチャク</t>
    </rPh>
    <rPh sb="12" eb="14">
      <t>シャリョウ</t>
    </rPh>
    <phoneticPr fontId="3"/>
  </si>
  <si>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3"/>
  </si>
  <si>
    <t>バス・トラック等ディーゼル車</t>
    <rPh sb="7" eb="8">
      <t>トウ</t>
    </rPh>
    <rPh sb="13" eb="14">
      <t>シャ</t>
    </rPh>
    <phoneticPr fontId="3"/>
  </si>
  <si>
    <t>小型貨物</t>
    <rPh sb="0" eb="2">
      <t>コガタ</t>
    </rPh>
    <rPh sb="2" eb="4">
      <t>カモツ</t>
    </rPh>
    <phoneticPr fontId="3"/>
  </si>
  <si>
    <t>ナンバー識別</t>
    <rPh sb="4" eb="6">
      <t>シキベツ</t>
    </rPh>
    <phoneticPr fontId="3"/>
  </si>
  <si>
    <t>乗用</t>
    <rPh sb="0" eb="2">
      <t>ジョウヨウ</t>
    </rPh>
    <phoneticPr fontId="3"/>
  </si>
  <si>
    <t>車種識別</t>
    <rPh sb="0" eb="2">
      <t>シャシュ</t>
    </rPh>
    <rPh sb="2" eb="4">
      <t>シキベツ</t>
    </rPh>
    <phoneticPr fontId="3"/>
  </si>
  <si>
    <t>A1</t>
    <phoneticPr fontId="3"/>
  </si>
  <si>
    <t>判定</t>
    <rPh sb="0" eb="2">
      <t>ハンテイ</t>
    </rPh>
    <phoneticPr fontId="3"/>
  </si>
  <si>
    <t>窯業・土石製品製造業</t>
    <rPh sb="0" eb="2">
      <t>ヨウギョウ</t>
    </rPh>
    <rPh sb="3" eb="5">
      <t>ドセキ</t>
    </rPh>
    <rPh sb="5" eb="7">
      <t>セイヒン</t>
    </rPh>
    <rPh sb="7" eb="10">
      <t>セイゾウギョウ</t>
    </rPh>
    <phoneticPr fontId="3"/>
  </si>
  <si>
    <t>遊興飲食店</t>
    <rPh sb="0" eb="2">
      <t>ユウキョウ</t>
    </rPh>
    <rPh sb="2" eb="4">
      <t>インショク</t>
    </rPh>
    <rPh sb="4" eb="5">
      <t>テン</t>
    </rPh>
    <phoneticPr fontId="3"/>
  </si>
  <si>
    <t>鉄鋼業</t>
    <rPh sb="0" eb="2">
      <t>テッコウ</t>
    </rPh>
    <rPh sb="2" eb="3">
      <t>ギョウ</t>
    </rPh>
    <phoneticPr fontId="3"/>
  </si>
  <si>
    <t>宿泊業</t>
    <rPh sb="0" eb="2">
      <t>シュクハク</t>
    </rPh>
    <rPh sb="2" eb="3">
      <t>ギョウ</t>
    </rPh>
    <phoneticPr fontId="3"/>
  </si>
  <si>
    <t>非鉄金属製造業</t>
    <rPh sb="0" eb="2">
      <t>ヒテツ</t>
    </rPh>
    <rPh sb="2" eb="4">
      <t>キンゾク</t>
    </rPh>
    <rPh sb="4" eb="7">
      <t>セイゾウギョウ</t>
    </rPh>
    <phoneticPr fontId="3"/>
  </si>
  <si>
    <t>医療業</t>
    <rPh sb="0" eb="2">
      <t>イリョウ</t>
    </rPh>
    <rPh sb="2" eb="3">
      <t>ギョウ</t>
    </rPh>
    <phoneticPr fontId="3"/>
  </si>
  <si>
    <t>金属製品製造業</t>
    <rPh sb="0" eb="2">
      <t>キンゾク</t>
    </rPh>
    <rPh sb="2" eb="4">
      <t>セイヒン</t>
    </rPh>
    <rPh sb="4" eb="7">
      <t>セイゾウギョウ</t>
    </rPh>
    <phoneticPr fontId="3"/>
  </si>
  <si>
    <t>保健衛生</t>
    <rPh sb="0" eb="2">
      <t>ホケン</t>
    </rPh>
    <rPh sb="2" eb="4">
      <t>エイセイ</t>
    </rPh>
    <phoneticPr fontId="3"/>
  </si>
  <si>
    <t>一般機械器具製造業</t>
    <rPh sb="0" eb="2">
      <t>イッパン</t>
    </rPh>
    <rPh sb="2" eb="4">
      <t>キカイ</t>
    </rPh>
    <rPh sb="4" eb="6">
      <t>キグ</t>
    </rPh>
    <rPh sb="6" eb="9">
      <t>セイゾウギョウ</t>
    </rPh>
    <phoneticPr fontId="3"/>
  </si>
  <si>
    <t>社会保険・社会福祉・介護事業</t>
    <rPh sb="0" eb="2">
      <t>シャカイ</t>
    </rPh>
    <rPh sb="2" eb="4">
      <t>ホケン</t>
    </rPh>
    <rPh sb="5" eb="7">
      <t>シャカイ</t>
    </rPh>
    <rPh sb="7" eb="9">
      <t>フクシ</t>
    </rPh>
    <rPh sb="10" eb="12">
      <t>カイゴ</t>
    </rPh>
    <rPh sb="12" eb="14">
      <t>ジギョウ</t>
    </rPh>
    <phoneticPr fontId="3"/>
  </si>
  <si>
    <t>電気機械器具製造業</t>
    <rPh sb="0" eb="2">
      <t>デンキ</t>
    </rPh>
    <rPh sb="2" eb="4">
      <t>キカイ</t>
    </rPh>
    <rPh sb="4" eb="6">
      <t>キグ</t>
    </rPh>
    <rPh sb="6" eb="9">
      <t>セイゾウギョウ</t>
    </rPh>
    <phoneticPr fontId="3"/>
  </si>
  <si>
    <t>学校教育</t>
    <rPh sb="0" eb="2">
      <t>ガッコウ</t>
    </rPh>
    <rPh sb="2" eb="4">
      <t>キョウイク</t>
    </rPh>
    <phoneticPr fontId="3"/>
  </si>
  <si>
    <t>情報通信機械器具製造業</t>
    <rPh sb="0" eb="2">
      <t>ジョウホウ</t>
    </rPh>
    <rPh sb="2" eb="4">
      <t>ツウシン</t>
    </rPh>
    <rPh sb="4" eb="6">
      <t>キカイ</t>
    </rPh>
    <rPh sb="6" eb="8">
      <t>キグ</t>
    </rPh>
    <rPh sb="8" eb="11">
      <t>セイゾウギョウ</t>
    </rPh>
    <phoneticPr fontId="3"/>
  </si>
  <si>
    <t>その他の教育、学習支援業</t>
    <rPh sb="2" eb="3">
      <t>タ</t>
    </rPh>
    <rPh sb="4" eb="6">
      <t>キョウイク</t>
    </rPh>
    <rPh sb="7" eb="9">
      <t>ガクシュウ</t>
    </rPh>
    <rPh sb="9" eb="11">
      <t>シエン</t>
    </rPh>
    <rPh sb="11" eb="12">
      <t>ギョウ</t>
    </rPh>
    <phoneticPr fontId="3"/>
  </si>
  <si>
    <t>電子部品・デバイス製造業</t>
    <rPh sb="0" eb="2">
      <t>デンシ</t>
    </rPh>
    <rPh sb="2" eb="4">
      <t>ブヒン</t>
    </rPh>
    <rPh sb="9" eb="12">
      <t>セイゾウギョウ</t>
    </rPh>
    <phoneticPr fontId="3"/>
  </si>
  <si>
    <t>郵便局（別掲を除く）</t>
    <rPh sb="0" eb="3">
      <t>ユウビンキョク</t>
    </rPh>
    <rPh sb="4" eb="6">
      <t>ベッケイ</t>
    </rPh>
    <rPh sb="7" eb="8">
      <t>ノゾ</t>
    </rPh>
    <phoneticPr fontId="3"/>
  </si>
  <si>
    <t>輸送用機械器具製造業</t>
    <rPh sb="0" eb="3">
      <t>ユソウヨウ</t>
    </rPh>
    <rPh sb="3" eb="5">
      <t>キカイ</t>
    </rPh>
    <rPh sb="5" eb="7">
      <t>キグ</t>
    </rPh>
    <rPh sb="7" eb="10">
      <t>セイゾウギョウ</t>
    </rPh>
    <phoneticPr fontId="3"/>
  </si>
  <si>
    <t>協同組合（他に分類されないもの）</t>
    <rPh sb="0" eb="2">
      <t>キョウドウ</t>
    </rPh>
    <rPh sb="2" eb="4">
      <t>クミアイ</t>
    </rPh>
    <rPh sb="5" eb="6">
      <t>タ</t>
    </rPh>
    <rPh sb="7" eb="9">
      <t>ブンルイ</t>
    </rPh>
    <phoneticPr fontId="3"/>
  </si>
  <si>
    <t>精密機械器具製造業</t>
    <rPh sb="0" eb="2">
      <t>セイミツ</t>
    </rPh>
    <rPh sb="2" eb="4">
      <t>キカイ</t>
    </rPh>
    <rPh sb="4" eb="6">
      <t>キグ</t>
    </rPh>
    <rPh sb="6" eb="9">
      <t>セイゾウギョウ</t>
    </rPh>
    <phoneticPr fontId="3"/>
  </si>
  <si>
    <t>専門サービス業（他に分類されないもの）</t>
    <rPh sb="0" eb="2">
      <t>センモン</t>
    </rPh>
    <rPh sb="6" eb="7">
      <t>ギョウ</t>
    </rPh>
    <rPh sb="8" eb="9">
      <t>タ</t>
    </rPh>
    <rPh sb="10" eb="16">
      <t>ブンルイサレナイモノ</t>
    </rPh>
    <phoneticPr fontId="3"/>
  </si>
  <si>
    <t>その他の製造業</t>
    <rPh sb="2" eb="3">
      <t>タ</t>
    </rPh>
    <rPh sb="4" eb="7">
      <t>セイゾウギョウ</t>
    </rPh>
    <phoneticPr fontId="3"/>
  </si>
  <si>
    <t>学術・開発研究機関</t>
    <rPh sb="0" eb="2">
      <t>ガクジュツ</t>
    </rPh>
    <rPh sb="3" eb="5">
      <t>カイハツ</t>
    </rPh>
    <rPh sb="5" eb="7">
      <t>ケンキュウ</t>
    </rPh>
    <rPh sb="7" eb="9">
      <t>キカン</t>
    </rPh>
    <phoneticPr fontId="3"/>
  </si>
  <si>
    <t>電気業</t>
    <rPh sb="0" eb="2">
      <t>デンキ</t>
    </rPh>
    <rPh sb="2" eb="3">
      <t>ギョウ</t>
    </rPh>
    <phoneticPr fontId="3"/>
  </si>
  <si>
    <t>洗濯・理容・美容・浴場業</t>
    <rPh sb="0" eb="2">
      <t>センタク</t>
    </rPh>
    <rPh sb="3" eb="5">
      <t>リヨウ</t>
    </rPh>
    <rPh sb="6" eb="8">
      <t>ビヨウ</t>
    </rPh>
    <rPh sb="9" eb="11">
      <t>ヨクジョウ</t>
    </rPh>
    <rPh sb="11" eb="12">
      <t>ギョウ</t>
    </rPh>
    <phoneticPr fontId="3"/>
  </si>
  <si>
    <t>ガス業</t>
    <rPh sb="2" eb="3">
      <t>ギョウ</t>
    </rPh>
    <phoneticPr fontId="3"/>
  </si>
  <si>
    <t>その他の生活関連サービス業</t>
    <rPh sb="0" eb="3">
      <t>ソノタ</t>
    </rPh>
    <rPh sb="4" eb="6">
      <t>セイカツ</t>
    </rPh>
    <rPh sb="6" eb="8">
      <t>カンレン</t>
    </rPh>
    <rPh sb="12" eb="13">
      <t>ギョウ</t>
    </rPh>
    <phoneticPr fontId="3"/>
  </si>
  <si>
    <t>熱供給業</t>
    <rPh sb="0" eb="1">
      <t>ネツ</t>
    </rPh>
    <rPh sb="1" eb="3">
      <t>キョウキュウ</t>
    </rPh>
    <rPh sb="3" eb="4">
      <t>ギョウ</t>
    </rPh>
    <phoneticPr fontId="3"/>
  </si>
  <si>
    <t>娯楽業</t>
    <rPh sb="0" eb="2">
      <t>ゴラク</t>
    </rPh>
    <rPh sb="2" eb="3">
      <t>ギョウ</t>
    </rPh>
    <phoneticPr fontId="3"/>
  </si>
  <si>
    <t>水道業</t>
    <rPh sb="0" eb="3">
      <t>スイドウギョウ</t>
    </rPh>
    <phoneticPr fontId="3"/>
  </si>
  <si>
    <t>廃棄物処理業</t>
    <rPh sb="0" eb="3">
      <t>ハイキブツ</t>
    </rPh>
    <rPh sb="3" eb="5">
      <t>ショリ</t>
    </rPh>
    <rPh sb="5" eb="6">
      <t>ギョウ</t>
    </rPh>
    <phoneticPr fontId="3"/>
  </si>
  <si>
    <t>通信業</t>
    <rPh sb="0" eb="3">
      <t>ツウシンギョウ</t>
    </rPh>
    <phoneticPr fontId="3"/>
  </si>
  <si>
    <t>自動車整備業</t>
    <rPh sb="0" eb="3">
      <t>ジドウシャ</t>
    </rPh>
    <rPh sb="3" eb="5">
      <t>セイビ</t>
    </rPh>
    <rPh sb="5" eb="6">
      <t>ギョウ</t>
    </rPh>
    <phoneticPr fontId="3"/>
  </si>
  <si>
    <t>放送業</t>
    <rPh sb="0" eb="3">
      <t>ホウソウギョウ</t>
    </rPh>
    <phoneticPr fontId="3"/>
  </si>
  <si>
    <t>機械等修理業（別掲を除く）</t>
    <rPh sb="0" eb="2">
      <t>キカイ</t>
    </rPh>
    <rPh sb="2" eb="3">
      <t>トウ</t>
    </rPh>
    <rPh sb="3" eb="5">
      <t>シュウリ</t>
    </rPh>
    <rPh sb="5" eb="6">
      <t>ギョウ</t>
    </rPh>
    <rPh sb="7" eb="9">
      <t>ベッケイ</t>
    </rPh>
    <rPh sb="10" eb="11">
      <t>ノゾ</t>
    </rPh>
    <phoneticPr fontId="3"/>
  </si>
  <si>
    <t>情報サービス業</t>
    <rPh sb="0" eb="2">
      <t>ジョウホウ</t>
    </rPh>
    <rPh sb="6" eb="7">
      <t>ギョウ</t>
    </rPh>
    <phoneticPr fontId="3"/>
  </si>
  <si>
    <t>物品賃貸業</t>
    <rPh sb="0" eb="2">
      <t>ブッピン</t>
    </rPh>
    <rPh sb="2" eb="5">
      <t>チンタイギョウ</t>
    </rPh>
    <phoneticPr fontId="3"/>
  </si>
  <si>
    <t>インターネット附随サービス業</t>
    <rPh sb="7" eb="9">
      <t>フズイ</t>
    </rPh>
    <rPh sb="13" eb="14">
      <t>ギョウ</t>
    </rPh>
    <phoneticPr fontId="3"/>
  </si>
  <si>
    <t>広告業</t>
    <rPh sb="0" eb="2">
      <t>コウコク</t>
    </rPh>
    <rPh sb="2" eb="3">
      <t>ギョウ</t>
    </rPh>
    <phoneticPr fontId="3"/>
  </si>
  <si>
    <t>映像・音声・文字情報制作業</t>
    <rPh sb="0" eb="2">
      <t>エイゾウ</t>
    </rPh>
    <rPh sb="3" eb="5">
      <t>オンセイ</t>
    </rPh>
    <rPh sb="6" eb="8">
      <t>モジ</t>
    </rPh>
    <rPh sb="8" eb="10">
      <t>ジョウホウ</t>
    </rPh>
    <rPh sb="10" eb="11">
      <t>セイサク</t>
    </rPh>
    <rPh sb="11" eb="13">
      <t>サギョウ</t>
    </rPh>
    <phoneticPr fontId="3"/>
  </si>
  <si>
    <t>その他の事業サービス業</t>
    <rPh sb="2" eb="3">
      <t>タ</t>
    </rPh>
    <rPh sb="4" eb="6">
      <t>ジギョウ</t>
    </rPh>
    <rPh sb="10" eb="11">
      <t>ギョウ</t>
    </rPh>
    <phoneticPr fontId="3"/>
  </si>
  <si>
    <t>鉄道業</t>
    <rPh sb="0" eb="3">
      <t>テツドウギョウ</t>
    </rPh>
    <phoneticPr fontId="3"/>
  </si>
  <si>
    <t>政治・経済・文化団体</t>
    <rPh sb="0" eb="2">
      <t>セイジ</t>
    </rPh>
    <rPh sb="3" eb="5">
      <t>ケイザイ</t>
    </rPh>
    <rPh sb="6" eb="8">
      <t>ブンカ</t>
    </rPh>
    <rPh sb="8" eb="10">
      <t>ダンタイ</t>
    </rPh>
    <phoneticPr fontId="3"/>
  </si>
  <si>
    <t>道路旅客運送業</t>
    <rPh sb="0" eb="2">
      <t>ドウロ</t>
    </rPh>
    <rPh sb="2" eb="4">
      <t>リョカク</t>
    </rPh>
    <rPh sb="4" eb="7">
      <t>ウンソウギョウ</t>
    </rPh>
    <phoneticPr fontId="3"/>
  </si>
  <si>
    <t>宗教</t>
    <rPh sb="0" eb="2">
      <t>シュウキョウ</t>
    </rPh>
    <phoneticPr fontId="3"/>
  </si>
  <si>
    <t>道路貨物運送業</t>
    <rPh sb="0" eb="2">
      <t>ドウロ</t>
    </rPh>
    <rPh sb="2" eb="4">
      <t>カモツ</t>
    </rPh>
    <rPh sb="4" eb="7">
      <t>ウンソウギョウ</t>
    </rPh>
    <phoneticPr fontId="3"/>
  </si>
  <si>
    <t>その他のサービス業</t>
    <rPh sb="2" eb="3">
      <t>タ</t>
    </rPh>
    <rPh sb="8" eb="9">
      <t>ギョウ</t>
    </rPh>
    <phoneticPr fontId="3"/>
  </si>
  <si>
    <t>水運業</t>
    <rPh sb="0" eb="2">
      <t>スイウン</t>
    </rPh>
    <rPh sb="2" eb="3">
      <t>ギョウ</t>
    </rPh>
    <phoneticPr fontId="3"/>
  </si>
  <si>
    <t>外国公務</t>
    <rPh sb="0" eb="2">
      <t>ガイコク</t>
    </rPh>
    <rPh sb="2" eb="4">
      <t>コウム</t>
    </rPh>
    <phoneticPr fontId="3"/>
  </si>
  <si>
    <t>航空運輸業</t>
    <rPh sb="0" eb="2">
      <t>コウクウ</t>
    </rPh>
    <rPh sb="2" eb="5">
      <t>ウンユギョウ</t>
    </rPh>
    <phoneticPr fontId="3"/>
  </si>
  <si>
    <t>国家公務</t>
    <rPh sb="0" eb="2">
      <t>コッカ</t>
    </rPh>
    <rPh sb="2" eb="4">
      <t>コウム</t>
    </rPh>
    <phoneticPr fontId="3"/>
  </si>
  <si>
    <t>倉庫業</t>
    <rPh sb="0" eb="2">
      <t>ソウコ</t>
    </rPh>
    <rPh sb="2" eb="3">
      <t>ギョウ</t>
    </rPh>
    <phoneticPr fontId="3"/>
  </si>
  <si>
    <t>地方公務</t>
    <rPh sb="0" eb="2">
      <t>チホウ</t>
    </rPh>
    <rPh sb="2" eb="4">
      <t>コウム</t>
    </rPh>
    <phoneticPr fontId="3"/>
  </si>
  <si>
    <t>運輸に附帯するサービス業</t>
    <rPh sb="0" eb="2">
      <t>ウンユ</t>
    </rPh>
    <rPh sb="3" eb="5">
      <t>フタイ</t>
    </rPh>
    <rPh sb="11" eb="12">
      <t>ギョウ</t>
    </rPh>
    <phoneticPr fontId="3"/>
  </si>
  <si>
    <t>分類不能の産業</t>
    <rPh sb="0" eb="2">
      <t>ブンルイ</t>
    </rPh>
    <rPh sb="2" eb="4">
      <t>フノウ</t>
    </rPh>
    <rPh sb="5" eb="7">
      <t>サンギョウ</t>
    </rPh>
    <phoneticPr fontId="3"/>
  </si>
  <si>
    <t>各種商品卸売業</t>
    <rPh sb="0" eb="2">
      <t>カクシュ</t>
    </rPh>
    <rPh sb="2" eb="4">
      <t>ショウヒン</t>
    </rPh>
    <rPh sb="4" eb="7">
      <t>オロシウリギョウ</t>
    </rPh>
    <phoneticPr fontId="3"/>
  </si>
  <si>
    <t xml:space="preserve">  電　話</t>
    <rPh sb="2" eb="5">
      <t>デンワ</t>
    </rPh>
    <phoneticPr fontId="3"/>
  </si>
  <si>
    <t>特定事業者の氏名又は名称</t>
  </si>
  <si>
    <t>使用する特定自動車の台数</t>
  </si>
  <si>
    <t>人</t>
  </si>
  <si>
    <t>住　所</t>
    <rPh sb="0" eb="3">
      <t>ジュウショ</t>
    </rPh>
    <phoneticPr fontId="3"/>
  </si>
  <si>
    <t>氏　名</t>
    <rPh sb="0" eb="3">
      <t>シメイ</t>
    </rPh>
    <phoneticPr fontId="3"/>
  </si>
  <si>
    <t>台</t>
    <rPh sb="0" eb="1">
      <t>ダイ</t>
    </rPh>
    <phoneticPr fontId="3"/>
  </si>
  <si>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3"/>
  </si>
  <si>
    <t>軽新長</t>
    <rPh sb="0" eb="1">
      <t>ケイ</t>
    </rPh>
    <rPh sb="1" eb="2">
      <t>シン</t>
    </rPh>
    <rPh sb="2" eb="3">
      <t>チョウ</t>
    </rPh>
    <phoneticPr fontId="3"/>
  </si>
  <si>
    <t>特定自動車代替計画、排出ガス低減装置装着計画</t>
    <rPh sb="0" eb="2">
      <t>トクテイ</t>
    </rPh>
    <rPh sb="7" eb="9">
      <t>ケイカク</t>
    </rPh>
    <rPh sb="10" eb="12">
      <t>ハイシュツ</t>
    </rPh>
    <rPh sb="14" eb="16">
      <t>テイゲン</t>
    </rPh>
    <rPh sb="16" eb="18">
      <t>ソウチ</t>
    </rPh>
    <rPh sb="18" eb="20">
      <t>ソウチャク</t>
    </rPh>
    <rPh sb="20" eb="22">
      <t>ケイカク</t>
    </rPh>
    <phoneticPr fontId="3"/>
  </si>
  <si>
    <t>現状の台数</t>
    <phoneticPr fontId="3"/>
  </si>
  <si>
    <t>減少台数</t>
    <rPh sb="0" eb="2">
      <t>ゲンショウ</t>
    </rPh>
    <rPh sb="2" eb="4">
      <t>ダイスウ</t>
    </rPh>
    <phoneticPr fontId="3"/>
  </si>
  <si>
    <t>うち排出ガス低減装置装着車の合計</t>
    <rPh sb="2" eb="4">
      <t>ハイシュツ</t>
    </rPh>
    <rPh sb="6" eb="8">
      <t>テイゲン</t>
    </rPh>
    <rPh sb="8" eb="10">
      <t>ソウチ</t>
    </rPh>
    <rPh sb="10" eb="12">
      <t>ソウチャク</t>
    </rPh>
    <rPh sb="12" eb="13">
      <t>シャ</t>
    </rPh>
    <phoneticPr fontId="3"/>
  </si>
  <si>
    <t>現在</t>
    <rPh sb="0" eb="2">
      <t>ゲンザイ</t>
    </rPh>
    <phoneticPr fontId="3"/>
  </si>
  <si>
    <t>C</t>
    <phoneticPr fontId="3"/>
  </si>
  <si>
    <t>PM</t>
    <phoneticPr fontId="3"/>
  </si>
  <si>
    <r>
      <t>N</t>
    </r>
    <r>
      <rPr>
        <sz val="11"/>
        <rFont val="ＭＳ Ｐゴシック"/>
        <family val="3"/>
        <charset val="128"/>
      </rPr>
      <t>AE</t>
    </r>
    <phoneticPr fontId="3"/>
  </si>
  <si>
    <r>
      <t>N</t>
    </r>
    <r>
      <rPr>
        <sz val="11"/>
        <rFont val="ＭＳ Ｐゴシック"/>
        <family val="3"/>
        <charset val="128"/>
      </rPr>
      <t>BE</t>
    </r>
    <phoneticPr fontId="3"/>
  </si>
  <si>
    <r>
      <t>1</t>
    </r>
    <r>
      <rPr>
        <sz val="11"/>
        <rFont val="ＭＳ Ｐゴシック"/>
        <family val="3"/>
        <charset val="128"/>
      </rPr>
      <t>.7～2.5t</t>
    </r>
    <phoneticPr fontId="3"/>
  </si>
  <si>
    <r>
      <t>N</t>
    </r>
    <r>
      <rPr>
        <sz val="11"/>
        <rFont val="ＭＳ Ｐゴシック"/>
        <family val="3"/>
        <charset val="128"/>
      </rPr>
      <t>AF</t>
    </r>
    <phoneticPr fontId="3"/>
  </si>
  <si>
    <r>
      <t>N</t>
    </r>
    <r>
      <rPr>
        <sz val="11"/>
        <rFont val="ＭＳ Ｐゴシック"/>
        <family val="3"/>
        <charset val="128"/>
      </rPr>
      <t>BF</t>
    </r>
    <phoneticPr fontId="3"/>
  </si>
  <si>
    <r>
      <t>N</t>
    </r>
    <r>
      <rPr>
        <sz val="11"/>
        <rFont val="ＭＳ Ｐゴシック"/>
        <family val="3"/>
        <charset val="128"/>
      </rPr>
      <t>AG</t>
    </r>
    <phoneticPr fontId="3"/>
  </si>
  <si>
    <r>
      <t>N</t>
    </r>
    <r>
      <rPr>
        <sz val="11"/>
        <rFont val="ＭＳ Ｐゴシック"/>
        <family val="3"/>
        <charset val="128"/>
      </rPr>
      <t>BG</t>
    </r>
    <phoneticPr fontId="3"/>
  </si>
  <si>
    <r>
      <t>L</t>
    </r>
    <r>
      <rPr>
        <sz val="11"/>
        <rFont val="ＭＳ Ｐゴシック"/>
        <family val="3"/>
        <charset val="128"/>
      </rPr>
      <t>PG</t>
    </r>
    <phoneticPr fontId="3"/>
  </si>
  <si>
    <t>1.7～2.5t</t>
    <phoneticPr fontId="3"/>
  </si>
  <si>
    <t>PM☆☆☆</t>
    <phoneticPr fontId="3"/>
  </si>
  <si>
    <t>PM☆☆☆☆</t>
    <phoneticPr fontId="3"/>
  </si>
  <si>
    <t>QDG</t>
  </si>
  <si>
    <t>QKG</t>
  </si>
  <si>
    <t>QPG</t>
  </si>
  <si>
    <t>QRG</t>
  </si>
  <si>
    <t>QCG</t>
  </si>
  <si>
    <t>QJG</t>
  </si>
  <si>
    <t>QNG</t>
  </si>
  <si>
    <t>QQG</t>
  </si>
  <si>
    <r>
      <t>C</t>
    </r>
    <r>
      <rPr>
        <sz val="11"/>
        <rFont val="ＭＳ Ｐゴシック"/>
        <family val="3"/>
        <charset val="128"/>
      </rPr>
      <t>NG</t>
    </r>
    <phoneticPr fontId="3"/>
  </si>
  <si>
    <t>QFG</t>
  </si>
  <si>
    <t>QEG</t>
  </si>
  <si>
    <r>
      <t>D</t>
    </r>
    <r>
      <rPr>
        <sz val="11"/>
        <rFont val="ＭＳ Ｐゴシック"/>
        <family val="3"/>
        <charset val="128"/>
      </rPr>
      <t>LA</t>
    </r>
    <phoneticPr fontId="3"/>
  </si>
  <si>
    <r>
      <t>H</t>
    </r>
    <r>
      <rPr>
        <sz val="11"/>
        <rFont val="ＭＳ Ｐゴシック"/>
        <family val="3"/>
        <charset val="128"/>
      </rPr>
      <t>21</t>
    </r>
    <phoneticPr fontId="3"/>
  </si>
  <si>
    <t>貨4軽QDG</t>
  </si>
  <si>
    <t>貨4軽QKG</t>
  </si>
  <si>
    <t>貨4軽QPG</t>
  </si>
  <si>
    <t>貨4軽QRG</t>
  </si>
  <si>
    <t>貨4軽QCG</t>
  </si>
  <si>
    <t>貨4軽QJG</t>
  </si>
  <si>
    <t>貨4軽QNG</t>
  </si>
  <si>
    <t>貨4軽QQG</t>
  </si>
  <si>
    <t>貨4CQFG</t>
  </si>
  <si>
    <t>貨4CQEG</t>
  </si>
  <si>
    <t>H21</t>
  </si>
  <si>
    <t>新☆☆☆(優先),ハイブリット</t>
    <rPh sb="0" eb="1">
      <t>シン</t>
    </rPh>
    <rPh sb="5" eb="7">
      <t>ユウセン</t>
    </rPh>
    <phoneticPr fontId="3"/>
  </si>
  <si>
    <t>新☆☆☆☆(優先),ハイブリット</t>
    <rPh sb="0" eb="1">
      <t>シン</t>
    </rPh>
    <rPh sb="6" eb="8">
      <t>ユウセン</t>
    </rPh>
    <phoneticPr fontId="3"/>
  </si>
  <si>
    <t>新☆☆☆（優先）,ハイブリット</t>
    <rPh sb="0" eb="1">
      <t>シン</t>
    </rPh>
    <rPh sb="5" eb="7">
      <t>ユウセン</t>
    </rPh>
    <phoneticPr fontId="3"/>
  </si>
  <si>
    <t>新☆☆☆☆（優先）,ハイブリット</t>
    <rPh sb="0" eb="1">
      <t>シン</t>
    </rPh>
    <rPh sb="6" eb="8">
      <t>ユウセン</t>
    </rPh>
    <phoneticPr fontId="3"/>
  </si>
  <si>
    <t>プラグインハイブリッド</t>
    <phoneticPr fontId="3"/>
  </si>
  <si>
    <t>保有台数
（　　年度末）</t>
    <rPh sb="0" eb="2">
      <t>ホユウ</t>
    </rPh>
    <rPh sb="2" eb="4">
      <t>ダイスウ</t>
    </rPh>
    <rPh sb="8" eb="10">
      <t>ネンド</t>
    </rPh>
    <rPh sb="10" eb="11">
      <t>マツ</t>
    </rPh>
    <phoneticPr fontId="3"/>
  </si>
  <si>
    <t>新☆☆☆☆(優先）,ハイブリット</t>
    <rPh sb="0" eb="1">
      <t>シン</t>
    </rPh>
    <rPh sb="6" eb="8">
      <t>ユウセン</t>
    </rPh>
    <phoneticPr fontId="3"/>
  </si>
  <si>
    <t>H22</t>
  </si>
  <si>
    <t>新☆☆☆(優先）,ハイブリット</t>
    <rPh sb="0" eb="1">
      <t>シン</t>
    </rPh>
    <rPh sb="5" eb="7">
      <t>ユウセン</t>
    </rPh>
    <phoneticPr fontId="3"/>
  </si>
  <si>
    <t>新☆☆☆,ハイブリット</t>
    <rPh sb="0" eb="1">
      <t>シン</t>
    </rPh>
    <phoneticPr fontId="3"/>
  </si>
  <si>
    <t>新☆☆☆☆,ハイブリット</t>
    <rPh sb="0" eb="1">
      <t>シン</t>
    </rPh>
    <phoneticPr fontId="3"/>
  </si>
  <si>
    <t>3.5t～</t>
  </si>
  <si>
    <t>2.5～3.5t</t>
  </si>
  <si>
    <t>1.7～2.5t</t>
  </si>
  <si>
    <t>～1.7t</t>
  </si>
  <si>
    <t>新☆</t>
    <rPh sb="0" eb="1">
      <t>シン</t>
    </rPh>
    <phoneticPr fontId="3"/>
  </si>
  <si>
    <t>新☆
（新長期）</t>
    <rPh sb="0" eb="1">
      <t>シン</t>
    </rPh>
    <rPh sb="4" eb="5">
      <t>シン</t>
    </rPh>
    <rPh sb="5" eb="7">
      <t>チョウキ</t>
    </rPh>
    <phoneticPr fontId="3"/>
  </si>
  <si>
    <t>☆(優先）、ハイブリット</t>
    <rPh sb="2" eb="4">
      <t>ユウセン</t>
    </rPh>
    <phoneticPr fontId="3"/>
  </si>
  <si>
    <t>新PM☆</t>
    <rPh sb="0" eb="1">
      <t>シン</t>
    </rPh>
    <phoneticPr fontId="3"/>
  </si>
  <si>
    <t>新☆(優先）、ハイブリット</t>
    <rPh sb="0" eb="1">
      <t>シン</t>
    </rPh>
    <rPh sb="3" eb="5">
      <t>ユウセン</t>
    </rPh>
    <phoneticPr fontId="3"/>
  </si>
  <si>
    <t>新PM☆(優先）、ハイブリット</t>
    <rPh sb="0" eb="1">
      <t>シン</t>
    </rPh>
    <rPh sb="5" eb="7">
      <t>ユウセン</t>
    </rPh>
    <phoneticPr fontId="3"/>
  </si>
  <si>
    <t>新☆（優先）、ハイブリット</t>
    <rPh sb="0" eb="1">
      <t>シン</t>
    </rPh>
    <rPh sb="3" eb="5">
      <t>ユウセン</t>
    </rPh>
    <phoneticPr fontId="3"/>
  </si>
  <si>
    <t>☆☆☆(優先）、ハイブリット</t>
    <rPh sb="4" eb="6">
      <t>ユウセン</t>
    </rPh>
    <phoneticPr fontId="3"/>
  </si>
  <si>
    <t>☆☆☆☆(優先),ハイブリット</t>
    <rPh sb="5" eb="7">
      <t>ユウセン</t>
    </rPh>
    <phoneticPr fontId="3"/>
  </si>
  <si>
    <t>☆☆☆☆(優先）、ハイブリット</t>
    <rPh sb="5" eb="7">
      <t>ユウセン</t>
    </rPh>
    <phoneticPr fontId="3"/>
  </si>
  <si>
    <t>☆☆☆☆(優先),CNG,ハイブリット</t>
    <rPh sb="5" eb="7">
      <t>ユウセン</t>
    </rPh>
    <phoneticPr fontId="3"/>
  </si>
  <si>
    <t>☆☆☆☆(優先),CNG</t>
    <rPh sb="5" eb="7">
      <t>ユウセン</t>
    </rPh>
    <phoneticPr fontId="3"/>
  </si>
  <si>
    <t>☆☆☆☆(優先),メタノール,ハイブリット</t>
    <rPh sb="5" eb="7">
      <t>ユウセン</t>
    </rPh>
    <phoneticPr fontId="3"/>
  </si>
  <si>
    <t>☆☆☆☆(優先),メタノール</t>
    <rPh sb="5" eb="7">
      <t>ユウセン</t>
    </rPh>
    <phoneticPr fontId="3"/>
  </si>
  <si>
    <t>（ステッカーに「H17」表示なし）</t>
    <rPh sb="12" eb="14">
      <t>ヒョウジ</t>
    </rPh>
    <phoneticPr fontId="3"/>
  </si>
  <si>
    <t>（ステッカーに「H17」表示あり）</t>
    <rPh sb="12" eb="14">
      <t>ヒョウジ</t>
    </rPh>
    <phoneticPr fontId="3"/>
  </si>
  <si>
    <t>☆☆☆☆(優先),プラグインハイブリット</t>
    <rPh sb="5" eb="7">
      <t>ユウセン</t>
    </rPh>
    <phoneticPr fontId="3"/>
  </si>
  <si>
    <t>☆☆☆(優先),プラグインハイブリット</t>
    <rPh sb="4" eb="6">
      <t>ユウセン</t>
    </rPh>
    <phoneticPr fontId="3"/>
  </si>
  <si>
    <t>　自動車から排出される窒素酸化物及び粒子状物質の特定地域における総量の削減等に関する特別措置法第３３条に基づき、特定自動車の使用管理計画を次のとおり提出します。</t>
    <rPh sb="74" eb="76">
      <t>テイシュツ</t>
    </rPh>
    <phoneticPr fontId="3"/>
  </si>
  <si>
    <t>　自動車から排出される窒素酸化物及び粒子状物質の特定地域における総量の削減等に関する特別措置法第
３４条に基づき、特定自動車の使用管理計画の実績を次のとおり報告します。</t>
    <rPh sb="70" eb="72">
      <t>ジッセキ</t>
    </rPh>
    <phoneticPr fontId="3"/>
  </si>
  <si>
    <t>飲食用品卸売業</t>
    <rPh sb="0" eb="2">
      <t>インショク</t>
    </rPh>
    <rPh sb="2" eb="4">
      <t>ヨウヒン</t>
    </rPh>
    <rPh sb="4" eb="7">
      <t>オロシウリギョウ</t>
    </rPh>
    <phoneticPr fontId="3"/>
  </si>
  <si>
    <t>重量</t>
    <rPh sb="0" eb="2">
      <t>ジュウリョウ</t>
    </rPh>
    <phoneticPr fontId="3"/>
  </si>
  <si>
    <t>全て</t>
    <rPh sb="0" eb="1">
      <t>スベ</t>
    </rPh>
    <phoneticPr fontId="3"/>
  </si>
  <si>
    <t>排出係数一覧表(計算用)</t>
    <phoneticPr fontId="3"/>
  </si>
  <si>
    <t>NOX・PM低減装置</t>
    <rPh sb="6" eb="8">
      <t>テイゲン</t>
    </rPh>
    <rPh sb="8" eb="10">
      <t>ソウチ</t>
    </rPh>
    <phoneticPr fontId="3"/>
  </si>
  <si>
    <t>NOX</t>
    <phoneticPr fontId="3"/>
  </si>
  <si>
    <t>真排出係数（NOX）</t>
    <rPh sb="0" eb="1">
      <t>シン</t>
    </rPh>
    <rPh sb="1" eb="3">
      <t>ハイシュツ</t>
    </rPh>
    <rPh sb="3" eb="5">
      <t>ケイスウ</t>
    </rPh>
    <phoneticPr fontId="3"/>
  </si>
  <si>
    <t>NOX・PM低減装置用排出係数(Nox)</t>
    <rPh sb="6" eb="8">
      <t>テイゲン</t>
    </rPh>
    <rPh sb="8" eb="10">
      <t>ソウチ</t>
    </rPh>
    <rPh sb="10" eb="11">
      <t>ヨウ</t>
    </rPh>
    <rPh sb="11" eb="13">
      <t>ハイシュツ</t>
    </rPh>
    <rPh sb="13" eb="15">
      <t>ケイスウ</t>
    </rPh>
    <phoneticPr fontId="3"/>
  </si>
  <si>
    <t>NOX・PM低減装置用排出係数(PM)</t>
    <rPh sb="6" eb="8">
      <t>テイゲン</t>
    </rPh>
    <rPh sb="8" eb="10">
      <t>ソウチ</t>
    </rPh>
    <rPh sb="10" eb="11">
      <t>ヨウ</t>
    </rPh>
    <rPh sb="11" eb="13">
      <t>ハイシュツ</t>
    </rPh>
    <rPh sb="13" eb="15">
      <t>ケイスウ</t>
    </rPh>
    <phoneticPr fontId="3"/>
  </si>
  <si>
    <t>ステッカー有無１</t>
    <rPh sb="5" eb="7">
      <t>ウム</t>
    </rPh>
    <phoneticPr fontId="3"/>
  </si>
  <si>
    <t>ステッカー有無２</t>
    <rPh sb="5" eb="7">
      <t>ウム</t>
    </rPh>
    <phoneticPr fontId="3"/>
  </si>
  <si>
    <t>PMステッカーあり(H15)</t>
    <phoneticPr fontId="3"/>
  </si>
  <si>
    <t>PMステッカーあり(H17)</t>
    <phoneticPr fontId="3"/>
  </si>
  <si>
    <t>低減装置判定</t>
    <rPh sb="0" eb="2">
      <t>テイゲン</t>
    </rPh>
    <rPh sb="2" eb="4">
      <t>ソウチ</t>
    </rPh>
    <rPh sb="4" eb="6">
      <t>ハンテイ</t>
    </rPh>
    <phoneticPr fontId="3"/>
  </si>
  <si>
    <t>番号</t>
    <rPh sb="0" eb="2">
      <t>バンゴウ</t>
    </rPh>
    <phoneticPr fontId="3"/>
  </si>
  <si>
    <t>普通貨物自動車</t>
    <rPh sb="0" eb="2">
      <t>フツウ</t>
    </rPh>
    <rPh sb="2" eb="3">
      <t>カ</t>
    </rPh>
    <rPh sb="3" eb="4">
      <t>モノ</t>
    </rPh>
    <rPh sb="4" eb="7">
      <t>ジドウシャ</t>
    </rPh>
    <phoneticPr fontId="3"/>
  </si>
  <si>
    <t>小型貨物自動車</t>
    <rPh sb="0" eb="1">
      <t>ショウ</t>
    </rPh>
    <rPh sb="1" eb="2">
      <t>カタ</t>
    </rPh>
    <rPh sb="2" eb="3">
      <t>カ</t>
    </rPh>
    <rPh sb="3" eb="4">
      <t>モノ</t>
    </rPh>
    <rPh sb="4" eb="7">
      <t>ジドウシャ</t>
    </rPh>
    <phoneticPr fontId="3"/>
  </si>
  <si>
    <t>特種自動車</t>
    <rPh sb="0" eb="1">
      <t>トク</t>
    </rPh>
    <rPh sb="1" eb="2">
      <t>タネ</t>
    </rPh>
    <rPh sb="2" eb="5">
      <t>ジドウシャ</t>
    </rPh>
    <phoneticPr fontId="3"/>
  </si>
  <si>
    <t>乗用車</t>
    <rPh sb="0" eb="2">
      <t>ジョウヨウ</t>
    </rPh>
    <rPh sb="2" eb="3">
      <t>グルマ</t>
    </rPh>
    <phoneticPr fontId="3"/>
  </si>
  <si>
    <t>1.7t以下</t>
    <rPh sb="4" eb="6">
      <t>イカ</t>
    </rPh>
    <phoneticPr fontId="3"/>
  </si>
  <si>
    <t>1.7t超～2.5t以下</t>
    <rPh sb="4" eb="5">
      <t>チョウ</t>
    </rPh>
    <rPh sb="10" eb="12">
      <t>イカ</t>
    </rPh>
    <phoneticPr fontId="3"/>
  </si>
  <si>
    <t>2.5t超～3.5t以下</t>
    <rPh sb="4" eb="5">
      <t>チョウ</t>
    </rPh>
    <rPh sb="10" eb="12">
      <t>イカ</t>
    </rPh>
    <phoneticPr fontId="3"/>
  </si>
  <si>
    <t>3.5t超</t>
    <rPh sb="4" eb="5">
      <t>チョウ</t>
    </rPh>
    <phoneticPr fontId="3"/>
  </si>
  <si>
    <t>自動車の種別</t>
    <rPh sb="5" eb="6">
      <t>ベツ</t>
    </rPh>
    <phoneticPr fontId="3"/>
  </si>
  <si>
    <t>型式</t>
    <rPh sb="0" eb="2">
      <t>カタシキ</t>
    </rPh>
    <phoneticPr fontId="3"/>
  </si>
  <si>
    <t>車両総重量(kg)</t>
    <rPh sb="0" eb="2">
      <t>シャリョウ</t>
    </rPh>
    <rPh sb="2" eb="5">
      <t>ソウジュウリョウ</t>
    </rPh>
    <phoneticPr fontId="3"/>
  </si>
  <si>
    <t>重量（排出量計算用）</t>
    <rPh sb="0" eb="2">
      <t>ジュウリョウ</t>
    </rPh>
    <rPh sb="3" eb="5">
      <t>ハイシュツ</t>
    </rPh>
    <rPh sb="5" eb="6">
      <t>リョウ</t>
    </rPh>
    <rPh sb="6" eb="9">
      <t>ケイサンヨウ</t>
    </rPh>
    <phoneticPr fontId="3"/>
  </si>
  <si>
    <t>重量(原単位用）</t>
    <rPh sb="0" eb="2">
      <t>ジュウリョウ</t>
    </rPh>
    <rPh sb="3" eb="6">
      <t>ゲンタンイ</t>
    </rPh>
    <rPh sb="6" eb="7">
      <t>ヨウ</t>
    </rPh>
    <phoneticPr fontId="3"/>
  </si>
  <si>
    <t>燃料記号</t>
    <rPh sb="0" eb="2">
      <t>ネンリョウ</t>
    </rPh>
    <rPh sb="2" eb="4">
      <t>キゴウ</t>
    </rPh>
    <phoneticPr fontId="3"/>
  </si>
  <si>
    <t>種別１</t>
    <rPh sb="0" eb="2">
      <t>シュベツ</t>
    </rPh>
    <phoneticPr fontId="3"/>
  </si>
  <si>
    <t>貨</t>
    <rPh sb="0" eb="1">
      <t>カ</t>
    </rPh>
    <phoneticPr fontId="3"/>
  </si>
  <si>
    <t>小</t>
    <rPh sb="0" eb="1">
      <t>ショウ</t>
    </rPh>
    <phoneticPr fontId="3"/>
  </si>
  <si>
    <t>バ</t>
    <phoneticPr fontId="3"/>
  </si>
  <si>
    <t>乗</t>
    <rPh sb="0" eb="1">
      <t>ジョウ</t>
    </rPh>
    <phoneticPr fontId="3"/>
  </si>
  <si>
    <t>軽</t>
    <rPh sb="0" eb="1">
      <t>ケイ</t>
    </rPh>
    <phoneticPr fontId="3"/>
  </si>
  <si>
    <t>合計</t>
    <rPh sb="0" eb="2">
      <t>ゴウケイ</t>
    </rPh>
    <phoneticPr fontId="3"/>
  </si>
  <si>
    <t>軽油</t>
    <rPh sb="0" eb="2">
      <t>ケイユ</t>
    </rPh>
    <phoneticPr fontId="3"/>
  </si>
  <si>
    <t>燃料区分(低公害車摘出用）</t>
    <rPh sb="0" eb="2">
      <t>ネンリョウ</t>
    </rPh>
    <rPh sb="2" eb="4">
      <t>クブン</t>
    </rPh>
    <rPh sb="5" eb="6">
      <t>テイ</t>
    </rPh>
    <rPh sb="6" eb="8">
      <t>コウガイ</t>
    </rPh>
    <rPh sb="8" eb="9">
      <t>シャ</t>
    </rPh>
    <rPh sb="9" eb="11">
      <t>テキシュツ</t>
    </rPh>
    <rPh sb="11" eb="12">
      <t>ヨウ</t>
    </rPh>
    <phoneticPr fontId="3"/>
  </si>
  <si>
    <t>S50前</t>
  </si>
  <si>
    <t>-</t>
  </si>
  <si>
    <t>S54前</t>
  </si>
  <si>
    <t>S50</t>
  </si>
  <si>
    <t>H</t>
  </si>
  <si>
    <t/>
  </si>
  <si>
    <t>自動車使用管理計画書</t>
    <phoneticPr fontId="3"/>
  </si>
  <si>
    <t>自動車使用管理実績報告書</t>
    <rPh sb="7" eb="9">
      <t>ジッセキ</t>
    </rPh>
    <phoneticPr fontId="3"/>
  </si>
  <si>
    <t>大阪府知事　　</t>
    <rPh sb="0" eb="3">
      <t>オオサカフ</t>
    </rPh>
    <rPh sb="3" eb="5">
      <t>チジ</t>
    </rPh>
    <phoneticPr fontId="3"/>
  </si>
  <si>
    <t>様</t>
    <rPh sb="0" eb="1">
      <t>サマ</t>
    </rPh>
    <phoneticPr fontId="3"/>
  </si>
  <si>
    <t>大阪府における主たる事業場の所在地</t>
    <rPh sb="0" eb="3">
      <t>オオサカフ</t>
    </rPh>
    <rPh sb="7" eb="8">
      <t>シュ</t>
    </rPh>
    <rPh sb="10" eb="12">
      <t>ジギョウ</t>
    </rPh>
    <rPh sb="12" eb="13">
      <t>バ</t>
    </rPh>
    <rPh sb="14" eb="17">
      <t>ショザイチ</t>
    </rPh>
    <phoneticPr fontId="3"/>
  </si>
  <si>
    <t>大阪府における
主たる事業場の所在地</t>
    <rPh sb="0" eb="3">
      <t>オオサカフ</t>
    </rPh>
    <rPh sb="8" eb="9">
      <t>シュ</t>
    </rPh>
    <rPh sb="11" eb="13">
      <t>ジギョウ</t>
    </rPh>
    <rPh sb="13" eb="14">
      <t>バ</t>
    </rPh>
    <rPh sb="15" eb="18">
      <t>ショザイチ</t>
    </rPh>
    <phoneticPr fontId="3"/>
  </si>
  <si>
    <t xml:space="preserve">  所属･役職・氏名</t>
    <rPh sb="2" eb="4">
      <t>ショゾク</t>
    </rPh>
    <rPh sb="5" eb="7">
      <t>ヤクショク</t>
    </rPh>
    <rPh sb="8" eb="10">
      <t>シメイ</t>
    </rPh>
    <phoneticPr fontId="3"/>
  </si>
  <si>
    <t>計画前年実績</t>
    <rPh sb="0" eb="2">
      <t>ケイカク</t>
    </rPh>
    <rPh sb="2" eb="4">
      <t>ゼンネン</t>
    </rPh>
    <rPh sb="4" eb="6">
      <t>ジッセキ</t>
    </rPh>
    <phoneticPr fontId="3"/>
  </si>
  <si>
    <t>事業の概要</t>
    <rPh sb="0" eb="2">
      <t>ジギョウ</t>
    </rPh>
    <rPh sb="3" eb="5">
      <t>ガイヨウ</t>
    </rPh>
    <phoneticPr fontId="3"/>
  </si>
  <si>
    <t>　所属所在地</t>
    <rPh sb="1" eb="3">
      <t>ショゾク</t>
    </rPh>
    <rPh sb="3" eb="6">
      <t>ショザイチ</t>
    </rPh>
    <phoneticPr fontId="3"/>
  </si>
  <si>
    <t>整理番号　（※記入しないでください）</t>
    <rPh sb="0" eb="2">
      <t>セイリ</t>
    </rPh>
    <rPh sb="2" eb="4">
      <t>バンゴウ</t>
    </rPh>
    <rPh sb="7" eb="9">
      <t>キニュウ</t>
    </rPh>
    <phoneticPr fontId="3"/>
  </si>
  <si>
    <t>整理番号　(※記入しないでください）</t>
    <rPh sb="0" eb="2">
      <t>セイリ</t>
    </rPh>
    <rPh sb="2" eb="4">
      <t>バンゴウ</t>
    </rPh>
    <rPh sb="7" eb="9">
      <t>キニュウ</t>
    </rPh>
    <phoneticPr fontId="3"/>
  </si>
  <si>
    <t>廃止</t>
    <rPh sb="0" eb="2">
      <t>ハイシ</t>
    </rPh>
    <phoneticPr fontId="3"/>
  </si>
  <si>
    <t>実績報告年度</t>
    <rPh sb="0" eb="2">
      <t>ジッセキ</t>
    </rPh>
    <rPh sb="2" eb="4">
      <t>ホウコク</t>
    </rPh>
    <rPh sb="4" eb="6">
      <t>ネンド</t>
    </rPh>
    <phoneticPr fontId="3"/>
  </si>
  <si>
    <t>新規 or 廃止</t>
    <rPh sb="0" eb="2">
      <t>シンキ</t>
    </rPh>
    <rPh sb="6" eb="8">
      <t>ハイシ</t>
    </rPh>
    <phoneticPr fontId="3"/>
  </si>
  <si>
    <t>新規</t>
    <rPh sb="0" eb="2">
      <t>シンキ</t>
    </rPh>
    <phoneticPr fontId="3"/>
  </si>
  <si>
    <t>新規
or
廃止</t>
    <rPh sb="0" eb="2">
      <t>シンキ</t>
    </rPh>
    <rPh sb="6" eb="8">
      <t>ハイシ</t>
    </rPh>
    <phoneticPr fontId="3"/>
  </si>
  <si>
    <t>事業場の
名称</t>
    <rPh sb="0" eb="3">
      <t>ジギョウジョウ</t>
    </rPh>
    <rPh sb="5" eb="7">
      <t>メイショウ</t>
    </rPh>
    <phoneticPr fontId="3"/>
  </si>
  <si>
    <t>事業場の
所在地</t>
    <rPh sb="0" eb="3">
      <t>ジギョウジョウ</t>
    </rPh>
    <rPh sb="5" eb="8">
      <t>ショザイチ</t>
    </rPh>
    <phoneticPr fontId="3"/>
  </si>
  <si>
    <t>事業場の
連絡先</t>
    <rPh sb="0" eb="3">
      <t>ジギョウジョウ</t>
    </rPh>
    <rPh sb="5" eb="8">
      <t>レンラクサキ</t>
    </rPh>
    <phoneticPr fontId="3"/>
  </si>
  <si>
    <t>様式２－５ （実績事業場）</t>
    <rPh sb="0" eb="2">
      <t>ヨウシキ</t>
    </rPh>
    <rPh sb="7" eb="9">
      <t>ジッセキ</t>
    </rPh>
    <rPh sb="9" eb="12">
      <t>ジギョウジョウ</t>
    </rPh>
    <phoneticPr fontId="3"/>
  </si>
  <si>
    <t>様式２－４ （実績代替）</t>
    <rPh sb="0" eb="2">
      <t>ヨウシキ</t>
    </rPh>
    <rPh sb="7" eb="9">
      <t>ジッセキ</t>
    </rPh>
    <rPh sb="9" eb="11">
      <t>ダイタイ</t>
    </rPh>
    <phoneticPr fontId="3"/>
  </si>
  <si>
    <t>様式２－３ （実績措置）</t>
    <rPh sb="0" eb="2">
      <t>ヨウシキ</t>
    </rPh>
    <rPh sb="7" eb="9">
      <t>ジッセキ</t>
    </rPh>
    <rPh sb="9" eb="11">
      <t>ソチ</t>
    </rPh>
    <phoneticPr fontId="3"/>
  </si>
  <si>
    <t>様式２－１ (実績表紙）</t>
    <rPh sb="0" eb="2">
      <t>ヨウシキ</t>
    </rPh>
    <rPh sb="7" eb="9">
      <t>ジッセキ</t>
    </rPh>
    <rPh sb="9" eb="11">
      <t>ヒョウシ</t>
    </rPh>
    <phoneticPr fontId="3"/>
  </si>
  <si>
    <t>様式１－５ （計画事業場）</t>
    <rPh sb="0" eb="2">
      <t>ヨウシキ</t>
    </rPh>
    <rPh sb="7" eb="9">
      <t>ケイカク</t>
    </rPh>
    <rPh sb="9" eb="12">
      <t>ジギョウジョウ</t>
    </rPh>
    <phoneticPr fontId="3"/>
  </si>
  <si>
    <t>様式１－４ （計画代替）</t>
    <rPh sb="0" eb="2">
      <t>ヨウシキ</t>
    </rPh>
    <rPh sb="7" eb="9">
      <t>ケイカク</t>
    </rPh>
    <rPh sb="9" eb="11">
      <t>ダイタイ</t>
    </rPh>
    <phoneticPr fontId="3"/>
  </si>
  <si>
    <t>様式１－３ （計画措置）</t>
    <rPh sb="0" eb="2">
      <t>ヨウシキ</t>
    </rPh>
    <rPh sb="7" eb="9">
      <t>ケイカク</t>
    </rPh>
    <rPh sb="9" eb="11">
      <t>ソチ</t>
    </rPh>
    <phoneticPr fontId="3"/>
  </si>
  <si>
    <t>様式１－１ （計画表紙）</t>
    <rPh sb="0" eb="2">
      <t>ヨウシキ</t>
    </rPh>
    <rPh sb="7" eb="9">
      <t>ケイカク</t>
    </rPh>
    <rPh sb="9" eb="11">
      <t>ヒョウシ</t>
    </rPh>
    <phoneticPr fontId="3"/>
  </si>
  <si>
    <t>Pハ</t>
    <phoneticPr fontId="3"/>
  </si>
  <si>
    <t>ガL2</t>
    <phoneticPr fontId="3"/>
  </si>
  <si>
    <t>ガL3</t>
    <phoneticPr fontId="3"/>
  </si>
  <si>
    <t>軽新長</t>
    <phoneticPr fontId="3"/>
  </si>
  <si>
    <t>軽ポ</t>
    <phoneticPr fontId="3"/>
  </si>
  <si>
    <t>軽新長1</t>
    <phoneticPr fontId="3"/>
  </si>
  <si>
    <t>軽3</t>
    <phoneticPr fontId="3"/>
  </si>
  <si>
    <t>電</t>
    <phoneticPr fontId="3"/>
  </si>
  <si>
    <t>メ</t>
    <phoneticPr fontId="3"/>
  </si>
  <si>
    <t>燃電</t>
    <phoneticPr fontId="3"/>
  </si>
  <si>
    <t>使用の本拠(※1)・・・大阪</t>
    <rPh sb="0" eb="2">
      <t>シヨウ</t>
    </rPh>
    <rPh sb="3" eb="5">
      <t>ホンキョ</t>
    </rPh>
    <rPh sb="12" eb="14">
      <t>オオサカ</t>
    </rPh>
    <phoneticPr fontId="3"/>
  </si>
  <si>
    <t>貼り付け用</t>
    <phoneticPr fontId="3"/>
  </si>
  <si>
    <t>減少台数</t>
    <phoneticPr fontId="3"/>
  </si>
  <si>
    <t>新規使用台数</t>
    <phoneticPr fontId="3"/>
  </si>
  <si>
    <t>新規使用台数</t>
    <phoneticPr fontId="3"/>
  </si>
  <si>
    <t>計画前年比</t>
    <rPh sb="0" eb="2">
      <t>ケイカク</t>
    </rPh>
    <rPh sb="2" eb="5">
      <t>ゼンネンヒ</t>
    </rPh>
    <phoneticPr fontId="3"/>
  </si>
  <si>
    <t xml:space="preserve">  年   月   日</t>
    <rPh sb="2" eb="3">
      <t>ネン</t>
    </rPh>
    <rPh sb="6" eb="7">
      <t>ツキ</t>
    </rPh>
    <rPh sb="10" eb="11">
      <t>ニチ</t>
    </rPh>
    <phoneticPr fontId="3"/>
  </si>
  <si>
    <t>ALE</t>
  </si>
  <si>
    <t>ALF</t>
  </si>
  <si>
    <t>ALG</t>
  </si>
  <si>
    <t>AME</t>
  </si>
  <si>
    <t>AMF</t>
  </si>
  <si>
    <t>AMG</t>
  </si>
  <si>
    <t>BLG</t>
  </si>
  <si>
    <t>BMG</t>
  </si>
  <si>
    <t>CLE</t>
  </si>
  <si>
    <t>CLF</t>
  </si>
  <si>
    <t>CME</t>
  </si>
  <si>
    <t>CMF</t>
  </si>
  <si>
    <t>DLE</t>
  </si>
  <si>
    <t>DLF</t>
  </si>
  <si>
    <t>DME</t>
  </si>
  <si>
    <t>DMF</t>
  </si>
  <si>
    <t>LLE</t>
  </si>
  <si>
    <t>LLF</t>
  </si>
  <si>
    <t>LLG</t>
  </si>
  <si>
    <t>LME</t>
  </si>
  <si>
    <t>LMF</t>
  </si>
  <si>
    <t>LMG</t>
  </si>
  <si>
    <t>LSG</t>
  </si>
  <si>
    <t>LTG</t>
  </si>
  <si>
    <t>MLE</t>
  </si>
  <si>
    <t>MLF</t>
  </si>
  <si>
    <t>MLG</t>
  </si>
  <si>
    <t>MME</t>
  </si>
  <si>
    <t>MMF</t>
  </si>
  <si>
    <t>MMG</t>
  </si>
  <si>
    <t>NLG</t>
  </si>
  <si>
    <t>NMG</t>
  </si>
  <si>
    <t>PLG</t>
  </si>
  <si>
    <t>PMG</t>
  </si>
  <si>
    <t>QLE</t>
  </si>
  <si>
    <t>QLF</t>
  </si>
  <si>
    <t>QLG</t>
  </si>
  <si>
    <t>QME</t>
  </si>
  <si>
    <t>QMF</t>
  </si>
  <si>
    <t>QMG</t>
  </si>
  <si>
    <t>QSG</t>
  </si>
  <si>
    <t>QTG</t>
  </si>
  <si>
    <t>RLE</t>
  </si>
  <si>
    <t>RLF</t>
  </si>
  <si>
    <t>RLG</t>
  </si>
  <si>
    <t>RME</t>
  </si>
  <si>
    <t>RMF</t>
  </si>
  <si>
    <t>RMG</t>
  </si>
  <si>
    <t>SMF</t>
  </si>
  <si>
    <t>SMG</t>
  </si>
  <si>
    <t>SSG</t>
  </si>
  <si>
    <t>STG</t>
  </si>
  <si>
    <t>TMF</t>
  </si>
  <si>
    <t>TMG</t>
  </si>
  <si>
    <t>TSG</t>
  </si>
  <si>
    <t>TTG</t>
  </si>
  <si>
    <t>2CG</t>
  </si>
  <si>
    <t>2DG</t>
  </si>
  <si>
    <t>2EG</t>
  </si>
  <si>
    <t>2FG</t>
  </si>
  <si>
    <t>2GG</t>
  </si>
  <si>
    <t>2HG</t>
  </si>
  <si>
    <t>2JG</t>
  </si>
  <si>
    <t>2KG</t>
  </si>
  <si>
    <t>2MG</t>
  </si>
  <si>
    <t>2NG</t>
  </si>
  <si>
    <t>2PG</t>
  </si>
  <si>
    <t>2QG</t>
  </si>
  <si>
    <t>2RG</t>
  </si>
  <si>
    <t>2SG</t>
  </si>
  <si>
    <t>2TG</t>
  </si>
  <si>
    <t>3AA</t>
  </si>
  <si>
    <t>3AE</t>
  </si>
  <si>
    <t>3AF</t>
  </si>
  <si>
    <t>3BA</t>
  </si>
  <si>
    <t>3BE</t>
  </si>
  <si>
    <t>3BF</t>
  </si>
  <si>
    <t>3CA</t>
  </si>
  <si>
    <t>3CE</t>
  </si>
  <si>
    <t>3CF</t>
  </si>
  <si>
    <t>3DA</t>
  </si>
  <si>
    <t>3DE</t>
  </si>
  <si>
    <t>3DF</t>
  </si>
  <si>
    <t>3EA</t>
  </si>
  <si>
    <t>3EE</t>
  </si>
  <si>
    <t>3EF</t>
  </si>
  <si>
    <t>3FA</t>
  </si>
  <si>
    <t>3FE</t>
  </si>
  <si>
    <t>3FF</t>
  </si>
  <si>
    <t>3GA</t>
  </si>
  <si>
    <t>3GE</t>
  </si>
  <si>
    <t>3GF</t>
  </si>
  <si>
    <t>3HA</t>
  </si>
  <si>
    <t>3HE</t>
  </si>
  <si>
    <t>3HF</t>
  </si>
  <si>
    <t>3LA</t>
  </si>
  <si>
    <t>3LE</t>
  </si>
  <si>
    <t>3LF</t>
  </si>
  <si>
    <t>3MA</t>
  </si>
  <si>
    <t>3ME</t>
  </si>
  <si>
    <t>3MF</t>
  </si>
  <si>
    <t>4AA</t>
  </si>
  <si>
    <t>4AE</t>
  </si>
  <si>
    <t>4AF</t>
  </si>
  <si>
    <t>4BA</t>
  </si>
  <si>
    <t>4BE</t>
  </si>
  <si>
    <t>4BF</t>
  </si>
  <si>
    <t>4CA</t>
  </si>
  <si>
    <t>4CE</t>
  </si>
  <si>
    <t>4CF</t>
  </si>
  <si>
    <t>4DA</t>
  </si>
  <si>
    <t>4DE</t>
  </si>
  <si>
    <t>4DF</t>
  </si>
  <si>
    <t>4EA</t>
  </si>
  <si>
    <t>4EE</t>
  </si>
  <si>
    <t>4EF</t>
  </si>
  <si>
    <t>4FA</t>
  </si>
  <si>
    <t>4FE</t>
  </si>
  <si>
    <t>4FF</t>
  </si>
  <si>
    <t>4GA</t>
  </si>
  <si>
    <t>4GE</t>
  </si>
  <si>
    <t>4GF</t>
  </si>
  <si>
    <t>4HA</t>
  </si>
  <si>
    <t>4HE</t>
  </si>
  <si>
    <t>4HF</t>
  </si>
  <si>
    <t>4LA</t>
  </si>
  <si>
    <t>4LE</t>
  </si>
  <si>
    <t>4LF</t>
  </si>
  <si>
    <t>4MA</t>
  </si>
  <si>
    <t>4ME</t>
  </si>
  <si>
    <t>4MF</t>
  </si>
  <si>
    <t>5AA</t>
  </si>
  <si>
    <t>5AE</t>
  </si>
  <si>
    <t>5AF</t>
  </si>
  <si>
    <t>5BA</t>
  </si>
  <si>
    <t>5BE</t>
  </si>
  <si>
    <t>5BF</t>
  </si>
  <si>
    <t>5CA</t>
  </si>
  <si>
    <t>5CE</t>
  </si>
  <si>
    <t>5CF</t>
  </si>
  <si>
    <t>5DA</t>
  </si>
  <si>
    <t>5DE</t>
  </si>
  <si>
    <t>5DF</t>
  </si>
  <si>
    <t>5EA</t>
  </si>
  <si>
    <t>5EE</t>
  </si>
  <si>
    <t>5EF</t>
  </si>
  <si>
    <t>5FA</t>
  </si>
  <si>
    <t>5FE</t>
  </si>
  <si>
    <t>5FF</t>
  </si>
  <si>
    <t>5GA</t>
  </si>
  <si>
    <t>5GE</t>
  </si>
  <si>
    <t>5GF</t>
  </si>
  <si>
    <t>5HA</t>
  </si>
  <si>
    <t>5HE</t>
  </si>
  <si>
    <t>5HF</t>
  </si>
  <si>
    <t>5LA</t>
  </si>
  <si>
    <t>5LE</t>
  </si>
  <si>
    <t>5LF</t>
  </si>
  <si>
    <t>5MA</t>
  </si>
  <si>
    <t>5ME</t>
  </si>
  <si>
    <t>5MF</t>
  </si>
  <si>
    <t>6AA</t>
  </si>
  <si>
    <t>6AE</t>
  </si>
  <si>
    <t>6AF</t>
  </si>
  <si>
    <t>6BA</t>
  </si>
  <si>
    <t>6BE</t>
  </si>
  <si>
    <t>6BF</t>
  </si>
  <si>
    <t>6CA</t>
  </si>
  <si>
    <t>6CE</t>
  </si>
  <si>
    <t>6CF</t>
  </si>
  <si>
    <t>6DA</t>
  </si>
  <si>
    <t>6DE</t>
  </si>
  <si>
    <t>6DF</t>
  </si>
  <si>
    <t>6EA</t>
  </si>
  <si>
    <t>6EE</t>
  </si>
  <si>
    <t>6EF</t>
  </si>
  <si>
    <t>6FA</t>
  </si>
  <si>
    <t>6FE</t>
  </si>
  <si>
    <t>6FF</t>
  </si>
  <si>
    <t>6GA</t>
  </si>
  <si>
    <t>6GE</t>
  </si>
  <si>
    <t>6GF</t>
  </si>
  <si>
    <t>6HA</t>
  </si>
  <si>
    <t>6HE</t>
  </si>
  <si>
    <t>6HF</t>
  </si>
  <si>
    <t>6LA</t>
  </si>
  <si>
    <t>6LE</t>
  </si>
  <si>
    <t>6LF</t>
  </si>
  <si>
    <t>6MA</t>
  </si>
  <si>
    <t>6ME</t>
  </si>
  <si>
    <t>6MF</t>
  </si>
  <si>
    <t>令和３年度</t>
    <rPh sb="0" eb="2">
      <t>レイワ</t>
    </rPh>
    <rPh sb="3" eb="5">
      <t>ネンド</t>
    </rPh>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</si>
  <si>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</si>
  <si>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</si>
  <si>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</si>
  <si>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</si>
  <si>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新☆☆☆☆
以上</t>
    <rPh sb="0" eb="1">
      <t>シン</t>
    </rPh>
    <rPh sb="6" eb="8">
      <t>イジョウ</t>
    </rPh>
    <phoneticPr fontId="3"/>
  </si>
  <si>
    <t>ポスト新長期
以上</t>
    <rPh sb="3" eb="4">
      <t>シン</t>
    </rPh>
    <rPh sb="4" eb="6">
      <t>チョウキ</t>
    </rPh>
    <rPh sb="7" eb="9">
      <t>イジョウ</t>
    </rPh>
    <phoneticPr fontId="3"/>
  </si>
  <si>
    <t>令和　年　月　日
現在　　　　　</t>
    <rPh sb="0" eb="2">
      <t>レイワ</t>
    </rPh>
    <rPh sb="3" eb="4">
      <t>ネン</t>
    </rPh>
    <rPh sb="5" eb="6">
      <t>ガツ</t>
    </rPh>
    <rPh sb="7" eb="8">
      <t>ニチ</t>
    </rPh>
    <rPh sb="9" eb="11">
      <t>ゲンザイ</t>
    </rPh>
    <phoneticPr fontId="3"/>
  </si>
  <si>
    <t>新規かつ廃止</t>
    <rPh sb="0" eb="2">
      <t>シンキ</t>
    </rPh>
    <rPh sb="4" eb="6">
      <t>ハイシ</t>
    </rPh>
    <phoneticPr fontId="3"/>
  </si>
  <si>
    <t>令和３年度</t>
    <rPh sb="0" eb="2">
      <t>レイワ</t>
    </rPh>
    <phoneticPr fontId="3"/>
  </si>
  <si>
    <t>令和５年度</t>
    <phoneticPr fontId="3"/>
  </si>
  <si>
    <t>令和６年度</t>
    <phoneticPr fontId="3"/>
  </si>
  <si>
    <t>令和７年度</t>
    <phoneticPr fontId="3"/>
  </si>
  <si>
    <r>
      <t>(g/km,</t>
    </r>
    <r>
      <rPr>
        <sz val="11"/>
        <rFont val="ＭＳ Ｐゴシック"/>
        <family val="3"/>
        <charset val="128"/>
      </rPr>
      <t xml:space="preserve"> </t>
    </r>
    <r>
      <rPr>
        <sz val="11"/>
        <rFont val="ＭＳ Ｐゴシック"/>
        <family val="3"/>
        <charset val="128"/>
      </rPr>
      <t>g/km/t)</t>
    </r>
    <phoneticPr fontId="3"/>
  </si>
  <si>
    <t>(kg・CO2/L),　CNGは
(kg・CO2/m3)</t>
    <phoneticPr fontId="3"/>
  </si>
  <si>
    <r>
      <t>CO</t>
    </r>
    <r>
      <rPr>
        <vertAlign val="subscript"/>
        <sz val="11"/>
        <rFont val="ＭＳ Ｐゴシック"/>
        <family val="3"/>
        <charset val="128"/>
      </rPr>
      <t>2</t>
    </r>
    <r>
      <rPr>
        <sz val="11"/>
        <rFont val="ＭＳ Ｐゴシック"/>
        <family val="3"/>
        <charset val="128"/>
      </rPr>
      <t>排出係数</t>
    </r>
    <phoneticPr fontId="3"/>
  </si>
  <si>
    <t>リスト用</t>
    <rPh sb="3" eb="4">
      <t>ヨウ</t>
    </rPh>
    <phoneticPr fontId="3"/>
  </si>
  <si>
    <t>CNG</t>
    <phoneticPr fontId="3"/>
  </si>
  <si>
    <t>LPG</t>
    <phoneticPr fontId="3"/>
  </si>
  <si>
    <r>
      <t>　1</t>
    </r>
    <r>
      <rPr>
        <sz val="11"/>
        <rFont val="ＭＳ Ｐゴシック"/>
        <family val="3"/>
        <charset val="128"/>
      </rPr>
      <t>.7t以下</t>
    </r>
    <rPh sb="5" eb="7">
      <t>イカ</t>
    </rPh>
    <phoneticPr fontId="3"/>
  </si>
  <si>
    <t>～1.7 t</t>
    <phoneticPr fontId="3"/>
  </si>
  <si>
    <r>
      <t>　1</t>
    </r>
    <r>
      <rPr>
        <sz val="11"/>
        <rFont val="ＭＳ Ｐゴシック"/>
        <family val="3"/>
        <charset val="128"/>
      </rPr>
      <t>.7t超2.5t以下</t>
    </r>
    <rPh sb="5" eb="6">
      <t>チョウ</t>
    </rPh>
    <rPh sb="10" eb="12">
      <t>イカ</t>
    </rPh>
    <phoneticPr fontId="3"/>
  </si>
  <si>
    <t>1.7～2.5 t</t>
    <phoneticPr fontId="3"/>
  </si>
  <si>
    <t>2.5～3.5 t</t>
    <phoneticPr fontId="3"/>
  </si>
  <si>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3"/>
  </si>
  <si>
    <t>3.5 t～</t>
    <phoneticPr fontId="3"/>
  </si>
  <si>
    <r>
      <t>1</t>
    </r>
    <r>
      <rPr>
        <sz val="11"/>
        <rFont val="ＭＳ Ｐゴシック"/>
        <family val="3"/>
        <charset val="128"/>
      </rPr>
      <t>2 t～</t>
    </r>
    <phoneticPr fontId="3"/>
  </si>
  <si>
    <r>
      <t>　</t>
    </r>
    <r>
      <rPr>
        <sz val="11"/>
        <rFont val="ＭＳ Ｐゴシック"/>
        <family val="3"/>
        <charset val="128"/>
      </rPr>
      <t>3.5</t>
    </r>
    <r>
      <rPr>
        <sz val="11"/>
        <rFont val="ＭＳ Ｐゴシック"/>
        <family val="3"/>
        <charset val="128"/>
      </rPr>
      <t>t超</t>
    </r>
    <rPh sb="5" eb="6">
      <t>チョウ</t>
    </rPh>
    <phoneticPr fontId="3"/>
  </si>
  <si>
    <r>
      <t>A</t>
    </r>
    <r>
      <rPr>
        <sz val="11"/>
        <rFont val="ＭＳ Ｐゴシック"/>
        <family val="3"/>
        <charset val="128"/>
      </rPr>
      <t>LE</t>
    </r>
    <phoneticPr fontId="3"/>
  </si>
  <si>
    <t>新☆☆☆</t>
    <rPh sb="0" eb="1">
      <t>シン</t>
    </rPh>
    <phoneticPr fontId="2"/>
  </si>
  <si>
    <r>
      <t>カテゴリー３,４</t>
    </r>
    <r>
      <rPr>
        <sz val="11"/>
        <rFont val="ＭＳ Ｐゴシック"/>
        <family val="3"/>
        <charset val="128"/>
      </rPr>
      <t>,</t>
    </r>
    <r>
      <rPr>
        <sz val="11"/>
        <rFont val="ＭＳ Ｐゴシック"/>
        <family val="3"/>
        <charset val="128"/>
      </rPr>
      <t>５</t>
    </r>
    <phoneticPr fontId="3"/>
  </si>
  <si>
    <r>
      <t>C</t>
    </r>
    <r>
      <rPr>
        <sz val="11"/>
        <rFont val="ＭＳ Ｐゴシック"/>
        <family val="3"/>
        <charset val="128"/>
      </rPr>
      <t>LE</t>
    </r>
    <phoneticPr fontId="3"/>
  </si>
  <si>
    <r>
      <t>D</t>
    </r>
    <r>
      <rPr>
        <sz val="11"/>
        <rFont val="ＭＳ Ｐゴシック"/>
        <family val="3"/>
        <charset val="128"/>
      </rPr>
      <t>LE</t>
    </r>
    <phoneticPr fontId="3"/>
  </si>
  <si>
    <r>
      <t>0.0</t>
    </r>
    <r>
      <rPr>
        <sz val="11"/>
        <rFont val="ＭＳ Ｐゴシック"/>
        <family val="3"/>
        <charset val="128"/>
      </rPr>
      <t>90</t>
    </r>
    <r>
      <rPr>
        <sz val="11"/>
        <rFont val="ＭＳ Ｐゴシック"/>
        <family val="3"/>
        <charset val="128"/>
      </rPr>
      <t>g/km</t>
    </r>
    <phoneticPr fontId="3"/>
  </si>
  <si>
    <r>
      <t>L</t>
    </r>
    <r>
      <rPr>
        <sz val="11"/>
        <rFont val="ＭＳ Ｐゴシック"/>
        <family val="3"/>
        <charset val="128"/>
      </rPr>
      <t>LE</t>
    </r>
    <phoneticPr fontId="3"/>
  </si>
  <si>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34"/>
  </si>
  <si>
    <t>MLE</t>
    <phoneticPr fontId="3"/>
  </si>
  <si>
    <t>単位</t>
    <rPh sb="0" eb="2">
      <t>タンイ</t>
    </rPh>
    <phoneticPr fontId="3"/>
  </si>
  <si>
    <r>
      <t>C</t>
    </r>
    <r>
      <rPr>
        <sz val="11"/>
        <rFont val="ＭＳ Ｐゴシック"/>
        <family val="3"/>
        <charset val="128"/>
      </rPr>
      <t>O</t>
    </r>
    <r>
      <rPr>
        <vertAlign val="subscript"/>
        <sz val="11"/>
        <rFont val="ＭＳ Ｐゴシック"/>
        <family val="3"/>
        <charset val="128"/>
      </rPr>
      <t>2</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</si>
  <si>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3"/>
  </si>
  <si>
    <t>RLE</t>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</si>
  <si>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</si>
  <si>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3"/>
  </si>
  <si>
    <t>電気・燃料電池</t>
    <rPh sb="0" eb="2">
      <t>デンキ</t>
    </rPh>
    <rPh sb="3" eb="5">
      <t>ネンリョウ</t>
    </rPh>
    <rPh sb="5" eb="7">
      <t>デンチ</t>
    </rPh>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</si>
  <si>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3"/>
  </si>
  <si>
    <t>QLE</t>
    <phoneticPr fontId="3"/>
  </si>
  <si>
    <r>
      <t>H</t>
    </r>
    <r>
      <rPr>
        <sz val="11"/>
        <rFont val="ＭＳ Ｐゴシック"/>
        <family val="3"/>
        <charset val="128"/>
      </rPr>
      <t>30</t>
    </r>
    <phoneticPr fontId="3"/>
  </si>
  <si>
    <t>3BE</t>
    <phoneticPr fontId="3"/>
  </si>
  <si>
    <t>H30</t>
    <phoneticPr fontId="3"/>
  </si>
  <si>
    <t>3AE</t>
    <phoneticPr fontId="3"/>
  </si>
  <si>
    <r>
      <t>H</t>
    </r>
    <r>
      <rPr>
        <sz val="11"/>
        <rFont val="ＭＳ Ｐゴシック"/>
        <family val="3"/>
        <charset val="128"/>
      </rPr>
      <t>30</t>
    </r>
    <r>
      <rPr>
        <sz val="11"/>
        <rFont val="ＭＳ Ｐゴシック"/>
        <family val="3"/>
        <charset val="128"/>
      </rPr>
      <t/>
    </r>
  </si>
  <si>
    <t>3LE</t>
    <phoneticPr fontId="3"/>
  </si>
  <si>
    <t>H30</t>
  </si>
  <si>
    <t>4BE</t>
    <phoneticPr fontId="3"/>
  </si>
  <si>
    <t>4AE</t>
    <phoneticPr fontId="3"/>
  </si>
  <si>
    <t>4LE</t>
    <phoneticPr fontId="3"/>
  </si>
  <si>
    <t>5BE</t>
    <phoneticPr fontId="3"/>
  </si>
  <si>
    <t>5AE</t>
    <phoneticPr fontId="3"/>
  </si>
  <si>
    <t>5LE</t>
    <phoneticPr fontId="3"/>
  </si>
  <si>
    <t>6BE</t>
    <phoneticPr fontId="3"/>
  </si>
  <si>
    <t>新☆☆☆☆☆</t>
    <rPh sb="0" eb="1">
      <t>シン</t>
    </rPh>
    <phoneticPr fontId="3"/>
  </si>
  <si>
    <t>6AE</t>
    <phoneticPr fontId="3"/>
  </si>
  <si>
    <t>6LE</t>
    <phoneticPr fontId="3"/>
  </si>
  <si>
    <r>
      <t>A</t>
    </r>
    <r>
      <rPr>
        <sz val="11"/>
        <rFont val="ＭＳ Ｐゴシック"/>
        <family val="3"/>
        <charset val="128"/>
      </rPr>
      <t>LF</t>
    </r>
    <phoneticPr fontId="3"/>
  </si>
  <si>
    <t>CLF</t>
    <phoneticPr fontId="3"/>
  </si>
  <si>
    <r>
      <t>D</t>
    </r>
    <r>
      <rPr>
        <sz val="11"/>
        <rFont val="ＭＳ Ｐゴシック"/>
        <family val="3"/>
        <charset val="128"/>
      </rPr>
      <t>LF</t>
    </r>
    <phoneticPr fontId="3"/>
  </si>
  <si>
    <t>LLF</t>
    <phoneticPr fontId="3"/>
  </si>
  <si>
    <t>MLF</t>
    <phoneticPr fontId="3"/>
  </si>
  <si>
    <r>
      <t>R</t>
    </r>
    <r>
      <rPr>
        <sz val="11"/>
        <rFont val="ＭＳ Ｐゴシック"/>
        <family val="3"/>
        <charset val="128"/>
      </rPr>
      <t>LF</t>
    </r>
    <phoneticPr fontId="3"/>
  </si>
  <si>
    <r>
      <t>Q</t>
    </r>
    <r>
      <rPr>
        <sz val="11"/>
        <rFont val="ＭＳ Ｐゴシック"/>
        <family val="3"/>
        <charset val="128"/>
      </rPr>
      <t>LF</t>
    </r>
    <phoneticPr fontId="3"/>
  </si>
  <si>
    <r>
      <t>3</t>
    </r>
    <r>
      <rPr>
        <sz val="11"/>
        <rFont val="ＭＳ Ｐゴシック"/>
        <family val="3"/>
        <charset val="128"/>
      </rPr>
      <t>BF</t>
    </r>
    <phoneticPr fontId="3"/>
  </si>
  <si>
    <r>
      <t>3</t>
    </r>
    <r>
      <rPr>
        <sz val="11"/>
        <rFont val="ＭＳ Ｐゴシック"/>
        <family val="3"/>
        <charset val="128"/>
      </rPr>
      <t>AF</t>
    </r>
    <phoneticPr fontId="3"/>
  </si>
  <si>
    <t>3LF</t>
    <phoneticPr fontId="3"/>
  </si>
  <si>
    <r>
      <t>4</t>
    </r>
    <r>
      <rPr>
        <sz val="11"/>
        <rFont val="ＭＳ Ｐゴシック"/>
        <family val="3"/>
        <charset val="128"/>
      </rPr>
      <t>BF</t>
    </r>
    <phoneticPr fontId="3"/>
  </si>
  <si>
    <r>
      <t>4</t>
    </r>
    <r>
      <rPr>
        <sz val="11"/>
        <rFont val="ＭＳ Ｐゴシック"/>
        <family val="3"/>
        <charset val="128"/>
      </rPr>
      <t>AF</t>
    </r>
    <phoneticPr fontId="3"/>
  </si>
  <si>
    <t>4LF</t>
    <phoneticPr fontId="3"/>
  </si>
  <si>
    <r>
      <t>5</t>
    </r>
    <r>
      <rPr>
        <sz val="11"/>
        <rFont val="ＭＳ Ｐゴシック"/>
        <family val="3"/>
        <charset val="128"/>
      </rPr>
      <t>BF</t>
    </r>
    <phoneticPr fontId="3"/>
  </si>
  <si>
    <r>
      <t>5</t>
    </r>
    <r>
      <rPr>
        <sz val="11"/>
        <rFont val="ＭＳ Ｐゴシック"/>
        <family val="3"/>
        <charset val="128"/>
      </rPr>
      <t>AF</t>
    </r>
    <phoneticPr fontId="3"/>
  </si>
  <si>
    <t>5LF</t>
    <phoneticPr fontId="3"/>
  </si>
  <si>
    <r>
      <t>6</t>
    </r>
    <r>
      <rPr>
        <sz val="11"/>
        <rFont val="ＭＳ Ｐゴシック"/>
        <family val="3"/>
        <charset val="128"/>
      </rPr>
      <t>BF</t>
    </r>
    <phoneticPr fontId="3"/>
  </si>
  <si>
    <r>
      <t>6</t>
    </r>
    <r>
      <rPr>
        <sz val="11"/>
        <rFont val="ＭＳ Ｐゴシック"/>
        <family val="3"/>
        <charset val="128"/>
      </rPr>
      <t>AF</t>
    </r>
    <phoneticPr fontId="3"/>
  </si>
  <si>
    <t>6LF</t>
    <phoneticPr fontId="3"/>
  </si>
  <si>
    <r>
      <t>A</t>
    </r>
    <r>
      <rPr>
        <sz val="11"/>
        <rFont val="ＭＳ Ｐゴシック"/>
        <family val="3"/>
        <charset val="128"/>
      </rPr>
      <t>LG</t>
    </r>
    <phoneticPr fontId="3"/>
  </si>
  <si>
    <r>
      <t>B</t>
    </r>
    <r>
      <rPr>
        <sz val="11"/>
        <rFont val="ＭＳ Ｐゴシック"/>
        <family val="3"/>
        <charset val="128"/>
      </rPr>
      <t>LG</t>
    </r>
    <phoneticPr fontId="3"/>
  </si>
  <si>
    <t>NLG</t>
    <phoneticPr fontId="3"/>
  </si>
  <si>
    <t>PLG</t>
    <phoneticPr fontId="3"/>
  </si>
  <si>
    <r>
      <t>L</t>
    </r>
    <r>
      <rPr>
        <sz val="11"/>
        <rFont val="ＭＳ Ｐゴシック"/>
        <family val="3"/>
        <charset val="128"/>
      </rPr>
      <t>LG</t>
    </r>
    <phoneticPr fontId="3"/>
  </si>
  <si>
    <r>
      <t>M</t>
    </r>
    <r>
      <rPr>
        <sz val="11"/>
        <rFont val="ＭＳ Ｐゴシック"/>
        <family val="3"/>
        <charset val="128"/>
      </rPr>
      <t>LG</t>
    </r>
    <phoneticPr fontId="3"/>
  </si>
  <si>
    <r>
      <t>R</t>
    </r>
    <r>
      <rPr>
        <sz val="11"/>
        <rFont val="ＭＳ Ｐゴシック"/>
        <family val="3"/>
        <charset val="128"/>
      </rPr>
      <t>LG</t>
    </r>
    <phoneticPr fontId="3"/>
  </si>
  <si>
    <r>
      <t>Q</t>
    </r>
    <r>
      <rPr>
        <sz val="11"/>
        <rFont val="ＭＳ Ｐゴシック"/>
        <family val="3"/>
        <charset val="128"/>
      </rPr>
      <t>LG</t>
    </r>
    <phoneticPr fontId="3"/>
  </si>
  <si>
    <t>CLE</t>
    <phoneticPr fontId="3"/>
  </si>
  <si>
    <t>DLE</t>
    <phoneticPr fontId="3"/>
  </si>
  <si>
    <t>ALF</t>
    <phoneticPr fontId="3"/>
  </si>
  <si>
    <t>ALG</t>
    <phoneticPr fontId="3"/>
  </si>
  <si>
    <r>
      <t>N</t>
    </r>
    <r>
      <rPr>
        <sz val="11"/>
        <rFont val="ＭＳ Ｐゴシック"/>
        <family val="3"/>
        <charset val="128"/>
      </rPr>
      <t>LG</t>
    </r>
    <phoneticPr fontId="3"/>
  </si>
  <si>
    <t>AME</t>
    <phoneticPr fontId="3"/>
  </si>
  <si>
    <t>CME</t>
    <phoneticPr fontId="3"/>
  </si>
  <si>
    <t>DME</t>
    <phoneticPr fontId="3"/>
  </si>
  <si>
    <r>
      <t>L</t>
    </r>
    <r>
      <rPr>
        <sz val="11"/>
        <rFont val="ＭＳ Ｐゴシック"/>
        <family val="3"/>
        <charset val="128"/>
      </rPr>
      <t>ME</t>
    </r>
    <phoneticPr fontId="3"/>
  </si>
  <si>
    <r>
      <t>M</t>
    </r>
    <r>
      <rPr>
        <sz val="11"/>
        <rFont val="ＭＳ Ｐゴシック"/>
        <family val="3"/>
        <charset val="128"/>
      </rPr>
      <t>ME</t>
    </r>
    <phoneticPr fontId="3"/>
  </si>
  <si>
    <r>
      <t>R</t>
    </r>
    <r>
      <rPr>
        <sz val="11"/>
        <rFont val="ＭＳ Ｐゴシック"/>
        <family val="3"/>
        <charset val="128"/>
      </rPr>
      <t>ME</t>
    </r>
    <phoneticPr fontId="3"/>
  </si>
  <si>
    <r>
      <t>Q</t>
    </r>
    <r>
      <rPr>
        <sz val="11"/>
        <rFont val="ＭＳ Ｐゴシック"/>
        <family val="3"/>
        <charset val="128"/>
      </rPr>
      <t>ME</t>
    </r>
    <phoneticPr fontId="3"/>
  </si>
  <si>
    <r>
      <t>3</t>
    </r>
    <r>
      <rPr>
        <sz val="11"/>
        <rFont val="ＭＳ Ｐゴシック"/>
        <family val="3"/>
        <charset val="128"/>
      </rPr>
      <t>DE</t>
    </r>
    <phoneticPr fontId="3"/>
  </si>
  <si>
    <r>
      <t>3</t>
    </r>
    <r>
      <rPr>
        <sz val="11"/>
        <rFont val="ＭＳ Ｐゴシック"/>
        <family val="3"/>
        <charset val="128"/>
      </rPr>
      <t>CE</t>
    </r>
    <phoneticPr fontId="3"/>
  </si>
  <si>
    <t>3ME</t>
    <phoneticPr fontId="3"/>
  </si>
  <si>
    <r>
      <t>4</t>
    </r>
    <r>
      <rPr>
        <sz val="11"/>
        <rFont val="ＭＳ Ｐゴシック"/>
        <family val="3"/>
        <charset val="128"/>
      </rPr>
      <t>DE</t>
    </r>
    <phoneticPr fontId="3"/>
  </si>
  <si>
    <r>
      <t>4</t>
    </r>
    <r>
      <rPr>
        <sz val="11"/>
        <rFont val="ＭＳ Ｐゴシック"/>
        <family val="3"/>
        <charset val="128"/>
      </rPr>
      <t>CE</t>
    </r>
    <phoneticPr fontId="3"/>
  </si>
  <si>
    <t>4ME</t>
    <phoneticPr fontId="3"/>
  </si>
  <si>
    <r>
      <t>5</t>
    </r>
    <r>
      <rPr>
        <sz val="11"/>
        <rFont val="ＭＳ Ｐゴシック"/>
        <family val="3"/>
        <charset val="128"/>
      </rPr>
      <t>DE</t>
    </r>
    <phoneticPr fontId="3"/>
  </si>
  <si>
    <r>
      <t>5</t>
    </r>
    <r>
      <rPr>
        <sz val="11"/>
        <rFont val="ＭＳ Ｐゴシック"/>
        <family val="3"/>
        <charset val="128"/>
      </rPr>
      <t>CE</t>
    </r>
    <phoneticPr fontId="3"/>
  </si>
  <si>
    <t>5ME</t>
    <phoneticPr fontId="3"/>
  </si>
  <si>
    <r>
      <t>6</t>
    </r>
    <r>
      <rPr>
        <sz val="11"/>
        <rFont val="ＭＳ Ｐゴシック"/>
        <family val="3"/>
        <charset val="128"/>
      </rPr>
      <t>DE</t>
    </r>
    <phoneticPr fontId="3"/>
  </si>
  <si>
    <r>
      <t>6</t>
    </r>
    <r>
      <rPr>
        <sz val="11"/>
        <rFont val="ＭＳ Ｐゴシック"/>
        <family val="3"/>
        <charset val="128"/>
      </rPr>
      <t>CE</t>
    </r>
    <phoneticPr fontId="3"/>
  </si>
  <si>
    <t>6ME</t>
    <phoneticPr fontId="3"/>
  </si>
  <si>
    <r>
      <t>A</t>
    </r>
    <r>
      <rPr>
        <sz val="11"/>
        <rFont val="ＭＳ Ｐゴシック"/>
        <family val="3"/>
        <charset val="128"/>
      </rPr>
      <t>MF</t>
    </r>
    <phoneticPr fontId="3"/>
  </si>
  <si>
    <r>
      <t>C</t>
    </r>
    <r>
      <rPr>
        <sz val="11"/>
        <rFont val="ＭＳ Ｐゴシック"/>
        <family val="3"/>
        <charset val="128"/>
      </rPr>
      <t>MF</t>
    </r>
    <phoneticPr fontId="3"/>
  </si>
  <si>
    <r>
      <t>D</t>
    </r>
    <r>
      <rPr>
        <sz val="11"/>
        <rFont val="ＭＳ Ｐゴシック"/>
        <family val="3"/>
        <charset val="128"/>
      </rPr>
      <t>MF</t>
    </r>
    <phoneticPr fontId="3"/>
  </si>
  <si>
    <t>SMF</t>
    <phoneticPr fontId="3"/>
  </si>
  <si>
    <t>TMF</t>
    <phoneticPr fontId="3"/>
  </si>
  <si>
    <t>3DF</t>
    <phoneticPr fontId="3"/>
  </si>
  <si>
    <t>3CF</t>
    <phoneticPr fontId="3"/>
  </si>
  <si>
    <t>3MF</t>
    <phoneticPr fontId="3"/>
  </si>
  <si>
    <t>4DF</t>
    <phoneticPr fontId="3"/>
  </si>
  <si>
    <t>4CF</t>
    <phoneticPr fontId="3"/>
  </si>
  <si>
    <t>4MF</t>
    <phoneticPr fontId="3"/>
  </si>
  <si>
    <t>5DF</t>
    <phoneticPr fontId="3"/>
  </si>
  <si>
    <t>5CF</t>
    <phoneticPr fontId="3"/>
  </si>
  <si>
    <t>5MF</t>
    <phoneticPr fontId="3"/>
  </si>
  <si>
    <t>6DF</t>
    <phoneticPr fontId="3"/>
  </si>
  <si>
    <t>6CF</t>
    <phoneticPr fontId="3"/>
  </si>
  <si>
    <t>6MF</t>
    <phoneticPr fontId="3"/>
  </si>
  <si>
    <t>新☆☆☆☆</t>
    <rPh sb="0" eb="1">
      <t>シン</t>
    </rPh>
    <phoneticPr fontId="2"/>
  </si>
  <si>
    <r>
      <t>L</t>
    </r>
    <r>
      <rPr>
        <sz val="11"/>
        <rFont val="ＭＳ Ｐゴシック"/>
        <family val="3"/>
        <charset val="128"/>
      </rPr>
      <t>MF</t>
    </r>
    <phoneticPr fontId="3"/>
  </si>
  <si>
    <r>
      <t>M</t>
    </r>
    <r>
      <rPr>
        <sz val="11"/>
        <rFont val="ＭＳ Ｐゴシック"/>
        <family val="3"/>
        <charset val="128"/>
      </rPr>
      <t>MF</t>
    </r>
    <phoneticPr fontId="3"/>
  </si>
  <si>
    <r>
      <t>R</t>
    </r>
    <r>
      <rPr>
        <sz val="11"/>
        <rFont val="ＭＳ Ｐゴシック"/>
        <family val="3"/>
        <charset val="128"/>
      </rPr>
      <t>MF</t>
    </r>
    <phoneticPr fontId="3"/>
  </si>
  <si>
    <r>
      <t>Q</t>
    </r>
    <r>
      <rPr>
        <sz val="11"/>
        <rFont val="ＭＳ Ｐゴシック"/>
        <family val="3"/>
        <charset val="128"/>
      </rPr>
      <t>MF</t>
    </r>
    <phoneticPr fontId="3"/>
  </si>
  <si>
    <t>AMG</t>
    <phoneticPr fontId="3"/>
  </si>
  <si>
    <t>BMG</t>
    <phoneticPr fontId="3"/>
  </si>
  <si>
    <t>NMG</t>
    <phoneticPr fontId="3"/>
  </si>
  <si>
    <t>PMG</t>
    <phoneticPr fontId="3"/>
  </si>
  <si>
    <r>
      <t>バス貨物1</t>
    </r>
    <r>
      <rPr>
        <sz val="11"/>
        <rFont val="ＭＳ Ｐゴシック"/>
        <family val="3"/>
        <charset val="128"/>
      </rPr>
      <t>2</t>
    </r>
    <r>
      <rPr>
        <sz val="11"/>
        <rFont val="ＭＳ Ｐゴシック"/>
        <family val="3"/>
        <charset val="128"/>
      </rPr>
      <t>t～(軽油)</t>
    </r>
    <rPh sb="2" eb="4">
      <t>カモツ</t>
    </rPh>
    <rPh sb="9" eb="11">
      <t>ケイユ</t>
    </rPh>
    <phoneticPr fontId="3"/>
  </si>
  <si>
    <r>
      <t>バス貨物12t～(軽油)</t>
    </r>
    <r>
      <rPr>
        <sz val="11"/>
        <rFont val="ＭＳ Ｐゴシック"/>
        <family val="3"/>
        <charset val="128"/>
      </rPr>
      <t/>
    </r>
    <rPh sb="2" eb="4">
      <t>カモツ</t>
    </rPh>
    <rPh sb="9" eb="11">
      <t>ケイユ</t>
    </rPh>
    <phoneticPr fontId="3"/>
  </si>
  <si>
    <t>LTG</t>
    <phoneticPr fontId="3"/>
  </si>
  <si>
    <r>
      <t>L</t>
    </r>
    <r>
      <rPr>
        <sz val="11"/>
        <rFont val="ＭＳ Ｐゴシック"/>
        <family val="3"/>
        <charset val="128"/>
      </rPr>
      <t>SG</t>
    </r>
    <phoneticPr fontId="3"/>
  </si>
  <si>
    <r>
      <t>L</t>
    </r>
    <r>
      <rPr>
        <sz val="11"/>
        <rFont val="ＭＳ Ｐゴシック"/>
        <family val="3"/>
        <charset val="128"/>
      </rPr>
      <t>MG</t>
    </r>
    <phoneticPr fontId="3"/>
  </si>
  <si>
    <t>MMG</t>
    <phoneticPr fontId="3"/>
  </si>
  <si>
    <t>RMG</t>
    <phoneticPr fontId="3"/>
  </si>
  <si>
    <t>QDG</t>
    <phoneticPr fontId="3"/>
  </si>
  <si>
    <t>QKG</t>
    <phoneticPr fontId="3"/>
  </si>
  <si>
    <t>QPG</t>
    <phoneticPr fontId="3"/>
  </si>
  <si>
    <t>QRG</t>
    <phoneticPr fontId="3"/>
  </si>
  <si>
    <t>QTG</t>
    <phoneticPr fontId="3"/>
  </si>
  <si>
    <t>QCG</t>
    <phoneticPr fontId="3"/>
  </si>
  <si>
    <t>QJG</t>
    <phoneticPr fontId="3"/>
  </si>
  <si>
    <t>QNG</t>
    <phoneticPr fontId="3"/>
  </si>
  <si>
    <t>QQG</t>
    <phoneticPr fontId="3"/>
  </si>
  <si>
    <t>QSG</t>
    <phoneticPr fontId="3"/>
  </si>
  <si>
    <t>QMG</t>
    <phoneticPr fontId="3"/>
  </si>
  <si>
    <r>
      <t>バス貨物3.5t～</t>
    </r>
    <r>
      <rPr>
        <sz val="11"/>
        <rFont val="ＭＳ Ｐゴシック"/>
        <family val="3"/>
        <charset val="128"/>
      </rPr>
      <t>12t</t>
    </r>
    <r>
      <rPr>
        <sz val="11"/>
        <rFont val="ＭＳ Ｐゴシック"/>
        <family val="3"/>
        <charset val="128"/>
      </rPr>
      <t>(軽油)</t>
    </r>
    <rPh sb="2" eb="4">
      <t>カモツ</t>
    </rPh>
    <rPh sb="13" eb="15">
      <t>ケイユ</t>
    </rPh>
    <phoneticPr fontId="3"/>
  </si>
  <si>
    <r>
      <t>バス貨物3.5t～</t>
    </r>
    <r>
      <rPr>
        <sz val="11"/>
        <rFont val="ＭＳ Ｐゴシック"/>
        <family val="3"/>
        <charset val="128"/>
      </rPr>
      <t>12t(軽油)</t>
    </r>
    <r>
      <rPr>
        <sz val="11"/>
        <rFont val="ＭＳ Ｐゴシック"/>
        <family val="3"/>
        <charset val="128"/>
      </rPr>
      <t/>
    </r>
    <rPh sb="2" eb="4">
      <t>カモツ</t>
    </rPh>
    <rPh sb="13" eb="15">
      <t>ケイユ</t>
    </rPh>
    <phoneticPr fontId="3"/>
  </si>
  <si>
    <r>
      <t>S</t>
    </r>
    <r>
      <rPr>
        <sz val="11"/>
        <rFont val="ＭＳ Ｐゴシック"/>
        <family val="3"/>
        <charset val="128"/>
      </rPr>
      <t>TG</t>
    </r>
    <phoneticPr fontId="3"/>
  </si>
  <si>
    <r>
      <t>S</t>
    </r>
    <r>
      <rPr>
        <sz val="11"/>
        <rFont val="ＭＳ Ｐゴシック"/>
        <family val="3"/>
        <charset val="128"/>
      </rPr>
      <t>SG</t>
    </r>
    <phoneticPr fontId="3"/>
  </si>
  <si>
    <r>
      <t>S</t>
    </r>
    <r>
      <rPr>
        <sz val="11"/>
        <rFont val="ＭＳ Ｐゴシック"/>
        <family val="3"/>
        <charset val="128"/>
      </rPr>
      <t>MG</t>
    </r>
    <phoneticPr fontId="3"/>
  </si>
  <si>
    <r>
      <t>T</t>
    </r>
    <r>
      <rPr>
        <sz val="11"/>
        <rFont val="ＭＳ Ｐゴシック"/>
        <family val="3"/>
        <charset val="128"/>
      </rPr>
      <t>TG</t>
    </r>
    <phoneticPr fontId="3"/>
  </si>
  <si>
    <r>
      <t>T</t>
    </r>
    <r>
      <rPr>
        <sz val="11"/>
        <rFont val="ＭＳ Ｐゴシック"/>
        <family val="3"/>
        <charset val="128"/>
      </rPr>
      <t>SG</t>
    </r>
    <phoneticPr fontId="3"/>
  </si>
  <si>
    <r>
      <t>T</t>
    </r>
    <r>
      <rPr>
        <sz val="11"/>
        <rFont val="ＭＳ Ｐゴシック"/>
        <family val="3"/>
        <charset val="128"/>
      </rPr>
      <t>MG</t>
    </r>
    <phoneticPr fontId="3"/>
  </si>
  <si>
    <r>
      <t>バス貨物3.5t～</t>
    </r>
    <r>
      <rPr>
        <sz val="11"/>
        <rFont val="ＭＳ Ｐゴシック"/>
        <family val="3"/>
        <charset val="128"/>
      </rPr>
      <t>(軽油)</t>
    </r>
    <r>
      <rPr>
        <sz val="11"/>
        <rFont val="ＭＳ Ｐゴシック"/>
        <family val="3"/>
        <charset val="128"/>
      </rPr>
      <t/>
    </r>
    <rPh sb="2" eb="4">
      <t>カモツ</t>
    </rPh>
    <rPh sb="10" eb="12">
      <t>ケイユ</t>
    </rPh>
    <phoneticPr fontId="3"/>
  </si>
  <si>
    <r>
      <t>H</t>
    </r>
    <r>
      <rPr>
        <sz val="11"/>
        <rFont val="ＭＳ Ｐゴシック"/>
        <family val="3"/>
        <charset val="128"/>
      </rPr>
      <t>28</t>
    </r>
    <phoneticPr fontId="3"/>
  </si>
  <si>
    <r>
      <t>2</t>
    </r>
    <r>
      <rPr>
        <sz val="11"/>
        <rFont val="ＭＳ Ｐゴシック"/>
        <family val="3"/>
        <charset val="128"/>
      </rPr>
      <t>DG</t>
    </r>
    <phoneticPr fontId="3"/>
  </si>
  <si>
    <t>2KG</t>
    <phoneticPr fontId="3"/>
  </si>
  <si>
    <r>
      <t>バス貨物3.5t～(軽油)</t>
    </r>
    <r>
      <rPr>
        <sz val="11"/>
        <rFont val="ＭＳ Ｐゴシック"/>
        <family val="3"/>
        <charset val="128"/>
      </rPr>
      <t/>
    </r>
    <rPh sb="2" eb="4">
      <t>カモツ</t>
    </rPh>
    <rPh sb="10" eb="12">
      <t>ケイユ</t>
    </rPh>
    <phoneticPr fontId="3"/>
  </si>
  <si>
    <r>
      <t>H</t>
    </r>
    <r>
      <rPr>
        <sz val="11"/>
        <rFont val="ＭＳ Ｐゴシック"/>
        <family val="3"/>
        <charset val="128"/>
      </rPr>
      <t>28</t>
    </r>
    <r>
      <rPr>
        <sz val="11"/>
        <rFont val="ＭＳ Ｐゴシック"/>
        <family val="3"/>
        <charset val="128"/>
      </rPr>
      <t/>
    </r>
  </si>
  <si>
    <r>
      <t>2</t>
    </r>
    <r>
      <rPr>
        <sz val="11"/>
        <rFont val="ＭＳ Ｐゴシック"/>
        <family val="3"/>
        <charset val="128"/>
      </rPr>
      <t>PG</t>
    </r>
    <phoneticPr fontId="3"/>
  </si>
  <si>
    <r>
      <t>2</t>
    </r>
    <r>
      <rPr>
        <sz val="11"/>
        <rFont val="ＭＳ Ｐゴシック"/>
        <family val="3"/>
        <charset val="128"/>
      </rPr>
      <t>RG</t>
    </r>
    <phoneticPr fontId="3"/>
  </si>
  <si>
    <r>
      <t>2</t>
    </r>
    <r>
      <rPr>
        <sz val="11"/>
        <rFont val="ＭＳ Ｐゴシック"/>
        <family val="3"/>
        <charset val="128"/>
      </rPr>
      <t>TG</t>
    </r>
    <phoneticPr fontId="3"/>
  </si>
  <si>
    <r>
      <t>2</t>
    </r>
    <r>
      <rPr>
        <sz val="11"/>
        <rFont val="ＭＳ Ｐゴシック"/>
        <family val="3"/>
        <charset val="128"/>
      </rPr>
      <t>CG</t>
    </r>
    <phoneticPr fontId="3"/>
  </si>
  <si>
    <r>
      <t>2</t>
    </r>
    <r>
      <rPr>
        <sz val="11"/>
        <rFont val="ＭＳ Ｐゴシック"/>
        <family val="3"/>
        <charset val="128"/>
      </rPr>
      <t>JG</t>
    </r>
    <phoneticPr fontId="3"/>
  </si>
  <si>
    <r>
      <t>2</t>
    </r>
    <r>
      <rPr>
        <sz val="11"/>
        <rFont val="ＭＳ Ｐゴシック"/>
        <family val="3"/>
        <charset val="128"/>
      </rPr>
      <t>NG</t>
    </r>
    <phoneticPr fontId="3"/>
  </si>
  <si>
    <r>
      <t>2</t>
    </r>
    <r>
      <rPr>
        <sz val="11"/>
        <rFont val="ＭＳ Ｐゴシック"/>
        <family val="3"/>
        <charset val="128"/>
      </rPr>
      <t>QG</t>
    </r>
    <phoneticPr fontId="3"/>
  </si>
  <si>
    <t>2SG</t>
    <phoneticPr fontId="3"/>
  </si>
  <si>
    <t>2MG</t>
    <phoneticPr fontId="3"/>
  </si>
  <si>
    <r>
      <t>3</t>
    </r>
    <r>
      <rPr>
        <sz val="11"/>
        <rFont val="ＭＳ Ｐゴシック"/>
        <family val="3"/>
        <charset val="128"/>
      </rPr>
      <t>FE</t>
    </r>
    <phoneticPr fontId="3"/>
  </si>
  <si>
    <r>
      <t>3</t>
    </r>
    <r>
      <rPr>
        <sz val="11"/>
        <rFont val="ＭＳ Ｐゴシック"/>
        <family val="3"/>
        <charset val="128"/>
      </rPr>
      <t>EE</t>
    </r>
    <phoneticPr fontId="3"/>
  </si>
  <si>
    <r>
      <t>4</t>
    </r>
    <r>
      <rPr>
        <sz val="11"/>
        <rFont val="ＭＳ Ｐゴシック"/>
        <family val="3"/>
        <charset val="128"/>
      </rPr>
      <t>FE</t>
    </r>
    <phoneticPr fontId="3"/>
  </si>
  <si>
    <r>
      <t>4</t>
    </r>
    <r>
      <rPr>
        <sz val="11"/>
        <rFont val="ＭＳ Ｐゴシック"/>
        <family val="3"/>
        <charset val="128"/>
      </rPr>
      <t>EE</t>
    </r>
    <phoneticPr fontId="3"/>
  </si>
  <si>
    <r>
      <t>5</t>
    </r>
    <r>
      <rPr>
        <sz val="11"/>
        <rFont val="ＭＳ Ｐゴシック"/>
        <family val="3"/>
        <charset val="128"/>
      </rPr>
      <t>FE</t>
    </r>
    <phoneticPr fontId="3"/>
  </si>
  <si>
    <r>
      <t>5</t>
    </r>
    <r>
      <rPr>
        <sz val="11"/>
        <rFont val="ＭＳ Ｐゴシック"/>
        <family val="3"/>
        <charset val="128"/>
      </rPr>
      <t>EE</t>
    </r>
    <phoneticPr fontId="3"/>
  </si>
  <si>
    <r>
      <t>6</t>
    </r>
    <r>
      <rPr>
        <sz val="11"/>
        <rFont val="ＭＳ Ｐゴシック"/>
        <family val="3"/>
        <charset val="128"/>
      </rPr>
      <t>FE</t>
    </r>
    <phoneticPr fontId="3"/>
  </si>
  <si>
    <r>
      <t>6</t>
    </r>
    <r>
      <rPr>
        <sz val="11"/>
        <rFont val="ＭＳ Ｐゴシック"/>
        <family val="3"/>
        <charset val="128"/>
      </rPr>
      <t>EE</t>
    </r>
    <phoneticPr fontId="3"/>
  </si>
  <si>
    <r>
      <t>3</t>
    </r>
    <r>
      <rPr>
        <sz val="11"/>
        <rFont val="ＭＳ Ｐゴシック"/>
        <family val="3"/>
        <charset val="128"/>
      </rPr>
      <t>FF</t>
    </r>
    <phoneticPr fontId="3"/>
  </si>
  <si>
    <r>
      <t>3</t>
    </r>
    <r>
      <rPr>
        <sz val="11"/>
        <rFont val="ＭＳ Ｐゴシック"/>
        <family val="3"/>
        <charset val="128"/>
      </rPr>
      <t>EF</t>
    </r>
    <phoneticPr fontId="3"/>
  </si>
  <si>
    <r>
      <t>4</t>
    </r>
    <r>
      <rPr>
        <sz val="11"/>
        <rFont val="ＭＳ Ｐゴシック"/>
        <family val="3"/>
        <charset val="128"/>
      </rPr>
      <t>FF</t>
    </r>
    <phoneticPr fontId="3"/>
  </si>
  <si>
    <r>
      <t>4</t>
    </r>
    <r>
      <rPr>
        <sz val="11"/>
        <rFont val="ＭＳ Ｐゴシック"/>
        <family val="3"/>
        <charset val="128"/>
      </rPr>
      <t>EF</t>
    </r>
    <phoneticPr fontId="3"/>
  </si>
  <si>
    <r>
      <t>5</t>
    </r>
    <r>
      <rPr>
        <sz val="11"/>
        <rFont val="ＭＳ Ｐゴシック"/>
        <family val="3"/>
        <charset val="128"/>
      </rPr>
      <t>FF</t>
    </r>
    <phoneticPr fontId="3"/>
  </si>
  <si>
    <r>
      <t>5</t>
    </r>
    <r>
      <rPr>
        <sz val="11"/>
        <rFont val="ＭＳ Ｐゴシック"/>
        <family val="3"/>
        <charset val="128"/>
      </rPr>
      <t>EF</t>
    </r>
    <phoneticPr fontId="3"/>
  </si>
  <si>
    <r>
      <t>6</t>
    </r>
    <r>
      <rPr>
        <sz val="11"/>
        <rFont val="ＭＳ Ｐゴシック"/>
        <family val="3"/>
        <charset val="128"/>
      </rPr>
      <t>FF</t>
    </r>
    <phoneticPr fontId="3"/>
  </si>
  <si>
    <r>
      <t>6</t>
    </r>
    <r>
      <rPr>
        <sz val="11"/>
        <rFont val="ＭＳ Ｐゴシック"/>
        <family val="3"/>
        <charset val="128"/>
      </rPr>
      <t>EF</t>
    </r>
    <phoneticPr fontId="3"/>
  </si>
  <si>
    <r>
      <t>バス貨物1</t>
    </r>
    <r>
      <rPr>
        <sz val="11"/>
        <rFont val="ＭＳ Ｐゴシック"/>
        <family val="3"/>
        <charset val="128"/>
      </rPr>
      <t>2</t>
    </r>
    <r>
      <rPr>
        <sz val="11"/>
        <rFont val="ＭＳ Ｐゴシック"/>
        <family val="3"/>
        <charset val="128"/>
      </rPr>
      <t>t～(CNG)</t>
    </r>
    <rPh sb="2" eb="4">
      <t>カモツ</t>
    </rPh>
    <phoneticPr fontId="3"/>
  </si>
  <si>
    <t>貨5C</t>
    <rPh sb="0" eb="1">
      <t>カ</t>
    </rPh>
    <phoneticPr fontId="3"/>
  </si>
  <si>
    <r>
      <t>バス貨物12t～(CNG)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</si>
  <si>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(CNG)</t>
    </r>
    <rPh sb="2" eb="4">
      <t>カモツ</t>
    </rPh>
    <phoneticPr fontId="3"/>
  </si>
  <si>
    <r>
      <t>バス貨物3.5t～</t>
    </r>
    <r>
      <rPr>
        <sz val="11"/>
        <rFont val="ＭＳ Ｐゴシック"/>
        <family val="3"/>
        <charset val="128"/>
      </rPr>
      <t>12t(CNG)</t>
    </r>
    <r>
      <rPr>
        <sz val="11"/>
        <rFont val="ＭＳ Ｐゴシック"/>
        <family val="3"/>
        <charset val="128"/>
      </rPr>
      <t/>
    </r>
    <rPh sb="2" eb="4">
      <t>カモツ</t>
    </rPh>
    <phoneticPr fontId="3"/>
  </si>
  <si>
    <r>
      <t>H2</t>
    </r>
    <r>
      <rPr>
        <sz val="11"/>
        <rFont val="ＭＳ Ｐゴシック"/>
        <family val="3"/>
        <charset val="128"/>
      </rPr>
      <t>8</t>
    </r>
    <phoneticPr fontId="3"/>
  </si>
  <si>
    <r>
      <t>2</t>
    </r>
    <r>
      <rPr>
        <sz val="11"/>
        <rFont val="ＭＳ Ｐゴシック"/>
        <family val="3"/>
        <charset val="128"/>
      </rPr>
      <t>FG</t>
    </r>
    <phoneticPr fontId="3"/>
  </si>
  <si>
    <r>
      <t>2</t>
    </r>
    <r>
      <rPr>
        <sz val="11"/>
        <rFont val="ＭＳ Ｐゴシック"/>
        <family val="3"/>
        <charset val="128"/>
      </rPr>
      <t>EG</t>
    </r>
    <phoneticPr fontId="3"/>
  </si>
  <si>
    <t>3HE</t>
    <phoneticPr fontId="3"/>
  </si>
  <si>
    <t>3GE</t>
    <phoneticPr fontId="3"/>
  </si>
  <si>
    <t>4HE</t>
    <phoneticPr fontId="3"/>
  </si>
  <si>
    <t>4GE</t>
    <phoneticPr fontId="3"/>
  </si>
  <si>
    <t>5HE</t>
    <phoneticPr fontId="3"/>
  </si>
  <si>
    <t>5GE</t>
    <phoneticPr fontId="3"/>
  </si>
  <si>
    <t>6HE</t>
    <phoneticPr fontId="3"/>
  </si>
  <si>
    <t>6GE</t>
    <phoneticPr fontId="3"/>
  </si>
  <si>
    <r>
      <t>3</t>
    </r>
    <r>
      <rPr>
        <sz val="11"/>
        <rFont val="ＭＳ Ｐゴシック"/>
        <family val="3"/>
        <charset val="128"/>
      </rPr>
      <t>HF</t>
    </r>
    <phoneticPr fontId="3"/>
  </si>
  <si>
    <r>
      <t>3</t>
    </r>
    <r>
      <rPr>
        <sz val="11"/>
        <rFont val="ＭＳ Ｐゴシック"/>
        <family val="3"/>
        <charset val="128"/>
      </rPr>
      <t>GF</t>
    </r>
    <phoneticPr fontId="3"/>
  </si>
  <si>
    <r>
      <t>4</t>
    </r>
    <r>
      <rPr>
        <sz val="11"/>
        <rFont val="ＭＳ Ｐゴシック"/>
        <family val="3"/>
        <charset val="128"/>
      </rPr>
      <t>HF</t>
    </r>
    <phoneticPr fontId="3"/>
  </si>
  <si>
    <r>
      <t>4</t>
    </r>
    <r>
      <rPr>
        <sz val="11"/>
        <rFont val="ＭＳ Ｐゴシック"/>
        <family val="3"/>
        <charset val="128"/>
      </rPr>
      <t>GF</t>
    </r>
    <phoneticPr fontId="3"/>
  </si>
  <si>
    <r>
      <t>5</t>
    </r>
    <r>
      <rPr>
        <sz val="11"/>
        <rFont val="ＭＳ Ｐゴシック"/>
        <family val="3"/>
        <charset val="128"/>
      </rPr>
      <t>HF</t>
    </r>
    <phoneticPr fontId="3"/>
  </si>
  <si>
    <r>
      <t>5</t>
    </r>
    <r>
      <rPr>
        <sz val="11"/>
        <rFont val="ＭＳ Ｐゴシック"/>
        <family val="3"/>
        <charset val="128"/>
      </rPr>
      <t>GF</t>
    </r>
    <phoneticPr fontId="3"/>
  </si>
  <si>
    <r>
      <t>6</t>
    </r>
    <r>
      <rPr>
        <sz val="11"/>
        <rFont val="ＭＳ Ｐゴシック"/>
        <family val="3"/>
        <charset val="128"/>
      </rPr>
      <t>HF</t>
    </r>
    <phoneticPr fontId="3"/>
  </si>
  <si>
    <r>
      <t>6</t>
    </r>
    <r>
      <rPr>
        <sz val="11"/>
        <rFont val="ＭＳ Ｐゴシック"/>
        <family val="3"/>
        <charset val="128"/>
      </rPr>
      <t>GF</t>
    </r>
    <phoneticPr fontId="3"/>
  </si>
  <si>
    <r>
      <t>バス貨物1</t>
    </r>
    <r>
      <rPr>
        <sz val="11"/>
        <rFont val="ＭＳ Ｐゴシック"/>
        <family val="3"/>
        <charset val="128"/>
      </rPr>
      <t>2</t>
    </r>
    <r>
      <rPr>
        <sz val="11"/>
        <rFont val="ＭＳ Ｐゴシック"/>
        <family val="3"/>
        <charset val="128"/>
      </rPr>
      <t>t～(メタノール)</t>
    </r>
    <rPh sb="2" eb="4">
      <t>カモツ</t>
    </rPh>
    <phoneticPr fontId="3"/>
  </si>
  <si>
    <r>
      <t>バス貨物12t～(メタノール)</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</si>
  <si>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(メタノール)</t>
    </r>
    <rPh sb="2" eb="4">
      <t>カモツ</t>
    </rPh>
    <phoneticPr fontId="3"/>
  </si>
  <si>
    <r>
      <t>バス貨物3.5t～</t>
    </r>
    <r>
      <rPr>
        <sz val="11"/>
        <rFont val="ＭＳ Ｐゴシック"/>
        <family val="3"/>
        <charset val="128"/>
      </rPr>
      <t>12t(メタノール)</t>
    </r>
    <r>
      <rPr>
        <sz val="11"/>
        <rFont val="ＭＳ Ｐゴシック"/>
        <family val="3"/>
        <charset val="128"/>
      </rPr>
      <t/>
    </r>
    <rPh sb="2" eb="4">
      <t>カモツ</t>
    </rPh>
    <phoneticPr fontId="3"/>
  </si>
  <si>
    <r>
      <t>2</t>
    </r>
    <r>
      <rPr>
        <sz val="11"/>
        <rFont val="ＭＳ Ｐゴシック"/>
        <family val="3"/>
        <charset val="128"/>
      </rPr>
      <t>HG</t>
    </r>
    <phoneticPr fontId="3"/>
  </si>
  <si>
    <r>
      <t>2</t>
    </r>
    <r>
      <rPr>
        <sz val="11"/>
        <rFont val="ＭＳ Ｐゴシック"/>
        <family val="3"/>
        <charset val="128"/>
      </rPr>
      <t>GG</t>
    </r>
    <phoneticPr fontId="3"/>
  </si>
  <si>
    <t>3BA</t>
    <phoneticPr fontId="3"/>
  </si>
  <si>
    <t>3AA</t>
    <phoneticPr fontId="3"/>
  </si>
  <si>
    <t>3LA</t>
    <phoneticPr fontId="3"/>
  </si>
  <si>
    <t>4BA</t>
    <phoneticPr fontId="3"/>
  </si>
  <si>
    <t>4AA</t>
    <phoneticPr fontId="3"/>
  </si>
  <si>
    <t>4LA</t>
    <phoneticPr fontId="3"/>
  </si>
  <si>
    <t>5BA</t>
    <phoneticPr fontId="3"/>
  </si>
  <si>
    <t>5AA</t>
    <phoneticPr fontId="3"/>
  </si>
  <si>
    <t>5LA</t>
    <phoneticPr fontId="3"/>
  </si>
  <si>
    <t>6BA</t>
    <phoneticPr fontId="3"/>
  </si>
  <si>
    <t>6AA</t>
    <phoneticPr fontId="3"/>
  </si>
  <si>
    <t>6LA</t>
    <phoneticPr fontId="3"/>
  </si>
  <si>
    <r>
      <t>3</t>
    </r>
    <r>
      <rPr>
        <sz val="11"/>
        <rFont val="ＭＳ Ｐゴシック"/>
        <family val="3"/>
        <charset val="128"/>
      </rPr>
      <t>LA</t>
    </r>
    <phoneticPr fontId="3"/>
  </si>
  <si>
    <r>
      <t>4</t>
    </r>
    <r>
      <rPr>
        <sz val="11"/>
        <rFont val="ＭＳ Ｐゴシック"/>
        <family val="3"/>
        <charset val="128"/>
      </rPr>
      <t>LA</t>
    </r>
    <phoneticPr fontId="3"/>
  </si>
  <si>
    <r>
      <t>5</t>
    </r>
    <r>
      <rPr>
        <sz val="11"/>
        <rFont val="ＭＳ Ｐゴシック"/>
        <family val="3"/>
        <charset val="128"/>
      </rPr>
      <t>LA</t>
    </r>
    <phoneticPr fontId="3"/>
  </si>
  <si>
    <r>
      <t>6</t>
    </r>
    <r>
      <rPr>
        <sz val="11"/>
        <rFont val="ＭＳ Ｐゴシック"/>
        <family val="3"/>
        <charset val="128"/>
      </rPr>
      <t>LA</t>
    </r>
    <phoneticPr fontId="3"/>
  </si>
  <si>
    <r>
      <t>3</t>
    </r>
    <r>
      <rPr>
        <sz val="11"/>
        <rFont val="ＭＳ Ｐゴシック"/>
        <family val="3"/>
        <charset val="128"/>
      </rPr>
      <t>DA</t>
    </r>
    <phoneticPr fontId="3"/>
  </si>
  <si>
    <r>
      <t>3</t>
    </r>
    <r>
      <rPr>
        <sz val="11"/>
        <rFont val="ＭＳ Ｐゴシック"/>
        <family val="3"/>
        <charset val="128"/>
      </rPr>
      <t>CA</t>
    </r>
    <phoneticPr fontId="3"/>
  </si>
  <si>
    <r>
      <t>3</t>
    </r>
    <r>
      <rPr>
        <sz val="11"/>
        <rFont val="ＭＳ Ｐゴシック"/>
        <family val="3"/>
        <charset val="128"/>
      </rPr>
      <t>MA</t>
    </r>
    <phoneticPr fontId="3"/>
  </si>
  <si>
    <r>
      <t>4</t>
    </r>
    <r>
      <rPr>
        <sz val="11"/>
        <rFont val="ＭＳ Ｐゴシック"/>
        <family val="3"/>
        <charset val="128"/>
      </rPr>
      <t>DA</t>
    </r>
    <phoneticPr fontId="3"/>
  </si>
  <si>
    <r>
      <t>4</t>
    </r>
    <r>
      <rPr>
        <sz val="11"/>
        <rFont val="ＭＳ Ｐゴシック"/>
        <family val="3"/>
        <charset val="128"/>
      </rPr>
      <t>CA</t>
    </r>
    <phoneticPr fontId="3"/>
  </si>
  <si>
    <r>
      <t>4</t>
    </r>
    <r>
      <rPr>
        <sz val="11"/>
        <rFont val="ＭＳ Ｐゴシック"/>
        <family val="3"/>
        <charset val="128"/>
      </rPr>
      <t>MA</t>
    </r>
    <phoneticPr fontId="3"/>
  </si>
  <si>
    <t>5DA</t>
    <phoneticPr fontId="3"/>
  </si>
  <si>
    <r>
      <t>5</t>
    </r>
    <r>
      <rPr>
        <sz val="11"/>
        <rFont val="ＭＳ Ｐゴシック"/>
        <family val="3"/>
        <charset val="128"/>
      </rPr>
      <t>CA</t>
    </r>
    <phoneticPr fontId="3"/>
  </si>
  <si>
    <r>
      <t>5</t>
    </r>
    <r>
      <rPr>
        <sz val="11"/>
        <rFont val="ＭＳ Ｐゴシック"/>
        <family val="3"/>
        <charset val="128"/>
      </rPr>
      <t>MA</t>
    </r>
    <phoneticPr fontId="3"/>
  </si>
  <si>
    <r>
      <t>6</t>
    </r>
    <r>
      <rPr>
        <sz val="11"/>
        <rFont val="ＭＳ Ｐゴシック"/>
        <family val="3"/>
        <charset val="128"/>
      </rPr>
      <t>DA</t>
    </r>
    <phoneticPr fontId="3"/>
  </si>
  <si>
    <r>
      <t>6</t>
    </r>
    <r>
      <rPr>
        <sz val="11"/>
        <rFont val="ＭＳ Ｐゴシック"/>
        <family val="3"/>
        <charset val="128"/>
      </rPr>
      <t>CA</t>
    </r>
    <phoneticPr fontId="3"/>
  </si>
  <si>
    <r>
      <t>6</t>
    </r>
    <r>
      <rPr>
        <sz val="11"/>
        <rFont val="ＭＳ Ｐゴシック"/>
        <family val="3"/>
        <charset val="128"/>
      </rPr>
      <t>MA</t>
    </r>
    <phoneticPr fontId="3"/>
  </si>
  <si>
    <r>
      <t>3</t>
    </r>
    <r>
      <rPr>
        <sz val="11"/>
        <rFont val="ＭＳ Ｐゴシック"/>
        <family val="3"/>
        <charset val="128"/>
      </rPr>
      <t>FA</t>
    </r>
    <phoneticPr fontId="3"/>
  </si>
  <si>
    <r>
      <t>3</t>
    </r>
    <r>
      <rPr>
        <sz val="11"/>
        <rFont val="ＭＳ Ｐゴシック"/>
        <family val="3"/>
        <charset val="128"/>
      </rPr>
      <t>EA</t>
    </r>
    <phoneticPr fontId="3"/>
  </si>
  <si>
    <r>
      <t>4</t>
    </r>
    <r>
      <rPr>
        <sz val="11"/>
        <rFont val="ＭＳ Ｐゴシック"/>
        <family val="3"/>
        <charset val="128"/>
      </rPr>
      <t>FA</t>
    </r>
    <phoneticPr fontId="3"/>
  </si>
  <si>
    <r>
      <t>4</t>
    </r>
    <r>
      <rPr>
        <sz val="11"/>
        <rFont val="ＭＳ Ｐゴシック"/>
        <family val="3"/>
        <charset val="128"/>
      </rPr>
      <t>EA</t>
    </r>
    <phoneticPr fontId="3"/>
  </si>
  <si>
    <r>
      <t>5</t>
    </r>
    <r>
      <rPr>
        <sz val="11"/>
        <rFont val="ＭＳ Ｐゴシック"/>
        <family val="3"/>
        <charset val="128"/>
      </rPr>
      <t>FA</t>
    </r>
    <phoneticPr fontId="3"/>
  </si>
  <si>
    <r>
      <t>5</t>
    </r>
    <r>
      <rPr>
        <sz val="11"/>
        <rFont val="ＭＳ Ｐゴシック"/>
        <family val="3"/>
        <charset val="128"/>
      </rPr>
      <t>EA</t>
    </r>
    <phoneticPr fontId="3"/>
  </si>
  <si>
    <r>
      <t>6</t>
    </r>
    <r>
      <rPr>
        <sz val="11"/>
        <rFont val="ＭＳ Ｐゴシック"/>
        <family val="3"/>
        <charset val="128"/>
      </rPr>
      <t>FA</t>
    </r>
    <phoneticPr fontId="3"/>
  </si>
  <si>
    <r>
      <t>6</t>
    </r>
    <r>
      <rPr>
        <sz val="11"/>
        <rFont val="ＭＳ Ｐゴシック"/>
        <family val="3"/>
        <charset val="128"/>
      </rPr>
      <t>EA</t>
    </r>
    <phoneticPr fontId="3"/>
  </si>
  <si>
    <r>
      <t>3</t>
    </r>
    <r>
      <rPr>
        <sz val="11"/>
        <rFont val="ＭＳ Ｐゴシック"/>
        <family val="3"/>
        <charset val="128"/>
      </rPr>
      <t>HA</t>
    </r>
    <phoneticPr fontId="3"/>
  </si>
  <si>
    <r>
      <t>3</t>
    </r>
    <r>
      <rPr>
        <sz val="11"/>
        <rFont val="ＭＳ Ｐゴシック"/>
        <family val="3"/>
        <charset val="128"/>
      </rPr>
      <t>GA</t>
    </r>
    <phoneticPr fontId="3"/>
  </si>
  <si>
    <r>
      <t>4</t>
    </r>
    <r>
      <rPr>
        <sz val="11"/>
        <rFont val="ＭＳ Ｐゴシック"/>
        <family val="3"/>
        <charset val="128"/>
      </rPr>
      <t>HA</t>
    </r>
    <phoneticPr fontId="3"/>
  </si>
  <si>
    <r>
      <t>4</t>
    </r>
    <r>
      <rPr>
        <sz val="11"/>
        <rFont val="ＭＳ Ｐゴシック"/>
        <family val="3"/>
        <charset val="128"/>
      </rPr>
      <t>GA</t>
    </r>
    <phoneticPr fontId="3"/>
  </si>
  <si>
    <r>
      <t>5</t>
    </r>
    <r>
      <rPr>
        <sz val="11"/>
        <rFont val="ＭＳ Ｐゴシック"/>
        <family val="3"/>
        <charset val="128"/>
      </rPr>
      <t>HA</t>
    </r>
    <phoneticPr fontId="3"/>
  </si>
  <si>
    <r>
      <t>5</t>
    </r>
    <r>
      <rPr>
        <sz val="11"/>
        <rFont val="ＭＳ Ｐゴシック"/>
        <family val="3"/>
        <charset val="128"/>
      </rPr>
      <t>GA</t>
    </r>
    <phoneticPr fontId="3"/>
  </si>
  <si>
    <r>
      <t>6</t>
    </r>
    <r>
      <rPr>
        <sz val="11"/>
        <rFont val="ＭＳ Ｐゴシック"/>
        <family val="3"/>
        <charset val="128"/>
      </rPr>
      <t>HA</t>
    </r>
    <phoneticPr fontId="3"/>
  </si>
  <si>
    <r>
      <t>6</t>
    </r>
    <r>
      <rPr>
        <sz val="11"/>
        <rFont val="ＭＳ Ｐゴシック"/>
        <family val="3"/>
        <charset val="128"/>
      </rPr>
      <t>GA</t>
    </r>
    <phoneticPr fontId="3"/>
  </si>
  <si>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3"/>
  </si>
  <si>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3"/>
  </si>
  <si>
    <t>1.7～3.5t</t>
  </si>
  <si>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3"/>
  </si>
  <si>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3"/>
  </si>
  <si>
    <t>排出係数表が変わったらこの列を修正</t>
    <rPh sb="0" eb="2">
      <t>ハイシュツ</t>
    </rPh>
    <rPh sb="2" eb="4">
      <t>ケイスウ</t>
    </rPh>
    <rPh sb="4" eb="5">
      <t>ヒョウ</t>
    </rPh>
    <rPh sb="6" eb="7">
      <t>カ</t>
    </rPh>
    <rPh sb="13" eb="14">
      <t>レツ</t>
    </rPh>
    <rPh sb="15" eb="17">
      <t>シュウセイ</t>
    </rPh>
    <phoneticPr fontId="3"/>
  </si>
  <si>
    <t>令和   年 　月   日</t>
    <rPh sb="0" eb="2">
      <t>レイワ</t>
    </rPh>
    <rPh sb="5" eb="6">
      <t>ネン</t>
    </rPh>
    <rPh sb="8" eb="9">
      <t>ツキ</t>
    </rPh>
    <rPh sb="12" eb="13">
      <t>ニチ</t>
    </rPh>
    <phoneticPr fontId="3"/>
  </si>
  <si>
    <t>ガソリン・LPG
(ハイブリッド・プラグインハイブリッドを除く）</t>
    <rPh sb="29" eb="30">
      <t>ノゾ</t>
    </rPh>
    <phoneticPr fontId="3"/>
  </si>
  <si>
    <r>
      <t>軽油　（ハイブリッド・</t>
    </r>
    <r>
      <rPr>
        <sz val="11"/>
        <rFont val="ＭＳ Ｐゴシック"/>
        <family val="3"/>
        <charset val="128"/>
      </rPr>
      <t>プラグインハイブリッドを除く）</t>
    </r>
    <rPh sb="0" eb="2">
      <t>ケイユ</t>
    </rPh>
    <phoneticPr fontId="3"/>
  </si>
  <si>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以上適合車、電気自動車、メタノール自動車、燃料電池自動車とする。</t>
    <rPh sb="41" eb="44">
      <t>ジドウシャ</t>
    </rPh>
    <phoneticPr fontId="3"/>
  </si>
  <si>
    <t>ガソリン・LPG
(ハイブリッド・プラグインハイブリッドを除く）</t>
    <phoneticPr fontId="3"/>
  </si>
  <si>
    <r>
      <t>軽油　（ハイブリッド・</t>
    </r>
    <r>
      <rPr>
        <sz val="11"/>
        <rFont val="ＭＳ Ｐゴシック"/>
        <family val="3"/>
        <charset val="128"/>
      </rPr>
      <t>プラグインハイブリッドを除く）</t>
    </r>
    <rPh sb="0" eb="2">
      <t>ケイユ</t>
    </rPh>
    <rPh sb="23" eb="24">
      <t>ノゾ</t>
    </rPh>
    <phoneticPr fontId="3"/>
  </si>
  <si>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以上適合車、電気自動車、メタノール自動車、燃料電池自動車とする。</t>
    <rPh sb="105" eb="107">
      <t>イジョウ</t>
    </rPh>
    <phoneticPr fontId="3"/>
  </si>
  <si>
    <t>①記載においてわかりにくい部分には注意書きがしてあります。</t>
    <rPh sb="1" eb="3">
      <t>キサイ</t>
    </rPh>
    <rPh sb="13" eb="15">
      <t>ブブン</t>
    </rPh>
    <rPh sb="17" eb="19">
      <t>チュウイ</t>
    </rPh>
    <rPh sb="19" eb="20">
      <t>カ</t>
    </rPh>
    <phoneticPr fontId="3"/>
  </si>
  <si>
    <t>　「自動車使用管理計画・実績報告」届出様式（Excelファイル）の概要を説明しています。必ずお読みください。</t>
    <rPh sb="2" eb="5">
      <t>ジドウシャ</t>
    </rPh>
    <rPh sb="5" eb="7">
      <t>シヨウ</t>
    </rPh>
    <rPh sb="7" eb="9">
      <t>カンリ</t>
    </rPh>
    <rPh sb="9" eb="11">
      <t>ケイカク</t>
    </rPh>
    <rPh sb="12" eb="14">
      <t>ジッセキ</t>
    </rPh>
    <rPh sb="14" eb="16">
      <t>ホウコク</t>
    </rPh>
    <rPh sb="17" eb="19">
      <t>トドケデ</t>
    </rPh>
    <rPh sb="19" eb="21">
      <t>ヨウシキ</t>
    </rPh>
    <rPh sb="33" eb="35">
      <t>ガイヨウ</t>
    </rPh>
    <rPh sb="36" eb="38">
      <t>セツメイ</t>
    </rPh>
    <rPh sb="44" eb="45">
      <t>カナラ</t>
    </rPh>
    <rPh sb="47" eb="48">
      <t>ヨ</t>
    </rPh>
    <phoneticPr fontId="3"/>
  </si>
  <si>
    <t>　なお、様式は「30事業場500台用」「150事業場3,000台用」「150事業場10,000台用」がありますので、事業者の規模にあわせて
選択してください。</t>
    <rPh sb="4" eb="6">
      <t>ヨウシキ</t>
    </rPh>
    <rPh sb="10" eb="13">
      <t>ジギョウジョウ</t>
    </rPh>
    <rPh sb="16" eb="17">
      <t>ダイ</t>
    </rPh>
    <rPh sb="17" eb="18">
      <t>ヨウ</t>
    </rPh>
    <rPh sb="23" eb="26">
      <t>ジギョウジョウ</t>
    </rPh>
    <rPh sb="31" eb="32">
      <t>ダイ</t>
    </rPh>
    <rPh sb="32" eb="33">
      <t>ヨウ</t>
    </rPh>
    <rPh sb="58" eb="61">
      <t>ジギョウシャ</t>
    </rPh>
    <rPh sb="62" eb="64">
      <t>キボ</t>
    </rPh>
    <rPh sb="70" eb="72">
      <t>センタク</t>
    </rPh>
    <phoneticPr fontId="3"/>
  </si>
  <si>
    <t>[様式（エクセルシート）について]</t>
    <rPh sb="1" eb="3">
      <t>ヨウシキ</t>
    </rPh>
    <phoneticPr fontId="3"/>
  </si>
  <si>
    <t>①　自動車使用管理計画書（単に計画書）を作成するには、様式１－１「計画表紙」、1－2「計画排出量」、1－3「計画措置」、
　　　1－4「計画代替」、1－5「計画事業場」の各シートに必要事項を記載してください。</t>
    <rPh sb="13" eb="14">
      <t>タン</t>
    </rPh>
    <rPh sb="20" eb="22">
      <t>サクセイ</t>
    </rPh>
    <rPh sb="27" eb="29">
      <t>ヨウシキ</t>
    </rPh>
    <rPh sb="33" eb="35">
      <t>ケイカク</t>
    </rPh>
    <rPh sb="35" eb="37">
      <t>ヒョウシ</t>
    </rPh>
    <rPh sb="43" eb="45">
      <t>ケイカク</t>
    </rPh>
    <rPh sb="45" eb="48">
      <t>ハイシュツリョウ</t>
    </rPh>
    <rPh sb="56" eb="58">
      <t>ソチ</t>
    </rPh>
    <rPh sb="70" eb="72">
      <t>ダイタイ</t>
    </rPh>
    <rPh sb="80" eb="82">
      <t>ジギョウ</t>
    </rPh>
    <rPh sb="82" eb="83">
      <t>バ</t>
    </rPh>
    <rPh sb="90" eb="92">
      <t>ヒツヨウ</t>
    </rPh>
    <rPh sb="92" eb="94">
      <t>ジコウ</t>
    </rPh>
    <rPh sb="95" eb="97">
      <t>キサイ</t>
    </rPh>
    <phoneticPr fontId="3"/>
  </si>
  <si>
    <t>②　計画書を提出した翌年以降、自動車使用管理実績報告書（報告書）を作成するには、様式2－1「実績表紙」、2－2「実績排出量」、
　　　2－3「実績措置」、2－4「実績代替」、2－5「実績事業場」の各シートに必要事項を記載してください。
　　　また、２年目以降の報告書を作成するには、各シートを上書きして活用ください。
　　　※実績は年度末時点での情報を記入ください。年度途中に事業所が廃止になった場合、廃止時点での車両・従業員の
　　　情報を記載ください。
　　　（車両・従業員を他事業所に異動させた場合、その異動分は除く）。</t>
    <rPh sb="2" eb="5">
      <t>ケイカクショ</t>
    </rPh>
    <rPh sb="6" eb="8">
      <t>テイシュツ</t>
    </rPh>
    <rPh sb="10" eb="12">
      <t>ヨクネン</t>
    </rPh>
    <rPh sb="12" eb="14">
      <t>イコウ</t>
    </rPh>
    <rPh sb="28" eb="31">
      <t>ホウコクショ</t>
    </rPh>
    <rPh sb="33" eb="35">
      <t>サクセイ</t>
    </rPh>
    <rPh sb="40" eb="42">
      <t>ヨウシキ</t>
    </rPh>
    <rPh sb="46" eb="48">
      <t>ジッセキ</t>
    </rPh>
    <rPh sb="48" eb="50">
      <t>ヒョウシ</t>
    </rPh>
    <rPh sb="58" eb="61">
      <t>ハイシュツリョウ</t>
    </rPh>
    <rPh sb="73" eb="75">
      <t>ソチ</t>
    </rPh>
    <rPh sb="83" eb="85">
      <t>ダイタイ</t>
    </rPh>
    <rPh sb="93" eb="95">
      <t>ジギョウ</t>
    </rPh>
    <rPh sb="95" eb="96">
      <t>バ</t>
    </rPh>
    <rPh sb="98" eb="99">
      <t>カク</t>
    </rPh>
    <rPh sb="103" eb="105">
      <t>ヒツヨウ</t>
    </rPh>
    <rPh sb="105" eb="107">
      <t>ジコウ</t>
    </rPh>
    <rPh sb="108" eb="110">
      <t>キサイ</t>
    </rPh>
    <rPh sb="130" eb="133">
      <t>ホウコクショ</t>
    </rPh>
    <rPh sb="134" eb="136">
      <t>サクセイ</t>
    </rPh>
    <rPh sb="141" eb="142">
      <t>カク</t>
    </rPh>
    <rPh sb="146" eb="148">
      <t>ウワガ</t>
    </rPh>
    <rPh sb="198" eb="200">
      <t>バアイ</t>
    </rPh>
    <rPh sb="201" eb="203">
      <t>ハイシ</t>
    </rPh>
    <rPh sb="207" eb="209">
      <t>シャリョウ</t>
    </rPh>
    <rPh sb="210" eb="213">
      <t>ジュウギョウイン</t>
    </rPh>
    <rPh sb="233" eb="235">
      <t>シャリョウ</t>
    </rPh>
    <rPh sb="236" eb="239">
      <t>ジュウギョウイン</t>
    </rPh>
    <rPh sb="240" eb="241">
      <t>ホカ</t>
    </rPh>
    <rPh sb="241" eb="244">
      <t>ジギョウショ</t>
    </rPh>
    <rPh sb="245" eb="247">
      <t>イドウ</t>
    </rPh>
    <rPh sb="250" eb="252">
      <t>バアイ</t>
    </rPh>
    <rPh sb="255" eb="257">
      <t>イドウ</t>
    </rPh>
    <rPh sb="257" eb="258">
      <t>ブン</t>
    </rPh>
    <rPh sb="259" eb="260">
      <t>ノゾ</t>
    </rPh>
    <phoneticPr fontId="3"/>
  </si>
  <si>
    <t>③　参考シート（排出係数、産業分類表）</t>
    <rPh sb="2" eb="4">
      <t>サンコウ</t>
    </rPh>
    <rPh sb="8" eb="10">
      <t>ハイシュツ</t>
    </rPh>
    <rPh sb="10" eb="12">
      <t>ケイスウ</t>
    </rPh>
    <rPh sb="13" eb="15">
      <t>サンギョウ</t>
    </rPh>
    <rPh sb="15" eb="17">
      <t>ブンルイ</t>
    </rPh>
    <rPh sb="17" eb="18">
      <t>ヒョウ</t>
    </rPh>
    <phoneticPr fontId="3"/>
  </si>
  <si>
    <t>Ver3.01Patched</t>
  </si>
  <si>
    <t>様式１－２</t>
    <phoneticPr fontId="3"/>
  </si>
  <si>
    <t>台数</t>
  </si>
  <si>
    <t>電気自動車</t>
  </si>
  <si>
    <t>燃料電池車</t>
  </si>
  <si>
    <t>入力不要</t>
    <phoneticPr fontId="3"/>
  </si>
  <si>
    <t>年間走行距離（km）</t>
  </si>
  <si>
    <t>入力判定</t>
  </si>
  <si>
    <t>様式２－２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</si>
</sst>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 "/>
    <numFmt numFmtId="177" formatCode="0_ "/>
    <numFmt numFmtId="178" formatCode="[&lt;&gt;0]General"/>
    <numFmt numFmtId="179" formatCode="#,##0_ "/>
    <numFmt numFmtId="180" formatCode="0.000_ "/>
    <numFmt numFmtId="181" formatCode="General;General;"/>
    <numFmt numFmtId="182" formatCode="#,##0.0_);[Red]\(#,##0.0\)"/>
    <numFmt numFmtId="183" formatCode="000"/>
    <numFmt numFmtId="184" formatCode="0000"/>
    <numFmt numFmtId="185" formatCode="0_ ;[Red]\-0\ "/>
    <numFmt numFmtId="186" formatCode="0.0_ ;[Red]\-0.0\ "/>
    <numFmt numFmtId="187" formatCode="0.00_ ;[Red]\-0.00\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53"/>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b/>
      <sz val="12"/>
      <name val="ＭＳ Ｐゴシック"/>
      <family val="3"/>
      <charset val="128"/>
    </font>
    <font>
      <sz val="11"/>
      <name val="ＭＳ Ｐゴシック"/>
      <family val="3"/>
      <charset val="128"/>
    </font>
    <font>
      <sz val="11"/>
      <name val="ＭＳ Ｐゴシック"/>
      <family val="3"/>
      <charset val="128"/>
    </font>
    <font>
      <b/>
      <sz val="16"/>
      <name val="ＭＳ Ｐゴシック"/>
      <family val="3"/>
      <charset val="128"/>
    </font>
    <font>
      <b/>
      <u/>
      <sz val="16"/>
      <name val="ＭＳ Ｐゴシック"/>
      <family val="3"/>
      <charset val="128"/>
    </font>
    <font>
      <b/>
      <sz val="11"/>
      <name val="ＭＳ Ｐゴシック"/>
      <family val="3"/>
      <charset val="128"/>
    </font>
    <font>
      <u/>
      <sz val="9"/>
      <color indexed="81"/>
      <name val="ＭＳ Ｐゴシック"/>
      <family val="3"/>
      <charset val="128"/>
    </font>
    <font>
      <b/>
      <sz val="9"/>
      <color indexed="81"/>
      <name val="ＭＳ Ｐゴシック"/>
      <family val="3"/>
      <charset val="128"/>
    </font>
    <font>
      <b/>
      <sz val="9"/>
      <color indexed="10"/>
      <name val="MS P ゴシック"/>
      <family val="3"/>
      <charset val="128"/>
    </font>
    <font>
      <sz val="9"/>
      <color indexed="81"/>
      <name val="MS P ゴシック"/>
      <family val="3"/>
      <charset val="128"/>
    </font>
    <font>
      <b/>
      <sz val="9"/>
      <color indexed="10"/>
      <name val="ＭＳ Ｐゴシック"/>
      <family val="3"/>
      <charset val="128"/>
    </font>
    <font>
      <vertAlign val="subscript"/>
      <sz val="11"/>
      <name val="ＭＳ Ｐゴシック"/>
      <family val="3"/>
      <charset val="128"/>
    </font>
    <font>
      <b/>
      <vertAlign val="subscript"/>
      <sz val="12"/>
      <name val="ＭＳ Ｐゴシック"/>
      <family val="3"/>
      <charset val="128"/>
    </font>
    <font>
      <sz val="10.5"/>
      <name val="ＭＳ ゴシック"/>
      <family val="3"/>
      <charset val="128"/>
    </font>
    <font>
      <vertAlign val="superscript"/>
      <sz val="11"/>
      <name val="ＭＳ Ｐゴシック"/>
      <family val="3"/>
      <charset val="128"/>
    </font>
    <font>
      <b/>
      <sz val="14"/>
      <color rgb="FFFF0000"/>
      <name val="ＭＳ Ｐゴシック"/>
      <family val="3"/>
      <charset val="128"/>
    </font>
    <font>
      <b/>
      <sz val="10"/>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10.5"/>
      <color rgb="FFFF0000"/>
      <name val="ＭＳ Ｐゴシック"/>
      <family val="3"/>
      <charset val="128"/>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29"/>
      </patternFill>
    </fill>
    <fill>
      <patternFill patternType="solid">
        <fgColor indexed="47"/>
        <bgColor indexed="64"/>
      </patternFill>
    </fill>
    <fill>
      <patternFill patternType="solid">
        <fgColor indexed="13"/>
        <bgColor indexed="64"/>
      </patternFill>
    </fill>
    <fill>
      <patternFill patternType="solid">
        <fgColor indexed="17"/>
        <bgColor indexed="64"/>
      </patternFill>
    </fill>
    <fill>
      <patternFill patternType="solid">
        <fgColor indexed="44"/>
        <bgColor indexed="64"/>
      </patternFill>
    </fill>
    <fill>
      <patternFill patternType="solid">
        <fgColor indexed="65"/>
        <bgColor indexed="64"/>
      </patternFill>
    </fill>
    <fill>
      <patternFill patternType="solid">
        <fgColor rgb="FFFFFFCC"/>
        <bgColor indexed="64"/>
      </patternFill>
    </fill>
    <fill>
      <patternFill patternType="solid">
        <fgColor rgb="FFCCFFFF"/>
        <bgColor indexed="64"/>
      </patternFill>
    </fill>
    <fill>
      <patternFill patternType="solid">
        <fgColor theme="7" tint="0.59999389629810485"/>
        <bgColor indexed="64"/>
      </patternFill>
    </fill>
    <fill>
      <patternFill patternType="solid">
        <fgColor rgb="FFCCC0DA"/>
        <bgColor indexed="64"/>
      </patternFill>
    </fill>
    <fill>
      <patternFill patternType="solid">
        <fgColor rgb="FFFFFF00"/>
        <bgColor indexed="64"/>
      </patternFill>
    </fill>
    <fill>
      <patternFill patternType="solid">
        <fgColor rgb="FFFFCC99"/>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right/>
      <top style="medium">
        <color indexed="64"/>
      </top>
      <bottom style="medium">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double">
        <color indexed="64"/>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hair">
        <color indexed="64"/>
      </top>
      <bottom style="thin">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style="double">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cellStyleXfs>
  <cellXfs count="935">
    <xf numFmtId="0" fontId="0" fillId="0" borderId="0" xfId="0"/>
    <xf numFmtId="0" fontId="5" fillId="0" borderId="0" xfId="0" applyFont="1"/>
    <xf numFmtId="0" fontId="6" fillId="0" borderId="0" xfId="0" applyFont="1" applyAlignment="1">
      <alignment vertical="center"/>
    </xf>
    <xf numFmtId="0" fontId="0" fillId="0" borderId="0" xfId="0" applyProtection="1"/>
    <xf numFmtId="0" fontId="0" fillId="0" borderId="0" xfId="0" applyAlignment="1" applyProtection="1">
      <alignment horizontal="center"/>
    </xf>
    <xf numFmtId="0" fontId="8" fillId="0" borderId="0" xfId="0" applyFont="1" applyProtection="1">
      <protection hidden="1"/>
    </xf>
    <xf numFmtId="0" fontId="0" fillId="0" borderId="0" xfId="0" applyFill="1" applyProtection="1"/>
    <xf numFmtId="0" fontId="5" fillId="0" borderId="1" xfId="0" applyFont="1" applyBorder="1" applyProtection="1"/>
    <xf numFmtId="0" fontId="5" fillId="2" borderId="1" xfId="0" applyFont="1" applyFill="1" applyBorder="1" applyAlignment="1" applyProtection="1">
      <alignment shrinkToFit="1"/>
      <protection locked="0"/>
    </xf>
    <xf numFmtId="0" fontId="5" fillId="2" borderId="2" xfId="0" applyFont="1" applyFill="1" applyBorder="1" applyAlignment="1" applyProtection="1">
      <alignment shrinkToFit="1"/>
      <protection locked="0"/>
    </xf>
    <xf numFmtId="179" fontId="5" fillId="2" borderId="1" xfId="0" applyNumberFormat="1" applyFont="1" applyFill="1" applyBorder="1" applyAlignment="1" applyProtection="1">
      <alignment shrinkToFit="1"/>
      <protection locked="0"/>
    </xf>
    <xf numFmtId="0" fontId="5" fillId="0" borderId="1" xfId="0" applyFont="1" applyFill="1" applyBorder="1" applyProtection="1"/>
    <xf numFmtId="0" fontId="5" fillId="0" borderId="1" xfId="0" applyFont="1" applyBorder="1" applyAlignment="1" applyProtection="1">
      <alignment horizontal="center"/>
    </xf>
    <xf numFmtId="0" fontId="5" fillId="0" borderId="0" xfId="0" applyFont="1" applyProtection="1"/>
    <xf numFmtId="0" fontId="9" fillId="0" borderId="0" xfId="3" applyFont="1" applyBorder="1" applyAlignment="1" applyProtection="1"/>
    <xf numFmtId="0" fontId="9" fillId="0" borderId="0" xfId="3" applyFont="1" applyBorder="1" applyAlignment="1" applyProtection="1">
      <alignment vertical="top"/>
    </xf>
    <xf numFmtId="176" fontId="0" fillId="0" borderId="0" xfId="0" applyNumberFormat="1" applyProtection="1"/>
    <xf numFmtId="0" fontId="10" fillId="0" borderId="0" xfId="3" applyFont="1" applyBorder="1" applyAlignment="1" applyProtection="1"/>
    <xf numFmtId="0" fontId="10" fillId="0" borderId="0" xfId="3" applyFont="1" applyBorder="1" applyAlignment="1" applyProtection="1">
      <alignment vertical="top"/>
    </xf>
    <xf numFmtId="0" fontId="5" fillId="0" borderId="0" xfId="0" applyFont="1" applyBorder="1"/>
    <xf numFmtId="0" fontId="0" fillId="0" borderId="0" xfId="0" applyAlignment="1">
      <alignment horizontal="right" vertical="center"/>
    </xf>
    <xf numFmtId="0" fontId="12" fillId="0" borderId="0" xfId="0" applyFont="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6" xfId="0" applyFont="1" applyBorder="1" applyAlignment="1">
      <alignment shrinkToFit="1"/>
    </xf>
    <xf numFmtId="0" fontId="5" fillId="0" borderId="7" xfId="0" applyFont="1" applyBorder="1"/>
    <xf numFmtId="0" fontId="5" fillId="0" borderId="8" xfId="0" applyFont="1" applyBorder="1"/>
    <xf numFmtId="0" fontId="13" fillId="0" borderId="0" xfId="0" applyFont="1"/>
    <xf numFmtId="0" fontId="2" fillId="0" borderId="0" xfId="0" applyFont="1" applyAlignment="1" applyProtection="1">
      <alignment vertical="top"/>
    </xf>
    <xf numFmtId="0" fontId="5" fillId="0" borderId="9" xfId="0" applyFont="1" applyFill="1" applyBorder="1" applyAlignment="1" applyProtection="1">
      <alignment shrinkToFit="1"/>
      <protection locked="0"/>
    </xf>
    <xf numFmtId="0" fontId="5" fillId="2" borderId="10" xfId="0" applyFont="1" applyFill="1" applyBorder="1" applyAlignment="1" applyProtection="1">
      <alignment shrinkToFit="1"/>
      <protection locked="0"/>
    </xf>
    <xf numFmtId="0" fontId="5" fillId="2" borderId="11" xfId="0" applyFont="1" applyFill="1" applyBorder="1" applyAlignment="1" applyProtection="1">
      <alignment shrinkToFit="1"/>
      <protection locked="0"/>
    </xf>
    <xf numFmtId="179" fontId="5" fillId="2" borderId="10" xfId="0" applyNumberFormat="1" applyFont="1" applyFill="1" applyBorder="1" applyAlignment="1" applyProtection="1">
      <alignment shrinkToFit="1"/>
      <protection locked="0"/>
    </xf>
    <xf numFmtId="0" fontId="5" fillId="2" borderId="12" xfId="0" applyFont="1" applyFill="1" applyBorder="1" applyAlignment="1" applyProtection="1">
      <alignment shrinkToFit="1"/>
      <protection locked="0"/>
    </xf>
    <xf numFmtId="0" fontId="5" fillId="2" borderId="13" xfId="0" applyFont="1" applyFill="1" applyBorder="1" applyAlignment="1" applyProtection="1">
      <alignment shrinkToFit="1"/>
      <protection locked="0"/>
    </xf>
    <xf numFmtId="179" fontId="5" fillId="2" borderId="12" xfId="0" applyNumberFormat="1" applyFont="1" applyFill="1" applyBorder="1" applyAlignment="1" applyProtection="1">
      <alignment shrinkToFit="1"/>
      <protection locked="0"/>
    </xf>
    <xf numFmtId="0" fontId="5" fillId="3" borderId="14" xfId="0" applyFont="1" applyFill="1" applyBorder="1" applyAlignment="1" applyProtection="1">
      <alignment horizontal="center" vertical="center"/>
    </xf>
    <xf numFmtId="0" fontId="5" fillId="3" borderId="14" xfId="0" applyFont="1" applyFill="1" applyBorder="1" applyAlignment="1" applyProtection="1">
      <alignment horizontal="center" vertical="center" wrapText="1"/>
    </xf>
    <xf numFmtId="0" fontId="15" fillId="0" borderId="0" xfId="0" applyFont="1"/>
    <xf numFmtId="0" fontId="5" fillId="2" borderId="15" xfId="0" applyFont="1" applyFill="1" applyBorder="1" applyAlignment="1" applyProtection="1">
      <alignment shrinkToFit="1"/>
      <protection locked="0"/>
    </xf>
    <xf numFmtId="38" fontId="5" fillId="0" borderId="1" xfId="0" applyNumberFormat="1" applyFont="1" applyFill="1" applyBorder="1" applyAlignment="1" applyProtection="1">
      <alignment shrinkToFit="1"/>
      <protection locked="0"/>
    </xf>
    <xf numFmtId="177" fontId="5" fillId="0" borderId="16" xfId="0" applyNumberFormat="1" applyFont="1" applyBorder="1" applyAlignment="1" applyProtection="1">
      <alignment shrinkToFit="1"/>
    </xf>
    <xf numFmtId="0" fontId="5" fillId="0" borderId="16" xfId="0" applyFont="1" applyFill="1" applyBorder="1" applyAlignment="1">
      <alignment horizontal="center" vertical="center" wrapText="1"/>
    </xf>
    <xf numFmtId="0" fontId="5" fillId="0" borderId="16" xfId="0" applyFont="1" applyFill="1" applyBorder="1" applyAlignment="1" applyProtection="1">
      <alignment horizontal="center" vertical="center" shrinkToFit="1"/>
    </xf>
    <xf numFmtId="0" fontId="17" fillId="0" borderId="0" xfId="0" applyFont="1" applyProtection="1">
      <protection hidden="1"/>
    </xf>
    <xf numFmtId="0" fontId="2" fillId="0" borderId="0" xfId="0" applyFont="1"/>
    <xf numFmtId="0" fontId="15" fillId="0" borderId="0" xfId="0" applyFont="1" applyAlignment="1">
      <alignment wrapText="1"/>
    </xf>
    <xf numFmtId="0" fontId="18" fillId="4" borderId="0" xfId="0" applyFont="1" applyFill="1" applyAlignment="1" applyProtection="1">
      <alignment vertical="center"/>
    </xf>
    <xf numFmtId="0" fontId="18" fillId="0" borderId="0" xfId="0" applyFont="1" applyAlignment="1" applyProtection="1">
      <alignment vertical="center"/>
    </xf>
    <xf numFmtId="0" fontId="19" fillId="4" borderId="0" xfId="0" applyFont="1" applyFill="1" applyAlignment="1" applyProtection="1">
      <alignment vertical="center"/>
    </xf>
    <xf numFmtId="0" fontId="15" fillId="4" borderId="0" xfId="0" applyFont="1" applyFill="1" applyAlignment="1" applyProtection="1">
      <alignment vertical="center"/>
    </xf>
    <xf numFmtId="0" fontId="18" fillId="4" borderId="0" xfId="0" applyFont="1" applyFill="1" applyAlignment="1" applyProtection="1">
      <alignment horizontal="left" vertical="center" shrinkToFit="1"/>
    </xf>
    <xf numFmtId="0" fontId="7" fillId="4" borderId="0" xfId="0" applyFont="1" applyFill="1" applyAlignment="1" applyProtection="1">
      <alignment vertical="center" shrinkToFit="1"/>
    </xf>
    <xf numFmtId="0" fontId="15" fillId="4" borderId="17" xfId="0" applyFont="1" applyFill="1" applyBorder="1" applyAlignment="1" applyProtection="1">
      <alignment vertical="center"/>
    </xf>
    <xf numFmtId="0" fontId="19" fillId="0" borderId="0" xfId="0" applyFont="1" applyAlignment="1" applyProtection="1">
      <alignment vertical="center"/>
    </xf>
    <xf numFmtId="0" fontId="18" fillId="4" borderId="18" xfId="0" applyFont="1" applyFill="1" applyBorder="1" applyAlignment="1" applyProtection="1">
      <alignment horizontal="left" vertical="center"/>
    </xf>
    <xf numFmtId="0" fontId="18" fillId="4" borderId="18" xfId="0" applyFont="1" applyFill="1" applyBorder="1" applyAlignment="1" applyProtection="1">
      <alignment vertical="center"/>
    </xf>
    <xf numFmtId="0" fontId="18" fillId="4" borderId="19" xfId="0" applyFont="1" applyFill="1" applyBorder="1" applyAlignment="1" applyProtection="1">
      <alignment horizontal="left" vertical="center"/>
    </xf>
    <xf numFmtId="0" fontId="18" fillId="4" borderId="20" xfId="0" applyFont="1" applyFill="1" applyBorder="1" applyAlignment="1" applyProtection="1">
      <alignment horizontal="left" vertical="center"/>
    </xf>
    <xf numFmtId="0" fontId="18" fillId="4" borderId="20" xfId="0" applyFont="1" applyFill="1" applyBorder="1" applyAlignment="1" applyProtection="1">
      <alignment vertical="center"/>
    </xf>
    <xf numFmtId="0" fontId="18" fillId="4" borderId="21" xfId="0" applyFont="1" applyFill="1" applyBorder="1" applyAlignment="1" applyProtection="1">
      <alignment horizontal="left" vertical="center"/>
    </xf>
    <xf numFmtId="0" fontId="18" fillId="4" borderId="22" xfId="0" applyFont="1" applyFill="1" applyBorder="1" applyAlignment="1" applyProtection="1">
      <alignment horizontal="left" vertical="center"/>
    </xf>
    <xf numFmtId="0" fontId="15" fillId="4" borderId="0" xfId="0" applyFont="1" applyFill="1" applyBorder="1" applyAlignment="1" applyProtection="1">
      <alignment vertical="center"/>
    </xf>
    <xf numFmtId="0" fontId="18" fillId="4" borderId="22" xfId="0" applyFont="1" applyFill="1" applyBorder="1" applyAlignment="1" applyProtection="1">
      <alignment vertical="center"/>
    </xf>
    <xf numFmtId="0" fontId="18" fillId="4" borderId="9" xfId="0" applyFont="1" applyFill="1" applyBorder="1" applyAlignment="1" applyProtection="1">
      <alignment horizontal="left" vertical="center"/>
    </xf>
    <xf numFmtId="0" fontId="15" fillId="4" borderId="17" xfId="0" applyFont="1" applyFill="1" applyBorder="1" applyAlignment="1" applyProtection="1">
      <alignment horizontal="left" vertical="center"/>
    </xf>
    <xf numFmtId="0" fontId="15" fillId="4" borderId="0" xfId="0" applyFont="1" applyFill="1" applyAlignment="1" applyProtection="1">
      <alignment horizontal="left" vertical="center"/>
    </xf>
    <xf numFmtId="0" fontId="18"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horizontal="right" vertical="center"/>
    </xf>
    <xf numFmtId="0" fontId="20" fillId="0" borderId="0" xfId="0" applyFont="1"/>
    <xf numFmtId="0" fontId="19" fillId="0" borderId="0" xfId="0" applyFont="1"/>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22" fillId="0" borderId="0" xfId="0" applyFont="1"/>
    <xf numFmtId="0" fontId="23" fillId="0" borderId="0" xfId="0" applyFont="1"/>
    <xf numFmtId="0" fontId="6" fillId="4" borderId="0" xfId="0" applyFont="1" applyFill="1" applyAlignment="1" applyProtection="1">
      <alignment horizontal="center" vertical="center" wrapText="1"/>
    </xf>
    <xf numFmtId="0" fontId="24" fillId="0" borderId="0" xfId="0" applyFont="1"/>
    <xf numFmtId="0" fontId="24" fillId="0" borderId="26" xfId="0" applyFont="1" applyBorder="1" applyAlignment="1"/>
    <xf numFmtId="0" fontId="19" fillId="3" borderId="27" xfId="0" applyFont="1" applyFill="1" applyBorder="1" applyAlignment="1">
      <alignment horizontal="center" vertical="center"/>
    </xf>
    <xf numFmtId="0" fontId="19" fillId="3" borderId="28" xfId="0" applyFont="1" applyFill="1" applyBorder="1" applyAlignment="1">
      <alignment vertical="top" wrapText="1"/>
    </xf>
    <xf numFmtId="0" fontId="19" fillId="3" borderId="25"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28" xfId="0" applyFont="1" applyFill="1" applyBorder="1" applyAlignment="1">
      <alignment horizontal="center" vertical="center"/>
    </xf>
    <xf numFmtId="0" fontId="18" fillId="5"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0" fillId="2" borderId="1" xfId="0" applyFill="1" applyBorder="1"/>
    <xf numFmtId="0" fontId="0" fillId="0" borderId="1" xfId="0" applyBorder="1"/>
    <xf numFmtId="0" fontId="0" fillId="3" borderId="1" xfId="0" applyFill="1" applyBorder="1"/>
    <xf numFmtId="0" fontId="0" fillId="6" borderId="1" xfId="0" applyFill="1" applyBorder="1"/>
    <xf numFmtId="0" fontId="5" fillId="3" borderId="12" xfId="0" applyFont="1" applyFill="1" applyBorder="1" applyAlignment="1" applyProtection="1">
      <alignment horizontal="center" vertical="center" wrapText="1"/>
    </xf>
    <xf numFmtId="0" fontId="5" fillId="2" borderId="30" xfId="0" applyFont="1" applyFill="1" applyBorder="1" applyAlignment="1" applyProtection="1">
      <alignment shrinkToFit="1"/>
      <protection locked="0"/>
    </xf>
    <xf numFmtId="0" fontId="0" fillId="0" borderId="0" xfId="0" applyBorder="1" applyProtection="1"/>
    <xf numFmtId="0" fontId="5" fillId="0" borderId="0" xfId="0" applyFont="1" applyFill="1" applyBorder="1" applyAlignment="1" applyProtection="1">
      <alignment shrinkToFit="1"/>
      <protection locked="0"/>
    </xf>
    <xf numFmtId="0" fontId="2" fillId="0" borderId="0" xfId="0" applyFont="1" applyBorder="1" applyAlignment="1"/>
    <xf numFmtId="0" fontId="5" fillId="2" borderId="30" xfId="0" applyNumberFormat="1" applyFont="1" applyFill="1" applyBorder="1" applyAlignment="1" applyProtection="1">
      <alignment shrinkToFit="1"/>
      <protection locked="0"/>
    </xf>
    <xf numFmtId="0" fontId="5" fillId="2" borderId="1" xfId="0" applyNumberFormat="1" applyFont="1" applyFill="1" applyBorder="1" applyAlignment="1" applyProtection="1">
      <alignment shrinkToFit="1"/>
      <protection locked="0"/>
    </xf>
    <xf numFmtId="0" fontId="5" fillId="2" borderId="12" xfId="0" applyNumberFormat="1" applyFont="1" applyFill="1" applyBorder="1" applyAlignment="1" applyProtection="1">
      <alignment shrinkToFit="1"/>
      <protection locked="0"/>
    </xf>
    <xf numFmtId="0" fontId="2" fillId="4" borderId="0" xfId="0" applyFont="1" applyFill="1" applyAlignment="1" applyProtection="1">
      <alignment vertical="center"/>
    </xf>
    <xf numFmtId="0" fontId="2" fillId="0" borderId="0" xfId="0" applyFont="1" applyAlignment="1" applyProtection="1">
      <alignment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vertical="top" wrapText="1"/>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40" xfId="0" applyFont="1" applyBorder="1" applyAlignment="1">
      <alignment horizontal="center" vertical="center"/>
    </xf>
    <xf numFmtId="0" fontId="2" fillId="0" borderId="24" xfId="0" applyFont="1" applyBorder="1" applyAlignment="1">
      <alignment horizontal="center" vertical="center" wrapTex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19" fillId="0" borderId="10"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0" fillId="3" borderId="42" xfId="0" applyFont="1" applyFill="1" applyBorder="1" applyAlignment="1">
      <alignment horizontal="center" vertical="center"/>
    </xf>
    <xf numFmtId="0" fontId="20" fillId="3" borderId="30"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0" fillId="0" borderId="38" xfId="0" applyBorder="1" applyAlignment="1">
      <alignment horizontal="center" vertical="center"/>
    </xf>
    <xf numFmtId="0" fontId="5" fillId="3" borderId="12" xfId="0" applyFont="1" applyFill="1" applyBorder="1" applyAlignment="1" applyProtection="1">
      <alignment horizontal="center" vertical="center"/>
    </xf>
    <xf numFmtId="0" fontId="5" fillId="2" borderId="40" xfId="0" applyFont="1" applyFill="1" applyBorder="1" applyAlignment="1" applyProtection="1">
      <alignment shrinkToFit="1"/>
      <protection locked="0"/>
    </xf>
    <xf numFmtId="0" fontId="5" fillId="2" borderId="9" xfId="0" applyFont="1" applyFill="1" applyBorder="1" applyAlignment="1" applyProtection="1">
      <alignment shrinkToFit="1"/>
      <protection locked="0"/>
    </xf>
    <xf numFmtId="0" fontId="5" fillId="2" borderId="45" xfId="0" applyFont="1" applyFill="1" applyBorder="1" applyAlignment="1" applyProtection="1">
      <alignment shrinkToFit="1"/>
      <protection locked="0"/>
    </xf>
    <xf numFmtId="0" fontId="5" fillId="0" borderId="3" xfId="0" applyFont="1" applyBorder="1" applyProtection="1"/>
    <xf numFmtId="0" fontId="5" fillId="0" borderId="5" xfId="0" applyFont="1" applyBorder="1" applyProtection="1"/>
    <xf numFmtId="0" fontId="5" fillId="2" borderId="19" xfId="0" applyFont="1" applyFill="1" applyBorder="1" applyAlignment="1" applyProtection="1">
      <alignment shrinkToFit="1"/>
      <protection locked="0"/>
    </xf>
    <xf numFmtId="0" fontId="5" fillId="2" borderId="14" xfId="0" applyFont="1" applyFill="1" applyBorder="1" applyAlignment="1" applyProtection="1">
      <alignment shrinkToFit="1"/>
      <protection locked="0"/>
    </xf>
    <xf numFmtId="0" fontId="5" fillId="2" borderId="14" xfId="0" applyNumberFormat="1" applyFont="1" applyFill="1" applyBorder="1" applyAlignment="1" applyProtection="1">
      <alignment shrinkToFit="1"/>
      <protection locked="0"/>
    </xf>
    <xf numFmtId="0" fontId="5" fillId="2" borderId="46" xfId="0" applyFont="1" applyFill="1" applyBorder="1" applyAlignment="1" applyProtection="1">
      <alignment shrinkToFit="1"/>
      <protection locked="0"/>
    </xf>
    <xf numFmtId="179" fontId="5" fillId="2" borderId="14" xfId="0" applyNumberFormat="1" applyFont="1" applyFill="1" applyBorder="1" applyAlignment="1" applyProtection="1">
      <alignment shrinkToFit="1"/>
      <protection locked="0"/>
    </xf>
    <xf numFmtId="177" fontId="5" fillId="6" borderId="10" xfId="0" applyNumberFormat="1" applyFont="1" applyFill="1" applyBorder="1" applyAlignment="1" applyProtection="1">
      <alignment shrinkToFit="1"/>
      <protection locked="0"/>
    </xf>
    <xf numFmtId="0" fontId="5" fillId="6" borderId="10" xfId="0" applyFont="1" applyFill="1" applyBorder="1" applyAlignment="1" applyProtection="1">
      <alignment shrinkToFit="1"/>
      <protection locked="0"/>
    </xf>
    <xf numFmtId="177" fontId="5" fillId="6" borderId="1" xfId="0" applyNumberFormat="1" applyFont="1" applyFill="1" applyBorder="1" applyAlignment="1" applyProtection="1">
      <alignment shrinkToFit="1"/>
      <protection locked="0"/>
    </xf>
    <xf numFmtId="0" fontId="5" fillId="6" borderId="1" xfId="0" applyFont="1" applyFill="1" applyBorder="1" applyAlignment="1" applyProtection="1">
      <alignment shrinkToFit="1"/>
      <protection locked="0"/>
    </xf>
    <xf numFmtId="177" fontId="5" fillId="6" borderId="14" xfId="0" applyNumberFormat="1" applyFont="1" applyFill="1" applyBorder="1" applyAlignment="1" applyProtection="1">
      <alignment shrinkToFit="1"/>
      <protection locked="0"/>
    </xf>
    <xf numFmtId="0" fontId="5" fillId="6" borderId="14" xfId="0" applyFont="1" applyFill="1" applyBorder="1" applyAlignment="1" applyProtection="1">
      <alignment shrinkToFit="1"/>
      <protection locked="0"/>
    </xf>
    <xf numFmtId="177" fontId="5" fillId="6" borderId="12" xfId="0" applyNumberFormat="1" applyFont="1" applyFill="1" applyBorder="1" applyAlignment="1" applyProtection="1">
      <alignment shrinkToFit="1"/>
      <protection locked="0"/>
    </xf>
    <xf numFmtId="0" fontId="5" fillId="6" borderId="12" xfId="0" applyFont="1" applyFill="1" applyBorder="1" applyAlignment="1" applyProtection="1">
      <alignment shrinkToFit="1"/>
      <protection locked="0"/>
    </xf>
    <xf numFmtId="0" fontId="17" fillId="0" borderId="16" xfId="0" applyFont="1" applyBorder="1" applyAlignment="1" applyProtection="1">
      <protection hidden="1"/>
    </xf>
    <xf numFmtId="0" fontId="0" fillId="0" borderId="16" xfId="0" applyBorder="1" applyProtection="1"/>
    <xf numFmtId="0" fontId="0" fillId="0" borderId="0"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82" fontId="0" fillId="0" borderId="49" xfId="0" applyNumberFormat="1" applyBorder="1" applyAlignment="1">
      <alignment horizontal="center" vertical="center"/>
    </xf>
    <xf numFmtId="178" fontId="5" fillId="0" borderId="5" xfId="0" applyNumberFormat="1" applyFont="1" applyFill="1" applyBorder="1" applyAlignment="1">
      <alignment horizontal="center" vertical="center"/>
    </xf>
    <xf numFmtId="0" fontId="7" fillId="3" borderId="1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4" xfId="0" applyFont="1" applyFill="1" applyBorder="1" applyAlignment="1" applyProtection="1">
      <alignment vertical="center"/>
    </xf>
    <xf numFmtId="0" fontId="7" fillId="0" borderId="20" xfId="0" applyFont="1" applyFill="1" applyBorder="1" applyAlignment="1" applyProtection="1">
      <alignment horizontal="center" vertical="center"/>
    </xf>
    <xf numFmtId="0" fontId="7" fillId="0" borderId="20" xfId="0" applyFont="1" applyFill="1" applyBorder="1" applyAlignment="1" applyProtection="1">
      <alignment vertical="center"/>
    </xf>
    <xf numFmtId="0" fontId="5" fillId="3" borderId="1" xfId="0" applyFont="1" applyFill="1" applyBorder="1" applyProtection="1"/>
    <xf numFmtId="178" fontId="5" fillId="0" borderId="1"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8" fontId="5" fillId="0" borderId="7"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20" fillId="2" borderId="43" xfId="0" applyFont="1" applyFill="1" applyBorder="1" applyAlignment="1" applyProtection="1">
      <alignment horizontal="left" vertical="center" wrapText="1"/>
      <protection locked="0"/>
    </xf>
    <xf numFmtId="0" fontId="20" fillId="2" borderId="50" xfId="0" applyFont="1" applyFill="1" applyBorder="1" applyAlignment="1" applyProtection="1">
      <alignment horizontal="left" vertical="center" wrapText="1"/>
      <protection locked="0"/>
    </xf>
    <xf numFmtId="0" fontId="20" fillId="2" borderId="51" xfId="0" applyFont="1" applyFill="1" applyBorder="1" applyAlignment="1" applyProtection="1">
      <alignment horizontal="left" vertical="center" wrapText="1"/>
      <protection locked="0"/>
    </xf>
    <xf numFmtId="0" fontId="19" fillId="2" borderId="10" xfId="0" applyFont="1" applyFill="1" applyBorder="1" applyAlignment="1" applyProtection="1">
      <alignment vertical="center" wrapText="1"/>
      <protection locked="0"/>
    </xf>
    <xf numFmtId="0" fontId="19" fillId="2" borderId="40" xfId="0" applyFont="1" applyFill="1" applyBorder="1" applyAlignment="1" applyProtection="1">
      <alignment vertical="center" wrapText="1"/>
      <protection locked="0"/>
    </xf>
    <xf numFmtId="0" fontId="19" fillId="2" borderId="1" xfId="0" applyFont="1" applyFill="1" applyBorder="1" applyAlignment="1" applyProtection="1">
      <alignment vertical="center" wrapText="1"/>
      <protection locked="0"/>
    </xf>
    <xf numFmtId="0" fontId="19" fillId="2" borderId="9" xfId="0" applyFont="1" applyFill="1" applyBorder="1" applyAlignment="1" applyProtection="1">
      <alignment vertical="center" wrapText="1"/>
      <protection locked="0"/>
    </xf>
    <xf numFmtId="0" fontId="19" fillId="2" borderId="45" xfId="0" applyFont="1" applyFill="1" applyBorder="1" applyAlignment="1" applyProtection="1">
      <alignment vertical="center"/>
      <protection locked="0"/>
    </xf>
    <xf numFmtId="0" fontId="19" fillId="2" borderId="12" xfId="0" applyFont="1" applyFill="1" applyBorder="1" applyAlignment="1" applyProtection="1">
      <alignment vertical="center"/>
      <protection locked="0"/>
    </xf>
    <xf numFmtId="0" fontId="2" fillId="2" borderId="10" xfId="0" applyFont="1" applyFill="1" applyBorder="1" applyAlignment="1" applyProtection="1">
      <alignment vertical="center" wrapText="1"/>
      <protection locked="0"/>
    </xf>
    <xf numFmtId="0" fontId="2" fillId="2" borderId="40"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45"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184" fontId="18" fillId="4" borderId="22" xfId="0" applyNumberFormat="1" applyFont="1" applyFill="1" applyBorder="1" applyAlignment="1" applyProtection="1">
      <alignment horizontal="center" vertical="center"/>
    </xf>
    <xf numFmtId="0" fontId="18" fillId="4" borderId="0" xfId="0" applyFont="1" applyFill="1" applyBorder="1" applyAlignment="1" applyProtection="1">
      <alignment horizontal="left" vertical="center"/>
      <protection locked="0"/>
    </xf>
    <xf numFmtId="0" fontId="18" fillId="4" borderId="0" xfId="0" applyFont="1" applyFill="1" applyBorder="1" applyAlignment="1" applyProtection="1">
      <alignment horizontal="left" vertical="center"/>
    </xf>
    <xf numFmtId="49" fontId="5" fillId="6" borderId="30" xfId="0" applyNumberFormat="1" applyFont="1" applyFill="1" applyBorder="1" applyAlignment="1" applyProtection="1">
      <alignment shrinkToFit="1"/>
      <protection locked="0"/>
    </xf>
    <xf numFmtId="49" fontId="5" fillId="6" borderId="1" xfId="0" applyNumberFormat="1" applyFont="1" applyFill="1" applyBorder="1" applyAlignment="1" applyProtection="1">
      <alignment shrinkToFit="1"/>
      <protection locked="0"/>
    </xf>
    <xf numFmtId="49" fontId="5" fillId="6" borderId="14" xfId="0" applyNumberFormat="1" applyFont="1" applyFill="1" applyBorder="1" applyAlignment="1" applyProtection="1">
      <alignment shrinkToFit="1"/>
      <protection locked="0"/>
    </xf>
    <xf numFmtId="49" fontId="5" fillId="6" borderId="12" xfId="0" applyNumberFormat="1" applyFont="1" applyFill="1" applyBorder="1" applyAlignment="1" applyProtection="1">
      <alignment shrinkToFit="1"/>
      <protection locked="0"/>
    </xf>
    <xf numFmtId="0" fontId="0" fillId="0" borderId="59" xfId="0" applyBorder="1"/>
    <xf numFmtId="0" fontId="17" fillId="0" borderId="0" xfId="0" applyFont="1" applyBorder="1" applyAlignment="1" applyProtection="1">
      <protection hidden="1"/>
    </xf>
    <xf numFmtId="0" fontId="0" fillId="0" borderId="0" xfId="0" applyFill="1" applyBorder="1" applyProtection="1"/>
    <xf numFmtId="0" fontId="0" fillId="0" borderId="16" xfId="0" applyBorder="1" applyAlignment="1" applyProtection="1">
      <alignment horizontal="center" vertical="center"/>
    </xf>
    <xf numFmtId="0" fontId="24" fillId="0" borderId="0" xfId="0" applyFont="1" applyProtection="1"/>
    <xf numFmtId="176" fontId="0" fillId="0" borderId="65" xfId="0" applyNumberFormat="1" applyFill="1" applyBorder="1" applyAlignment="1">
      <alignment horizontal="center" vertical="center"/>
    </xf>
    <xf numFmtId="9" fontId="0" fillId="0" borderId="12" xfId="0" applyNumberFormat="1" applyFill="1" applyBorder="1" applyAlignment="1">
      <alignment horizontal="center" vertical="center"/>
    </xf>
    <xf numFmtId="0" fontId="20" fillId="0" borderId="66" xfId="0" applyFont="1" applyFill="1" applyBorder="1" applyAlignment="1">
      <alignment horizontal="left" vertical="center" wrapText="1"/>
    </xf>
    <xf numFmtId="0" fontId="20" fillId="2" borderId="67" xfId="0" applyFont="1" applyFill="1" applyBorder="1" applyAlignment="1" applyProtection="1">
      <alignment horizontal="left" vertical="center" wrapText="1"/>
      <protection locked="0"/>
    </xf>
    <xf numFmtId="0" fontId="19" fillId="0" borderId="0" xfId="0" applyFont="1" applyFill="1" applyProtection="1"/>
    <xf numFmtId="0" fontId="5" fillId="0" borderId="0" xfId="0" applyFont="1" applyFill="1" applyProtection="1"/>
    <xf numFmtId="49" fontId="19" fillId="2" borderId="14" xfId="0" applyNumberFormat="1" applyFont="1" applyFill="1" applyBorder="1" applyAlignment="1" applyProtection="1">
      <alignment vertical="center" wrapText="1"/>
      <protection locked="0"/>
    </xf>
    <xf numFmtId="49" fontId="19" fillId="2" borderId="19" xfId="0" applyNumberFormat="1" applyFont="1" applyFill="1" applyBorder="1" applyAlignment="1" applyProtection="1">
      <alignment vertical="center" wrapText="1"/>
      <protection locked="0"/>
    </xf>
    <xf numFmtId="49" fontId="2" fillId="2" borderId="14" xfId="0" applyNumberFormat="1" applyFont="1" applyFill="1" applyBorder="1" applyAlignment="1" applyProtection="1">
      <alignment vertical="center" wrapText="1"/>
      <protection locked="0"/>
    </xf>
    <xf numFmtId="49" fontId="2" fillId="2" borderId="19" xfId="0" applyNumberFormat="1" applyFont="1" applyFill="1" applyBorder="1" applyAlignment="1" applyProtection="1">
      <alignment vertical="center" wrapText="1"/>
      <protection locked="0"/>
    </xf>
    <xf numFmtId="0" fontId="21" fillId="0" borderId="0" xfId="0" applyFont="1" applyBorder="1" applyAlignment="1">
      <alignment horizontal="center" vertical="center"/>
    </xf>
    <xf numFmtId="0" fontId="19" fillId="0" borderId="0" xfId="0" applyFont="1" applyAlignment="1"/>
    <xf numFmtId="0" fontId="19" fillId="0" borderId="0" xfId="0" applyFont="1" applyBorder="1"/>
    <xf numFmtId="0" fontId="19" fillId="0" borderId="0" xfId="0" applyFont="1" applyBorder="1" applyAlignment="1">
      <alignment horizontal="left"/>
    </xf>
    <xf numFmtId="0" fontId="19" fillId="0" borderId="0" xfId="0" applyFont="1" applyBorder="1" applyAlignment="1">
      <alignment vertical="top"/>
    </xf>
    <xf numFmtId="0" fontId="19" fillId="0" borderId="3" xfId="0" applyFont="1" applyFill="1" applyBorder="1" applyAlignment="1">
      <alignment horizontal="center" vertical="center" wrapText="1"/>
    </xf>
    <xf numFmtId="0" fontId="19" fillId="2" borderId="3" xfId="0" applyFont="1" applyFill="1" applyBorder="1" applyAlignment="1" applyProtection="1">
      <alignment vertical="center" wrapText="1"/>
      <protection locked="0"/>
    </xf>
    <xf numFmtId="0" fontId="19" fillId="2" borderId="5" xfId="0" applyFont="1" applyFill="1" applyBorder="1" applyAlignment="1" applyProtection="1">
      <alignment vertical="center" wrapText="1"/>
      <protection locked="0"/>
    </xf>
    <xf numFmtId="49" fontId="19" fillId="2" borderId="68" xfId="0" applyNumberFormat="1" applyFont="1" applyFill="1" applyBorder="1" applyAlignment="1" applyProtection="1">
      <alignment vertical="center" wrapText="1"/>
      <protection locked="0"/>
    </xf>
    <xf numFmtId="0" fontId="19" fillId="2" borderId="7" xfId="0" applyFont="1" applyFill="1" applyBorder="1" applyAlignment="1" applyProtection="1">
      <alignment vertical="center"/>
      <protection locked="0"/>
    </xf>
    <xf numFmtId="0" fontId="19" fillId="3" borderId="41" xfId="0" applyFont="1" applyFill="1" applyBorder="1" applyAlignment="1">
      <alignment horizontal="center" vertical="center"/>
    </xf>
    <xf numFmtId="0" fontId="19" fillId="0" borderId="69" xfId="0" applyFont="1" applyBorder="1" applyAlignment="1">
      <alignment horizontal="left" vertical="center"/>
    </xf>
    <xf numFmtId="0" fontId="19" fillId="0" borderId="70" xfId="0" applyFont="1" applyBorder="1" applyAlignment="1">
      <alignment vertical="center" wrapText="1"/>
    </xf>
    <xf numFmtId="0" fontId="19" fillId="0" borderId="71" xfId="0" applyFont="1" applyBorder="1" applyAlignment="1">
      <alignment vertical="center"/>
    </xf>
    <xf numFmtId="0" fontId="2" fillId="0" borderId="69" xfId="0" applyFont="1" applyBorder="1" applyAlignment="1">
      <alignment horizontal="left" vertical="center"/>
    </xf>
    <xf numFmtId="0" fontId="2" fillId="0" borderId="70" xfId="0" applyFont="1" applyBorder="1" applyAlignment="1">
      <alignment vertical="center" wrapText="1"/>
    </xf>
    <xf numFmtId="0" fontId="2" fillId="0" borderId="71" xfId="0" applyFont="1" applyBorder="1" applyAlignment="1">
      <alignment vertical="center"/>
    </xf>
    <xf numFmtId="0" fontId="13" fillId="0" borderId="0" xfId="0" applyFont="1" applyFill="1"/>
    <xf numFmtId="0" fontId="2" fillId="0" borderId="9" xfId="0" applyFont="1" applyBorder="1" applyAlignment="1">
      <alignment horizontal="center" vertical="center"/>
    </xf>
    <xf numFmtId="180" fontId="5" fillId="0" borderId="10" xfId="0" applyNumberFormat="1" applyFont="1" applyBorder="1" applyAlignment="1" applyProtection="1">
      <alignment shrinkToFit="1"/>
    </xf>
    <xf numFmtId="176" fontId="5" fillId="0" borderId="10" xfId="0" applyNumberFormat="1" applyFont="1" applyBorder="1" applyAlignment="1" applyProtection="1">
      <alignment shrinkToFit="1"/>
    </xf>
    <xf numFmtId="180" fontId="5" fillId="0" borderId="1" xfId="0" applyNumberFormat="1" applyFont="1" applyBorder="1" applyAlignment="1" applyProtection="1">
      <alignment shrinkToFit="1"/>
    </xf>
    <xf numFmtId="176" fontId="5" fillId="0" borderId="1" xfId="0" applyNumberFormat="1" applyFont="1" applyBorder="1" applyAlignment="1" applyProtection="1">
      <alignment shrinkToFit="1"/>
    </xf>
    <xf numFmtId="180" fontId="5" fillId="0" borderId="12" xfId="0" applyNumberFormat="1" applyFont="1" applyBorder="1" applyAlignment="1" applyProtection="1">
      <alignment shrinkToFit="1"/>
    </xf>
    <xf numFmtId="176" fontId="5" fillId="0" borderId="12" xfId="0" applyNumberFormat="1" applyFont="1" applyBorder="1" applyAlignment="1" applyProtection="1">
      <alignment shrinkToFit="1"/>
    </xf>
    <xf numFmtId="0" fontId="1" fillId="2" borderId="30"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72" xfId="0" applyFont="1" applyFill="1" applyBorder="1" applyAlignment="1" applyProtection="1">
      <alignment horizontal="center" vertical="center" wrapText="1"/>
      <protection locked="0"/>
    </xf>
    <xf numFmtId="0" fontId="1" fillId="2" borderId="7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74" xfId="0" applyFont="1" applyFill="1" applyBorder="1" applyAlignment="1" applyProtection="1">
      <alignment horizontal="center" vertical="center" wrapText="1"/>
      <protection locked="0"/>
    </xf>
    <xf numFmtId="0" fontId="1" fillId="2" borderId="75" xfId="0" applyFont="1" applyFill="1" applyBorder="1" applyAlignment="1" applyProtection="1">
      <alignment horizontal="center" vertical="center" wrapText="1"/>
      <protection locked="0"/>
    </xf>
    <xf numFmtId="0" fontId="19" fillId="0" borderId="0" xfId="0" applyFon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1" fillId="0" borderId="0" xfId="0" applyFont="1"/>
    <xf numFmtId="0" fontId="19" fillId="0" borderId="0" xfId="0" applyFont="1" applyBorder="1" applyAlignment="1"/>
    <xf numFmtId="0" fontId="2" fillId="0" borderId="0" xfId="0" applyFont="1" applyBorder="1" applyAlignment="1">
      <alignment horizontal="center" vertical="center"/>
    </xf>
    <xf numFmtId="0" fontId="19" fillId="0" borderId="0" xfId="0" applyFont="1" applyBorder="1" applyAlignment="1">
      <alignment horizontal="left" vertical="top"/>
    </xf>
    <xf numFmtId="0" fontId="1" fillId="0" borderId="0" xfId="0" applyFont="1" applyBorder="1" applyAlignment="1">
      <alignment horizontal="left"/>
    </xf>
    <xf numFmtId="0" fontId="1" fillId="0" borderId="0" xfId="0" applyFont="1" applyAlignment="1"/>
    <xf numFmtId="0" fontId="19" fillId="7" borderId="0" xfId="0" applyFont="1" applyFill="1"/>
    <xf numFmtId="0" fontId="0" fillId="7" borderId="0" xfId="0" applyFill="1"/>
    <xf numFmtId="0" fontId="5" fillId="7" borderId="0" xfId="0" applyFont="1" applyFill="1" applyProtection="1"/>
    <xf numFmtId="0" fontId="19" fillId="8" borderId="0" xfId="0" applyFont="1" applyFill="1"/>
    <xf numFmtId="0" fontId="0" fillId="8" borderId="0" xfId="0" applyFill="1"/>
    <xf numFmtId="0" fontId="5" fillId="8" borderId="0" xfId="0" applyFont="1" applyFill="1" applyProtection="1"/>
    <xf numFmtId="0" fontId="19" fillId="4" borderId="0" xfId="0" applyFont="1" applyFill="1" applyBorder="1"/>
    <xf numFmtId="0" fontId="19" fillId="4" borderId="0" xfId="0" applyFont="1" applyFill="1" applyBorder="1" applyAlignment="1"/>
    <xf numFmtId="0" fontId="19" fillId="4" borderId="0" xfId="0" applyFont="1" applyFill="1" applyBorder="1" applyAlignment="1">
      <alignment horizontal="center"/>
    </xf>
    <xf numFmtId="0" fontId="19" fillId="4" borderId="0" xfId="0" applyFont="1" applyFill="1" applyBorder="1" applyAlignment="1">
      <alignment horizontal="left"/>
    </xf>
    <xf numFmtId="0" fontId="0" fillId="4" borderId="0" xfId="0" applyFill="1" applyBorder="1" applyAlignment="1">
      <alignment horizontal="center"/>
    </xf>
    <xf numFmtId="0" fontId="21"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19" fillId="4" borderId="0" xfId="0" applyFont="1" applyFill="1" applyAlignment="1"/>
    <xf numFmtId="0" fontId="19" fillId="4" borderId="0" xfId="0" applyFont="1" applyFill="1"/>
    <xf numFmtId="0" fontId="19" fillId="0" borderId="0" xfId="0" applyFont="1" applyFill="1"/>
    <xf numFmtId="0" fontId="2" fillId="9" borderId="0" xfId="0" applyFont="1" applyFill="1"/>
    <xf numFmtId="0" fontId="5" fillId="9" borderId="0" xfId="0" applyFont="1" applyFill="1" applyProtection="1"/>
    <xf numFmtId="0" fontId="19" fillId="9" borderId="0" xfId="0" applyFont="1" applyFill="1"/>
    <xf numFmtId="0" fontId="0" fillId="9" borderId="0" xfId="0" applyFill="1"/>
    <xf numFmtId="0" fontId="0" fillId="9" borderId="0" xfId="0" applyFont="1" applyFill="1"/>
    <xf numFmtId="0" fontId="5" fillId="0" borderId="1" xfId="0" applyFont="1" applyFill="1" applyBorder="1" applyAlignment="1">
      <alignment horizontal="center"/>
    </xf>
    <xf numFmtId="0" fontId="0" fillId="0" borderId="0" xfId="0" applyFont="1" applyFill="1"/>
    <xf numFmtId="0" fontId="0" fillId="0" borderId="0" xfId="0" applyFill="1"/>
    <xf numFmtId="0" fontId="5" fillId="0" borderId="24" xfId="0" applyFont="1" applyFill="1" applyBorder="1" applyAlignment="1">
      <alignment horizontal="center"/>
    </xf>
    <xf numFmtId="0" fontId="0" fillId="0" borderId="0" xfId="0" applyFont="1"/>
    <xf numFmtId="0" fontId="19" fillId="0" borderId="41"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30" xfId="0" applyFont="1" applyFill="1" applyBorder="1" applyAlignment="1">
      <alignment horizontal="center" wrapText="1"/>
    </xf>
    <xf numFmtId="0" fontId="5" fillId="0" borderId="10"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9" xfId="0" applyFill="1" applyBorder="1"/>
    <xf numFmtId="0" fontId="2" fillId="0" borderId="3" xfId="0" applyFont="1" applyFill="1" applyBorder="1"/>
    <xf numFmtId="0" fontId="2" fillId="0" borderId="10" xfId="0" applyFont="1" applyFill="1" applyBorder="1"/>
    <xf numFmtId="0" fontId="2" fillId="0" borderId="40" xfId="0" applyFont="1" applyFill="1" applyBorder="1"/>
    <xf numFmtId="0" fontId="2" fillId="0" borderId="10" xfId="0" applyFont="1" applyFill="1" applyBorder="1" applyAlignment="1">
      <alignment horizontal="center"/>
    </xf>
    <xf numFmtId="0" fontId="2" fillId="0" borderId="5" xfId="0" applyFont="1" applyFill="1" applyBorder="1"/>
    <xf numFmtId="0" fontId="2" fillId="0" borderId="9" xfId="0" applyFont="1" applyFill="1" applyBorder="1"/>
    <xf numFmtId="0" fontId="2" fillId="0" borderId="24" xfId="0" applyFont="1" applyFill="1" applyBorder="1"/>
    <xf numFmtId="0" fontId="2" fillId="0" borderId="14" xfId="0" applyFont="1" applyFill="1" applyBorder="1"/>
    <xf numFmtId="0" fontId="2" fillId="0" borderId="0" xfId="0" applyFont="1" applyAlignment="1"/>
    <xf numFmtId="0" fontId="0" fillId="0" borderId="0" xfId="0" applyBorder="1" applyAlignment="1">
      <alignment horizontal="center" vertical="center"/>
    </xf>
    <xf numFmtId="0" fontId="19" fillId="0" borderId="17" xfId="0" applyFont="1" applyBorder="1" applyAlignment="1"/>
    <xf numFmtId="0" fontId="19" fillId="0" borderId="17" xfId="0" applyFont="1" applyFill="1" applyBorder="1" applyAlignment="1"/>
    <xf numFmtId="0" fontId="1" fillId="0" borderId="0" xfId="0" applyFont="1" applyBorder="1" applyAlignment="1"/>
    <xf numFmtId="0" fontId="2" fillId="0" borderId="89"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left"/>
    </xf>
    <xf numFmtId="0" fontId="2" fillId="0" borderId="79" xfId="0" applyFont="1" applyFill="1" applyBorder="1" applyAlignment="1">
      <alignment horizontal="center"/>
    </xf>
    <xf numFmtId="0" fontId="2" fillId="0" borderId="19" xfId="0" applyFont="1" applyFill="1" applyBorder="1" applyAlignment="1">
      <alignment horizontal="center"/>
    </xf>
    <xf numFmtId="0" fontId="2" fillId="0" borderId="24" xfId="0" applyFont="1" applyFill="1" applyBorder="1" applyAlignment="1">
      <alignment horizontal="center"/>
    </xf>
    <xf numFmtId="0" fontId="2" fillId="0" borderId="81" xfId="0" applyFont="1" applyFill="1" applyBorder="1" applyAlignment="1">
      <alignment horizontal="center"/>
    </xf>
    <xf numFmtId="0" fontId="2" fillId="0" borderId="21" xfId="0" applyFont="1" applyFill="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0" fontId="1" fillId="0" borderId="0" xfId="0" applyFont="1" applyBorder="1" applyAlignment="1">
      <alignment horizontal="center" vertical="center"/>
    </xf>
    <xf numFmtId="0" fontId="12" fillId="0" borderId="26" xfId="0" applyFont="1" applyBorder="1" applyAlignment="1">
      <alignment horizontal="left"/>
    </xf>
    <xf numFmtId="0" fontId="0" fillId="0" borderId="0" xfId="0" applyFont="1" applyAlignment="1">
      <alignment vertical="top"/>
    </xf>
    <xf numFmtId="0" fontId="0" fillId="0" borderId="0" xfId="0" applyAlignment="1" applyProtection="1">
      <alignment vertical="top"/>
    </xf>
    <xf numFmtId="0" fontId="19" fillId="0" borderId="0" xfId="0" applyFont="1" applyFill="1" applyBorder="1" applyAlignment="1"/>
    <xf numFmtId="0" fontId="0" fillId="0" borderId="0" xfId="0" applyBorder="1"/>
    <xf numFmtId="0" fontId="2" fillId="0" borderId="24" xfId="0" applyFont="1" applyFill="1" applyBorder="1" applyAlignment="1">
      <alignment horizontal="center" vertical="center"/>
    </xf>
    <xf numFmtId="0" fontId="0" fillId="0" borderId="9" xfId="0" applyFill="1" applyBorder="1" applyAlignment="1">
      <alignment horizontal="center" vertical="center"/>
    </xf>
    <xf numFmtId="0" fontId="0" fillId="0" borderId="24" xfId="0" applyFill="1" applyBorder="1" applyAlignment="1">
      <alignment horizontal="center"/>
    </xf>
    <xf numFmtId="0" fontId="5" fillId="3" borderId="79" xfId="0" applyFont="1" applyFill="1" applyBorder="1" applyAlignment="1" applyProtection="1">
      <alignment horizontal="center" vertical="center" wrapText="1"/>
    </xf>
    <xf numFmtId="176" fontId="5" fillId="0" borderId="23" xfId="0" applyNumberFormat="1" applyFont="1" applyBorder="1" applyAlignment="1" applyProtection="1">
      <alignment shrinkToFit="1"/>
    </xf>
    <xf numFmtId="176" fontId="5" fillId="0" borderId="24" xfId="0" applyNumberFormat="1" applyFont="1" applyBorder="1" applyAlignment="1" applyProtection="1">
      <alignment shrinkToFit="1"/>
    </xf>
    <xf numFmtId="0" fontId="5" fillId="11" borderId="1" xfId="0" applyFont="1" applyFill="1" applyBorder="1" applyProtection="1"/>
    <xf numFmtId="0" fontId="5" fillId="12" borderId="1" xfId="0" applyFont="1" applyFill="1" applyBorder="1" applyAlignment="1" applyProtection="1">
      <alignment shrinkToFit="1"/>
      <protection locked="0"/>
    </xf>
    <xf numFmtId="0" fontId="20" fillId="3" borderId="29" xfId="0" applyFont="1" applyFill="1" applyBorder="1" applyAlignment="1">
      <alignment horizontal="center" vertical="center" wrapText="1"/>
    </xf>
    <xf numFmtId="0" fontId="5" fillId="0" borderId="1" xfId="0" applyFont="1" applyBorder="1"/>
    <xf numFmtId="0" fontId="5" fillId="0" borderId="1" xfId="0" applyFont="1" applyFill="1" applyBorder="1"/>
    <xf numFmtId="0" fontId="0" fillId="0" borderId="0" xfId="0" applyBorder="1" applyAlignment="1" applyProtection="1">
      <alignment horizontal="center" vertical="center"/>
    </xf>
    <xf numFmtId="0" fontId="5" fillId="0" borderId="0" xfId="0" applyFont="1" applyAlignment="1">
      <alignment horizontal="center" vertical="center"/>
    </xf>
    <xf numFmtId="0" fontId="10" fillId="0" borderId="0" xfId="3" applyFont="1" applyBorder="1" applyAlignment="1" applyProtection="1">
      <alignment horizontal="center" vertical="center"/>
    </xf>
    <xf numFmtId="0" fontId="5" fillId="0" borderId="0" xfId="0" applyFont="1" applyAlignment="1" applyProtection="1">
      <alignment horizontal="center" vertical="center"/>
    </xf>
    <xf numFmtId="0" fontId="17" fillId="0" borderId="0" xfId="0" applyFont="1" applyFill="1" applyBorder="1" applyProtection="1">
      <protection hidden="1"/>
    </xf>
    <xf numFmtId="0" fontId="0" fillId="0" borderId="0" xfId="0" applyFill="1" applyBorder="1" applyAlignment="1" applyProtection="1">
      <alignment horizontal="center"/>
    </xf>
    <xf numFmtId="0" fontId="0" fillId="4" borderId="0" xfId="0" applyFont="1" applyFill="1" applyAlignment="1" applyProtection="1">
      <alignment vertical="top"/>
    </xf>
    <xf numFmtId="0" fontId="26" fillId="0" borderId="26" xfId="0" applyFont="1" applyBorder="1" applyAlignment="1">
      <alignment horizontal="left"/>
    </xf>
    <xf numFmtId="0" fontId="5" fillId="0" borderId="0" xfId="0" applyFont="1" applyBorder="1" applyAlignment="1">
      <alignment horizontal="center"/>
    </xf>
    <xf numFmtId="0" fontId="19" fillId="0" borderId="49" xfId="0" applyFont="1" applyFill="1" applyBorder="1" applyAlignment="1">
      <alignment horizontal="center" wrapText="1"/>
    </xf>
    <xf numFmtId="0" fontId="2" fillId="0" borderId="4" xfId="0" applyFont="1" applyFill="1" applyBorder="1"/>
    <xf numFmtId="0" fontId="2" fillId="0" borderId="6" xfId="0" applyFont="1" applyFill="1" applyBorder="1"/>
    <xf numFmtId="0" fontId="2" fillId="0" borderId="7" xfId="0" applyFont="1" applyFill="1" applyBorder="1"/>
    <xf numFmtId="0" fontId="2" fillId="0" borderId="12" xfId="0" applyFont="1" applyFill="1" applyBorder="1"/>
    <xf numFmtId="0" fontId="2" fillId="0" borderId="45" xfId="0" applyFont="1" applyFill="1" applyBorder="1"/>
    <xf numFmtId="0" fontId="2" fillId="0" borderId="12" xfId="0" applyFont="1" applyFill="1" applyBorder="1" applyAlignment="1">
      <alignment horizontal="center"/>
    </xf>
    <xf numFmtId="0" fontId="5" fillId="0" borderId="12" xfId="0" applyFont="1" applyFill="1" applyBorder="1" applyAlignment="1">
      <alignment horizontal="center"/>
    </xf>
    <xf numFmtId="0" fontId="2" fillId="0" borderId="8" xfId="0" applyFont="1" applyFill="1" applyBorder="1"/>
    <xf numFmtId="0" fontId="5" fillId="0" borderId="1" xfId="0" applyFont="1" applyFill="1" applyBorder="1" applyAlignment="1" applyProtection="1">
      <alignment shrinkToFit="1"/>
      <protection locked="0"/>
    </xf>
    <xf numFmtId="0" fontId="5" fillId="0" borderId="7" xfId="0" applyFont="1" applyBorder="1" applyProtection="1"/>
    <xf numFmtId="176" fontId="5" fillId="0" borderId="48" xfId="0" applyNumberFormat="1" applyFont="1" applyBorder="1" applyAlignment="1" applyProtection="1">
      <alignment shrinkToFit="1"/>
    </xf>
    <xf numFmtId="176" fontId="5" fillId="12" borderId="77" xfId="0" applyNumberFormat="1" applyFont="1" applyFill="1" applyBorder="1" applyAlignment="1" applyProtection="1">
      <alignment shrinkToFit="1"/>
      <protection locked="0"/>
    </xf>
    <xf numFmtId="176" fontId="5" fillId="12" borderId="6" xfId="0" applyNumberFormat="1" applyFont="1" applyFill="1" applyBorder="1" applyAlignment="1" applyProtection="1">
      <alignment shrinkToFit="1"/>
      <protection locked="0"/>
    </xf>
    <xf numFmtId="176" fontId="5" fillId="12" borderId="8" xfId="0" applyNumberFormat="1" applyFont="1" applyFill="1" applyBorder="1" applyAlignment="1" applyProtection="1">
      <alignment shrinkToFit="1"/>
      <protection locked="0"/>
    </xf>
    <xf numFmtId="0" fontId="19" fillId="0" borderId="91"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92" xfId="0" applyFont="1" applyBorder="1" applyAlignment="1" applyProtection="1">
      <alignment horizontal="center" vertical="center"/>
    </xf>
    <xf numFmtId="0" fontId="19" fillId="0" borderId="6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93"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41" xfId="0" applyFont="1" applyBorder="1" applyAlignment="1" applyProtection="1">
      <alignment horizontal="center" vertical="center"/>
    </xf>
    <xf numFmtId="0" fontId="19" fillId="0" borderId="27" xfId="0" applyFont="1" applyBorder="1" applyAlignment="1" applyProtection="1">
      <alignment horizontal="center" vertical="center"/>
    </xf>
    <xf numFmtId="0" fontId="19" fillId="0" borderId="29" xfId="0" applyFont="1" applyBorder="1" applyAlignment="1" applyProtection="1">
      <alignment horizontal="center" vertical="center"/>
    </xf>
    <xf numFmtId="0" fontId="19" fillId="0" borderId="94" xfId="0" applyFont="1" applyBorder="1" applyAlignment="1" applyProtection="1">
      <alignment horizontal="center" vertical="center"/>
    </xf>
    <xf numFmtId="176" fontId="5" fillId="12" borderId="4" xfId="0" applyNumberFormat="1" applyFont="1" applyFill="1" applyBorder="1" applyAlignment="1" applyProtection="1">
      <alignment shrinkToFit="1"/>
      <protection locked="0"/>
    </xf>
    <xf numFmtId="0" fontId="36" fillId="0" borderId="0" xfId="0" applyFont="1" applyProtection="1">
      <protection hidden="1"/>
    </xf>
    <xf numFmtId="0" fontId="2" fillId="0" borderId="79" xfId="0" applyFont="1" applyBorder="1" applyAlignment="1">
      <alignment horizontal="center" vertical="center"/>
    </xf>
    <xf numFmtId="0" fontId="19" fillId="0" borderId="23" xfId="0" applyFont="1" applyFill="1" applyBorder="1" applyAlignment="1">
      <alignment horizontal="center" vertical="center" wrapText="1"/>
    </xf>
    <xf numFmtId="0" fontId="19" fillId="2" borderId="23" xfId="0" applyFont="1" applyFill="1" applyBorder="1" applyAlignment="1" applyProtection="1">
      <alignment vertical="center" wrapText="1"/>
      <protection locked="0"/>
    </xf>
    <xf numFmtId="0" fontId="19" fillId="2" borderId="24" xfId="0" applyFont="1" applyFill="1" applyBorder="1" applyAlignment="1" applyProtection="1">
      <alignment vertical="center" wrapText="1"/>
      <protection locked="0"/>
    </xf>
    <xf numFmtId="0" fontId="19" fillId="2" borderId="48" xfId="0" applyFont="1" applyFill="1" applyBorder="1" applyAlignment="1" applyProtection="1">
      <alignment vertical="center"/>
      <protection locked="0"/>
    </xf>
    <xf numFmtId="0" fontId="19" fillId="0" borderId="23" xfId="0" applyFont="1" applyBorder="1" applyAlignment="1" applyProtection="1">
      <alignment horizontal="center" vertical="center"/>
    </xf>
    <xf numFmtId="0" fontId="19" fillId="0" borderId="79" xfId="0" applyFont="1" applyBorder="1" applyAlignment="1" applyProtection="1">
      <alignment horizontal="center" vertical="center"/>
    </xf>
    <xf numFmtId="0" fontId="19" fillId="0" borderId="28" xfId="0" applyFont="1" applyBorder="1" applyAlignment="1" applyProtection="1">
      <alignment horizontal="center" vertical="center"/>
    </xf>
    <xf numFmtId="0" fontId="19" fillId="11" borderId="28" xfId="0" applyFont="1" applyFill="1" applyBorder="1" applyAlignment="1">
      <alignment horizontal="center" vertical="center"/>
    </xf>
    <xf numFmtId="0" fontId="19" fillId="11" borderId="94" xfId="0" applyFont="1" applyFill="1" applyBorder="1" applyAlignment="1">
      <alignment horizontal="center" vertical="center"/>
    </xf>
    <xf numFmtId="0" fontId="19" fillId="0" borderId="95" xfId="0" applyFont="1" applyFill="1" applyBorder="1" applyAlignment="1" applyProtection="1">
      <alignment horizontal="center" vertical="center"/>
    </xf>
    <xf numFmtId="0" fontId="19" fillId="0" borderId="96" xfId="0" applyFont="1" applyFill="1" applyBorder="1" applyAlignment="1" applyProtection="1">
      <alignment horizontal="center" vertical="center"/>
    </xf>
    <xf numFmtId="0" fontId="19" fillId="0" borderId="75" xfId="0" applyFont="1" applyFill="1" applyBorder="1" applyAlignment="1" applyProtection="1">
      <alignment horizontal="center" vertical="center"/>
    </xf>
    <xf numFmtId="0" fontId="19" fillId="0" borderId="97" xfId="0" applyFont="1" applyFill="1" applyBorder="1" applyAlignment="1" applyProtection="1">
      <alignment horizontal="center" vertical="center"/>
    </xf>
    <xf numFmtId="0" fontId="19" fillId="0" borderId="98" xfId="0" applyFont="1" applyFill="1" applyBorder="1" applyAlignment="1" applyProtection="1">
      <alignment horizontal="center" vertical="center"/>
    </xf>
    <xf numFmtId="0" fontId="5" fillId="0" borderId="0" xfId="0" applyFont="1" applyFill="1"/>
    <xf numFmtId="0" fontId="2" fillId="0" borderId="23" xfId="0" applyFont="1" applyFill="1" applyBorder="1" applyAlignment="1">
      <alignment horizontal="center" vertical="center" wrapText="1"/>
    </xf>
    <xf numFmtId="0" fontId="2" fillId="2" borderId="23" xfId="0" applyFont="1" applyFill="1" applyBorder="1" applyAlignment="1" applyProtection="1">
      <alignment vertical="center" wrapText="1"/>
      <protection locked="0"/>
    </xf>
    <xf numFmtId="0" fontId="2" fillId="2" borderId="24" xfId="0" applyFont="1" applyFill="1" applyBorder="1" applyAlignment="1" applyProtection="1">
      <alignment vertical="center" wrapText="1"/>
      <protection locked="0"/>
    </xf>
    <xf numFmtId="49" fontId="2" fillId="2" borderId="79" xfId="0" applyNumberFormat="1" applyFont="1" applyFill="1" applyBorder="1" applyAlignment="1" applyProtection="1">
      <alignment vertical="center" wrapText="1"/>
      <protection locked="0"/>
    </xf>
    <xf numFmtId="0" fontId="2" fillId="2" borderId="48" xfId="0" applyFont="1" applyFill="1" applyBorder="1" applyAlignment="1" applyProtection="1">
      <alignment vertical="center"/>
      <protection locked="0"/>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Fill="1" applyBorder="1" applyAlignment="1">
      <alignment horizontal="center" vertical="center"/>
    </xf>
    <xf numFmtId="0" fontId="5" fillId="0" borderId="0" xfId="0" applyFont="1" applyFill="1" applyBorder="1"/>
    <xf numFmtId="0" fontId="2" fillId="0" borderId="2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19" fillId="0" borderId="28" xfId="0" applyFont="1" applyFill="1" applyBorder="1" applyAlignment="1">
      <alignment horizontal="center" vertical="center" wrapText="1"/>
    </xf>
    <xf numFmtId="0" fontId="19" fillId="0" borderId="94" xfId="0" applyFont="1" applyFill="1" applyBorder="1" applyAlignment="1">
      <alignment horizontal="center" vertical="center" wrapText="1"/>
    </xf>
    <xf numFmtId="0" fontId="0" fillId="0" borderId="16" xfId="0" applyBorder="1"/>
    <xf numFmtId="0" fontId="5" fillId="0" borderId="99" xfId="0" applyFont="1" applyBorder="1" applyAlignment="1">
      <alignment horizontal="center" vertical="center"/>
    </xf>
    <xf numFmtId="58" fontId="0" fillId="2" borderId="0" xfId="0" applyNumberFormat="1" applyFont="1" applyFill="1" applyProtection="1">
      <protection locked="0"/>
    </xf>
    <xf numFmtId="0" fontId="18" fillId="4" borderId="79" xfId="0" applyFont="1" applyFill="1" applyBorder="1" applyAlignment="1" applyProtection="1">
      <alignment horizontal="right" vertical="center"/>
    </xf>
    <xf numFmtId="184" fontId="18" fillId="4" borderId="18" xfId="0" applyNumberFormat="1" applyFont="1" applyFill="1" applyBorder="1" applyAlignment="1" applyProtection="1">
      <alignment horizontal="center" vertical="center"/>
    </xf>
    <xf numFmtId="0" fontId="12" fillId="0" borderId="108" xfId="0" applyFont="1" applyFill="1" applyBorder="1" applyAlignment="1">
      <alignment horizontal="left"/>
    </xf>
    <xf numFmtId="49" fontId="0" fillId="2" borderId="79" xfId="0" applyNumberFormat="1" applyFont="1" applyFill="1" applyBorder="1" applyAlignment="1" applyProtection="1">
      <alignment vertical="center" wrapText="1"/>
      <protection locked="0"/>
    </xf>
    <xf numFmtId="0" fontId="5" fillId="12" borderId="1" xfId="0" applyFont="1" applyFill="1" applyBorder="1" applyProtection="1">
      <protection locked="0"/>
    </xf>
    <xf numFmtId="0" fontId="5" fillId="12" borderId="6" xfId="0" applyFont="1" applyFill="1" applyBorder="1" applyProtection="1">
      <protection locked="0"/>
    </xf>
    <xf numFmtId="0" fontId="19" fillId="0" borderId="14" xfId="0" applyFont="1" applyFill="1" applyBorder="1" applyAlignment="1" applyProtection="1">
      <alignment horizontal="center" vertical="center"/>
    </xf>
    <xf numFmtId="0" fontId="5" fillId="12" borderId="15" xfId="0" applyFont="1" applyFill="1" applyBorder="1" applyAlignment="1" applyProtection="1">
      <alignment vertical="center" wrapText="1"/>
      <protection locked="0"/>
    </xf>
    <xf numFmtId="0" fontId="5" fillId="12" borderId="77" xfId="0" applyFont="1" applyFill="1" applyBorder="1" applyAlignment="1" applyProtection="1">
      <alignment vertical="center" wrapText="1"/>
      <protection locked="0"/>
    </xf>
    <xf numFmtId="0" fontId="5" fillId="12" borderId="1" xfId="0" applyFont="1" applyFill="1" applyBorder="1" applyAlignment="1" applyProtection="1">
      <alignment vertical="center" wrapText="1"/>
      <protection locked="0"/>
    </xf>
    <xf numFmtId="0" fontId="5" fillId="12" borderId="6" xfId="0" applyFont="1" applyFill="1" applyBorder="1" applyAlignment="1" applyProtection="1">
      <alignment vertical="center" wrapText="1"/>
      <protection locked="0"/>
    </xf>
    <xf numFmtId="186" fontId="0" fillId="0" borderId="30" xfId="0" applyNumberFormat="1" applyBorder="1" applyAlignment="1">
      <alignment horizontal="center" vertical="center"/>
    </xf>
    <xf numFmtId="186" fontId="0" fillId="0" borderId="109" xfId="0" applyNumberFormat="1" applyFill="1" applyBorder="1" applyAlignment="1">
      <alignment horizontal="center" vertical="center"/>
    </xf>
    <xf numFmtId="187" fontId="0" fillId="0" borderId="30" xfId="0" applyNumberFormat="1" applyBorder="1" applyAlignment="1">
      <alignment horizontal="center" vertical="center"/>
    </xf>
    <xf numFmtId="187" fontId="0" fillId="0" borderId="109" xfId="0" applyNumberFormat="1" applyFill="1" applyBorder="1" applyAlignment="1">
      <alignment horizontal="center" vertical="center"/>
    </xf>
    <xf numFmtId="0" fontId="2" fillId="0" borderId="24" xfId="0" applyFont="1" applyBorder="1" applyAlignment="1">
      <alignment horizontal="center" vertical="center"/>
    </xf>
    <xf numFmtId="0" fontId="37" fillId="0" borderId="0" xfId="0" applyFont="1" applyProtection="1"/>
    <xf numFmtId="0" fontId="0" fillId="0" borderId="0" xfId="0" applyFont="1" applyAlignment="1">
      <alignment wrapText="1"/>
    </xf>
    <xf numFmtId="0" fontId="2" fillId="0" borderId="0" xfId="0" applyFont="1" applyAlignment="1">
      <alignment horizontal="center"/>
    </xf>
    <xf numFmtId="0" fontId="15" fillId="0" borderId="0" xfId="0" applyFont="1" applyAlignment="1">
      <alignment horizontal="center" wrapText="1"/>
    </xf>
    <xf numFmtId="0" fontId="2" fillId="0" borderId="4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wrapText="1"/>
    </xf>
    <xf numFmtId="0" fontId="2" fillId="0" borderId="49" xfId="0" applyFont="1" applyFill="1" applyBorder="1" applyAlignment="1">
      <alignment horizontal="center" wrapText="1"/>
    </xf>
    <xf numFmtId="0" fontId="2" fillId="0" borderId="0" xfId="0" applyFont="1" applyBorder="1" applyAlignment="1">
      <alignment horizontal="left"/>
    </xf>
    <xf numFmtId="0" fontId="2" fillId="0" borderId="17" xfId="0" applyFont="1" applyBorder="1" applyAlignment="1"/>
    <xf numFmtId="0" fontId="2" fillId="0" borderId="0" xfId="0" applyFont="1" applyBorder="1"/>
    <xf numFmtId="0" fontId="2" fillId="0" borderId="17" xfId="0" applyFont="1" applyFill="1" applyBorder="1" applyAlignment="1"/>
    <xf numFmtId="0" fontId="2" fillId="0" borderId="0" xfId="0" applyFont="1" applyFill="1"/>
    <xf numFmtId="0" fontId="2" fillId="7" borderId="0" xfId="0" applyFont="1" applyFill="1"/>
    <xf numFmtId="0" fontId="2" fillId="0" borderId="80" xfId="0" applyFont="1" applyFill="1" applyBorder="1" applyAlignment="1">
      <alignment horizontal="center" vertical="center"/>
    </xf>
    <xf numFmtId="0" fontId="0" fillId="0" borderId="150" xfId="0" applyFill="1" applyBorder="1" applyAlignment="1">
      <alignment horizontal="center" vertical="center"/>
    </xf>
    <xf numFmtId="0" fontId="0" fillId="0" borderId="80" xfId="0" applyFill="1" applyBorder="1" applyAlignment="1">
      <alignment horizontal="center"/>
    </xf>
    <xf numFmtId="0" fontId="2" fillId="0" borderId="80" xfId="0" applyFont="1" applyFill="1" applyBorder="1" applyAlignment="1">
      <alignment horizontal="center"/>
    </xf>
    <xf numFmtId="0" fontId="2" fillId="0" borderId="49" xfId="0" applyFont="1" applyFill="1" applyBorder="1" applyAlignment="1">
      <alignment horizontal="center" vertical="center"/>
    </xf>
    <xf numFmtId="0" fontId="2" fillId="0" borderId="4" xfId="0" applyFont="1" applyBorder="1" applyAlignment="1"/>
    <xf numFmtId="0" fontId="2" fillId="0" borderId="6" xfId="0" applyFont="1" applyBorder="1" applyAlignment="1"/>
    <xf numFmtId="0" fontId="2" fillId="0" borderId="1" xfId="0" applyFont="1" applyBorder="1" applyAlignment="1">
      <alignment horizontal="center" vertical="center"/>
    </xf>
    <xf numFmtId="0" fontId="2" fillId="0" borderId="16" xfId="0" applyFont="1" applyBorder="1" applyAlignment="1"/>
    <xf numFmtId="0" fontId="2" fillId="0" borderId="12" xfId="0" applyFont="1" applyBorder="1" applyAlignment="1">
      <alignment horizontal="center" vertical="center"/>
    </xf>
    <xf numFmtId="0" fontId="2" fillId="0" borderId="8" xfId="0" applyFont="1" applyBorder="1" applyAlignment="1"/>
    <xf numFmtId="0" fontId="2" fillId="0" borderId="38" xfId="0" applyFont="1" applyBorder="1" applyAlignment="1">
      <alignment horizontal="center" vertical="center"/>
    </xf>
    <xf numFmtId="0" fontId="2" fillId="0" borderId="38" xfId="0" applyFont="1" applyBorder="1" applyAlignment="1"/>
    <xf numFmtId="0" fontId="2" fillId="8" borderId="0" xfId="0" applyFont="1" applyFill="1"/>
    <xf numFmtId="0" fontId="5" fillId="0" borderId="1" xfId="0" applyFont="1" applyFill="1" applyBorder="1" applyAlignment="1"/>
    <xf numFmtId="0" fontId="5" fillId="0" borderId="1" xfId="0" applyFont="1" applyFill="1" applyBorder="1" applyAlignment="1">
      <alignment wrapText="1"/>
    </xf>
    <xf numFmtId="0" fontId="38" fillId="0" borderId="0" xfId="0" applyFont="1"/>
    <xf numFmtId="0" fontId="5" fillId="0" borderId="1" xfId="0" applyFont="1" applyBorder="1" applyAlignment="1">
      <alignment horizontal="center"/>
    </xf>
    <xf numFmtId="0" fontId="2" fillId="0" borderId="1" xfId="0" applyFont="1" applyBorder="1"/>
    <xf numFmtId="0" fontId="2" fillId="0" borderId="1" xfId="0" applyFont="1" applyBorder="1" applyAlignment="1"/>
    <xf numFmtId="0" fontId="2" fillId="0" borderId="1" xfId="0" applyFont="1" applyBorder="1" applyAlignment="1">
      <alignment horizontal="center"/>
    </xf>
    <xf numFmtId="0" fontId="2" fillId="0" borderId="1" xfId="0" applyFont="1" applyBorder="1" applyAlignment="1">
      <alignment horizontal="left"/>
    </xf>
    <xf numFmtId="0" fontId="2" fillId="0" borderId="0" xfId="0" applyFont="1" applyBorder="1" applyAlignment="1">
      <alignment horizontal="center"/>
    </xf>
    <xf numFmtId="0" fontId="2" fillId="0" borderId="5" xfId="0" applyFont="1" applyBorder="1"/>
    <xf numFmtId="0" fontId="2" fillId="4" borderId="1" xfId="0" applyFont="1" applyFill="1" applyBorder="1"/>
    <xf numFmtId="0" fontId="2" fillId="0" borderId="6" xfId="0" applyFont="1" applyBorder="1"/>
    <xf numFmtId="0" fontId="2" fillId="0" borderId="7" xfId="0" applyFont="1" applyBorder="1"/>
    <xf numFmtId="0" fontId="2" fillId="0" borderId="12" xfId="0" applyFont="1" applyBorder="1"/>
    <xf numFmtId="0" fontId="2" fillId="4" borderId="12" xfId="0" applyFont="1" applyFill="1" applyBorder="1"/>
    <xf numFmtId="0" fontId="2" fillId="0" borderId="8" xfId="0" applyFont="1" applyBorder="1"/>
    <xf numFmtId="0" fontId="38" fillId="9" borderId="0" xfId="0" applyFont="1" applyFill="1"/>
    <xf numFmtId="0" fontId="39" fillId="0" borderId="0" xfId="0" applyFont="1" applyProtection="1"/>
    <xf numFmtId="0" fontId="2" fillId="4" borderId="0" xfId="0" applyFont="1" applyFill="1"/>
    <xf numFmtId="0" fontId="40" fillId="0" borderId="20" xfId="0" applyFont="1" applyFill="1" applyBorder="1" applyAlignment="1" applyProtection="1">
      <alignment vertical="center"/>
    </xf>
    <xf numFmtId="0" fontId="7" fillId="15" borderId="14" xfId="0" applyFont="1" applyFill="1" applyBorder="1" applyAlignment="1" applyProtection="1">
      <alignment vertical="center"/>
    </xf>
    <xf numFmtId="0" fontId="39" fillId="0" borderId="1" xfId="0" applyFont="1" applyBorder="1" applyProtection="1"/>
    <xf numFmtId="0" fontId="38" fillId="7" borderId="0" xfId="0" applyFont="1" applyFill="1"/>
    <xf numFmtId="0" fontId="38" fillId="0" borderId="0" xfId="0" applyFont="1" applyFill="1"/>
    <xf numFmtId="0" fontId="38" fillId="8" borderId="0" xfId="0" applyFont="1" applyFill="1"/>
    <xf numFmtId="0" fontId="5" fillId="15" borderId="1" xfId="0" applyFont="1" applyFill="1" applyBorder="1" applyProtection="1"/>
    <xf numFmtId="0" fontId="38" fillId="0" borderId="0" xfId="0" applyFont="1" applyProtection="1"/>
    <xf numFmtId="0" fontId="40" fillId="0" borderId="0" xfId="0" applyFont="1" applyFill="1" applyBorder="1" applyAlignment="1" applyProtection="1">
      <alignment vertical="center"/>
    </xf>
    <xf numFmtId="0" fontId="39" fillId="15" borderId="1" xfId="0" applyFont="1" applyFill="1" applyBorder="1" applyProtection="1"/>
    <xf numFmtId="0" fontId="40" fillId="15" borderId="14" xfId="0" applyFont="1" applyFill="1" applyBorder="1" applyAlignment="1" applyProtection="1">
      <alignment vertical="center"/>
    </xf>
    <xf numFmtId="0" fontId="0" fillId="0" borderId="26" xfId="0" applyFont="1" applyBorder="1" applyAlignment="1"/>
    <xf numFmtId="0" fontId="0" fillId="0" borderId="0" xfId="0" applyFont="1" applyBorder="1" applyAlignment="1"/>
    <xf numFmtId="0" fontId="0" fillId="3" borderId="37" xfId="0" applyFont="1" applyFill="1" applyBorder="1" applyAlignment="1"/>
    <xf numFmtId="0" fontId="0" fillId="3" borderId="38" xfId="0" applyFont="1" applyFill="1" applyBorder="1" applyAlignment="1"/>
    <xf numFmtId="0" fontId="0" fillId="3" borderId="39" xfId="0" applyFont="1" applyFill="1" applyBorder="1" applyAlignment="1"/>
    <xf numFmtId="0" fontId="0" fillId="3" borderId="16" xfId="0" applyFont="1" applyFill="1" applyBorder="1" applyAlignment="1"/>
    <xf numFmtId="0" fontId="0" fillId="3" borderId="0" xfId="0" applyFont="1" applyFill="1" applyBorder="1" applyAlignment="1"/>
    <xf numFmtId="0" fontId="0" fillId="3" borderId="31" xfId="0" applyFont="1" applyFill="1" applyBorder="1" applyAlignment="1"/>
    <xf numFmtId="0" fontId="0" fillId="3" borderId="32" xfId="0" applyFont="1" applyFill="1" applyBorder="1" applyAlignment="1"/>
    <xf numFmtId="0" fontId="0" fillId="3" borderId="33" xfId="0" applyFont="1" applyFill="1" applyBorder="1" applyAlignment="1"/>
    <xf numFmtId="0" fontId="0" fillId="3" borderId="34" xfId="0" applyFont="1" applyFill="1" applyBorder="1" applyAlignment="1"/>
    <xf numFmtId="181" fontId="0" fillId="0" borderId="36" xfId="0" applyNumberFormat="1" applyFont="1" applyFill="1" applyBorder="1" applyAlignment="1" applyProtection="1">
      <alignment horizontal="center" vertical="center"/>
    </xf>
    <xf numFmtId="0" fontId="0" fillId="14" borderId="104" xfId="0" applyFont="1" applyFill="1" applyBorder="1" applyAlignment="1" applyProtection="1">
      <alignment horizontal="center" vertical="center"/>
      <protection locked="0"/>
    </xf>
    <xf numFmtId="0" fontId="0" fillId="14" borderId="102" xfId="0" applyFont="1" applyFill="1" applyBorder="1" applyAlignment="1" applyProtection="1">
      <alignment horizontal="center" vertical="center"/>
      <protection locked="0"/>
    </xf>
    <xf numFmtId="185" fontId="0" fillId="0" borderId="6" xfId="0" applyNumberFormat="1" applyFont="1" applyBorder="1" applyAlignment="1" applyProtection="1">
      <alignment horizontal="center" vertical="center"/>
    </xf>
    <xf numFmtId="0" fontId="0" fillId="14" borderId="105" xfId="0" applyFont="1" applyFill="1" applyBorder="1" applyAlignment="1" applyProtection="1">
      <alignment horizontal="center" vertical="center"/>
      <protection locked="0"/>
    </xf>
    <xf numFmtId="185" fontId="0" fillId="0" borderId="90" xfId="0" applyNumberFormat="1" applyFont="1" applyBorder="1" applyAlignment="1" applyProtection="1">
      <alignment horizontal="center" vertical="center"/>
    </xf>
    <xf numFmtId="0" fontId="0" fillId="0" borderId="52" xfId="0" applyNumberFormat="1" applyFont="1" applyBorder="1" applyAlignment="1">
      <alignment horizontal="center" vertical="center"/>
    </xf>
    <xf numFmtId="0" fontId="0" fillId="0" borderId="20" xfId="0" applyNumberFormat="1" applyFont="1" applyBorder="1" applyAlignment="1">
      <alignment horizontal="center" vertical="center"/>
    </xf>
    <xf numFmtId="185" fontId="0" fillId="0" borderId="77" xfId="0" applyNumberFormat="1" applyFont="1" applyBorder="1" applyAlignment="1">
      <alignment horizontal="center" vertical="center"/>
    </xf>
    <xf numFmtId="181" fontId="0" fillId="14" borderId="103" xfId="0" applyNumberFormat="1" applyFont="1" applyFill="1" applyBorder="1" applyAlignment="1" applyProtection="1">
      <alignment horizontal="center" vertical="center"/>
    </xf>
    <xf numFmtId="181" fontId="0" fillId="13" borderId="102" xfId="0" applyNumberFormat="1" applyFont="1" applyFill="1" applyBorder="1" applyAlignment="1" applyProtection="1">
      <alignment horizontal="center" vertical="center"/>
    </xf>
    <xf numFmtId="181" fontId="0" fillId="0" borderId="35" xfId="0" applyNumberFormat="1" applyFont="1" applyFill="1" applyBorder="1" applyAlignment="1" applyProtection="1">
      <alignment horizontal="center" vertical="center"/>
    </xf>
    <xf numFmtId="0" fontId="0" fillId="14" borderId="87" xfId="0" applyFont="1" applyFill="1" applyBorder="1" applyAlignment="1" applyProtection="1">
      <alignment horizontal="center" vertical="center"/>
      <protection locked="0"/>
    </xf>
    <xf numFmtId="0" fontId="0" fillId="14" borderId="1" xfId="0" applyFont="1" applyFill="1" applyBorder="1" applyAlignment="1" applyProtection="1">
      <alignment horizontal="center" vertical="center"/>
      <protection locked="0"/>
    </xf>
    <xf numFmtId="0" fontId="0" fillId="14" borderId="5" xfId="0" applyFont="1" applyFill="1" applyBorder="1" applyAlignment="1" applyProtection="1">
      <alignment horizontal="center" vertical="center"/>
      <protection locked="0"/>
    </xf>
    <xf numFmtId="181" fontId="0" fillId="13" borderId="24" xfId="0" applyNumberFormat="1" applyFont="1" applyFill="1" applyBorder="1" applyAlignment="1" applyProtection="1">
      <alignment horizontal="center" vertical="center"/>
    </xf>
    <xf numFmtId="181" fontId="0" fillId="13" borderId="1" xfId="0" applyNumberFormat="1" applyFont="1" applyFill="1" applyBorder="1" applyAlignment="1" applyProtection="1">
      <alignment horizontal="center" vertical="center"/>
    </xf>
    <xf numFmtId="181" fontId="0" fillId="0" borderId="100" xfId="0" applyNumberFormat="1" applyFont="1" applyFill="1" applyBorder="1" applyAlignment="1" applyProtection="1">
      <alignment horizontal="center" vertical="center"/>
    </xf>
    <xf numFmtId="0" fontId="0" fillId="14" borderId="57" xfId="0" applyFont="1" applyFill="1" applyBorder="1" applyAlignment="1" applyProtection="1">
      <alignment horizontal="center" vertical="center"/>
      <protection locked="0"/>
    </xf>
    <xf numFmtId="0" fontId="0" fillId="14" borderId="12" xfId="0" applyFont="1" applyFill="1" applyBorder="1" applyAlignment="1" applyProtection="1">
      <alignment horizontal="center" vertical="center"/>
      <protection locked="0"/>
    </xf>
    <xf numFmtId="185" fontId="0" fillId="0" borderId="8" xfId="0" applyNumberFormat="1" applyFont="1" applyBorder="1" applyAlignment="1" applyProtection="1">
      <alignment horizontal="center" vertical="center"/>
    </xf>
    <xf numFmtId="0" fontId="0" fillId="14" borderId="7" xfId="0" applyFont="1" applyFill="1" applyBorder="1" applyAlignment="1" applyProtection="1">
      <alignment horizontal="center" vertical="center"/>
      <protection locked="0"/>
    </xf>
    <xf numFmtId="0" fontId="0" fillId="14" borderId="106" xfId="0" applyFont="1" applyFill="1" applyBorder="1" applyAlignment="1" applyProtection="1">
      <alignment horizontal="center" vertical="center"/>
      <protection locked="0"/>
    </xf>
    <xf numFmtId="0" fontId="0" fillId="0" borderId="57" xfId="0" applyNumberFormat="1" applyFont="1" applyBorder="1" applyAlignment="1">
      <alignment horizontal="center" vertical="center"/>
    </xf>
    <xf numFmtId="0" fontId="0" fillId="0" borderId="45" xfId="0" applyNumberFormat="1" applyFont="1" applyBorder="1" applyAlignment="1">
      <alignment horizontal="center" vertical="center"/>
    </xf>
    <xf numFmtId="181" fontId="0" fillId="13" borderId="79" xfId="0" applyNumberFormat="1" applyFont="1" applyFill="1" applyBorder="1" applyAlignment="1" applyProtection="1">
      <alignment horizontal="center" vertical="center"/>
    </xf>
    <xf numFmtId="181" fontId="0" fillId="13" borderId="14" xfId="0" applyNumberFormat="1" applyFont="1" applyFill="1" applyBorder="1" applyAlignment="1" applyProtection="1">
      <alignment horizontal="center" vertical="center"/>
    </xf>
    <xf numFmtId="185" fontId="0" fillId="0" borderId="101" xfId="0" applyNumberFormat="1" applyFont="1" applyFill="1" applyBorder="1" applyAlignment="1" applyProtection="1">
      <alignment horizontal="center" vertical="center"/>
    </xf>
    <xf numFmtId="0" fontId="0" fillId="0" borderId="52" xfId="0" applyNumberFormat="1" applyFont="1" applyBorder="1" applyAlignment="1" applyProtection="1">
      <alignment horizontal="center" vertical="center"/>
    </xf>
    <xf numFmtId="0" fontId="0" fillId="0" borderId="20" xfId="0" applyNumberFormat="1" applyFont="1" applyBorder="1" applyAlignment="1" applyProtection="1">
      <alignment horizontal="center" vertical="center"/>
    </xf>
    <xf numFmtId="185" fontId="0" fillId="0" borderId="77" xfId="0" applyNumberFormat="1" applyFont="1" applyBorder="1" applyAlignment="1" applyProtection="1">
      <alignment horizontal="center" vertical="center"/>
    </xf>
    <xf numFmtId="0" fontId="0" fillId="0" borderId="21" xfId="0" applyNumberFormat="1" applyFont="1" applyBorder="1" applyAlignment="1" applyProtection="1">
      <alignment horizontal="center" vertical="center"/>
    </xf>
    <xf numFmtId="0" fontId="0" fillId="0" borderId="81" xfId="0" applyNumberFormat="1" applyFont="1" applyBorder="1" applyAlignment="1" applyProtection="1">
      <alignment horizontal="center" vertical="center"/>
    </xf>
    <xf numFmtId="0" fontId="0" fillId="0" borderId="21" xfId="0" applyNumberFormat="1" applyFont="1" applyBorder="1" applyAlignment="1">
      <alignment horizontal="center" vertical="center"/>
    </xf>
    <xf numFmtId="185" fontId="0" fillId="0" borderId="4" xfId="0" applyNumberFormat="1" applyFont="1" applyBorder="1" applyAlignment="1">
      <alignment horizontal="center" vertical="center"/>
    </xf>
    <xf numFmtId="185" fontId="0" fillId="0" borderId="38" xfId="0" applyNumberFormat="1" applyFont="1" applyFill="1" applyBorder="1" applyAlignment="1">
      <alignment horizontal="center" vertical="center"/>
    </xf>
    <xf numFmtId="185" fontId="0" fillId="0" borderId="35" xfId="0" applyNumberFormat="1" applyFont="1" applyFill="1" applyBorder="1" applyAlignment="1" applyProtection="1">
      <alignment horizontal="center" vertical="center"/>
    </xf>
    <xf numFmtId="0" fontId="0" fillId="0" borderId="76" xfId="0" applyNumberFormat="1" applyFont="1" applyBorder="1" applyAlignment="1" applyProtection="1">
      <alignment horizontal="center" vertical="center"/>
    </xf>
    <xf numFmtId="0" fontId="0" fillId="0" borderId="1" xfId="0" applyNumberFormat="1" applyFont="1" applyBorder="1" applyAlignment="1" applyProtection="1">
      <alignment horizontal="center" vertical="center"/>
    </xf>
    <xf numFmtId="185" fontId="0" fillId="0" borderId="81" xfId="0" applyNumberFormat="1" applyFont="1" applyBorder="1" applyAlignment="1" applyProtection="1">
      <alignment horizontal="center" vertical="center"/>
    </xf>
    <xf numFmtId="0" fontId="0" fillId="0" borderId="5" xfId="0" applyNumberFormat="1" applyFont="1" applyBorder="1" applyAlignment="1" applyProtection="1">
      <alignment horizontal="center" vertical="center"/>
    </xf>
    <xf numFmtId="0" fontId="0" fillId="0" borderId="76"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6" xfId="0" applyNumberFormat="1" applyFont="1" applyBorder="1" applyAlignment="1">
      <alignment horizontal="center" vertical="center"/>
    </xf>
    <xf numFmtId="185" fontId="0" fillId="0" borderId="0" xfId="0" applyNumberFormat="1" applyFont="1" applyFill="1" applyBorder="1" applyAlignment="1">
      <alignment horizontal="center" vertical="center"/>
    </xf>
    <xf numFmtId="185" fontId="0" fillId="0" borderId="78" xfId="0" applyNumberFormat="1" applyFont="1" applyFill="1" applyBorder="1" applyAlignment="1" applyProtection="1">
      <alignment horizontal="center" vertical="center"/>
    </xf>
    <xf numFmtId="0" fontId="0" fillId="12" borderId="57" xfId="0" applyFont="1" applyFill="1" applyBorder="1" applyAlignment="1" applyProtection="1">
      <alignment horizontal="center" vertical="center"/>
      <protection locked="0"/>
    </xf>
    <xf numFmtId="0" fontId="0" fillId="2" borderId="58" xfId="0" applyFont="1" applyFill="1" applyBorder="1" applyAlignment="1" applyProtection="1">
      <alignment horizontal="center" vertical="center"/>
      <protection locked="0"/>
    </xf>
    <xf numFmtId="185" fontId="0" fillId="0" borderId="8" xfId="0" applyNumberFormat="1" applyFont="1" applyBorder="1" applyAlignment="1">
      <alignment horizontal="center" vertical="center"/>
    </xf>
    <xf numFmtId="0" fontId="0" fillId="2" borderId="45" xfId="0" applyFont="1" applyFill="1" applyBorder="1" applyAlignment="1" applyProtection="1">
      <alignment horizontal="center" vertical="center"/>
      <protection locked="0"/>
    </xf>
    <xf numFmtId="0" fontId="0" fillId="2" borderId="48" xfId="0" applyFont="1" applyFill="1" applyBorder="1" applyAlignment="1" applyProtection="1">
      <alignment horizontal="center" vertical="center"/>
      <protection locked="0"/>
    </xf>
    <xf numFmtId="181" fontId="0" fillId="0" borderId="36" xfId="0" applyNumberFormat="1" applyFont="1" applyBorder="1" applyAlignment="1">
      <alignment horizontal="center" vertical="center"/>
    </xf>
    <xf numFmtId="0" fontId="0" fillId="2" borderId="52"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2" borderId="53"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181" fontId="0" fillId="0" borderId="35" xfId="0" applyNumberFormat="1" applyFont="1" applyBorder="1" applyAlignment="1">
      <alignment horizontal="center" vertical="center"/>
    </xf>
    <xf numFmtId="181" fontId="0" fillId="0" borderId="78" xfId="0" applyNumberFormat="1" applyFont="1" applyBorder="1" applyAlignment="1">
      <alignment horizontal="center" vertical="center"/>
    </xf>
    <xf numFmtId="0" fontId="0" fillId="2" borderId="55"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56"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0" borderId="55" xfId="0" applyNumberFormat="1" applyFont="1" applyBorder="1" applyAlignment="1">
      <alignment horizontal="center" vertical="center"/>
    </xf>
    <xf numFmtId="0" fontId="0" fillId="0" borderId="0" xfId="0" applyNumberFormat="1" applyFont="1" applyBorder="1" applyAlignment="1">
      <alignment horizontal="center" vertical="center"/>
    </xf>
    <xf numFmtId="185" fontId="0" fillId="0" borderId="83" xfId="0" applyNumberFormat="1" applyFont="1" applyBorder="1" applyAlignment="1">
      <alignment horizontal="center" vertical="center"/>
    </xf>
    <xf numFmtId="177" fontId="0" fillId="0" borderId="84" xfId="0" applyNumberFormat="1" applyFont="1" applyBorder="1" applyAlignment="1">
      <alignment horizontal="center" vertical="center"/>
    </xf>
    <xf numFmtId="177" fontId="0" fillId="0" borderId="38" xfId="0" applyNumberFormat="1" applyFont="1" applyBorder="1" applyAlignment="1">
      <alignment horizontal="center" vertical="center"/>
    </xf>
    <xf numFmtId="177" fontId="0" fillId="0" borderId="85" xfId="0" applyNumberFormat="1" applyFont="1" applyBorder="1" applyAlignment="1">
      <alignment horizontal="center" vertical="center"/>
    </xf>
    <xf numFmtId="177" fontId="0" fillId="0" borderId="86" xfId="0" applyNumberFormat="1" applyFont="1" applyBorder="1" applyAlignment="1">
      <alignment horizontal="center" vertical="center"/>
    </xf>
    <xf numFmtId="177" fontId="0" fillId="0" borderId="82" xfId="0" applyNumberFormat="1" applyFont="1" applyBorder="1" applyAlignment="1">
      <alignment horizontal="center" vertical="center"/>
    </xf>
    <xf numFmtId="185" fontId="0" fillId="0" borderId="42" xfId="0" applyNumberFormat="1" applyFont="1" applyBorder="1" applyAlignment="1">
      <alignment horizontal="center" vertical="center"/>
    </xf>
    <xf numFmtId="185" fontId="0" fillId="0" borderId="35" xfId="0" applyNumberFormat="1" applyFont="1" applyBorder="1" applyAlignment="1">
      <alignment horizontal="center" vertical="center"/>
    </xf>
    <xf numFmtId="177" fontId="0" fillId="0" borderId="87" xfId="0" applyNumberFormat="1" applyFont="1" applyBorder="1" applyAlignment="1">
      <alignment horizontal="center" vertical="center"/>
    </xf>
    <xf numFmtId="177" fontId="0" fillId="0" borderId="22" xfId="0" applyNumberFormat="1" applyFont="1" applyBorder="1" applyAlignment="1">
      <alignment horizontal="center" vertical="center"/>
    </xf>
    <xf numFmtId="177" fontId="0" fillId="0" borderId="5" xfId="0" applyNumberFormat="1" applyFont="1" applyBorder="1" applyAlignment="1">
      <alignment horizontal="center" vertical="center"/>
    </xf>
    <xf numFmtId="177" fontId="0" fillId="0" borderId="24" xfId="0" applyNumberFormat="1" applyFont="1" applyBorder="1" applyAlignment="1">
      <alignment horizontal="center" vertical="center"/>
    </xf>
    <xf numFmtId="177" fontId="0" fillId="0" borderId="9" xfId="0" applyNumberFormat="1" applyFont="1" applyBorder="1" applyAlignment="1">
      <alignment horizontal="center" vertical="center"/>
    </xf>
    <xf numFmtId="185" fontId="0" fillId="0" borderId="88" xfId="0" applyNumberFormat="1" applyFont="1" applyBorder="1" applyAlignment="1">
      <alignment horizontal="center" vertical="center"/>
    </xf>
    <xf numFmtId="181" fontId="0" fillId="0" borderId="20" xfId="0" applyNumberFormat="1" applyFont="1" applyBorder="1" applyAlignment="1">
      <alignment horizontal="center" vertical="center"/>
    </xf>
    <xf numFmtId="185" fontId="0" fillId="0" borderId="78" xfId="0" applyNumberFormat="1" applyFont="1" applyBorder="1" applyAlignment="1">
      <alignment horizontal="center" vertical="center"/>
    </xf>
    <xf numFmtId="0" fontId="0" fillId="2" borderId="57"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0" borderId="35" xfId="0" applyNumberFormat="1" applyFont="1" applyBorder="1" applyAlignment="1">
      <alignment horizontal="center" vertical="center"/>
    </xf>
    <xf numFmtId="181" fontId="0" fillId="0" borderId="35" xfId="0" applyNumberFormat="1" applyFont="1" applyFill="1" applyBorder="1" applyAlignment="1">
      <alignment horizontal="center" vertical="center"/>
    </xf>
    <xf numFmtId="0" fontId="5" fillId="3" borderId="75" xfId="0" applyFont="1" applyFill="1" applyBorder="1" applyAlignment="1" applyProtection="1">
      <alignment horizontal="center" vertical="center"/>
    </xf>
    <xf numFmtId="0" fontId="26" fillId="0" borderId="0" xfId="0" applyFont="1" applyAlignment="1"/>
    <xf numFmtId="0" fontId="41" fillId="0" borderId="0" xfId="0" applyFont="1" applyAlignment="1" applyProtection="1">
      <alignment vertical="center"/>
    </xf>
    <xf numFmtId="0" fontId="18" fillId="0" borderId="0" xfId="0" applyFont="1" applyAlignment="1" applyProtection="1">
      <alignment vertical="center"/>
      <protection locked="0"/>
    </xf>
    <xf numFmtId="0" fontId="19" fillId="0" borderId="0" xfId="0" applyFont="1" applyAlignment="1" applyProtection="1">
      <alignment vertical="center"/>
      <protection locked="0"/>
    </xf>
    <xf numFmtId="0" fontId="39" fillId="3" borderId="30" xfId="0" applyFont="1" applyFill="1" applyBorder="1" applyAlignment="1" applyProtection="1">
      <alignment horizontal="center" vertical="center" wrapText="1"/>
    </xf>
    <xf numFmtId="38" fontId="2" fillId="16" borderId="10" xfId="2" applyFont="1" applyFill="1" applyBorder="1" applyProtection="1">
      <protection locked="0"/>
    </xf>
    <xf numFmtId="38" fontId="2" fillId="16" borderId="15" xfId="2" applyFont="1" applyFill="1" applyBorder="1" applyProtection="1">
      <protection locked="0"/>
    </xf>
    <xf numFmtId="38" fontId="2" fillId="16" borderId="12" xfId="2" applyFont="1" applyFill="1" applyBorder="1" applyProtection="1">
      <protection locked="0"/>
    </xf>
    <xf numFmtId="0" fontId="5" fillId="0" borderId="153" xfId="0" applyFont="1" applyBorder="1" applyProtection="1"/>
    <xf numFmtId="0" fontId="5" fillId="0" borderId="154" xfId="0" applyFont="1" applyBorder="1" applyProtection="1"/>
    <xf numFmtId="0" fontId="5" fillId="0" borderId="63" xfId="0" applyFont="1" applyBorder="1" applyProtection="1"/>
    <xf numFmtId="0" fontId="2" fillId="0" borderId="0" xfId="0" applyFont="1" applyAlignment="1" applyProtection="1">
      <alignment vertical="center"/>
      <protection locked="0"/>
    </xf>
    <xf numFmtId="38" fontId="5" fillId="16" borderId="1" xfId="0" applyNumberFormat="1" applyFont="1" applyFill="1" applyBorder="1" applyAlignment="1" applyProtection="1">
      <alignment shrinkToFit="1"/>
      <protection locked="0"/>
    </xf>
    <xf numFmtId="38" fontId="5" fillId="16" borderId="12" xfId="0" applyNumberFormat="1" applyFont="1" applyFill="1" applyBorder="1" applyAlignment="1" applyProtection="1">
      <alignment shrinkToFit="1"/>
      <protection locked="0"/>
    </xf>
    <xf numFmtId="0" fontId="37" fillId="0" borderId="153" xfId="0" applyFont="1" applyBorder="1" applyProtection="1"/>
    <xf numFmtId="0" fontId="37" fillId="0" borderId="154" xfId="0" applyFont="1" applyBorder="1" applyProtection="1"/>
    <xf numFmtId="0" fontId="37" fillId="0" borderId="63" xfId="0" applyFont="1" applyBorder="1" applyProtection="1"/>
    <xf numFmtId="0" fontId="5" fillId="0" borderId="0" xfId="0" applyFont="1" applyProtection="1">
      <protection locked="0"/>
    </xf>
    <xf numFmtId="0" fontId="20" fillId="0" borderId="0" xfId="0" applyFont="1" applyProtection="1">
      <protection locked="0"/>
    </xf>
    <xf numFmtId="0" fontId="5" fillId="0" borderId="0" xfId="0" applyFont="1" applyFill="1" applyProtection="1">
      <protection locked="0"/>
    </xf>
    <xf numFmtId="0" fontId="0" fillId="0" borderId="0" xfId="0" applyAlignment="1">
      <alignment horizontal="left" wrapText="1"/>
    </xf>
    <xf numFmtId="0" fontId="26" fillId="0" borderId="0" xfId="0" applyFont="1" applyAlignment="1">
      <alignment horizontal="left"/>
    </xf>
    <xf numFmtId="0" fontId="0" fillId="0" borderId="0" xfId="0" applyAlignment="1"/>
    <xf numFmtId="0" fontId="0" fillId="0" borderId="0" xfId="0" applyAlignment="1">
      <alignment wrapText="1"/>
    </xf>
    <xf numFmtId="0" fontId="25" fillId="0" borderId="0" xfId="0" applyFont="1" applyAlignment="1">
      <alignment horizontal="left"/>
    </xf>
    <xf numFmtId="0" fontId="18" fillId="0" borderId="24"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9" xfId="0" applyFont="1" applyFill="1" applyBorder="1" applyAlignment="1" applyProtection="1">
      <alignment horizontal="center" vertical="center"/>
    </xf>
    <xf numFmtId="58" fontId="18" fillId="2"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right" vertical="center"/>
      <protection locked="0"/>
    </xf>
    <xf numFmtId="183" fontId="18" fillId="2" borderId="24" xfId="0" applyNumberFormat="1" applyFont="1" applyFill="1" applyBorder="1" applyAlignment="1" applyProtection="1">
      <alignment horizontal="center" vertical="center"/>
      <protection locked="0"/>
    </xf>
    <xf numFmtId="183" fontId="0" fillId="0" borderId="22" xfId="0" applyNumberFormat="1" applyBorder="1" applyAlignment="1" applyProtection="1">
      <alignment horizontal="center" vertical="center"/>
      <protection locked="0"/>
    </xf>
    <xf numFmtId="184" fontId="18" fillId="12" borderId="22" xfId="0" applyNumberFormat="1" applyFont="1" applyFill="1" applyBorder="1" applyAlignment="1" applyProtection="1">
      <alignment horizontal="center" vertical="center"/>
      <protection locked="0"/>
    </xf>
    <xf numFmtId="184" fontId="0" fillId="0" borderId="9" xfId="0" applyNumberFormat="1" applyBorder="1" applyAlignment="1" applyProtection="1">
      <alignment horizontal="center" vertical="center"/>
      <protection locked="0"/>
    </xf>
    <xf numFmtId="0" fontId="18" fillId="2" borderId="79" xfId="0" applyFont="1" applyFill="1" applyBorder="1" applyAlignment="1" applyProtection="1">
      <alignment horizontal="center" vertical="center" wrapText="1" shrinkToFit="1"/>
      <protection locked="0"/>
    </xf>
    <xf numFmtId="0" fontId="18" fillId="2" borderId="18" xfId="0" applyFont="1" applyFill="1" applyBorder="1" applyAlignment="1" applyProtection="1">
      <alignment horizontal="center" vertical="center" wrapText="1" shrinkToFit="1"/>
      <protection locked="0"/>
    </xf>
    <xf numFmtId="0" fontId="18" fillId="2" borderId="19" xfId="0" applyFont="1" applyFill="1" applyBorder="1" applyAlignment="1" applyProtection="1">
      <alignment horizontal="center" vertical="center" wrapText="1" shrinkToFit="1"/>
      <protection locked="0"/>
    </xf>
    <xf numFmtId="0" fontId="18" fillId="2" borderId="81" xfId="0" applyFont="1" applyFill="1" applyBorder="1" applyAlignment="1" applyProtection="1">
      <alignment horizontal="center" vertical="center" wrapText="1" shrinkToFit="1"/>
      <protection locked="0"/>
    </xf>
    <xf numFmtId="0" fontId="18" fillId="2" borderId="20" xfId="0" applyFont="1" applyFill="1" applyBorder="1" applyAlignment="1" applyProtection="1">
      <alignment horizontal="center" vertical="center" wrapText="1" shrinkToFit="1"/>
      <protection locked="0"/>
    </xf>
    <xf numFmtId="0" fontId="18" fillId="2" borderId="21" xfId="0" applyFont="1" applyFill="1" applyBorder="1" applyAlignment="1" applyProtection="1">
      <alignment horizontal="center" vertical="center" wrapText="1" shrinkToFit="1"/>
      <protection locked="0"/>
    </xf>
    <xf numFmtId="0" fontId="7" fillId="4" borderId="0" xfId="0" applyFont="1" applyFill="1" applyAlignment="1" applyProtection="1">
      <alignment vertical="center"/>
    </xf>
    <xf numFmtId="0" fontId="5" fillId="2" borderId="24" xfId="0" applyFont="1" applyFill="1" applyBorder="1" applyAlignment="1" applyProtection="1">
      <alignment horizontal="center" vertical="center" wrapText="1" shrinkToFit="1"/>
      <protection locked="0"/>
    </xf>
    <xf numFmtId="0" fontId="5" fillId="2" borderId="22" xfId="0" applyFont="1" applyFill="1" applyBorder="1" applyAlignment="1" applyProtection="1">
      <alignment horizontal="center" vertical="center" wrapText="1" shrinkToFit="1"/>
      <protection locked="0"/>
    </xf>
    <xf numFmtId="0" fontId="5" fillId="2" borderId="9" xfId="0" applyFont="1" applyFill="1" applyBorder="1" applyAlignment="1" applyProtection="1">
      <alignment horizontal="center" vertical="center" wrapText="1" shrinkToFit="1"/>
      <protection locked="0"/>
    </xf>
    <xf numFmtId="0" fontId="18" fillId="2" borderId="110" xfId="0" applyFont="1" applyFill="1" applyBorder="1" applyAlignment="1" applyProtection="1">
      <alignment horizontal="center" vertical="center" wrapText="1" shrinkToFit="1"/>
      <protection locked="0"/>
    </xf>
    <xf numFmtId="0" fontId="18" fillId="2" borderId="111" xfId="0" applyFont="1" applyFill="1" applyBorder="1" applyAlignment="1" applyProtection="1">
      <alignment horizontal="center" vertical="center" wrapText="1" shrinkToFit="1"/>
      <protection locked="0"/>
    </xf>
    <xf numFmtId="0" fontId="18" fillId="2" borderId="112" xfId="0" applyFont="1" applyFill="1" applyBorder="1" applyAlignment="1" applyProtection="1">
      <alignment horizontal="center" vertical="center" wrapText="1" shrinkToFit="1"/>
      <protection locked="0"/>
    </xf>
    <xf numFmtId="0" fontId="20" fillId="4" borderId="0" xfId="0" applyFont="1" applyFill="1" applyAlignment="1">
      <alignment horizontal="center" vertical="center"/>
    </xf>
    <xf numFmtId="0" fontId="18" fillId="4" borderId="0" xfId="0" applyFont="1" applyFill="1" applyAlignment="1">
      <alignment horizontal="left" vertical="center" wrapText="1"/>
    </xf>
    <xf numFmtId="0" fontId="18" fillId="4" borderId="79" xfId="0" applyFont="1" applyFill="1" applyBorder="1" applyAlignment="1" applyProtection="1">
      <alignment horizontal="center" vertical="center"/>
    </xf>
    <xf numFmtId="0" fontId="18" fillId="4" borderId="18" xfId="0" applyFont="1" applyFill="1" applyBorder="1" applyAlignment="1" applyProtection="1">
      <alignment horizontal="center" vertical="center"/>
    </xf>
    <xf numFmtId="0" fontId="18" fillId="4" borderId="19" xfId="0" applyFont="1" applyFill="1" applyBorder="1" applyAlignment="1" applyProtection="1">
      <alignment horizontal="center" vertical="center"/>
    </xf>
    <xf numFmtId="0" fontId="18" fillId="4" borderId="81" xfId="0" applyFont="1" applyFill="1" applyBorder="1" applyAlignment="1" applyProtection="1">
      <alignment horizontal="center" vertical="center"/>
    </xf>
    <xf numFmtId="0" fontId="18" fillId="4" borderId="20" xfId="0" applyFont="1" applyFill="1" applyBorder="1" applyAlignment="1" applyProtection="1">
      <alignment horizontal="center" vertical="center"/>
    </xf>
    <xf numFmtId="0" fontId="18" fillId="4" borderId="21" xfId="0"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8" fillId="4" borderId="81" xfId="0" applyFont="1" applyFill="1" applyBorder="1" applyAlignment="1" applyProtection="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183" fontId="18" fillId="12" borderId="113" xfId="0" applyNumberFormat="1" applyFont="1" applyFill="1" applyBorder="1" applyAlignment="1" applyProtection="1">
      <alignment horizontal="center" vertical="center"/>
      <protection locked="0"/>
    </xf>
    <xf numFmtId="183" fontId="0" fillId="12" borderId="18" xfId="0" applyNumberFormat="1" applyFill="1" applyBorder="1" applyAlignment="1" applyProtection="1">
      <alignment horizontal="center" vertical="center"/>
      <protection locked="0"/>
    </xf>
    <xf numFmtId="184" fontId="18" fillId="12" borderId="18" xfId="0" applyNumberFormat="1" applyFont="1" applyFill="1" applyBorder="1" applyAlignment="1" applyProtection="1">
      <alignment horizontal="center" vertical="center"/>
      <protection locked="0"/>
    </xf>
    <xf numFmtId="184" fontId="0" fillId="12" borderId="114" xfId="0" applyNumberFormat="1" applyFill="1" applyBorder="1" applyAlignment="1" applyProtection="1">
      <alignment horizontal="center" vertical="center"/>
      <protection locked="0"/>
    </xf>
    <xf numFmtId="0" fontId="18" fillId="12" borderId="115" xfId="0" applyFont="1" applyFill="1" applyBorder="1" applyAlignment="1" applyProtection="1">
      <alignment horizontal="center" vertical="center" shrinkToFit="1"/>
      <protection locked="0"/>
    </xf>
    <xf numFmtId="0" fontId="18" fillId="12" borderId="116" xfId="0" applyFont="1" applyFill="1" applyBorder="1" applyAlignment="1" applyProtection="1">
      <alignment horizontal="center" vertical="center" shrinkToFit="1"/>
      <protection locked="0"/>
    </xf>
    <xf numFmtId="0" fontId="18" fillId="12" borderId="117" xfId="0" applyFont="1" applyFill="1" applyBorder="1" applyAlignment="1" applyProtection="1">
      <alignment horizontal="center" vertical="center" shrinkToFit="1"/>
      <protection locked="0"/>
    </xf>
    <xf numFmtId="0" fontId="18" fillId="0" borderId="18"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4" borderId="18" xfId="0" applyFont="1" applyFill="1" applyBorder="1" applyAlignment="1" applyProtection="1">
      <alignment horizontal="right" vertical="center"/>
    </xf>
    <xf numFmtId="0" fontId="18" fillId="4" borderId="20" xfId="0" applyFont="1" applyFill="1" applyBorder="1" applyAlignment="1" applyProtection="1">
      <alignment horizontal="right" vertical="center"/>
    </xf>
    <xf numFmtId="0" fontId="18" fillId="4" borderId="24" xfId="0" applyFont="1" applyFill="1" applyBorder="1" applyAlignment="1" applyProtection="1">
      <alignment horizontal="center" vertical="center"/>
    </xf>
    <xf numFmtId="0" fontId="18" fillId="4" borderId="22"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18" fillId="2" borderId="22"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12" borderId="24" xfId="0" applyFont="1" applyFill="1" applyBorder="1" applyAlignment="1" applyProtection="1">
      <alignment vertical="center"/>
      <protection locked="0"/>
    </xf>
    <xf numFmtId="0" fontId="18" fillId="12" borderId="22" xfId="0" applyFont="1" applyFill="1" applyBorder="1" applyAlignment="1" applyProtection="1">
      <alignment vertical="center"/>
      <protection locked="0"/>
    </xf>
    <xf numFmtId="0" fontId="18" fillId="12" borderId="9" xfId="0" applyFont="1" applyFill="1" applyBorder="1" applyAlignment="1" applyProtection="1">
      <alignment vertical="center"/>
      <protection locked="0"/>
    </xf>
    <xf numFmtId="0" fontId="18" fillId="4" borderId="17"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118" xfId="0" applyFont="1" applyFill="1" applyBorder="1" applyAlignment="1" applyProtection="1">
      <alignment horizontal="center" vertical="center"/>
    </xf>
    <xf numFmtId="0" fontId="18" fillId="4" borderId="79" xfId="0" applyFont="1" applyFill="1" applyBorder="1" applyAlignment="1" applyProtection="1">
      <alignment vertical="center"/>
    </xf>
    <xf numFmtId="0" fontId="18" fillId="4" borderId="18" xfId="0" applyFont="1" applyFill="1" applyBorder="1" applyAlignment="1" applyProtection="1">
      <alignment vertical="center"/>
    </xf>
    <xf numFmtId="0" fontId="18" fillId="4" borderId="19" xfId="0" applyFont="1" applyFill="1" applyBorder="1" applyAlignment="1" applyProtection="1">
      <alignment vertical="center"/>
    </xf>
    <xf numFmtId="0" fontId="18" fillId="2" borderId="24"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8" fillId="4" borderId="24" xfId="0" applyFont="1" applyFill="1" applyBorder="1" applyAlignment="1" applyProtection="1">
      <alignment horizontal="left" vertical="center"/>
    </xf>
    <xf numFmtId="0" fontId="18" fillId="4" borderId="22" xfId="0" applyFont="1" applyFill="1" applyBorder="1" applyAlignment="1" applyProtection="1">
      <alignment horizontal="left" vertical="center"/>
    </xf>
    <xf numFmtId="0" fontId="18" fillId="4" borderId="9" xfId="0" applyFont="1" applyFill="1" applyBorder="1" applyAlignment="1" applyProtection="1">
      <alignment horizontal="left" vertical="center"/>
    </xf>
    <xf numFmtId="49" fontId="18" fillId="2" borderId="24" xfId="0" applyNumberFormat="1" applyFont="1" applyFill="1" applyBorder="1" applyAlignment="1" applyProtection="1">
      <alignment horizontal="center" vertical="center" wrapText="1"/>
      <protection locked="0"/>
    </xf>
    <xf numFmtId="49" fontId="18" fillId="2" borderId="22" xfId="0" applyNumberFormat="1" applyFont="1" applyFill="1" applyBorder="1" applyAlignment="1" applyProtection="1">
      <alignment horizontal="center" vertical="center" wrapText="1"/>
      <protection locked="0"/>
    </xf>
    <xf numFmtId="49" fontId="18" fillId="2" borderId="9" xfId="0" applyNumberFormat="1" applyFont="1" applyFill="1" applyBorder="1" applyAlignment="1" applyProtection="1">
      <alignment horizontal="center" vertical="center" wrapText="1"/>
      <protection locked="0"/>
    </xf>
    <xf numFmtId="0" fontId="18" fillId="4" borderId="81" xfId="0" applyFont="1" applyFill="1" applyBorder="1" applyAlignment="1" applyProtection="1">
      <alignment horizontal="left" vertical="center"/>
    </xf>
    <xf numFmtId="0" fontId="18" fillId="4" borderId="20" xfId="0" applyFont="1" applyFill="1" applyBorder="1" applyAlignment="1" applyProtection="1">
      <alignment horizontal="left" vertical="center"/>
    </xf>
    <xf numFmtId="0" fontId="18" fillId="4" borderId="21" xfId="0" applyFont="1" applyFill="1" applyBorder="1" applyAlignment="1" applyProtection="1">
      <alignment horizontal="left" vertical="center"/>
    </xf>
    <xf numFmtId="0" fontId="4" fillId="2" borderId="24" xfId="1"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center" vertical="center" wrapText="1"/>
      <protection locked="0"/>
    </xf>
    <xf numFmtId="0" fontId="0" fillId="11" borderId="153" xfId="0" applyFill="1" applyBorder="1" applyAlignment="1" applyProtection="1">
      <alignment horizontal="center" vertical="center"/>
    </xf>
    <xf numFmtId="0" fontId="0" fillId="11" borderId="63" xfId="0"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0" fillId="3" borderId="38" xfId="0" applyFill="1" applyBorder="1" applyAlignment="1" applyProtection="1">
      <alignment horizontal="center" vertical="center"/>
    </xf>
    <xf numFmtId="0" fontId="0" fillId="0" borderId="38" xfId="0" applyBorder="1" applyAlignment="1" applyProtection="1">
      <alignment horizontal="center" vertical="center"/>
    </xf>
    <xf numFmtId="0" fontId="0" fillId="0" borderId="42" xfId="0" applyBorder="1" applyAlignment="1" applyProtection="1">
      <alignment horizontal="center" vertical="center"/>
    </xf>
    <xf numFmtId="0" fontId="0" fillId="3" borderId="16"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43" xfId="0" applyBorder="1" applyAlignment="1" applyProtection="1">
      <alignment horizontal="center" vertical="center"/>
    </xf>
    <xf numFmtId="0" fontId="0" fillId="0" borderId="61" xfId="0" applyBorder="1" applyAlignment="1" applyProtection="1">
      <alignment horizontal="center" vertical="center"/>
    </xf>
    <xf numFmtId="0" fontId="0" fillId="0" borderId="26" xfId="0" applyBorder="1" applyAlignment="1" applyProtection="1">
      <alignment horizontal="center" vertical="center"/>
    </xf>
    <xf numFmtId="0" fontId="0" fillId="0" borderId="51" xfId="0" applyBorder="1" applyAlignment="1" applyProtection="1">
      <alignment horizontal="center" vertical="center"/>
    </xf>
    <xf numFmtId="0" fontId="5" fillId="3" borderId="85" xfId="0" applyFont="1" applyFill="1" applyBorder="1" applyAlignment="1" applyProtection="1">
      <alignment horizontal="center" vertical="center" wrapText="1"/>
    </xf>
    <xf numFmtId="0" fontId="0" fillId="0" borderId="95" xfId="0" applyBorder="1"/>
    <xf numFmtId="0" fontId="5" fillId="3" borderId="82" xfId="0" applyFont="1" applyFill="1" applyBorder="1" applyAlignment="1" applyProtection="1">
      <alignment horizontal="center" vertical="center" wrapText="1"/>
    </xf>
    <xf numFmtId="0" fontId="0" fillId="0" borderId="96" xfId="0" applyBorder="1"/>
    <xf numFmtId="0" fontId="5" fillId="3" borderId="86" xfId="0" applyFont="1" applyFill="1" applyBorder="1" applyAlignment="1" applyProtection="1">
      <alignment horizontal="center" vertical="center" wrapText="1"/>
    </xf>
    <xf numFmtId="0" fontId="0" fillId="0" borderId="38" xfId="0" applyBorder="1" applyAlignment="1">
      <alignment horizontal="center" vertical="center" wrapText="1"/>
    </xf>
    <xf numFmtId="0" fontId="0" fillId="0" borderId="82" xfId="0" applyBorder="1" applyAlignment="1">
      <alignment horizontal="center" vertical="center" wrapText="1"/>
    </xf>
    <xf numFmtId="0" fontId="5" fillId="3" borderId="30" xfId="0" applyFont="1" applyFill="1" applyBorder="1" applyAlignment="1" applyProtection="1">
      <alignment horizontal="center" vertical="center" wrapText="1"/>
    </xf>
    <xf numFmtId="0" fontId="0" fillId="0" borderId="75" xfId="0" applyBorder="1"/>
    <xf numFmtId="0" fontId="5" fillId="3" borderId="30" xfId="0" applyFont="1" applyFill="1" applyBorder="1" applyAlignment="1" applyProtection="1">
      <alignment horizontal="center" vertical="center"/>
    </xf>
    <xf numFmtId="0" fontId="5" fillId="3" borderId="75" xfId="0" applyFont="1" applyFill="1" applyBorder="1" applyAlignment="1">
      <alignment horizontal="center" vertical="center"/>
    </xf>
    <xf numFmtId="0" fontId="7" fillId="10" borderId="0" xfId="0" applyFont="1" applyFill="1" applyBorder="1" applyAlignment="1" applyProtection="1">
      <alignment vertical="center" wrapText="1"/>
    </xf>
    <xf numFmtId="0" fontId="7" fillId="10" borderId="17" xfId="0" applyFont="1" applyFill="1" applyBorder="1" applyAlignment="1" applyProtection="1">
      <alignment vertical="center" wrapText="1"/>
    </xf>
    <xf numFmtId="0" fontId="5" fillId="3" borderId="10" xfId="0" applyFont="1" applyFill="1" applyBorder="1" applyAlignment="1" applyProtection="1">
      <alignment horizontal="center" vertical="center" wrapText="1"/>
    </xf>
    <xf numFmtId="0" fontId="5" fillId="3" borderId="12" xfId="0" applyFont="1" applyFill="1" applyBorder="1" applyAlignment="1" applyProtection="1"/>
    <xf numFmtId="0" fontId="5" fillId="3" borderId="23" xfId="0" applyFont="1" applyFill="1" applyBorder="1" applyAlignment="1" applyProtection="1">
      <alignment horizontal="center" vertical="center" wrapText="1"/>
    </xf>
    <xf numFmtId="0" fontId="5" fillId="3" borderId="4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122" xfId="0" applyFont="1" applyFill="1" applyBorder="1" applyAlignment="1" applyProtection="1">
      <alignment horizontal="center" vertical="center" wrapText="1"/>
    </xf>
    <xf numFmtId="0" fontId="20" fillId="3" borderId="60" xfId="0" applyFont="1" applyFill="1" applyBorder="1" applyAlignment="1">
      <alignment horizontal="center" vertical="center"/>
    </xf>
    <xf numFmtId="0" fontId="0" fillId="0" borderId="27" xfId="0" applyBorder="1" applyAlignment="1">
      <alignment horizontal="center" vertical="center"/>
    </xf>
    <xf numFmtId="0" fontId="20" fillId="0" borderId="37"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0" xfId="0" applyFont="1" applyBorder="1" applyAlignment="1">
      <alignment horizontal="center" vertical="center" wrapText="1"/>
    </xf>
    <xf numFmtId="0" fontId="0" fillId="0" borderId="73" xfId="0" applyBorder="1" applyAlignment="1">
      <alignment horizontal="center" vertical="center" wrapText="1"/>
    </xf>
    <xf numFmtId="0" fontId="20" fillId="2" borderId="30" xfId="0" applyFont="1" applyFill="1"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20" fillId="0" borderId="14" xfId="0" applyFont="1" applyBorder="1" applyAlignment="1">
      <alignment horizontal="center" vertical="center" wrapText="1"/>
    </xf>
    <xf numFmtId="0" fontId="20" fillId="2" borderId="14" xfId="0"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5" xfId="0" applyBorder="1" applyAlignment="1" applyProtection="1">
      <alignment horizontal="center" vertical="center" wrapText="1"/>
      <protection locked="0"/>
    </xf>
    <xf numFmtId="0" fontId="20" fillId="0" borderId="73" xfId="0" applyFont="1" applyBorder="1" applyAlignment="1">
      <alignment horizontal="center" vertical="center" wrapText="1"/>
    </xf>
    <xf numFmtId="0" fontId="20" fillId="2" borderId="73" xfId="0" applyFont="1" applyFill="1" applyBorder="1" applyAlignment="1" applyProtection="1">
      <alignment horizontal="center" vertical="center" wrapText="1"/>
      <protection locked="0"/>
    </xf>
    <xf numFmtId="0" fontId="20" fillId="0" borderId="123" xfId="0" applyFont="1" applyBorder="1" applyAlignment="1">
      <alignment horizontal="center" vertical="center" wrapText="1"/>
    </xf>
    <xf numFmtId="0" fontId="0" fillId="0" borderId="16" xfId="0" applyBorder="1" applyAlignment="1">
      <alignment horizontal="center" vertical="center"/>
    </xf>
    <xf numFmtId="0" fontId="0" fillId="0" borderId="118" xfId="0" applyBorder="1" applyAlignment="1">
      <alignment horizontal="center" vertical="center"/>
    </xf>
    <xf numFmtId="0" fontId="0" fillId="0" borderId="61" xfId="0" applyBorder="1" applyAlignment="1">
      <alignment horizontal="center" vertical="center"/>
    </xf>
    <xf numFmtId="0" fontId="0" fillId="0" borderId="96" xfId="0" applyBorder="1" applyAlignment="1">
      <alignment horizontal="center" vertical="center"/>
    </xf>
    <xf numFmtId="0" fontId="0" fillId="0" borderId="75" xfId="0" applyBorder="1" applyAlignment="1" applyProtection="1">
      <alignment horizontal="center" vertical="center" wrapText="1"/>
      <protection locked="0"/>
    </xf>
    <xf numFmtId="0" fontId="0" fillId="0" borderId="82" xfId="0" applyBorder="1" applyAlignment="1">
      <alignment horizontal="center" vertical="center"/>
    </xf>
    <xf numFmtId="0" fontId="20" fillId="2" borderId="86" xfId="0" applyFont="1" applyFill="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20" fillId="12" borderId="14" xfId="0" applyFont="1" applyFill="1" applyBorder="1" applyAlignment="1" applyProtection="1">
      <alignment horizontal="center" vertical="center"/>
      <protection locked="0"/>
    </xf>
    <xf numFmtId="0" fontId="20" fillId="12" borderId="73" xfId="0" applyFont="1" applyFill="1" applyBorder="1" applyAlignment="1" applyProtection="1">
      <alignment horizontal="center" vertical="center"/>
      <protection locked="0"/>
    </xf>
    <xf numFmtId="0" fontId="20" fillId="12" borderId="15" xfId="0" applyFont="1" applyFill="1" applyBorder="1" applyAlignment="1" applyProtection="1">
      <alignment horizontal="center" vertical="center"/>
      <protection locked="0"/>
    </xf>
    <xf numFmtId="0" fontId="0" fillId="3" borderId="83" xfId="0" applyFont="1" applyFill="1" applyBorder="1" applyAlignment="1">
      <alignment horizontal="center" vertical="center" wrapText="1"/>
    </xf>
    <xf numFmtId="0" fontId="0" fillId="3" borderId="124" xfId="0" applyFont="1" applyFill="1" applyBorder="1" applyAlignment="1">
      <alignment horizontal="center" wrapText="1"/>
    </xf>
    <xf numFmtId="0" fontId="0" fillId="3" borderId="125"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00" xfId="0" applyFont="1" applyFill="1" applyBorder="1" applyAlignment="1" applyProtection="1">
      <alignment horizontal="center" vertical="center" wrapText="1"/>
      <protection locked="0"/>
    </xf>
    <xf numFmtId="0" fontId="0" fillId="3" borderId="127" xfId="0" applyFont="1" applyFill="1" applyBorder="1" applyAlignment="1" applyProtection="1">
      <alignment horizontal="center" vertical="center" wrapText="1"/>
      <protection locked="0"/>
    </xf>
    <xf numFmtId="0" fontId="0" fillId="3" borderId="128" xfId="0" applyFont="1" applyFill="1" applyBorder="1" applyAlignment="1">
      <alignment vertical="center" wrapText="1"/>
    </xf>
    <xf numFmtId="0" fontId="0" fillId="3" borderId="129" xfId="0" applyFont="1" applyFill="1" applyBorder="1" applyAlignment="1">
      <alignment vertical="center" wrapText="1"/>
    </xf>
    <xf numFmtId="0" fontId="0" fillId="3" borderId="93" xfId="0" applyFont="1" applyFill="1" applyBorder="1" applyAlignment="1">
      <alignment vertical="center" wrapText="1"/>
    </xf>
    <xf numFmtId="0" fontId="0" fillId="3" borderId="130" xfId="0" applyFont="1" applyFill="1" applyBorder="1" applyAlignment="1">
      <alignment vertical="center"/>
    </xf>
    <xf numFmtId="0" fontId="0" fillId="3" borderId="18" xfId="0" applyFont="1" applyFill="1" applyBorder="1" applyAlignment="1">
      <alignment vertical="center" wrapText="1"/>
    </xf>
    <xf numFmtId="0" fontId="0" fillId="3" borderId="33" xfId="0" applyFont="1" applyFill="1" applyBorder="1" applyAlignment="1">
      <alignment vertical="center" wrapText="1"/>
    </xf>
    <xf numFmtId="0" fontId="0" fillId="3" borderId="93" xfId="0" applyFont="1" applyFill="1" applyBorder="1" applyAlignment="1">
      <alignment horizontal="center" vertical="center" wrapText="1"/>
    </xf>
    <xf numFmtId="0" fontId="0" fillId="3" borderId="130" xfId="0" applyFont="1" applyFill="1" applyBorder="1" applyAlignment="1">
      <alignment horizontal="center" vertical="center"/>
    </xf>
    <xf numFmtId="0" fontId="0" fillId="3" borderId="79" xfId="0" applyFont="1" applyFill="1" applyBorder="1" applyAlignment="1">
      <alignment horizontal="center" vertical="center" wrapText="1"/>
    </xf>
    <xf numFmtId="0" fontId="0" fillId="3" borderId="13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xf>
    <xf numFmtId="0" fontId="0" fillId="3" borderId="130"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92" xfId="0" applyFont="1" applyBorder="1" applyAlignment="1">
      <alignment horizontal="center" vertical="center"/>
    </xf>
    <xf numFmtId="0" fontId="0" fillId="0" borderId="22" xfId="0" applyFont="1" applyBorder="1" applyAlignment="1">
      <alignment horizontal="center" vertical="center"/>
    </xf>
    <xf numFmtId="0" fontId="0" fillId="0" borderId="137" xfId="0" applyFont="1" applyBorder="1" applyAlignment="1">
      <alignment horizontal="center" vertical="center"/>
    </xf>
    <xf numFmtId="0" fontId="5" fillId="0" borderId="123"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18" xfId="0" applyFont="1" applyBorder="1" applyAlignment="1">
      <alignment horizontal="center" vertical="center" textRotation="255" wrapText="1"/>
    </xf>
    <xf numFmtId="0" fontId="5" fillId="0" borderId="138"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0" fillId="0" borderId="2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3" xfId="0" applyFont="1" applyBorder="1" applyAlignment="1">
      <alignment horizontal="center" vertical="center" textRotation="255" wrapText="1"/>
    </xf>
    <xf numFmtId="0" fontId="0" fillId="0" borderId="19" xfId="0" applyFont="1" applyBorder="1" applyAlignment="1">
      <alignment vertical="center" textRotation="255" wrapText="1"/>
    </xf>
    <xf numFmtId="0" fontId="0" fillId="0" borderId="16" xfId="0" applyFont="1" applyBorder="1" applyAlignment="1">
      <alignment horizontal="center" vertical="center" textRotation="255" wrapText="1"/>
    </xf>
    <xf numFmtId="0" fontId="0" fillId="0" borderId="118" xfId="0" applyFont="1" applyBorder="1" applyAlignment="1">
      <alignment vertical="center" textRotation="255" wrapText="1"/>
    </xf>
    <xf numFmtId="0" fontId="0" fillId="0" borderId="138" xfId="0" applyFont="1" applyBorder="1" applyAlignment="1">
      <alignment vertical="center" textRotation="255" wrapText="1"/>
    </xf>
    <xf numFmtId="0" fontId="0" fillId="0" borderId="21" xfId="0" applyFont="1" applyBorder="1" applyAlignment="1">
      <alignment vertical="center" textRotation="255" wrapText="1"/>
    </xf>
    <xf numFmtId="0" fontId="0" fillId="0" borderId="22"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1" xfId="0" applyFont="1" applyBorder="1" applyAlignment="1">
      <alignment horizontal="center" vertical="center"/>
    </xf>
    <xf numFmtId="0" fontId="0" fillId="0" borderId="58"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122" xfId="0" applyFont="1" applyBorder="1" applyAlignment="1">
      <alignment horizontal="center" vertical="center"/>
    </xf>
    <xf numFmtId="0" fontId="0" fillId="0" borderId="140" xfId="0" applyFont="1" applyBorder="1" applyAlignment="1">
      <alignment horizontal="center" vertical="center"/>
    </xf>
    <xf numFmtId="0" fontId="0" fillId="0" borderId="121"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39" xfId="0" applyFont="1" applyBorder="1" applyAlignment="1">
      <alignment horizontal="center" vertical="center" wrapText="1"/>
    </xf>
    <xf numFmtId="0" fontId="6" fillId="0" borderId="0" xfId="0" applyFont="1" applyBorder="1" applyAlignment="1">
      <alignment vertical="top" wrapText="1"/>
    </xf>
    <xf numFmtId="0" fontId="0" fillId="0" borderId="0" xfId="0" applyFont="1" applyAlignment="1">
      <alignment vertical="top"/>
    </xf>
    <xf numFmtId="0" fontId="0" fillId="0" borderId="0" xfId="0" applyFont="1" applyAlignment="1"/>
    <xf numFmtId="0" fontId="15" fillId="3" borderId="1"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5" fillId="3" borderId="6" xfId="0" applyFont="1" applyFill="1" applyBorder="1" applyAlignment="1">
      <alignment horizontal="center" vertical="center" wrapText="1"/>
    </xf>
    <xf numFmtId="49" fontId="15" fillId="3" borderId="10" xfId="0" applyNumberFormat="1"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9" fillId="0" borderId="37"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18" xfId="0" applyBorder="1" applyAlignment="1">
      <alignment horizontal="center" vertical="center" wrapText="1"/>
    </xf>
    <xf numFmtId="0" fontId="19" fillId="0" borderId="61" xfId="0" applyFont="1" applyBorder="1" applyAlignment="1">
      <alignment horizontal="center" vertical="center" wrapText="1"/>
    </xf>
    <xf numFmtId="0" fontId="0" fillId="0" borderId="96" xfId="0" applyBorder="1" applyAlignment="1">
      <alignment horizontal="center" vertical="center" wrapText="1"/>
    </xf>
    <xf numFmtId="0" fontId="19" fillId="0" borderId="60" xfId="0" applyFont="1" applyBorder="1" applyAlignment="1">
      <alignment horizontal="center" vertical="center" wrapText="1"/>
    </xf>
    <xf numFmtId="0" fontId="19" fillId="0" borderId="107" xfId="0" applyFont="1" applyBorder="1" applyAlignment="1">
      <alignment horizontal="center" vertical="center" wrapText="1"/>
    </xf>
    <xf numFmtId="0" fontId="19" fillId="0" borderId="62" xfId="0" applyFont="1" applyBorder="1" applyAlignment="1">
      <alignment horizontal="center" vertical="center" wrapText="1"/>
    </xf>
    <xf numFmtId="0" fontId="0" fillId="0" borderId="91" xfId="0" applyFont="1" applyBorder="1" applyAlignment="1">
      <alignment horizontal="center" vertical="center" wrapText="1"/>
    </xf>
    <xf numFmtId="0" fontId="19" fillId="0" borderId="122" xfId="0" applyFont="1" applyBorder="1" applyAlignment="1">
      <alignment horizontal="center" vertical="center" wrapText="1"/>
    </xf>
    <xf numFmtId="0" fontId="19" fillId="0" borderId="141" xfId="0" applyFont="1" applyBorder="1" applyAlignment="1">
      <alignment horizontal="center" vertical="center" wrapText="1"/>
    </xf>
    <xf numFmtId="0" fontId="0" fillId="0" borderId="9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88" xfId="0" applyFont="1" applyBorder="1" applyAlignment="1">
      <alignment horizontal="center" vertical="center" wrapText="1"/>
    </xf>
    <xf numFmtId="0" fontId="0" fillId="0" borderId="123" xfId="0" applyFont="1" applyBorder="1" applyAlignment="1">
      <alignment horizontal="distributed" vertical="center"/>
    </xf>
    <xf numFmtId="0" fontId="19" fillId="0" borderId="18" xfId="0" applyFont="1" applyBorder="1" applyAlignment="1">
      <alignment horizontal="distributed" vertical="center"/>
    </xf>
    <xf numFmtId="0" fontId="19" fillId="0" borderId="44" xfId="0" applyFont="1" applyBorder="1" applyAlignment="1">
      <alignment horizontal="distributed" vertical="center"/>
    </xf>
    <xf numFmtId="0" fontId="19" fillId="3" borderId="60" xfId="0" applyFont="1" applyFill="1" applyBorder="1" applyAlignment="1">
      <alignment horizontal="center" vertical="center"/>
    </xf>
    <xf numFmtId="0" fontId="19" fillId="3" borderId="27"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107" xfId="0" applyFont="1" applyFill="1" applyBorder="1" applyAlignment="1">
      <alignment horizontal="center" vertical="center"/>
    </xf>
    <xf numFmtId="0" fontId="18" fillId="4" borderId="20" xfId="0" applyFont="1" applyFill="1" applyBorder="1" applyAlignment="1">
      <alignment horizontal="left" vertical="center" wrapText="1"/>
    </xf>
    <xf numFmtId="0" fontId="18" fillId="4" borderId="79" xfId="0" applyFont="1" applyFill="1" applyBorder="1" applyAlignment="1" applyProtection="1">
      <alignment horizontal="center" vertical="center" wrapText="1"/>
    </xf>
    <xf numFmtId="183" fontId="18" fillId="12" borderId="142" xfId="0" applyNumberFormat="1" applyFont="1" applyFill="1" applyBorder="1" applyAlignment="1" applyProtection="1">
      <alignment horizontal="center" vertical="center"/>
      <protection locked="0"/>
    </xf>
    <xf numFmtId="184" fontId="0" fillId="12" borderId="143" xfId="0" applyNumberFormat="1" applyFill="1" applyBorder="1" applyAlignment="1" applyProtection="1">
      <alignment horizontal="center" vertical="center"/>
      <protection locked="0"/>
    </xf>
    <xf numFmtId="0" fontId="18" fillId="0" borderId="142" xfId="0" applyFont="1" applyFill="1" applyBorder="1" applyAlignment="1" applyProtection="1">
      <alignment horizontal="center" vertical="center"/>
    </xf>
    <xf numFmtId="0" fontId="18" fillId="4" borderId="24" xfId="0" applyFont="1" applyFill="1" applyBorder="1" applyAlignment="1" applyProtection="1">
      <alignment vertical="center" shrinkToFit="1"/>
    </xf>
    <xf numFmtId="0" fontId="18" fillId="4" borderId="22" xfId="0" applyFont="1" applyFill="1" applyBorder="1" applyAlignment="1" applyProtection="1">
      <alignment vertical="center" shrinkToFit="1"/>
    </xf>
    <xf numFmtId="0" fontId="18" fillId="4" borderId="9" xfId="0" applyFont="1" applyFill="1" applyBorder="1" applyAlignment="1" applyProtection="1">
      <alignment vertical="center" shrinkToFit="1"/>
    </xf>
    <xf numFmtId="0" fontId="2" fillId="2" borderId="2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18" fillId="4" borderId="24" xfId="0" applyFont="1" applyFill="1" applyBorder="1" applyAlignment="1" applyProtection="1">
      <alignment vertical="center"/>
    </xf>
    <xf numFmtId="0" fontId="18" fillId="4" borderId="22" xfId="0" applyFont="1" applyFill="1" applyBorder="1" applyAlignment="1" applyProtection="1">
      <alignment vertical="center"/>
    </xf>
    <xf numFmtId="0" fontId="18" fillId="4" borderId="9" xfId="0" applyFont="1" applyFill="1" applyBorder="1" applyAlignment="1" applyProtection="1">
      <alignment vertical="center"/>
    </xf>
    <xf numFmtId="0" fontId="12" fillId="12" borderId="144" xfId="0" applyFont="1" applyFill="1" applyBorder="1" applyAlignment="1" applyProtection="1">
      <alignment horizontal="right" wrapText="1"/>
      <protection locked="0"/>
    </xf>
    <xf numFmtId="0" fontId="12" fillId="12" borderId="145" xfId="0" applyFont="1" applyFill="1" applyBorder="1" applyAlignment="1" applyProtection="1">
      <alignment horizontal="right" wrapText="1"/>
      <protection locked="0"/>
    </xf>
    <xf numFmtId="9" fontId="0" fillId="0" borderId="61" xfId="0" applyNumberFormat="1" applyBorder="1" applyAlignment="1" applyProtection="1">
      <alignment horizontal="center" vertical="center"/>
    </xf>
    <xf numFmtId="9" fontId="0" fillId="0" borderId="51" xfId="0" applyNumberFormat="1" applyBorder="1" applyAlignment="1" applyProtection="1">
      <alignment horizontal="center" vertical="center"/>
    </xf>
    <xf numFmtId="0" fontId="5" fillId="3" borderId="49" xfId="0" applyFont="1" applyFill="1" applyBorder="1" applyAlignment="1" applyProtection="1">
      <alignment horizontal="center" vertical="center" wrapText="1"/>
    </xf>
    <xf numFmtId="0" fontId="5" fillId="3" borderId="98" xfId="0" applyFont="1" applyFill="1" applyBorder="1" applyAlignment="1" applyProtection="1">
      <alignment horizontal="center" vertical="center" wrapText="1"/>
    </xf>
    <xf numFmtId="0" fontId="0" fillId="0" borderId="146" xfId="0" applyBorder="1" applyAlignment="1">
      <alignment horizontal="center" vertical="center"/>
    </xf>
    <xf numFmtId="0" fontId="0" fillId="0" borderId="67" xfId="0" applyBorder="1" applyAlignment="1">
      <alignment horizontal="center" vertical="center"/>
    </xf>
    <xf numFmtId="0" fontId="2" fillId="3" borderId="16"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3" borderId="16" xfId="0" applyFill="1"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147" xfId="0" applyBorder="1" applyAlignment="1">
      <alignment horizontal="center" vertical="center"/>
    </xf>
    <xf numFmtId="0" fontId="0" fillId="0" borderId="120" xfId="0" applyBorder="1" applyAlignment="1">
      <alignment horizontal="center" vertical="center"/>
    </xf>
    <xf numFmtId="176" fontId="0" fillId="0" borderId="37" xfId="0" applyNumberFormat="1" applyBorder="1" applyAlignment="1" applyProtection="1">
      <alignment horizontal="center" vertical="center"/>
    </xf>
    <xf numFmtId="176" fontId="0" fillId="0" borderId="42" xfId="0" applyNumberFormat="1" applyBorder="1" applyAlignment="1" applyProtection="1">
      <alignment horizontal="center" vertical="center"/>
    </xf>
    <xf numFmtId="0" fontId="0" fillId="0" borderId="58" xfId="0" applyBorder="1" applyAlignment="1">
      <alignment horizontal="center" vertical="center"/>
    </xf>
    <xf numFmtId="0" fontId="0" fillId="0" borderId="64" xfId="0" applyBorder="1" applyAlignment="1">
      <alignment horizontal="center" vertical="center"/>
    </xf>
    <xf numFmtId="0" fontId="2" fillId="3" borderId="37" xfId="0" applyFont="1" applyFill="1" applyBorder="1" applyAlignment="1">
      <alignment horizontal="center" vertical="center"/>
    </xf>
    <xf numFmtId="0" fontId="0" fillId="3" borderId="38" xfId="0" applyFill="1"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176" fontId="0" fillId="0" borderId="148" xfId="0" applyNumberFormat="1" applyBorder="1" applyAlignment="1" applyProtection="1">
      <alignment horizontal="center" vertical="center"/>
    </xf>
    <xf numFmtId="176" fontId="0" fillId="0" borderId="67" xfId="0" applyNumberFormat="1" applyBorder="1" applyAlignment="1" applyProtection="1">
      <alignment horizontal="center" vertical="center"/>
    </xf>
    <xf numFmtId="176" fontId="0" fillId="0" borderId="119" xfId="0" applyNumberFormat="1" applyBorder="1" applyAlignment="1" applyProtection="1">
      <alignment horizontal="center" vertical="center"/>
    </xf>
    <xf numFmtId="176" fontId="0" fillId="0" borderId="120" xfId="0" applyNumberFormat="1" applyBorder="1" applyAlignment="1" applyProtection="1">
      <alignment horizontal="center" vertical="center"/>
    </xf>
    <xf numFmtId="9" fontId="0" fillId="0" borderId="16" xfId="0" applyNumberFormat="1" applyBorder="1" applyAlignment="1" applyProtection="1">
      <alignment horizontal="center" vertical="center"/>
    </xf>
    <xf numFmtId="9" fontId="0" fillId="0" borderId="43" xfId="0" applyNumberFormat="1" applyBorder="1" applyAlignment="1" applyProtection="1">
      <alignment horizontal="center" vertical="center"/>
    </xf>
    <xf numFmtId="0" fontId="5" fillId="3" borderId="75" xfId="0" applyFont="1" applyFill="1" applyBorder="1" applyAlignment="1" applyProtection="1">
      <alignment horizontal="center" vertical="center"/>
    </xf>
    <xf numFmtId="0" fontId="20" fillId="0" borderId="73"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14" xfId="0" applyFont="1" applyFill="1" applyBorder="1" applyAlignment="1" applyProtection="1">
      <alignment horizontal="center" vertical="center" wrapText="1"/>
    </xf>
    <xf numFmtId="0" fontId="0" fillId="0" borderId="73"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20" fillId="0" borderId="73" xfId="0" applyFont="1" applyFill="1" applyBorder="1" applyAlignment="1" applyProtection="1">
      <alignment horizontal="center" vertical="center" wrapText="1"/>
    </xf>
    <xf numFmtId="0" fontId="0" fillId="0" borderId="75" xfId="0" applyFill="1" applyBorder="1" applyAlignment="1" applyProtection="1">
      <alignment horizontal="center" vertical="center" wrapText="1"/>
    </xf>
    <xf numFmtId="0" fontId="0" fillId="3" borderId="37"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100" xfId="0" applyFont="1" applyFill="1" applyBorder="1" applyAlignment="1">
      <alignment horizontal="center" vertical="center" wrapText="1"/>
    </xf>
    <xf numFmtId="0" fontId="0" fillId="3" borderId="127" xfId="0" applyFont="1" applyFill="1" applyBorder="1" applyAlignment="1">
      <alignment horizontal="center"/>
    </xf>
    <xf numFmtId="0" fontId="0" fillId="3" borderId="79" xfId="0" applyFont="1" applyFill="1" applyBorder="1" applyAlignment="1">
      <alignment vertical="center" wrapText="1"/>
    </xf>
    <xf numFmtId="0" fontId="0" fillId="3" borderId="131" xfId="0" applyFont="1" applyFill="1" applyBorder="1" applyAlignment="1">
      <alignment vertical="center"/>
    </xf>
    <xf numFmtId="0" fontId="0" fillId="0" borderId="130" xfId="0" applyFont="1" applyBorder="1" applyAlignment="1">
      <alignment horizontal="center" vertical="center"/>
    </xf>
    <xf numFmtId="0" fontId="0" fillId="3" borderId="123" xfId="0" applyFont="1" applyFill="1" applyBorder="1" applyAlignment="1">
      <alignment vertical="center" wrapText="1"/>
    </xf>
    <xf numFmtId="0" fontId="0" fillId="3" borderId="32" xfId="0" applyFont="1" applyFill="1" applyBorder="1" applyAlignment="1">
      <alignment vertical="center" wrapText="1"/>
    </xf>
    <xf numFmtId="0" fontId="0" fillId="0" borderId="24" xfId="0" applyFont="1" applyBorder="1" applyAlignment="1">
      <alignment horizontal="center" vertical="center"/>
    </xf>
    <xf numFmtId="0" fontId="5" fillId="0" borderId="1" xfId="0" applyFont="1" applyBorder="1" applyAlignment="1">
      <alignment horizontal="center" vertical="center"/>
    </xf>
    <xf numFmtId="0" fontId="2" fillId="0" borderId="3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123" xfId="0" applyFont="1" applyBorder="1" applyAlignment="1">
      <alignment horizontal="distributed" vertical="center"/>
    </xf>
    <xf numFmtId="0" fontId="2" fillId="0" borderId="18" xfId="0" applyFont="1" applyBorder="1" applyAlignment="1">
      <alignment horizontal="distributed" vertical="center"/>
    </xf>
    <xf numFmtId="0" fontId="2" fillId="0" borderId="44" xfId="0" applyFont="1" applyBorder="1" applyAlignment="1">
      <alignment horizontal="distributed" vertical="center"/>
    </xf>
    <xf numFmtId="0" fontId="2" fillId="3" borderId="60" xfId="0" applyFont="1" applyFill="1" applyBorder="1" applyAlignment="1">
      <alignment horizontal="center" vertical="center"/>
    </xf>
    <xf numFmtId="0" fontId="2" fillId="3" borderId="27" xfId="0" applyFont="1" applyFill="1" applyBorder="1" applyAlignment="1">
      <alignment horizontal="center" vertical="center"/>
    </xf>
    <xf numFmtId="0" fontId="0" fillId="0" borderId="4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1" fillId="0" borderId="26" xfId="0" applyFont="1" applyFill="1" applyBorder="1" applyAlignment="1">
      <alignment horizontal="center" vertical="center"/>
    </xf>
    <xf numFmtId="0" fontId="2" fillId="0" borderId="79" xfId="0" applyFont="1" applyBorder="1" applyAlignment="1">
      <alignment horizontal="center" vertical="center"/>
    </xf>
    <xf numFmtId="0" fontId="0" fillId="0" borderId="81" xfId="0" applyBorder="1" applyAlignment="1">
      <alignment horizontal="center" vertical="center"/>
    </xf>
    <xf numFmtId="0" fontId="0" fillId="0" borderId="21" xfId="0" applyBorder="1" applyAlignment="1">
      <alignment horizontal="center" vertical="center"/>
    </xf>
    <xf numFmtId="0" fontId="2" fillId="0" borderId="24" xfId="0" applyFont="1"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2" fillId="0" borderId="80" xfId="0" applyFont="1" applyBorder="1" applyAlignment="1">
      <alignment horizontal="center" vertical="center"/>
    </xf>
    <xf numFmtId="0" fontId="0" fillId="0" borderId="150" xfId="0" applyBorder="1" applyAlignment="1">
      <alignment horizontal="center" vertical="center"/>
    </xf>
    <xf numFmtId="0" fontId="2" fillId="0" borderId="81" xfId="0" applyFont="1" applyBorder="1" applyAlignment="1">
      <alignment horizontal="center" vertical="center"/>
    </xf>
    <xf numFmtId="0" fontId="21" fillId="0" borderId="151" xfId="0" applyFont="1" applyBorder="1" applyAlignment="1">
      <alignment horizontal="center" vertical="center"/>
    </xf>
    <xf numFmtId="0" fontId="21" fillId="0" borderId="152" xfId="0" applyFont="1" applyBorder="1" applyAlignment="1">
      <alignment horizontal="center" vertical="center"/>
    </xf>
    <xf numFmtId="0" fontId="2" fillId="0" borderId="60" xfId="0" applyFont="1" applyFill="1" applyBorder="1" applyAlignment="1">
      <alignment horizontal="center" vertical="center"/>
    </xf>
    <xf numFmtId="0" fontId="2" fillId="0" borderId="91" xfId="0" applyFont="1" applyBorder="1" applyAlignment="1">
      <alignment horizontal="center" vertical="center"/>
    </xf>
    <xf numFmtId="0" fontId="0" fillId="0" borderId="40" xfId="0" applyBorder="1" applyAlignment="1">
      <alignment horizontal="center" vertical="center"/>
    </xf>
    <xf numFmtId="0" fontId="2" fillId="0" borderId="92" xfId="0" applyFont="1" applyBorder="1" applyAlignment="1">
      <alignment horizontal="center" vertical="center"/>
    </xf>
    <xf numFmtId="0" fontId="2" fillId="0" borderId="121" xfId="0" applyFont="1" applyBorder="1" applyAlignment="1">
      <alignment horizontal="center" vertical="center"/>
    </xf>
    <xf numFmtId="0" fontId="0" fillId="0" borderId="45" xfId="0" applyBorder="1" applyAlignment="1">
      <alignment horizontal="center" vertic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12" fillId="0" borderId="0" xfId="0" applyFont="1" applyAlignment="1">
      <alignment horizontal="center"/>
    </xf>
  </cellXfs>
  <cellStyles count="4">
    <cellStyle name="ハイパーリンク" xfId="1" builtinId="8"/>
    <cellStyle name="桁区切り" xfId="2" builtinId="6"/>
    <cellStyle name="標準" xfId="0" builtinId="0"/>
    <cellStyle name="標準_yoshiki4" xfId="3" xr:uid="{00000000-0005-0000-0000-000003000000}"/>
  </cellStyles>
  <dxfs count="3">
    <dxf>
      <font>
        <color rgb="FF9C0006"/>
      </font>
    </dxf>
    <dxf>
      <font>
        <color rgb="FF9C0006"/>
      </font>
    </dxf>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517585</xdr:colOff>
      <xdr:row>19</xdr:row>
      <xdr:rowOff>155275</xdr:rowOff>
    </xdr:from>
    <xdr:to>
      <xdr:col>3</xdr:col>
      <xdr:colOff>17253</xdr:colOff>
      <xdr:row>20</xdr:row>
      <xdr:rowOff>94891</xdr:rowOff>
    </xdr:to>
    <xdr:sp macro="" textlink="">
      <xdr:nvSpPr>
        <xdr:cNvPr id="41557" name="Freeform 2">
          <a:extLst>
            <a:ext uri="{FF2B5EF4-FFF2-40B4-BE49-F238E27FC236}">
              <a16:creationId xmlns:a16="http://schemas.microsoft.com/office/drawing/2014/main" id="{00000000-0008-0000-0000-000055A20000}"/>
            </a:ext>
          </a:extLst>
        </xdr:cNvPr>
        <xdr:cNvSpPr>
          <a:spLocks/>
        </xdr:cNvSpPr>
      </xdr:nvSpPr>
      <xdr:spPr bwMode="auto">
        <a:xfrm>
          <a:off x="1388853" y="3950898"/>
          <a:ext cx="120770" cy="103517"/>
        </a:xfrm>
        <a:custGeom>
          <a:avLst/>
          <a:gdLst>
            <a:gd name="T0" fmla="*/ 2147483646 w 14"/>
            <a:gd name="T1" fmla="*/ 2147483646 h 11"/>
            <a:gd name="T2" fmla="*/ 2147483646 w 14"/>
            <a:gd name="T3" fmla="*/ 2147483646 h 11"/>
            <a:gd name="T4" fmla="*/ 0 w 14"/>
            <a:gd name="T5" fmla="*/ 2147483646 h 11"/>
            <a:gd name="T6" fmla="*/ 2147483646 w 14"/>
            <a:gd name="T7" fmla="*/ 2147483646 h 11"/>
            <a:gd name="T8" fmla="*/ 0 60000 65536"/>
            <a:gd name="T9" fmla="*/ 0 60000 65536"/>
            <a:gd name="T10" fmla="*/ 0 60000 65536"/>
            <a:gd name="T11" fmla="*/ 0 60000 65536"/>
            <a:gd name="T12" fmla="*/ 0 w 14"/>
            <a:gd name="T13" fmla="*/ 0 h 11"/>
            <a:gd name="T14" fmla="*/ 14 w 14"/>
            <a:gd name="T15" fmla="*/ 11 h 11"/>
          </a:gdLst>
          <a:ahLst/>
          <a:cxnLst>
            <a:cxn ang="T8">
              <a:pos x="T0" y="T1"/>
            </a:cxn>
            <a:cxn ang="T9">
              <a:pos x="T2" y="T3"/>
            </a:cxn>
            <a:cxn ang="T10">
              <a:pos x="T4" y="T5"/>
            </a:cxn>
            <a:cxn ang="T11">
              <a:pos x="T6" y="T7"/>
            </a:cxn>
          </a:cxnLst>
          <a:rect l="T12" t="T13" r="T14" b="T15"/>
          <a:pathLst>
            <a:path w="14" h="11">
              <a:moveTo>
                <a:pt x="12" y="1"/>
              </a:moveTo>
              <a:cubicBezTo>
                <a:pt x="14" y="2"/>
                <a:pt x="14" y="11"/>
                <a:pt x="12" y="11"/>
              </a:cubicBezTo>
              <a:cubicBezTo>
                <a:pt x="10" y="11"/>
                <a:pt x="0" y="3"/>
                <a:pt x="0" y="2"/>
              </a:cubicBezTo>
              <a:cubicBezTo>
                <a:pt x="0" y="1"/>
                <a:pt x="10" y="0"/>
                <a:pt x="12" y="1"/>
              </a:cubicBezTo>
              <a:close/>
            </a:path>
          </a:pathLst>
        </a:custGeom>
        <a:solidFill>
          <a:srgbClr val="FF0000"/>
        </a:solidFill>
        <a:ln w="9525">
          <a:solidFill>
            <a:srgbClr val="FF0000"/>
          </a:solidFill>
          <a:round/>
          <a:headEnd/>
          <a:tailEnd/>
        </a:ln>
      </xdr:spPr>
    </xdr:sp>
    <xdr:clientData/>
  </xdr:twoCellAnchor>
  <xdr:twoCellAnchor editAs="oneCell">
    <xdr:from>
      <xdr:col>2</xdr:col>
      <xdr:colOff>240821</xdr:colOff>
      <xdr:row>30</xdr:row>
      <xdr:rowOff>9524</xdr:rowOff>
    </xdr:from>
    <xdr:to>
      <xdr:col>4</xdr:col>
      <xdr:colOff>568272</xdr:colOff>
      <xdr:row>32</xdr:row>
      <xdr:rowOff>133349</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1228725" y="5638799"/>
          <a:ext cx="1733550" cy="4667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大阪　５００</a:t>
          </a:r>
        </a:p>
        <a:p>
          <a:pPr algn="l" rtl="0">
            <a:lnSpc>
              <a:spcPts val="1600"/>
            </a:lnSpc>
            <a:defRPr sz="1000"/>
          </a:pPr>
          <a:r>
            <a:rPr lang="ja-JP" altLang="en-US" sz="1100" b="0" i="0" u="none" strike="noStrike" baseline="0">
              <a:solidFill>
                <a:srgbClr val="000000"/>
              </a:solidFill>
              <a:latin typeface="ＭＳ Ｐゴシック"/>
              <a:ea typeface="ＭＳ Ｐゴシック"/>
            </a:rPr>
            <a:t>　　　　さ　</a:t>
          </a:r>
          <a:r>
            <a:rPr lang="ja-JP" altLang="en-US" sz="1400" b="0" i="0" u="none" strike="noStrike" baseline="0">
              <a:solidFill>
                <a:srgbClr val="000000"/>
              </a:solidFill>
              <a:latin typeface="ＭＳ Ｐゴシック"/>
              <a:ea typeface="ＭＳ Ｐゴシック"/>
            </a:rPr>
            <a:t>２３－４５</a:t>
          </a:r>
        </a:p>
      </xdr:txBody>
    </xdr:sp>
    <xdr:clientData/>
  </xdr:twoCellAnchor>
  <xdr:twoCellAnchor>
    <xdr:from>
      <xdr:col>2</xdr:col>
      <xdr:colOff>517585</xdr:colOff>
      <xdr:row>19</xdr:row>
      <xdr:rowOff>155275</xdr:rowOff>
    </xdr:from>
    <xdr:to>
      <xdr:col>3</xdr:col>
      <xdr:colOff>17253</xdr:colOff>
      <xdr:row>20</xdr:row>
      <xdr:rowOff>94891</xdr:rowOff>
    </xdr:to>
    <xdr:sp macro="" textlink="">
      <xdr:nvSpPr>
        <xdr:cNvPr id="4" name="Freeform 2">
          <a:extLst>
            <a:ext uri="{FF2B5EF4-FFF2-40B4-BE49-F238E27FC236}">
              <a16:creationId xmlns:a16="http://schemas.microsoft.com/office/drawing/2014/main" id="{00000000-0008-0000-0000-000004000000}"/>
            </a:ext>
          </a:extLst>
        </xdr:cNvPr>
        <xdr:cNvSpPr>
          <a:spLocks/>
        </xdr:cNvSpPr>
      </xdr:nvSpPr>
      <xdr:spPr bwMode="auto">
        <a:xfrm>
          <a:off x="1479610" y="4003375"/>
          <a:ext cx="185468" cy="111066"/>
        </a:xfrm>
        <a:custGeom>
          <a:avLst/>
          <a:gdLst>
            <a:gd name="T0" fmla="*/ 2147483646 w 14"/>
            <a:gd name="T1" fmla="*/ 2147483646 h 11"/>
            <a:gd name="T2" fmla="*/ 2147483646 w 14"/>
            <a:gd name="T3" fmla="*/ 2147483646 h 11"/>
            <a:gd name="T4" fmla="*/ 0 w 14"/>
            <a:gd name="T5" fmla="*/ 2147483646 h 11"/>
            <a:gd name="T6" fmla="*/ 2147483646 w 14"/>
            <a:gd name="T7" fmla="*/ 2147483646 h 11"/>
            <a:gd name="T8" fmla="*/ 0 60000 65536"/>
            <a:gd name="T9" fmla="*/ 0 60000 65536"/>
            <a:gd name="T10" fmla="*/ 0 60000 65536"/>
            <a:gd name="T11" fmla="*/ 0 60000 65536"/>
            <a:gd name="T12" fmla="*/ 0 w 14"/>
            <a:gd name="T13" fmla="*/ 0 h 11"/>
            <a:gd name="T14" fmla="*/ 14 w 14"/>
            <a:gd name="T15" fmla="*/ 11 h 11"/>
          </a:gdLst>
          <a:ahLst/>
          <a:cxnLst>
            <a:cxn ang="T8">
              <a:pos x="T0" y="T1"/>
            </a:cxn>
            <a:cxn ang="T9">
              <a:pos x="T2" y="T3"/>
            </a:cxn>
            <a:cxn ang="T10">
              <a:pos x="T4" y="T5"/>
            </a:cxn>
            <a:cxn ang="T11">
              <a:pos x="T6" y="T7"/>
            </a:cxn>
          </a:cxnLst>
          <a:rect l="T12" t="T13" r="T14" b="T15"/>
          <a:pathLst>
            <a:path w="14" h="11">
              <a:moveTo>
                <a:pt x="12" y="1"/>
              </a:moveTo>
              <a:cubicBezTo>
                <a:pt x="14" y="2"/>
                <a:pt x="14" y="11"/>
                <a:pt x="12" y="11"/>
              </a:cubicBezTo>
              <a:cubicBezTo>
                <a:pt x="10" y="11"/>
                <a:pt x="0" y="3"/>
                <a:pt x="0" y="2"/>
              </a:cubicBezTo>
              <a:cubicBezTo>
                <a:pt x="0" y="1"/>
                <a:pt x="10" y="0"/>
                <a:pt x="12" y="1"/>
              </a:cubicBezTo>
              <a:close/>
            </a:path>
          </a:pathLst>
        </a:custGeom>
        <a:solidFill>
          <a:srgbClr val="FF0000"/>
        </a:solidFill>
        <a:ln w="9525">
          <a:solidFill>
            <a:srgbClr val="FF0000"/>
          </a:solidFill>
          <a:round/>
          <a:headEnd/>
          <a:tailEnd/>
        </a:ln>
      </xdr:spPr>
    </xdr:sp>
    <xdr:clientData/>
  </xdr:twoCellAnchor>
  <xdr:twoCellAnchor editAs="oneCell">
    <xdr:from>
      <xdr:col>2</xdr:col>
      <xdr:colOff>240821</xdr:colOff>
      <xdr:row>30</xdr:row>
      <xdr:rowOff>9524</xdr:rowOff>
    </xdr:from>
    <xdr:to>
      <xdr:col>4</xdr:col>
      <xdr:colOff>568272</xdr:colOff>
      <xdr:row>32</xdr:row>
      <xdr:rowOff>133349</xdr:rowOff>
    </xdr:to>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1202846" y="5991224"/>
          <a:ext cx="1699051" cy="4667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大阪　５００</a:t>
          </a:r>
        </a:p>
        <a:p>
          <a:pPr algn="l" rtl="0">
            <a:lnSpc>
              <a:spcPts val="1600"/>
            </a:lnSpc>
            <a:defRPr sz="1000"/>
          </a:pPr>
          <a:r>
            <a:rPr lang="ja-JP" altLang="en-US" sz="1100" b="0" i="0" u="none" strike="noStrike" baseline="0">
              <a:solidFill>
                <a:srgbClr val="000000"/>
              </a:solidFill>
              <a:latin typeface="ＭＳ Ｐゴシック"/>
              <a:ea typeface="ＭＳ Ｐゴシック"/>
            </a:rPr>
            <a:t>　　　　さ　</a:t>
          </a:r>
          <a:r>
            <a:rPr lang="ja-JP" altLang="en-US" sz="1400" b="0" i="0" u="none" strike="noStrike" baseline="0">
              <a:solidFill>
                <a:srgbClr val="000000"/>
              </a:solidFill>
              <a:latin typeface="ＭＳ Ｐゴシック"/>
              <a:ea typeface="ＭＳ Ｐゴシック"/>
            </a:rPr>
            <a:t>２３－４５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9"/>
  <sheetViews>
    <sheetView zoomScaleNormal="100" workbookViewId="0">
      <selection activeCell="D39" sqref="D39"/>
    </sheetView>
  </sheetViews>
  <sheetFormatPr defaultRowHeight="13"/>
  <cols>
    <col min="1" max="1" width="3.6328125" customWidth="1"/>
    <col min="12" max="12" width="5.6328125" customWidth="1"/>
    <col min="13" max="13" width="6" customWidth="1"/>
    <col min="14" max="14" width="9" customWidth="1"/>
  </cols>
  <sheetData>
    <row r="1" spans="1:14" ht="19">
      <c r="A1" s="601" t="s">
        <v>2248</v>
      </c>
      <c r="B1" s="601"/>
      <c r="C1" s="601"/>
    </row>
    <row r="2" spans="1:14" ht="19.5" customHeight="1">
      <c r="B2" s="597" t="s">
        <v>2983</v>
      </c>
      <c r="C2" s="597"/>
      <c r="D2" s="597"/>
      <c r="E2" s="597"/>
      <c r="F2" s="597"/>
      <c r="G2" s="597"/>
      <c r="H2" s="597"/>
      <c r="I2" s="597"/>
      <c r="J2" s="597"/>
      <c r="K2" s="597"/>
      <c r="L2" s="597"/>
      <c r="M2" s="597"/>
      <c r="N2" s="597"/>
    </row>
    <row r="3" spans="1:14" ht="30.25" customHeight="1">
      <c r="B3" s="600" t="s">
        <v>2984</v>
      </c>
      <c r="C3" s="600"/>
      <c r="D3" s="600"/>
      <c r="E3" s="600"/>
      <c r="F3" s="600"/>
      <c r="G3" s="600"/>
      <c r="H3" s="600"/>
      <c r="I3" s="600"/>
      <c r="J3" s="600"/>
      <c r="K3" s="600"/>
      <c r="L3" s="600"/>
      <c r="M3" s="600"/>
      <c r="N3" s="600"/>
    </row>
    <row r="4" spans="1:14">
      <c r="A4" s="577" t="s">
        <v>2985</v>
      </c>
      <c r="B4" s="577"/>
      <c r="C4" s="577"/>
    </row>
    <row r="5" spans="1:14">
      <c r="B5" s="597" t="s">
        <v>2986</v>
      </c>
      <c r="C5" s="597"/>
      <c r="D5" s="597"/>
      <c r="E5" s="597"/>
      <c r="F5" s="597"/>
      <c r="G5" s="597"/>
      <c r="H5" s="597"/>
      <c r="I5" s="597"/>
      <c r="J5" s="597"/>
      <c r="K5" s="597"/>
      <c r="L5" s="597"/>
      <c r="M5" s="597"/>
      <c r="N5" s="597"/>
    </row>
    <row r="6" spans="1:14">
      <c r="B6" s="597"/>
      <c r="C6" s="597"/>
      <c r="D6" s="597"/>
      <c r="E6" s="597"/>
      <c r="F6" s="597"/>
      <c r="G6" s="597"/>
      <c r="H6" s="597"/>
      <c r="I6" s="597"/>
      <c r="J6" s="597"/>
      <c r="K6" s="597"/>
      <c r="L6" s="597"/>
      <c r="M6" s="597"/>
      <c r="N6" s="597"/>
    </row>
    <row r="7" spans="1:14" ht="17.899999999999999" customHeight="1">
      <c r="B7" s="597" t="s">
        <v>2987</v>
      </c>
      <c r="C7" s="597"/>
      <c r="D7" s="597"/>
      <c r="E7" s="597"/>
      <c r="F7" s="597"/>
      <c r="G7" s="597"/>
      <c r="H7" s="597"/>
      <c r="I7" s="597"/>
      <c r="J7" s="597"/>
      <c r="K7" s="597"/>
      <c r="L7" s="597"/>
      <c r="M7" s="597"/>
      <c r="N7" s="597"/>
    </row>
    <row r="8" spans="1:14" ht="17.899999999999999" customHeight="1">
      <c r="B8" s="597"/>
      <c r="C8" s="597"/>
      <c r="D8" s="597"/>
      <c r="E8" s="597"/>
      <c r="F8" s="597"/>
      <c r="G8" s="597"/>
      <c r="H8" s="597"/>
      <c r="I8" s="597"/>
      <c r="J8" s="597"/>
      <c r="K8" s="597"/>
      <c r="L8" s="597"/>
      <c r="M8" s="597"/>
      <c r="N8" s="597"/>
    </row>
    <row r="9" spans="1:14" ht="17.899999999999999" customHeight="1">
      <c r="B9" s="597"/>
      <c r="C9" s="597"/>
      <c r="D9" s="597"/>
      <c r="E9" s="597"/>
      <c r="F9" s="597"/>
      <c r="G9" s="597"/>
      <c r="H9" s="597"/>
      <c r="I9" s="597"/>
      <c r="J9" s="597"/>
      <c r="K9" s="597"/>
      <c r="L9" s="597"/>
      <c r="M9" s="597"/>
      <c r="N9" s="597"/>
    </row>
    <row r="10" spans="1:14" ht="17.899999999999999" customHeight="1">
      <c r="B10" s="597"/>
      <c r="C10" s="597"/>
      <c r="D10" s="597"/>
      <c r="E10" s="597"/>
      <c r="F10" s="597"/>
      <c r="G10" s="597"/>
      <c r="H10" s="597"/>
      <c r="I10" s="597"/>
      <c r="J10" s="597"/>
      <c r="K10" s="597"/>
      <c r="L10" s="597"/>
      <c r="M10" s="597"/>
      <c r="N10" s="597"/>
    </row>
    <row r="11" spans="1:14" ht="17.899999999999999" customHeight="1">
      <c r="B11" s="597"/>
      <c r="C11" s="597"/>
      <c r="D11" s="597"/>
      <c r="E11" s="597"/>
      <c r="F11" s="597"/>
      <c r="G11" s="597"/>
      <c r="H11" s="597"/>
      <c r="I11" s="597"/>
      <c r="J11" s="597"/>
      <c r="K11" s="597"/>
      <c r="L11" s="597"/>
      <c r="M11" s="597"/>
      <c r="N11" s="597"/>
    </row>
    <row r="12" spans="1:14" ht="13.75" customHeight="1">
      <c r="B12" s="597" t="s">
        <v>2988</v>
      </c>
      <c r="C12" s="597"/>
      <c r="D12" s="597"/>
      <c r="E12" s="597"/>
      <c r="F12" s="597"/>
      <c r="G12" s="597"/>
      <c r="H12" s="597"/>
      <c r="I12" s="597"/>
      <c r="J12" s="597"/>
      <c r="K12" s="597"/>
      <c r="L12" s="597"/>
      <c r="M12" s="597"/>
      <c r="N12" s="597"/>
    </row>
    <row r="13" spans="1:14">
      <c r="A13" s="598" t="s">
        <v>2249</v>
      </c>
      <c r="B13" s="598"/>
      <c r="C13" s="598"/>
    </row>
    <row r="14" spans="1:14">
      <c r="B14" t="s">
        <v>1945</v>
      </c>
    </row>
    <row r="15" spans="1:14">
      <c r="B15" s="90"/>
      <c r="C15" t="s">
        <v>1831</v>
      </c>
    </row>
    <row r="16" spans="1:14">
      <c r="B16" s="93"/>
      <c r="C16" t="s">
        <v>1832</v>
      </c>
    </row>
    <row r="17" spans="1:14">
      <c r="B17" s="91"/>
      <c r="C17" t="s">
        <v>1834</v>
      </c>
    </row>
    <row r="18" spans="1:14">
      <c r="B18" s="92"/>
      <c r="C18" t="s">
        <v>1835</v>
      </c>
    </row>
    <row r="19" spans="1:14">
      <c r="A19" s="598" t="s">
        <v>2253</v>
      </c>
      <c r="B19" s="598"/>
      <c r="C19" s="598"/>
      <c r="D19" s="599"/>
    </row>
    <row r="20" spans="1:14">
      <c r="B20" t="s">
        <v>2982</v>
      </c>
    </row>
    <row r="21" spans="1:14">
      <c r="B21" t="s">
        <v>1946</v>
      </c>
      <c r="D21" t="s">
        <v>1947</v>
      </c>
    </row>
    <row r="22" spans="1:14">
      <c r="B22" t="s">
        <v>1948</v>
      </c>
    </row>
    <row r="23" spans="1:14">
      <c r="B23" s="88"/>
      <c r="C23" s="49"/>
      <c r="D23" s="89"/>
      <c r="E23" s="89"/>
      <c r="F23" s="89"/>
      <c r="G23" s="89"/>
    </row>
    <row r="24" spans="1:14">
      <c r="B24" t="s">
        <v>2250</v>
      </c>
    </row>
    <row r="25" spans="1:14" ht="31.75" customHeight="1">
      <c r="B25" s="600" t="s">
        <v>1845</v>
      </c>
      <c r="C25" s="599"/>
      <c r="D25" s="599"/>
      <c r="E25" s="599"/>
      <c r="F25" s="599"/>
      <c r="G25" s="599"/>
      <c r="H25" s="599"/>
      <c r="I25" s="599"/>
      <c r="J25" s="599"/>
      <c r="K25" s="599"/>
      <c r="L25" s="599"/>
    </row>
    <row r="26" spans="1:14" ht="13.5" thickBot="1">
      <c r="B26" t="s">
        <v>1844</v>
      </c>
    </row>
    <row r="27" spans="1:14" ht="13.5" thickBot="1">
      <c r="B27" s="193"/>
      <c r="N27" s="225">
        <v>1</v>
      </c>
    </row>
    <row r="28" spans="1:14">
      <c r="B28" t="s">
        <v>2251</v>
      </c>
    </row>
    <row r="29" spans="1:14">
      <c r="B29" t="s">
        <v>2022</v>
      </c>
    </row>
    <row r="30" spans="1:14">
      <c r="B30" t="s">
        <v>1948</v>
      </c>
    </row>
    <row r="34" spans="2:6">
      <c r="B34" t="s">
        <v>1842</v>
      </c>
      <c r="F34" s="1" t="s">
        <v>1838</v>
      </c>
    </row>
    <row r="35" spans="2:6">
      <c r="B35" t="s">
        <v>2500</v>
      </c>
      <c r="F35" s="1" t="s">
        <v>1839</v>
      </c>
    </row>
    <row r="36" spans="2:6">
      <c r="B36" t="s">
        <v>2252</v>
      </c>
      <c r="F36" s="1" t="s">
        <v>1840</v>
      </c>
    </row>
    <row r="37" spans="2:6">
      <c r="B37" t="s">
        <v>1836</v>
      </c>
      <c r="F37" s="1" t="s">
        <v>1841</v>
      </c>
    </row>
    <row r="38" spans="2:6">
      <c r="B38" t="s">
        <v>1837</v>
      </c>
      <c r="F38" s="1" t="s">
        <v>1843</v>
      </c>
    </row>
    <row r="39" spans="2:6">
      <c r="B39" t="s">
        <v>2029</v>
      </c>
    </row>
  </sheetData>
  <mergeCells count="9">
    <mergeCell ref="B12:N12"/>
    <mergeCell ref="A13:C13"/>
    <mergeCell ref="A19:D19"/>
    <mergeCell ref="B25:L25"/>
    <mergeCell ref="A1:C1"/>
    <mergeCell ref="B3:N3"/>
    <mergeCell ref="B5:N6"/>
    <mergeCell ref="B7:N11"/>
    <mergeCell ref="B2:N2"/>
  </mergeCells>
  <phoneticPr fontId="3"/>
  <dataValidations count="1">
    <dataValidation type="list" allowBlank="1" showInputMessage="1" showErrorMessage="1" sqref="B27" xr:uid="{00000000-0002-0000-0000-000000000000}">
      <formula1>$N$27:$N$29</formula1>
    </dataValidation>
  </dataValidations>
  <pageMargins left="0.7" right="0.7" top="0.75" bottom="0.75" header="0.3" footer="0.3"/>
  <pageSetup paperSize="9" scale="78"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J43"/>
  <sheetViews>
    <sheetView showZeros="0" zoomScale="80" zoomScaleNormal="80" workbookViewId="0">
      <selection activeCell="A23" sqref="A23:V23"/>
    </sheetView>
  </sheetViews>
  <sheetFormatPr defaultColWidth="9" defaultRowHeight="12"/>
  <cols>
    <col min="1" max="2" width="4.7265625" style="1" customWidth="1"/>
    <col min="3" max="3" width="4.26953125" style="1" bestFit="1" customWidth="1"/>
    <col min="4" max="4" width="8.26953125" style="1" customWidth="1"/>
    <col min="5" max="5" width="10.26953125" style="1" customWidth="1"/>
    <col min="6" max="6" width="5.08984375" style="1" customWidth="1"/>
    <col min="7" max="8" width="6.36328125" style="1" customWidth="1"/>
    <col min="9" max="9" width="5.08984375" style="1" customWidth="1"/>
    <col min="10" max="11" width="6.36328125" style="1" customWidth="1"/>
    <col min="12" max="12" width="5.08984375" style="1" customWidth="1"/>
    <col min="13" max="14" width="6.36328125" style="1" customWidth="1"/>
    <col min="15" max="15" width="5.08984375" style="1" customWidth="1"/>
    <col min="16" max="17" width="6.36328125" style="1" customWidth="1"/>
    <col min="18" max="18" width="5.08984375" style="1" customWidth="1"/>
    <col min="19" max="19" width="6.36328125" style="1" customWidth="1"/>
    <col min="20" max="20" width="5.08984375" style="1" customWidth="1"/>
    <col min="21" max="21" width="6.36328125" style="1" customWidth="1"/>
    <col min="22" max="22" width="11.26953125" style="1" bestFit="1" customWidth="1"/>
    <col min="23" max="23" width="4.08984375" style="1" customWidth="1"/>
    <col min="24" max="25" width="12.08984375" style="1" customWidth="1"/>
    <col min="26" max="26" width="4.08984375" style="1" hidden="1" customWidth="1"/>
    <col min="27" max="34" width="4.08984375" style="1" customWidth="1"/>
    <col min="35" max="35" width="3.90625" style="1" customWidth="1"/>
    <col min="36" max="16384" width="9" style="1"/>
  </cols>
  <sheetData>
    <row r="1" spans="1:28" ht="21.25" customHeight="1" thickBot="1">
      <c r="A1" s="314" t="s">
        <v>2483</v>
      </c>
      <c r="B1" s="481"/>
      <c r="C1" s="481"/>
      <c r="D1" s="481"/>
      <c r="F1" s="82" t="s">
        <v>1850</v>
      </c>
      <c r="G1" s="482"/>
      <c r="H1" s="482"/>
      <c r="I1" s="19"/>
      <c r="J1" s="19"/>
      <c r="K1" s="19"/>
      <c r="L1" s="19"/>
      <c r="M1" s="19"/>
      <c r="N1" s="19"/>
      <c r="O1" s="19"/>
      <c r="P1" s="19"/>
      <c r="Q1" s="19"/>
      <c r="R1" s="19"/>
      <c r="S1" s="19"/>
      <c r="T1" s="19"/>
      <c r="U1" s="19"/>
      <c r="V1" s="19"/>
      <c r="W1" s="19"/>
    </row>
    <row r="2" spans="1:28" ht="10.5" customHeight="1">
      <c r="A2" s="483"/>
      <c r="B2" s="484"/>
      <c r="C2" s="484"/>
      <c r="D2" s="485"/>
      <c r="E2" s="743" t="s">
        <v>1852</v>
      </c>
      <c r="F2" s="745" t="s">
        <v>2707</v>
      </c>
      <c r="G2" s="749"/>
      <c r="H2" s="746"/>
      <c r="I2" s="745" t="s">
        <v>2699</v>
      </c>
      <c r="J2" s="749"/>
      <c r="K2" s="746"/>
      <c r="L2" s="883" t="s">
        <v>2708</v>
      </c>
      <c r="M2" s="749"/>
      <c r="N2" s="746"/>
      <c r="O2" s="883" t="s">
        <v>2709</v>
      </c>
      <c r="P2" s="749"/>
      <c r="Q2" s="746"/>
      <c r="R2" s="749" t="s">
        <v>2710</v>
      </c>
      <c r="S2" s="885"/>
      <c r="T2" s="745" t="s">
        <v>213</v>
      </c>
      <c r="U2" s="749"/>
      <c r="V2" s="746"/>
    </row>
    <row r="3" spans="1:28" ht="18.75" customHeight="1">
      <c r="A3" s="486"/>
      <c r="B3" s="487"/>
      <c r="C3" s="487"/>
      <c r="D3" s="488"/>
      <c r="E3" s="744"/>
      <c r="F3" s="747"/>
      <c r="G3" s="750"/>
      <c r="H3" s="748"/>
      <c r="I3" s="747"/>
      <c r="J3" s="750"/>
      <c r="K3" s="748"/>
      <c r="L3" s="884"/>
      <c r="M3" s="750"/>
      <c r="N3" s="748"/>
      <c r="O3" s="884"/>
      <c r="P3" s="750"/>
      <c r="Q3" s="748"/>
      <c r="R3" s="750"/>
      <c r="S3" s="886"/>
      <c r="T3" s="747"/>
      <c r="U3" s="750"/>
      <c r="V3" s="748"/>
    </row>
    <row r="4" spans="1:28" ht="21.75" customHeight="1">
      <c r="A4" s="486"/>
      <c r="B4" s="487"/>
      <c r="C4" s="487"/>
      <c r="D4" s="488"/>
      <c r="E4" s="887" t="str">
        <f>'様式1-4（計画代替）'!$E$4:$E$5</f>
        <v>令和　年　月　日
現在　　　　　</v>
      </c>
      <c r="F4" s="753" t="s">
        <v>2343</v>
      </c>
      <c r="G4" s="889" t="s">
        <v>2503</v>
      </c>
      <c r="H4" s="759" t="s">
        <v>2453</v>
      </c>
      <c r="I4" s="892" t="s">
        <v>2343</v>
      </c>
      <c r="J4" s="761" t="s">
        <v>214</v>
      </c>
      <c r="K4" s="759" t="s">
        <v>2453</v>
      </c>
      <c r="L4" s="892" t="s">
        <v>2343</v>
      </c>
      <c r="M4" s="761" t="s">
        <v>214</v>
      </c>
      <c r="N4" s="759" t="s">
        <v>2453</v>
      </c>
      <c r="O4" s="892" t="s">
        <v>2343</v>
      </c>
      <c r="P4" s="761" t="s">
        <v>214</v>
      </c>
      <c r="Q4" s="759" t="s">
        <v>2453</v>
      </c>
      <c r="R4" s="757" t="s">
        <v>2343</v>
      </c>
      <c r="S4" s="761" t="s">
        <v>214</v>
      </c>
      <c r="T4" s="763" t="s">
        <v>215</v>
      </c>
      <c r="U4" s="761" t="s">
        <v>214</v>
      </c>
      <c r="V4" s="759" t="s">
        <v>2388</v>
      </c>
      <c r="X4" s="895" t="s">
        <v>2501</v>
      </c>
      <c r="Y4" s="895"/>
    </row>
    <row r="5" spans="1:28" ht="21.75" customHeight="1" thickBot="1">
      <c r="A5" s="489"/>
      <c r="B5" s="490"/>
      <c r="C5" s="490"/>
      <c r="D5" s="491"/>
      <c r="E5" s="888"/>
      <c r="F5" s="754"/>
      <c r="G5" s="890"/>
      <c r="H5" s="891"/>
      <c r="I5" s="893"/>
      <c r="J5" s="762"/>
      <c r="K5" s="891"/>
      <c r="L5" s="893"/>
      <c r="M5" s="762"/>
      <c r="N5" s="891"/>
      <c r="O5" s="893"/>
      <c r="P5" s="762"/>
      <c r="Q5" s="891"/>
      <c r="R5" s="758"/>
      <c r="S5" s="762"/>
      <c r="T5" s="764"/>
      <c r="U5" s="762"/>
      <c r="V5" s="765"/>
      <c r="X5" s="403" t="s">
        <v>2502</v>
      </c>
      <c r="Y5" s="403" t="s">
        <v>2504</v>
      </c>
    </row>
    <row r="6" spans="1:28" ht="51" customHeight="1" thickTop="1">
      <c r="A6" s="766" t="s">
        <v>216</v>
      </c>
      <c r="B6" s="767"/>
      <c r="C6" s="767"/>
      <c r="D6" s="768"/>
      <c r="E6" s="492">
        <f>'様式1-4（計画代替）'!$E6</f>
        <v>0</v>
      </c>
      <c r="F6" s="493"/>
      <c r="G6" s="494"/>
      <c r="H6" s="495" t="str">
        <f>IF(OR(F6="",G6=""),"",E6-F6+G6)</f>
        <v/>
      </c>
      <c r="I6" s="496"/>
      <c r="J6" s="494"/>
      <c r="K6" s="497" t="str">
        <f>IF(OR(I6="",J6=""),"",H6-I6+J6)</f>
        <v/>
      </c>
      <c r="L6" s="496"/>
      <c r="M6" s="494"/>
      <c r="N6" s="497" t="str">
        <f>IF(OR(L6="",M6=""),"",K6-L6+M6)</f>
        <v/>
      </c>
      <c r="O6" s="496"/>
      <c r="P6" s="494"/>
      <c r="Q6" s="497" t="str">
        <f>IF(OR(O6="",P6=""),"",N6-O6+P6)</f>
        <v/>
      </c>
      <c r="R6" s="496"/>
      <c r="S6" s="494"/>
      <c r="T6" s="498">
        <f>F6+I6+L6+O6+R6</f>
        <v>0</v>
      </c>
      <c r="U6" s="499">
        <f>G6+J6+M6+P6+S6</f>
        <v>0</v>
      </c>
      <c r="V6" s="500">
        <f>IF(OR(T6="",U6=""),"",E6-T6+U6)</f>
        <v>0</v>
      </c>
      <c r="X6" s="501">
        <f>COUNTIFS('様式2-2(実績排出量）'!$AG$16:$AG$515,"C",'様式2-2(実績排出量）'!$T$16:$T$515,"廃止")+
COUNTIFS('様式2-2(実績排出量）'!$AG$16:$AG$515,"C",'様式2-2(実績排出量）'!$T$16:$T$515,"新規かつ廃止")</f>
        <v>0</v>
      </c>
      <c r="Y6" s="502">
        <f>COUNTIFS('様式2-2(実績排出量）'!$AG$16:$AG$515,"C",'様式2-2(実績排出量）'!$T$16:$T$515,"新規")+
COUNTIFS('様式2-2(実績排出量）'!$AG$16:$AG$515,"C",'様式2-2(実績排出量）'!$T$16:$T$515,"新規かつ廃止")</f>
        <v>0</v>
      </c>
      <c r="Z6" s="330" t="s">
        <v>2346</v>
      </c>
      <c r="AB6" s="594"/>
    </row>
    <row r="7" spans="1:28" ht="51" customHeight="1">
      <c r="A7" s="769" t="s">
        <v>2203</v>
      </c>
      <c r="B7" s="770"/>
      <c r="C7" s="770"/>
      <c r="D7" s="771"/>
      <c r="E7" s="503">
        <f>'様式1-4（計画代替）'!$E7</f>
        <v>0</v>
      </c>
      <c r="F7" s="504"/>
      <c r="G7" s="505"/>
      <c r="H7" s="495" t="str">
        <f>IF(OR(F7="",G7=""),"",E7-F7+G7)</f>
        <v/>
      </c>
      <c r="I7" s="506"/>
      <c r="J7" s="505"/>
      <c r="K7" s="495" t="str">
        <f t="shared" ref="K7:K18" si="0">IF(OR(I7="",J7=""),"",H7-I7+J7)</f>
        <v/>
      </c>
      <c r="L7" s="506"/>
      <c r="M7" s="505"/>
      <c r="N7" s="495" t="str">
        <f t="shared" ref="N7:N18" si="1">IF(OR(L7="",M7=""),"",K7-L7+M7)</f>
        <v/>
      </c>
      <c r="O7" s="506"/>
      <c r="P7" s="505"/>
      <c r="Q7" s="495" t="str">
        <f t="shared" ref="Q7:Q18" si="2">IF(OR(O7="",P7=""),"",N7-O7+P7)</f>
        <v/>
      </c>
      <c r="R7" s="506"/>
      <c r="S7" s="505"/>
      <c r="T7" s="498">
        <f t="shared" ref="T7:T18" si="3">F7+I7+L7+O7+R7</f>
        <v>0</v>
      </c>
      <c r="U7" s="499">
        <f t="shared" ref="U7:U17" si="4">G7+J7+M7+P7+S7</f>
        <v>0</v>
      </c>
      <c r="V7" s="500">
        <f t="shared" ref="V7:V18" si="5">IF(OR(T7="",U7=""),"",E7-T7+U7)</f>
        <v>0</v>
      </c>
      <c r="X7" s="507">
        <f>COUNTIFS('様式2-2(実績排出量）'!$AG$16:$AG$515,"ハ",'様式2-2(実績排出量）'!$T$16:$T$515,"廃止")+
COUNTIFS('様式2-2(実績排出量）'!$AG$16:$AG$515,"ハ",'様式2-2(実績排出量）'!$T$16:$T$515,"新規かつ廃止")</f>
        <v>0</v>
      </c>
      <c r="Y7" s="508">
        <f>COUNTIFS('様式2-2(実績排出量）'!$AG$16:$AG$515,"ハ",'様式2-2(実績排出量）'!$T$16:$T$515,"新規")+
COUNTIFS('様式2-2(実績排出量）'!$AG$16:$AG$515,"ハ",'様式2-2(実績排出量）'!$T$16:$T$515,"新規かつ廃止")</f>
        <v>0</v>
      </c>
      <c r="Z7" s="331" t="s">
        <v>1851</v>
      </c>
      <c r="AB7" s="594"/>
    </row>
    <row r="8" spans="1:28" ht="51" customHeight="1">
      <c r="A8" s="769" t="s">
        <v>2387</v>
      </c>
      <c r="B8" s="770"/>
      <c r="C8" s="770"/>
      <c r="D8" s="771"/>
      <c r="E8" s="503">
        <f>'様式1-4（計画代替）'!$E8</f>
        <v>0</v>
      </c>
      <c r="F8" s="504"/>
      <c r="G8" s="505"/>
      <c r="H8" s="495" t="str">
        <f t="shared" ref="H8:H17" si="6">IF(OR(F8="",G8=""),"",E8-F8+G8)</f>
        <v/>
      </c>
      <c r="I8" s="506"/>
      <c r="J8" s="505"/>
      <c r="K8" s="495" t="str">
        <f t="shared" si="0"/>
        <v/>
      </c>
      <c r="L8" s="506"/>
      <c r="M8" s="505"/>
      <c r="N8" s="495" t="str">
        <f t="shared" si="1"/>
        <v/>
      </c>
      <c r="O8" s="506"/>
      <c r="P8" s="505"/>
      <c r="Q8" s="495" t="str">
        <f t="shared" si="2"/>
        <v/>
      </c>
      <c r="R8" s="506"/>
      <c r="S8" s="505"/>
      <c r="T8" s="498">
        <f t="shared" si="3"/>
        <v>0</v>
      </c>
      <c r="U8" s="499">
        <f t="shared" si="4"/>
        <v>0</v>
      </c>
      <c r="V8" s="500">
        <f t="shared" si="5"/>
        <v>0</v>
      </c>
      <c r="X8" s="507">
        <f>COUNTIFS('様式2-2(実績排出量）'!$AG$16:$AG$515,"Pハ",'様式2-2(実績排出量）'!$T$16:$T$515,"廃止")+
COUNTIFS('様式2-2(実績排出量）'!$AG$16:$AG$515,"Pハ",'様式2-2(実績排出量）'!$T$16:$T$515,"新規かつ廃止")</f>
        <v>0</v>
      </c>
      <c r="Y8" s="508">
        <f>COUNTIFS('様式2-2(実績排出量）'!$AG$16:$AG$515,"Pハ",'様式2-2(実績排出量）'!$T$16:$T$515,"新規")+
COUNTIFS('様式2-2(実績排出量）'!$AG$16:$AG$515,"Pハ",'様式2-2(実績排出量）'!$T$16:$T$515,"新規かつ廃止")</f>
        <v>0</v>
      </c>
      <c r="Z8" s="331" t="s">
        <v>2490</v>
      </c>
      <c r="AB8" s="594"/>
    </row>
    <row r="9" spans="1:28" ht="51" customHeight="1">
      <c r="A9" s="772" t="s">
        <v>2976</v>
      </c>
      <c r="B9" s="773"/>
      <c r="C9" s="778" t="s">
        <v>2261</v>
      </c>
      <c r="D9" s="779"/>
      <c r="E9" s="503">
        <f>'様式1-4（計画代替）'!$E9</f>
        <v>0</v>
      </c>
      <c r="F9" s="504"/>
      <c r="G9" s="505"/>
      <c r="H9" s="495" t="str">
        <f t="shared" si="6"/>
        <v/>
      </c>
      <c r="I9" s="506"/>
      <c r="J9" s="505"/>
      <c r="K9" s="495" t="str">
        <f t="shared" si="0"/>
        <v/>
      </c>
      <c r="L9" s="506"/>
      <c r="M9" s="505"/>
      <c r="N9" s="495" t="str">
        <f t="shared" si="1"/>
        <v/>
      </c>
      <c r="O9" s="506"/>
      <c r="P9" s="505"/>
      <c r="Q9" s="495" t="str">
        <f t="shared" si="2"/>
        <v/>
      </c>
      <c r="R9" s="506"/>
      <c r="S9" s="505"/>
      <c r="T9" s="498">
        <f t="shared" si="3"/>
        <v>0</v>
      </c>
      <c r="U9" s="499">
        <f t="shared" si="4"/>
        <v>0</v>
      </c>
      <c r="V9" s="500">
        <f t="shared" si="5"/>
        <v>0</v>
      </c>
      <c r="X9" s="507">
        <f>COUNTIFS('様式2-2(実績排出量）'!$AG$16:$AG$515,"ガL1",'様式2-2(実績排出量）'!$T$16:$T$515,"廃止")+
COUNTIFS('様式2-2(実績排出量）'!$AG$16:$AG$515,"ガL1",'様式2-2(実績排出量）'!$T$16:$T$515,"新規かつ廃止")</f>
        <v>0</v>
      </c>
      <c r="Y9" s="508">
        <f>COUNTIFS('様式2-2(実績排出量）'!$AG$16:$AG$515,"ガL1",'様式2-2(実績排出量）'!$T$16:$T$515,"新規")+
COUNTIFS('様式2-2(実績排出量）'!$AG$16:$AG$515,"ガL1",'様式2-2(実績排出量）'!$T$16:$T$515,"新規かつ廃止")</f>
        <v>0</v>
      </c>
      <c r="Z9" s="331" t="s">
        <v>2200</v>
      </c>
      <c r="AB9" s="594"/>
    </row>
    <row r="10" spans="1:28" ht="51" customHeight="1">
      <c r="A10" s="774"/>
      <c r="B10" s="775"/>
      <c r="C10" s="778" t="s">
        <v>2703</v>
      </c>
      <c r="D10" s="779"/>
      <c r="E10" s="503">
        <f>'様式1-4（計画代替）'!$E10</f>
        <v>0</v>
      </c>
      <c r="F10" s="504"/>
      <c r="G10" s="505"/>
      <c r="H10" s="495" t="str">
        <f t="shared" si="6"/>
        <v/>
      </c>
      <c r="I10" s="506"/>
      <c r="J10" s="505"/>
      <c r="K10" s="495" t="str">
        <f t="shared" si="0"/>
        <v/>
      </c>
      <c r="L10" s="506"/>
      <c r="M10" s="505"/>
      <c r="N10" s="495" t="str">
        <f t="shared" si="1"/>
        <v/>
      </c>
      <c r="O10" s="506"/>
      <c r="P10" s="505"/>
      <c r="Q10" s="495" t="str">
        <f t="shared" si="2"/>
        <v/>
      </c>
      <c r="R10" s="506"/>
      <c r="S10" s="505"/>
      <c r="T10" s="498">
        <f t="shared" si="3"/>
        <v>0</v>
      </c>
      <c r="U10" s="499">
        <f t="shared" si="4"/>
        <v>0</v>
      </c>
      <c r="V10" s="500">
        <f t="shared" si="5"/>
        <v>0</v>
      </c>
      <c r="X10" s="507">
        <f>COUNTIFS('様式2-2(実績排出量）'!$AG$16:$AG$515,"ガL2",'様式2-2(実績排出量）'!$T$16:$T$515,"廃止")+
COUNTIFS('様式2-2(実績排出量）'!$AG$16:$AG$515,"ガL2",'様式2-2(実績排出量）'!$T$16:$T$515,"新規かつ廃止")</f>
        <v>0</v>
      </c>
      <c r="Y10" s="508">
        <f>COUNTIFS('様式2-2(実績排出量）'!$AG$16:$AG$515,"ガL2",'様式2-2(実績排出量）'!$T$16:$T$515,"新規")+
COUNTIFS('様式2-2(実績排出量）'!$AG$16:$AG$515,"ガL2",'様式2-2(実績排出量）'!$T$16:$T$515,"新規かつ廃止")</f>
        <v>0</v>
      </c>
      <c r="Z10" s="331" t="s">
        <v>2491</v>
      </c>
      <c r="AB10" s="594"/>
    </row>
    <row r="11" spans="1:28" ht="51" customHeight="1">
      <c r="A11" s="776"/>
      <c r="B11" s="777"/>
      <c r="C11" s="780" t="s">
        <v>217</v>
      </c>
      <c r="D11" s="779"/>
      <c r="E11" s="503">
        <f>'様式1-4（計画代替）'!$E11</f>
        <v>0</v>
      </c>
      <c r="F11" s="504"/>
      <c r="G11" s="505"/>
      <c r="H11" s="495" t="str">
        <f t="shared" si="6"/>
        <v/>
      </c>
      <c r="I11" s="506"/>
      <c r="J11" s="505"/>
      <c r="K11" s="495" t="str">
        <f t="shared" si="0"/>
        <v/>
      </c>
      <c r="L11" s="506"/>
      <c r="M11" s="505"/>
      <c r="N11" s="495" t="str">
        <f t="shared" si="1"/>
        <v/>
      </c>
      <c r="O11" s="506"/>
      <c r="P11" s="505"/>
      <c r="Q11" s="495" t="str">
        <f t="shared" si="2"/>
        <v/>
      </c>
      <c r="R11" s="506"/>
      <c r="S11" s="505"/>
      <c r="T11" s="498">
        <f t="shared" si="3"/>
        <v>0</v>
      </c>
      <c r="U11" s="499">
        <f t="shared" si="4"/>
        <v>0</v>
      </c>
      <c r="V11" s="500">
        <f t="shared" si="5"/>
        <v>0</v>
      </c>
      <c r="X11" s="507">
        <f>COUNTIFS('様式2-2(実績排出量）'!$AG$16:$AG$515,"ガL3",'様式2-2(実績排出量）'!$T$16:$T$515,"廃止")+
COUNTIFS('様式2-2(実績排出量）'!$AG$16:$AG$515,"ガL3",'様式2-2(実績排出量）'!$T$16:$T$515,"新規かつ廃止")</f>
        <v>0</v>
      </c>
      <c r="Y11" s="508">
        <f>COUNTIFS('様式2-2(実績排出量）'!$AG$16:$AG$515,"ガL3",'様式2-2(実績排出量）'!$T$16:$T$515,"新規")+
COUNTIFS('様式2-2(実績排出量）'!$AG$16:$AG$515,"ガL3",'様式2-2(実績排出量）'!$T$16:$T$515,"新規かつ廃止")</f>
        <v>0</v>
      </c>
      <c r="Z11" s="331" t="s">
        <v>2492</v>
      </c>
      <c r="AB11" s="594"/>
    </row>
    <row r="12" spans="1:28" ht="51" customHeight="1">
      <c r="A12" s="781" t="s">
        <v>2977</v>
      </c>
      <c r="B12" s="782"/>
      <c r="C12" s="780" t="s">
        <v>65</v>
      </c>
      <c r="D12" s="779"/>
      <c r="E12" s="503">
        <f>'様式1-4（計画代替）'!$E12</f>
        <v>0</v>
      </c>
      <c r="F12" s="504"/>
      <c r="G12" s="505"/>
      <c r="H12" s="495" t="str">
        <f t="shared" si="6"/>
        <v/>
      </c>
      <c r="I12" s="506"/>
      <c r="J12" s="505"/>
      <c r="K12" s="495" t="str">
        <f t="shared" si="0"/>
        <v/>
      </c>
      <c r="L12" s="506"/>
      <c r="M12" s="505"/>
      <c r="N12" s="495" t="str">
        <f t="shared" si="1"/>
        <v/>
      </c>
      <c r="O12" s="506"/>
      <c r="P12" s="505"/>
      <c r="Q12" s="495" t="str">
        <f t="shared" si="2"/>
        <v/>
      </c>
      <c r="R12" s="506"/>
      <c r="S12" s="505"/>
      <c r="T12" s="498">
        <f t="shared" si="3"/>
        <v>0</v>
      </c>
      <c r="U12" s="499">
        <f t="shared" si="4"/>
        <v>0</v>
      </c>
      <c r="V12" s="500">
        <f t="shared" si="5"/>
        <v>0</v>
      </c>
      <c r="X12" s="507">
        <f>COUNTIFS('様式2-2(実績排出量）'!$AG$16:$AG$515,"軽新長",'様式2-2(実績排出量）'!$T$16:$T$515,"廃止")+
COUNTIFS('様式2-2(実績排出量）'!$AG$16:$AG$515,"軽新長",'様式2-2(実績排出量）'!$T$16:$T$515,"新規かつ廃止")</f>
        <v>0</v>
      </c>
      <c r="Y12" s="508">
        <f>COUNTIFS('様式2-2(実績排出量）'!$AG$16:$AG$515,"軽新長",'様式2-2(実績排出量）'!$T$16:$T$515,"新規")+
COUNTIFS('様式2-2(実績排出量）'!$AG$16:$AG$515,"軽新長",'様式2-2(実績排出量）'!$T$16:$T$515,"新規かつ廃止")</f>
        <v>0</v>
      </c>
      <c r="Z12" s="331" t="s">
        <v>2493</v>
      </c>
      <c r="AB12" s="594"/>
    </row>
    <row r="13" spans="1:28" ht="51" customHeight="1">
      <c r="A13" s="783"/>
      <c r="B13" s="784"/>
      <c r="C13" s="778" t="s">
        <v>2399</v>
      </c>
      <c r="D13" s="779"/>
      <c r="E13" s="503">
        <f>'様式1-4（計画代替）'!$E13</f>
        <v>0</v>
      </c>
      <c r="F13" s="504"/>
      <c r="G13" s="505"/>
      <c r="H13" s="495" t="str">
        <f t="shared" si="6"/>
        <v/>
      </c>
      <c r="I13" s="506"/>
      <c r="J13" s="505"/>
      <c r="K13" s="495" t="str">
        <f t="shared" si="0"/>
        <v/>
      </c>
      <c r="L13" s="506"/>
      <c r="M13" s="505"/>
      <c r="N13" s="495" t="str">
        <f t="shared" si="1"/>
        <v/>
      </c>
      <c r="O13" s="506"/>
      <c r="P13" s="505"/>
      <c r="Q13" s="495" t="str">
        <f t="shared" si="2"/>
        <v/>
      </c>
      <c r="R13" s="506"/>
      <c r="S13" s="505"/>
      <c r="T13" s="498">
        <f t="shared" si="3"/>
        <v>0</v>
      </c>
      <c r="U13" s="499">
        <f t="shared" si="4"/>
        <v>0</v>
      </c>
      <c r="V13" s="500">
        <f t="shared" si="5"/>
        <v>0</v>
      </c>
      <c r="X13" s="507">
        <f>COUNTIFS('様式2-2(実績排出量）'!$AG$16:$AG$515,"軽新長1",'様式2-2(実績排出量）'!$T$16:$T$515,"廃止")+
COUNTIFS('様式2-2(実績排出量）'!$AG$16:$AG$515,"軽新長1",'様式2-2(実績排出量）'!$T$16:$T$515,"新規かつ廃止")</f>
        <v>0</v>
      </c>
      <c r="Y13" s="508">
        <f>COUNTIFS('様式2-2(実績排出量）'!$AG$16:$AG$515,"軽新長1",'様式2-2(実績排出量）'!$T$16:$T$515,"新規")+
COUNTIFS('様式2-2(実績排出量）'!$AG$16:$AG$515,"軽新長1",'様式2-2(実績排出量）'!$T$16:$T$515,"新規かつ廃止")</f>
        <v>0</v>
      </c>
      <c r="Z13" s="331" t="s">
        <v>2495</v>
      </c>
      <c r="AB13" s="594"/>
    </row>
    <row r="14" spans="1:28" ht="51" customHeight="1">
      <c r="A14" s="783"/>
      <c r="B14" s="784"/>
      <c r="C14" s="788" t="s">
        <v>2704</v>
      </c>
      <c r="D14" s="771"/>
      <c r="E14" s="503">
        <f>'様式1-4（計画代替）'!$E14</f>
        <v>0</v>
      </c>
      <c r="F14" s="504"/>
      <c r="G14" s="505"/>
      <c r="H14" s="495" t="str">
        <f t="shared" si="6"/>
        <v/>
      </c>
      <c r="I14" s="506"/>
      <c r="J14" s="505"/>
      <c r="K14" s="495" t="str">
        <f t="shared" si="0"/>
        <v/>
      </c>
      <c r="L14" s="506"/>
      <c r="M14" s="505"/>
      <c r="N14" s="495" t="str">
        <f t="shared" si="1"/>
        <v/>
      </c>
      <c r="O14" s="506"/>
      <c r="P14" s="505"/>
      <c r="Q14" s="495" t="str">
        <f t="shared" si="2"/>
        <v/>
      </c>
      <c r="R14" s="506"/>
      <c r="S14" s="505"/>
      <c r="T14" s="498">
        <f t="shared" si="3"/>
        <v>0</v>
      </c>
      <c r="U14" s="499">
        <f t="shared" si="4"/>
        <v>0</v>
      </c>
      <c r="V14" s="500">
        <f t="shared" si="5"/>
        <v>0</v>
      </c>
      <c r="X14" s="507">
        <f>COUNTIFS('様式2-2(実績排出量）'!$AG$16:$AG$65535,"軽ポ",'様式2-2(実績排出量）'!$T$16:$T$65535,"廃止")+COUNTIFS('様式2-2(実績排出量）'!$AG$16:$AG$65535,"軽ポ",'様式2-2(実績排出量）'!$T$16:$T$65535,"新規かつ廃止")+COUNTIFS('様式2-2(実績排出量）'!$AG$16:$AG$65535,"軽1",'様式2-2(実績排出量）'!$T$16:$T$65535,"廃止") +COUNTIFS('様式2-2(実績排出量）'!$AG$16:$AG$65535,"軽1",'様式2-2(実績排出量）'!$T$16:$T$65535,"新規かつ廃止")</f>
        <v>0</v>
      </c>
      <c r="Y14" s="508">
        <f>COUNTIFS('様式2-2(実績排出量）'!$AG$16:$AG$65535,"軽ポ",'様式2-2(実績排出量）'!$T$16:$T$65535,"新規")+COUNTIFS('様式2-2(実績排出量）'!$AG$16:$AG$65535,"軽ポ",'様式2-2(実績排出量）'!$T$16:$T$65535,"新規かつ廃止")+COUNTIFS('様式2-2(実績排出量）'!$AG$16:$AG$65535,"軽1",'様式2-2(実績排出量）'!$T$16:$T$65535,"新規")+COUNTIFS('様式2-2(実績排出量）'!$AG$16:$AG$65535,"軽1",'様式2-2(実績排出量）'!$T$16:$T$65535,"新規かつ廃止")</f>
        <v>0</v>
      </c>
      <c r="Z14" s="332" t="s">
        <v>2494</v>
      </c>
      <c r="AA14" s="387"/>
      <c r="AB14" s="594"/>
    </row>
    <row r="15" spans="1:28" ht="51" customHeight="1">
      <c r="A15" s="785"/>
      <c r="B15" s="786"/>
      <c r="C15" s="894" t="s">
        <v>220</v>
      </c>
      <c r="D15" s="771"/>
      <c r="E15" s="503">
        <f>'様式1-4（計画代替）'!$E15</f>
        <v>0</v>
      </c>
      <c r="F15" s="504"/>
      <c r="G15" s="505"/>
      <c r="H15" s="495" t="str">
        <f t="shared" si="6"/>
        <v/>
      </c>
      <c r="I15" s="506"/>
      <c r="J15" s="505"/>
      <c r="K15" s="495" t="str">
        <f t="shared" si="0"/>
        <v/>
      </c>
      <c r="L15" s="506"/>
      <c r="M15" s="505"/>
      <c r="N15" s="495" t="str">
        <f t="shared" si="1"/>
        <v/>
      </c>
      <c r="O15" s="506"/>
      <c r="P15" s="505"/>
      <c r="Q15" s="495" t="str">
        <f t="shared" si="2"/>
        <v/>
      </c>
      <c r="R15" s="506"/>
      <c r="S15" s="505"/>
      <c r="T15" s="498">
        <f t="shared" si="3"/>
        <v>0</v>
      </c>
      <c r="U15" s="499">
        <f t="shared" si="4"/>
        <v>0</v>
      </c>
      <c r="V15" s="500">
        <f t="shared" si="5"/>
        <v>0</v>
      </c>
      <c r="X15" s="507">
        <f>COUNTIFS('様式2-2(実績排出量）'!$AG$16:$AG$515,"軽3",'様式2-2(実績排出量）'!$T$16:$T$515,"廃止")+
COUNTIFS('様式2-2(実績排出量）'!$AG$16:$AG$515,"軽3",'様式2-2(実績排出量）'!$T$16:$T$515,"新規かつ廃止")</f>
        <v>0</v>
      </c>
      <c r="Y15" s="508">
        <f>COUNTIFS('様式2-2(実績排出量）'!$AG$16:$AG$515,"軽3",'様式2-2(実績排出量）'!$T$16:$T$515,"新規")+
COUNTIFS('様式2-2(実績排出量）'!$AG$16:$AG$515,"軽3",'様式2-2(実績排出量）'!$T$16:$T$515,"新規かつ廃止")</f>
        <v>0</v>
      </c>
      <c r="Z15" s="332" t="s">
        <v>2496</v>
      </c>
      <c r="AB15" s="594"/>
    </row>
    <row r="16" spans="1:28" ht="51" customHeight="1">
      <c r="A16" s="769" t="s">
        <v>201</v>
      </c>
      <c r="B16" s="770"/>
      <c r="C16" s="770"/>
      <c r="D16" s="771"/>
      <c r="E16" s="503">
        <f>'様式1-4（計画代替）'!$E16</f>
        <v>0</v>
      </c>
      <c r="F16" s="504"/>
      <c r="G16" s="505"/>
      <c r="H16" s="495" t="str">
        <f t="shared" si="6"/>
        <v/>
      </c>
      <c r="I16" s="506"/>
      <c r="J16" s="505"/>
      <c r="K16" s="495" t="str">
        <f t="shared" si="0"/>
        <v/>
      </c>
      <c r="L16" s="506"/>
      <c r="M16" s="505"/>
      <c r="N16" s="495" t="str">
        <f t="shared" si="1"/>
        <v/>
      </c>
      <c r="O16" s="506"/>
      <c r="P16" s="505"/>
      <c r="Q16" s="495" t="str">
        <f t="shared" si="2"/>
        <v/>
      </c>
      <c r="R16" s="506"/>
      <c r="S16" s="505"/>
      <c r="T16" s="498">
        <f t="shared" si="3"/>
        <v>0</v>
      </c>
      <c r="U16" s="499">
        <f t="shared" si="4"/>
        <v>0</v>
      </c>
      <c r="V16" s="500">
        <f t="shared" si="5"/>
        <v>0</v>
      </c>
      <c r="X16" s="507">
        <f>COUNTIFS('様式2-2(実績排出量）'!$AG$16:$AG$515,"電",'様式2-2(実績排出量）'!$T$16:$T$515,"廃止")+
COUNTIFS('様式2-2(実績排出量）'!$AG$16:$AG$515,"電",'様式2-2(実績排出量）'!$T$16:$T$515,"新規かつ廃止")</f>
        <v>0</v>
      </c>
      <c r="Y16" s="508">
        <f>COUNTIFS('様式2-2(実績排出量）'!$AG$16:$AG$515,"電",'様式2-2(実績排出量）'!$T$16:$T$515,"新規")+
COUNTIFS('様式2-2(実績排出量）'!$AG$16:$AG$515,"電",'様式2-2(実績排出量）'!$T$16:$T$515,"新規かつ廃止")</f>
        <v>0</v>
      </c>
      <c r="Z16" s="330" t="s">
        <v>2497</v>
      </c>
      <c r="AB16" s="594"/>
    </row>
    <row r="17" spans="1:36" ht="51" customHeight="1">
      <c r="A17" s="769" t="s">
        <v>1791</v>
      </c>
      <c r="B17" s="770"/>
      <c r="C17" s="770"/>
      <c r="D17" s="771"/>
      <c r="E17" s="503">
        <f>'様式1-4（計画代替）'!$E17</f>
        <v>0</v>
      </c>
      <c r="F17" s="504"/>
      <c r="G17" s="505"/>
      <c r="H17" s="495" t="str">
        <f t="shared" si="6"/>
        <v/>
      </c>
      <c r="I17" s="506"/>
      <c r="J17" s="505"/>
      <c r="K17" s="495" t="str">
        <f t="shared" si="0"/>
        <v/>
      </c>
      <c r="L17" s="506"/>
      <c r="M17" s="505"/>
      <c r="N17" s="495" t="str">
        <f t="shared" si="1"/>
        <v/>
      </c>
      <c r="O17" s="506"/>
      <c r="P17" s="505"/>
      <c r="Q17" s="495" t="str">
        <f t="shared" si="2"/>
        <v/>
      </c>
      <c r="R17" s="506"/>
      <c r="S17" s="505"/>
      <c r="T17" s="498">
        <f t="shared" si="3"/>
        <v>0</v>
      </c>
      <c r="U17" s="499">
        <f t="shared" si="4"/>
        <v>0</v>
      </c>
      <c r="V17" s="500">
        <f t="shared" si="5"/>
        <v>0</v>
      </c>
      <c r="X17" s="507">
        <f>COUNTIFS('様式2-2(実績排出量）'!$AG$16:$AG$515,"メ",'様式2-2(実績排出量）'!$T$16:$T$515,"廃止")+
COUNTIFS('様式2-2(実績排出量）'!$AG$16:$AG$515,"メ",'様式2-2(実績排出量）'!$T$16:$T$515,"新規かつ廃止")</f>
        <v>0</v>
      </c>
      <c r="Y17" s="508">
        <f>COUNTIFS('様式2-2(実績排出量）'!$AG$16:$AG$515,"メ",'様式2-2(実績排出量）'!$T$16:$T$515,"新規")+
COUNTIFS('様式2-2(実績排出量）'!$AG$16:$AG$515,"メ",'様式2-2(実績排出量）'!$T$16:$T$515,"新規かつ廃止")</f>
        <v>0</v>
      </c>
      <c r="Z17" s="330" t="s">
        <v>2498</v>
      </c>
      <c r="AB17" s="594"/>
    </row>
    <row r="18" spans="1:36" ht="51" customHeight="1" thickBot="1">
      <c r="A18" s="790" t="s">
        <v>1974</v>
      </c>
      <c r="B18" s="791"/>
      <c r="C18" s="791"/>
      <c r="D18" s="792"/>
      <c r="E18" s="509">
        <f>'様式1-4（計画代替）'!$E18</f>
        <v>0</v>
      </c>
      <c r="F18" s="510"/>
      <c r="G18" s="511"/>
      <c r="H18" s="512" t="str">
        <f>IF(OR(F18="",G18=""),"",E18-F18+G18)</f>
        <v/>
      </c>
      <c r="I18" s="513"/>
      <c r="J18" s="511"/>
      <c r="K18" s="512" t="str">
        <f t="shared" si="0"/>
        <v/>
      </c>
      <c r="L18" s="513"/>
      <c r="M18" s="511"/>
      <c r="N18" s="512" t="str">
        <f t="shared" si="1"/>
        <v/>
      </c>
      <c r="O18" s="513"/>
      <c r="P18" s="511"/>
      <c r="Q18" s="512" t="str">
        <f t="shared" si="2"/>
        <v/>
      </c>
      <c r="R18" s="513"/>
      <c r="S18" s="514"/>
      <c r="T18" s="515">
        <f t="shared" si="3"/>
        <v>0</v>
      </c>
      <c r="U18" s="516">
        <f>G18+J18+M18+P18+S18</f>
        <v>0</v>
      </c>
      <c r="V18" s="500">
        <f t="shared" si="5"/>
        <v>0</v>
      </c>
      <c r="X18" s="517">
        <f>COUNTIFS('様式2-2(実績排出量）'!$AG$16:$AG$515,"燃電",'様式2-2(実績排出量）'!$T$16:$T$515,"廃止")+
COUNTIFS('様式2-2(実績排出量）'!$AG$16:$AG$515,"燃電",'様式2-2(実績排出量）'!$T$16:$T$515,"新規かつ廃止")</f>
        <v>0</v>
      </c>
      <c r="Y18" s="518">
        <f>COUNTIFS('様式2-2(実績排出量）'!$AG$16:$AG$515,"燃電",'様式2-2(実績排出量）'!$T$16:$T$515,"新規")+
COUNTIFS('様式2-2(実績排出量）'!$AG$16:$AG$515,"燃電",'様式2-2(実績排出量）'!$T$16:$T$515,"新規かつ廃止")</f>
        <v>0</v>
      </c>
      <c r="Z18" s="330" t="s">
        <v>2499</v>
      </c>
      <c r="AB18" s="594"/>
    </row>
    <row r="19" spans="1:36" ht="51" hidden="1" customHeight="1">
      <c r="A19" s="793" t="s">
        <v>218</v>
      </c>
      <c r="B19" s="794"/>
      <c r="C19" s="794"/>
      <c r="D19" s="795"/>
      <c r="E19" s="519">
        <f>'様式1-4（計画代替）'!$E19</f>
        <v>0</v>
      </c>
      <c r="F19" s="520">
        <f t="shared" ref="F19:U19" si="7">SUM(F6:F18)</f>
        <v>0</v>
      </c>
      <c r="G19" s="521">
        <f t="shared" si="7"/>
        <v>0</v>
      </c>
      <c r="H19" s="522">
        <f t="shared" si="7"/>
        <v>0</v>
      </c>
      <c r="I19" s="523">
        <f t="shared" si="7"/>
        <v>0</v>
      </c>
      <c r="J19" s="521">
        <f t="shared" si="7"/>
        <v>0</v>
      </c>
      <c r="K19" s="522">
        <f t="shared" si="7"/>
        <v>0</v>
      </c>
      <c r="L19" s="523">
        <f t="shared" si="7"/>
        <v>0</v>
      </c>
      <c r="M19" s="521">
        <f t="shared" si="7"/>
        <v>0</v>
      </c>
      <c r="N19" s="522">
        <f t="shared" si="7"/>
        <v>0</v>
      </c>
      <c r="O19" s="523">
        <f t="shared" si="7"/>
        <v>0</v>
      </c>
      <c r="P19" s="521">
        <f t="shared" si="7"/>
        <v>0</v>
      </c>
      <c r="Q19" s="522">
        <f t="shared" si="7"/>
        <v>0</v>
      </c>
      <c r="R19" s="523">
        <f t="shared" si="7"/>
        <v>0</v>
      </c>
      <c r="S19" s="524">
        <f t="shared" si="7"/>
        <v>0</v>
      </c>
      <c r="T19" s="498">
        <f t="shared" si="7"/>
        <v>0</v>
      </c>
      <c r="U19" s="525">
        <f t="shared" si="7"/>
        <v>0</v>
      </c>
      <c r="V19" s="526">
        <f>'様式2-1（実績表紙）'!I22</f>
        <v>0</v>
      </c>
      <c r="X19" s="527"/>
      <c r="Y19" s="527"/>
    </row>
    <row r="20" spans="1:36" ht="51" hidden="1" customHeight="1">
      <c r="A20" s="769" t="s">
        <v>219</v>
      </c>
      <c r="B20" s="770"/>
      <c r="C20" s="770"/>
      <c r="D20" s="771"/>
      <c r="E20" s="528">
        <f>'様式1-4（計画代替）'!$E20</f>
        <v>0</v>
      </c>
      <c r="F20" s="529">
        <f>F6+F7+F8+F9+F10+F12+F13+F14+F16+F17+F18</f>
        <v>0</v>
      </c>
      <c r="G20" s="530">
        <f>G6+G7+G8+G9+G10+G12+G13+G14+G16+G17+G18</f>
        <v>0</v>
      </c>
      <c r="H20" s="531">
        <f>E20-F20+G20</f>
        <v>0</v>
      </c>
      <c r="I20" s="532">
        <f>I6+I7+I8+I9+I10+I12+I13+I14+I16+I17+I18</f>
        <v>0</v>
      </c>
      <c r="J20" s="530">
        <f>J6+J7+J8+J9+J10+J12+J13+J14+J16+J17+J18</f>
        <v>0</v>
      </c>
      <c r="K20" s="531">
        <f>H20-I20+J20</f>
        <v>0</v>
      </c>
      <c r="L20" s="532">
        <f>L6+L7+L8+L9+L10+L12+L13+L14+L16+L17+L18</f>
        <v>0</v>
      </c>
      <c r="M20" s="530">
        <f>M6+M7+M8+M9+M10+M12+M13+M14+M16+M17+M18</f>
        <v>0</v>
      </c>
      <c r="N20" s="531">
        <f>K20-L20+M20</f>
        <v>0</v>
      </c>
      <c r="O20" s="532">
        <f>O6+O7+O8+O9+O10+O12+O13+O14+O16+O17+O18</f>
        <v>0</v>
      </c>
      <c r="P20" s="530">
        <f>P6+P7+P8+P9+P10+P12+P13+P14+P16+P17+P18</f>
        <v>0</v>
      </c>
      <c r="Q20" s="531">
        <f>N20-O20+P20</f>
        <v>0</v>
      </c>
      <c r="R20" s="532">
        <f>R6+R7+R8+R9+R10+R12+R13+R14+R16+R17+R18</f>
        <v>0</v>
      </c>
      <c r="S20" s="530">
        <f>S6+S7+S8+S9+S10+S12+S13+S14+S16+S17+S18</f>
        <v>0</v>
      </c>
      <c r="T20" s="533">
        <f>T6+T7+T8+T9+T10+T12+T13+T14+T16+T17+T18</f>
        <v>0</v>
      </c>
      <c r="U20" s="534">
        <f>U6+U7+U8+U9+U10+U12+U13+U14+U16+U17+U18</f>
        <v>0</v>
      </c>
      <c r="V20" s="535">
        <f>V6+V7+V8+V9+V10+V12+V13+V14+V16+V17+V18</f>
        <v>0</v>
      </c>
      <c r="X20" s="536"/>
      <c r="Y20" s="536"/>
    </row>
    <row r="21" spans="1:36" ht="51" hidden="1" customHeight="1" thickBot="1">
      <c r="A21" s="796" t="s">
        <v>2344</v>
      </c>
      <c r="B21" s="797"/>
      <c r="C21" s="797"/>
      <c r="D21" s="798"/>
      <c r="E21" s="537">
        <f>'様式1-4（計画代替）'!$E21</f>
        <v>0</v>
      </c>
      <c r="F21" s="538"/>
      <c r="G21" s="539"/>
      <c r="H21" s="540">
        <f>IF($E19=0,G21-F21,$E21-F21+G21)</f>
        <v>0</v>
      </c>
      <c r="I21" s="541"/>
      <c r="J21" s="539"/>
      <c r="K21" s="540">
        <f>IF($E19=0,J21-I21,$E21-I21+J21)</f>
        <v>0</v>
      </c>
      <c r="L21" s="541"/>
      <c r="M21" s="542"/>
      <c r="N21" s="540">
        <f>IF($E19=0,M21-L21,$E21-L21+M21)</f>
        <v>0</v>
      </c>
      <c r="O21" s="541"/>
      <c r="P21" s="542"/>
      <c r="Q21" s="540">
        <f>IF($E19=0,P21-O21,$E21-O21+P21)</f>
        <v>0</v>
      </c>
      <c r="R21" s="541"/>
      <c r="S21" s="542"/>
      <c r="T21" s="515">
        <f>F21+I21+L21+O21+R21</f>
        <v>0</v>
      </c>
      <c r="U21" s="516">
        <f>G21+J21+M21+P21+S21</f>
        <v>0</v>
      </c>
      <c r="V21" s="540">
        <f>E21-T21+U21</f>
        <v>0</v>
      </c>
      <c r="X21" s="536"/>
      <c r="Y21" s="536"/>
    </row>
    <row r="22" spans="1:36">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row>
    <row r="23" spans="1:36" ht="48.75" customHeight="1">
      <c r="A23" s="799" t="s">
        <v>2978</v>
      </c>
      <c r="B23" s="800"/>
      <c r="C23" s="800"/>
      <c r="D23" s="800"/>
      <c r="E23" s="800"/>
      <c r="F23" s="800"/>
      <c r="G23" s="800"/>
      <c r="H23" s="800"/>
      <c r="I23" s="800"/>
      <c r="J23" s="800"/>
      <c r="K23" s="800"/>
      <c r="L23" s="800"/>
      <c r="M23" s="800"/>
      <c r="N23" s="800"/>
      <c r="O23" s="800"/>
      <c r="P23" s="800"/>
      <c r="Q23" s="800"/>
      <c r="R23" s="800"/>
      <c r="S23" s="800"/>
      <c r="T23" s="800"/>
      <c r="U23" s="800"/>
      <c r="V23" s="801"/>
    </row>
    <row r="24" spans="1:36">
      <c r="A24" s="19"/>
      <c r="B24" s="19"/>
      <c r="C24" s="19"/>
      <c r="D24" s="19"/>
      <c r="E24" s="19"/>
      <c r="F24" s="19"/>
      <c r="G24" s="19"/>
      <c r="H24" s="19"/>
      <c r="I24" s="19"/>
      <c r="J24" s="19"/>
      <c r="K24" s="19"/>
      <c r="L24" s="19"/>
      <c r="M24" s="19"/>
      <c r="N24" s="19"/>
      <c r="O24" s="19"/>
      <c r="P24" s="19"/>
      <c r="Q24" s="19"/>
      <c r="R24" s="19"/>
      <c r="S24" s="19"/>
      <c r="T24" s="19"/>
      <c r="U24" s="19"/>
    </row>
    <row r="25" spans="1:36" customFormat="1" ht="21.75" customHeight="1"/>
    <row r="26" spans="1:36">
      <c r="A26" s="19"/>
      <c r="B26" s="19"/>
      <c r="C26" s="19"/>
      <c r="D26" s="19"/>
      <c r="E26" s="19"/>
      <c r="F26" s="19"/>
      <c r="G26" s="19"/>
      <c r="H26" s="19"/>
      <c r="I26" s="19"/>
      <c r="J26" s="19"/>
      <c r="K26" s="19"/>
      <c r="L26" s="19"/>
      <c r="M26" s="19"/>
      <c r="N26" s="19"/>
      <c r="O26" s="19"/>
      <c r="P26" s="19"/>
      <c r="Q26" s="19"/>
      <c r="R26" s="19"/>
      <c r="S26" s="19"/>
      <c r="T26" s="19"/>
      <c r="U26" s="19"/>
    </row>
    <row r="27" spans="1:36">
      <c r="A27" s="19"/>
      <c r="B27" s="19"/>
      <c r="C27" s="19"/>
      <c r="D27" s="19"/>
      <c r="E27" s="19"/>
      <c r="F27" s="19"/>
      <c r="G27" s="19"/>
      <c r="H27" s="19"/>
      <c r="I27" s="19"/>
      <c r="J27" s="19"/>
      <c r="K27" s="19"/>
      <c r="L27" s="19"/>
      <c r="M27" s="19"/>
      <c r="N27" s="19"/>
      <c r="O27" s="19"/>
      <c r="P27" s="19"/>
      <c r="Q27" s="19"/>
      <c r="R27" s="19"/>
      <c r="S27" s="19"/>
      <c r="T27" s="19"/>
      <c r="U27" s="19"/>
      <c r="V27" s="19"/>
    </row>
    <row r="28" spans="1:36">
      <c r="A28" s="19"/>
      <c r="B28" s="19"/>
      <c r="C28" s="19"/>
      <c r="D28" s="19"/>
      <c r="E28" s="19"/>
      <c r="F28" s="19"/>
      <c r="G28" s="19"/>
      <c r="H28" s="19"/>
      <c r="I28" s="19"/>
      <c r="J28" s="19"/>
      <c r="K28" s="19"/>
      <c r="L28" s="19"/>
      <c r="M28" s="19"/>
      <c r="N28" s="19"/>
      <c r="O28" s="19"/>
      <c r="P28" s="19"/>
      <c r="Q28" s="19"/>
      <c r="R28" s="19"/>
      <c r="S28" s="19"/>
      <c r="T28" s="19"/>
      <c r="U28" s="19"/>
      <c r="V28" s="19"/>
    </row>
    <row r="29" spans="1:36">
      <c r="A29" s="19"/>
      <c r="B29" s="19"/>
      <c r="C29" s="19"/>
      <c r="D29" s="19"/>
      <c r="E29" s="19"/>
      <c r="F29" s="19"/>
      <c r="G29" s="19"/>
      <c r="H29" s="19"/>
      <c r="I29" s="19"/>
      <c r="J29" s="19"/>
      <c r="K29" s="19"/>
      <c r="L29" s="19"/>
      <c r="M29" s="19"/>
      <c r="N29" s="19"/>
      <c r="O29" s="19"/>
      <c r="P29" s="19"/>
      <c r="Q29" s="19"/>
      <c r="R29" s="19"/>
      <c r="S29" s="19"/>
      <c r="T29" s="19"/>
      <c r="U29" s="19"/>
      <c r="V29" s="19"/>
    </row>
    <row r="30" spans="1:36">
      <c r="A30" s="19"/>
      <c r="B30" s="19"/>
      <c r="C30" s="19"/>
      <c r="D30" s="19"/>
      <c r="E30" s="19"/>
      <c r="F30" s="19"/>
      <c r="G30" s="19"/>
      <c r="H30" s="19"/>
      <c r="I30" s="19"/>
      <c r="J30" s="19"/>
      <c r="K30" s="19"/>
      <c r="L30" s="19"/>
      <c r="M30" s="19"/>
      <c r="N30" s="19"/>
      <c r="O30" s="19"/>
      <c r="P30" s="19"/>
      <c r="Q30" s="19"/>
      <c r="R30" s="19"/>
      <c r="S30" s="19"/>
      <c r="T30" s="19"/>
      <c r="U30" s="19"/>
      <c r="V30" s="19"/>
    </row>
    <row r="31" spans="1:36">
      <c r="A31" s="19"/>
      <c r="B31" s="19"/>
      <c r="C31" s="19"/>
      <c r="D31" s="19"/>
      <c r="E31" s="19"/>
      <c r="F31" s="19"/>
      <c r="G31" s="19"/>
      <c r="H31" s="19"/>
      <c r="I31" s="19"/>
      <c r="J31" s="19"/>
      <c r="K31" s="19"/>
      <c r="L31" s="19"/>
      <c r="M31" s="19"/>
      <c r="N31" s="19"/>
      <c r="O31" s="19"/>
      <c r="P31" s="19"/>
      <c r="Q31" s="19"/>
      <c r="R31" s="19"/>
      <c r="S31" s="19"/>
      <c r="T31" s="19"/>
      <c r="U31" s="19"/>
    </row>
    <row r="32" spans="1:36">
      <c r="A32" s="19"/>
      <c r="B32" s="19"/>
      <c r="C32" s="19"/>
      <c r="D32" s="19"/>
      <c r="E32" s="19"/>
      <c r="F32" s="19"/>
      <c r="G32" s="19"/>
      <c r="H32" s="19"/>
      <c r="I32" s="19"/>
      <c r="J32" s="19"/>
      <c r="K32" s="19"/>
      <c r="L32" s="19"/>
      <c r="M32" s="19"/>
      <c r="N32" s="19"/>
      <c r="O32" s="19"/>
      <c r="P32" s="19"/>
      <c r="Q32" s="19"/>
      <c r="R32" s="19"/>
      <c r="S32" s="19"/>
      <c r="T32" s="19"/>
      <c r="U32" s="19"/>
    </row>
    <row r="33" spans="1:21">
      <c r="A33" s="19"/>
      <c r="B33" s="19"/>
      <c r="C33" s="19"/>
      <c r="D33" s="19"/>
      <c r="E33" s="19"/>
      <c r="F33" s="19"/>
      <c r="G33" s="19"/>
      <c r="H33" s="19"/>
      <c r="I33" s="19"/>
      <c r="J33" s="19"/>
      <c r="K33" s="19"/>
      <c r="L33" s="19"/>
      <c r="M33" s="19"/>
      <c r="N33" s="19"/>
      <c r="O33" s="19"/>
      <c r="P33" s="19"/>
      <c r="Q33" s="19"/>
      <c r="R33" s="19"/>
      <c r="S33" s="19"/>
      <c r="T33" s="19"/>
      <c r="U33" s="19"/>
    </row>
    <row r="34" spans="1:21">
      <c r="A34" s="19"/>
      <c r="B34" s="19"/>
      <c r="C34" s="19"/>
      <c r="D34" s="19"/>
      <c r="E34" s="19"/>
      <c r="F34" s="19"/>
      <c r="G34" s="19"/>
      <c r="H34" s="19"/>
      <c r="I34" s="19"/>
      <c r="J34" s="19"/>
      <c r="K34" s="19"/>
      <c r="L34" s="19"/>
      <c r="M34" s="19"/>
      <c r="N34" s="19"/>
      <c r="O34" s="19"/>
      <c r="P34" s="19"/>
      <c r="Q34" s="19"/>
      <c r="R34" s="19"/>
      <c r="S34" s="19"/>
      <c r="T34" s="19"/>
      <c r="U34" s="19"/>
    </row>
    <row r="35" spans="1:21">
      <c r="A35" s="19"/>
      <c r="B35" s="19"/>
      <c r="C35" s="19"/>
      <c r="D35" s="19"/>
      <c r="E35" s="19"/>
      <c r="F35" s="19"/>
      <c r="G35" s="19"/>
      <c r="H35" s="19"/>
      <c r="I35" s="19"/>
      <c r="J35" s="19"/>
      <c r="K35" s="19"/>
      <c r="L35" s="19"/>
      <c r="M35" s="19"/>
      <c r="N35" s="19"/>
      <c r="O35" s="19"/>
      <c r="P35" s="19"/>
      <c r="Q35" s="19"/>
      <c r="R35" s="19"/>
      <c r="S35" s="19"/>
      <c r="T35" s="19"/>
      <c r="U35" s="19"/>
    </row>
    <row r="36" spans="1:21">
      <c r="A36" s="19"/>
      <c r="B36" s="19"/>
      <c r="C36" s="19"/>
      <c r="D36" s="19"/>
      <c r="E36" s="19"/>
      <c r="F36" s="19"/>
      <c r="G36" s="19"/>
      <c r="H36" s="19"/>
      <c r="I36" s="19"/>
      <c r="J36" s="19"/>
      <c r="K36" s="19"/>
      <c r="L36" s="19"/>
      <c r="M36" s="19"/>
      <c r="N36" s="19"/>
      <c r="O36" s="19"/>
      <c r="P36" s="19"/>
      <c r="Q36" s="19"/>
      <c r="R36" s="19"/>
      <c r="S36" s="19"/>
      <c r="T36" s="19"/>
      <c r="U36" s="19"/>
    </row>
    <row r="37" spans="1:21">
      <c r="A37" s="19"/>
      <c r="B37" s="19"/>
      <c r="C37" s="19"/>
      <c r="D37" s="19"/>
      <c r="E37" s="19"/>
      <c r="F37" s="19"/>
      <c r="G37" s="19"/>
      <c r="H37" s="19"/>
      <c r="I37" s="19"/>
      <c r="J37" s="19"/>
      <c r="K37" s="19"/>
      <c r="L37" s="19"/>
      <c r="M37" s="19"/>
      <c r="N37" s="19"/>
      <c r="O37" s="19"/>
      <c r="P37" s="19"/>
      <c r="Q37" s="19"/>
      <c r="R37" s="19"/>
      <c r="S37" s="19"/>
      <c r="T37" s="19"/>
      <c r="U37" s="19"/>
    </row>
    <row r="38" spans="1:21">
      <c r="A38" s="19"/>
      <c r="B38" s="19"/>
      <c r="C38" s="19"/>
      <c r="D38" s="19"/>
      <c r="E38" s="19"/>
      <c r="F38" s="19"/>
      <c r="G38" s="19"/>
      <c r="H38" s="19"/>
      <c r="I38" s="19"/>
      <c r="J38" s="19"/>
      <c r="K38" s="19"/>
      <c r="L38" s="19"/>
      <c r="M38" s="19"/>
      <c r="N38" s="19"/>
      <c r="O38" s="19"/>
      <c r="P38" s="19"/>
      <c r="Q38" s="19"/>
      <c r="R38" s="19"/>
      <c r="S38" s="19"/>
      <c r="T38" s="19"/>
      <c r="U38" s="19"/>
    </row>
    <row r="39" spans="1:21">
      <c r="A39" s="19"/>
      <c r="B39" s="19"/>
      <c r="C39" s="19"/>
      <c r="D39" s="19"/>
      <c r="E39" s="19"/>
      <c r="F39" s="19"/>
      <c r="G39" s="19"/>
      <c r="H39" s="19"/>
      <c r="I39" s="19"/>
      <c r="J39" s="19"/>
      <c r="K39" s="19"/>
      <c r="L39" s="19"/>
      <c r="M39" s="19"/>
      <c r="N39" s="19"/>
      <c r="O39" s="19"/>
      <c r="P39" s="19"/>
      <c r="Q39" s="19"/>
      <c r="R39" s="19"/>
      <c r="S39" s="19"/>
      <c r="T39" s="19"/>
      <c r="U39" s="19"/>
    </row>
    <row r="40" spans="1:21">
      <c r="A40" s="19"/>
      <c r="B40" s="19"/>
      <c r="C40" s="19"/>
      <c r="D40" s="19"/>
      <c r="E40" s="19"/>
      <c r="F40" s="19"/>
      <c r="G40" s="19"/>
      <c r="H40" s="19"/>
      <c r="I40" s="19"/>
      <c r="J40" s="19"/>
      <c r="K40" s="19"/>
      <c r="L40" s="19"/>
      <c r="M40" s="19"/>
      <c r="N40" s="19"/>
      <c r="O40" s="19"/>
      <c r="P40" s="19"/>
      <c r="Q40" s="19"/>
      <c r="R40" s="19"/>
      <c r="S40" s="19"/>
      <c r="T40" s="19"/>
      <c r="U40" s="19"/>
    </row>
    <row r="41" spans="1:21">
      <c r="A41" s="19"/>
      <c r="B41" s="19"/>
      <c r="C41" s="19"/>
      <c r="D41" s="19"/>
      <c r="E41" s="19"/>
      <c r="F41" s="19"/>
      <c r="G41" s="19"/>
      <c r="H41" s="19"/>
      <c r="I41" s="19"/>
      <c r="J41" s="19"/>
      <c r="K41" s="19"/>
      <c r="L41" s="19"/>
      <c r="M41" s="19"/>
      <c r="N41" s="19"/>
      <c r="O41" s="19"/>
      <c r="P41" s="19"/>
      <c r="Q41" s="19"/>
      <c r="R41" s="19"/>
      <c r="S41" s="19"/>
      <c r="T41" s="19"/>
      <c r="U41" s="19"/>
    </row>
    <row r="42" spans="1:21">
      <c r="A42" s="19"/>
      <c r="B42" s="19"/>
      <c r="C42" s="19"/>
      <c r="D42" s="19"/>
      <c r="E42" s="19"/>
      <c r="F42" s="19"/>
      <c r="G42" s="19"/>
      <c r="H42" s="19"/>
      <c r="I42" s="19"/>
      <c r="J42" s="19"/>
      <c r="K42" s="19"/>
      <c r="L42" s="19"/>
      <c r="M42" s="19"/>
      <c r="N42" s="19"/>
      <c r="O42" s="19"/>
      <c r="P42" s="19"/>
      <c r="Q42" s="19"/>
      <c r="R42" s="19"/>
      <c r="S42" s="19"/>
      <c r="T42" s="19"/>
      <c r="U42" s="19"/>
    </row>
    <row r="43" spans="1:21">
      <c r="A43" s="19"/>
      <c r="B43" s="19"/>
      <c r="C43" s="19"/>
      <c r="D43" s="19"/>
      <c r="E43" s="19"/>
      <c r="F43" s="19"/>
      <c r="G43" s="19"/>
      <c r="H43" s="19"/>
      <c r="I43" s="19"/>
      <c r="J43" s="19"/>
      <c r="K43" s="19"/>
      <c r="L43" s="19"/>
      <c r="M43" s="19"/>
      <c r="N43" s="19"/>
      <c r="O43" s="19"/>
      <c r="P43" s="19"/>
      <c r="Q43" s="19"/>
      <c r="R43" s="19"/>
      <c r="S43" s="19"/>
      <c r="T43" s="19"/>
      <c r="U43" s="19"/>
    </row>
  </sheetData>
  <sheetProtection algorithmName="SHA-512" hashValue="gTWzeJ30q+DaVt+ej1R29BA6r3qxpHAkPOXOF/P3yj5Oian/Nh5Djr42KH3NqVhfYO7QTW7bj8LahvEDBR3ACg==" saltValue="Dua4JHCDAMJWDq0UfjtSgA==" spinCount="100000" sheet="1" objects="1" scenarios="1"/>
  <mergeCells count="45">
    <mergeCell ref="X4:Y4"/>
    <mergeCell ref="A23:V23"/>
    <mergeCell ref="A16:D16"/>
    <mergeCell ref="A17:D17"/>
    <mergeCell ref="A18:D18"/>
    <mergeCell ref="A19:D19"/>
    <mergeCell ref="A20:D20"/>
    <mergeCell ref="A21:D21"/>
    <mergeCell ref="A9:B11"/>
    <mergeCell ref="C9:D9"/>
    <mergeCell ref="C10:D10"/>
    <mergeCell ref="C11:D11"/>
    <mergeCell ref="A12:B15"/>
    <mergeCell ref="C12:D12"/>
    <mergeCell ref="C13:D13"/>
    <mergeCell ref="C14:D14"/>
    <mergeCell ref="C15:D15"/>
    <mergeCell ref="A6:D6"/>
    <mergeCell ref="A7:D7"/>
    <mergeCell ref="A8:D8"/>
    <mergeCell ref="J4:J5"/>
    <mergeCell ref="K4:K5"/>
    <mergeCell ref="T4:T5"/>
    <mergeCell ref="U4:U5"/>
    <mergeCell ref="V4:V5"/>
    <mergeCell ref="P4:P5"/>
    <mergeCell ref="Q4:Q5"/>
    <mergeCell ref="L4:L5"/>
    <mergeCell ref="R4:R5"/>
    <mergeCell ref="S4:S5"/>
    <mergeCell ref="N4:N5"/>
    <mergeCell ref="O4:O5"/>
    <mergeCell ref="M4:M5"/>
    <mergeCell ref="E4:E5"/>
    <mergeCell ref="F4:F5"/>
    <mergeCell ref="G4:G5"/>
    <mergeCell ref="H4:H5"/>
    <mergeCell ref="I4:I5"/>
    <mergeCell ref="E2:E3"/>
    <mergeCell ref="F2:H3"/>
    <mergeCell ref="I2:K3"/>
    <mergeCell ref="L2:N3"/>
    <mergeCell ref="T2:V3"/>
    <mergeCell ref="O2:Q3"/>
    <mergeCell ref="R2:S3"/>
  </mergeCells>
  <phoneticPr fontId="3"/>
  <dataValidations count="1">
    <dataValidation type="whole" imeMode="off" operator="greaterThanOrEqual" allowBlank="1" showInputMessage="1" showErrorMessage="1" sqref="R21:S21 F21:G21 I21:J21 L21:M21 O21:P21" xr:uid="{00000000-0002-0000-0900-000000000000}">
      <formula1>0</formula1>
    </dataValidation>
  </dataValidations>
  <pageMargins left="0.70866141732283472" right="0.70866141732283472" top="0.74803149606299213" bottom="0.74803149606299213" header="0.31496062992125984" footer="0.31496062992125984"/>
  <pageSetup paperSize="9" scale="53" orientation="portrait" horizontalDpi="300" verticalDpi="300" r:id="rId1"/>
  <colBreaks count="1" manualBreakCount="1">
    <brk id="25" max="1048575" man="1"/>
  </colBreaks>
  <ignoredErrors>
    <ignoredError sqref="F20:G20 I20:J20 L20:M20 O20:P20 R20:V20" evalError="1"/>
    <ignoredError sqref="H20 K20 N20 Q20" evalError="1"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EX1073"/>
  <sheetViews>
    <sheetView tabSelected="1" zoomScale="70" zoomScaleNormal="70" zoomScaleSheetLayoutView="100" workbookViewId="0">
      <selection activeCell="I1" sqref="I1"/>
    </sheetView>
  </sheetViews>
  <sheetFormatPr defaultColWidth="9" defaultRowHeight="12"/>
  <cols>
    <col min="1" max="2" width="2.6328125" style="1" customWidth="1"/>
    <col min="3" max="4" width="6.453125" style="1" bestFit="1" customWidth="1"/>
    <col min="5" max="154" width="15.6328125" style="1" customWidth="1"/>
    <col min="155" max="16384" width="9" style="1"/>
  </cols>
  <sheetData>
    <row r="1" spans="1:154" ht="21.25" customHeight="1" thickBot="1">
      <c r="A1" s="314" t="s">
        <v>2482</v>
      </c>
      <c r="B1" s="336"/>
      <c r="C1" s="336"/>
      <c r="D1" s="336"/>
      <c r="E1" s="275"/>
      <c r="F1" s="313" t="s">
        <v>2037</v>
      </c>
      <c r="I1" s="404" t="s">
        <v>2975</v>
      </c>
      <c r="J1" s="202" t="s">
        <v>2345</v>
      </c>
      <c r="K1" s="596"/>
      <c r="L1" s="203"/>
    </row>
    <row r="2" spans="1:154" ht="21.25" customHeight="1" thickBot="1">
      <c r="A2" s="899" t="s">
        <v>2036</v>
      </c>
      <c r="B2" s="900"/>
      <c r="C2" s="901"/>
      <c r="D2" s="222"/>
      <c r="E2" s="124">
        <v>1</v>
      </c>
      <c r="F2" s="123">
        <v>2</v>
      </c>
      <c r="G2" s="123">
        <v>3</v>
      </c>
      <c r="H2" s="123">
        <v>4</v>
      </c>
      <c r="I2" s="123">
        <v>5</v>
      </c>
      <c r="J2" s="124">
        <v>6</v>
      </c>
      <c r="K2" s="124">
        <v>7</v>
      </c>
      <c r="L2" s="123">
        <v>8</v>
      </c>
      <c r="M2" s="123">
        <v>9</v>
      </c>
      <c r="N2" s="388">
        <v>10</v>
      </c>
      <c r="O2" s="388">
        <v>11</v>
      </c>
      <c r="P2" s="388">
        <v>12</v>
      </c>
      <c r="Q2" s="388">
        <v>13</v>
      </c>
      <c r="R2" s="388">
        <v>14</v>
      </c>
      <c r="S2" s="388">
        <v>15</v>
      </c>
      <c r="T2" s="388">
        <v>16</v>
      </c>
      <c r="U2" s="388">
        <v>17</v>
      </c>
      <c r="V2" s="388">
        <v>18</v>
      </c>
      <c r="W2" s="388">
        <v>19</v>
      </c>
      <c r="X2" s="388">
        <v>20</v>
      </c>
      <c r="Y2" s="388">
        <v>21</v>
      </c>
      <c r="Z2" s="388">
        <v>22</v>
      </c>
      <c r="AA2" s="388">
        <v>23</v>
      </c>
      <c r="AB2" s="388">
        <v>24</v>
      </c>
      <c r="AC2" s="388">
        <v>25</v>
      </c>
      <c r="AD2" s="388">
        <v>26</v>
      </c>
      <c r="AE2" s="388">
        <v>27</v>
      </c>
      <c r="AF2" s="388">
        <v>28</v>
      </c>
      <c r="AG2" s="388">
        <v>29</v>
      </c>
      <c r="AH2" s="388">
        <v>30</v>
      </c>
      <c r="AI2" s="402"/>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row>
    <row r="3" spans="1:154" ht="30.25" customHeight="1">
      <c r="A3" s="818" t="s">
        <v>2479</v>
      </c>
      <c r="B3" s="902"/>
      <c r="C3" s="903"/>
      <c r="D3" s="222"/>
      <c r="E3" s="181"/>
      <c r="F3" s="180"/>
      <c r="G3" s="180"/>
      <c r="H3" s="180"/>
      <c r="I3" s="180"/>
      <c r="J3" s="181"/>
      <c r="K3" s="181"/>
      <c r="L3" s="180"/>
      <c r="M3" s="180"/>
      <c r="N3" s="389"/>
      <c r="O3" s="389"/>
      <c r="P3" s="389"/>
      <c r="Q3" s="389"/>
      <c r="R3" s="389"/>
      <c r="S3" s="389"/>
      <c r="T3" s="389"/>
      <c r="U3" s="389"/>
      <c r="V3" s="389"/>
      <c r="W3" s="389"/>
      <c r="X3" s="389"/>
      <c r="Y3" s="389"/>
      <c r="Z3" s="389"/>
      <c r="AA3" s="389"/>
      <c r="AB3" s="389"/>
      <c r="AC3" s="389"/>
      <c r="AD3" s="389"/>
      <c r="AE3" s="389"/>
      <c r="AF3" s="389"/>
      <c r="AG3" s="389"/>
      <c r="AH3" s="389"/>
      <c r="AI3" s="402"/>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c r="EN3" s="317"/>
      <c r="EO3" s="317"/>
      <c r="EP3" s="317"/>
      <c r="EQ3" s="317"/>
      <c r="ER3" s="317"/>
      <c r="ES3" s="317"/>
      <c r="ET3" s="317"/>
      <c r="EU3" s="317"/>
      <c r="EV3" s="317"/>
      <c r="EW3" s="317"/>
      <c r="EX3" s="317"/>
    </row>
    <row r="4" spans="1:154" ht="60" customHeight="1">
      <c r="A4" s="821" t="s">
        <v>2480</v>
      </c>
      <c r="B4" s="904"/>
      <c r="C4" s="905"/>
      <c r="D4" s="223"/>
      <c r="E4" s="183"/>
      <c r="F4" s="182"/>
      <c r="G4" s="182"/>
      <c r="H4" s="182"/>
      <c r="I4" s="182"/>
      <c r="J4" s="183"/>
      <c r="K4" s="183"/>
      <c r="L4" s="182"/>
      <c r="M4" s="182"/>
      <c r="N4" s="390"/>
      <c r="O4" s="390"/>
      <c r="P4" s="390"/>
      <c r="Q4" s="390"/>
      <c r="R4" s="390"/>
      <c r="S4" s="390"/>
      <c r="T4" s="390"/>
      <c r="U4" s="390"/>
      <c r="V4" s="390"/>
      <c r="W4" s="390"/>
      <c r="X4" s="390"/>
      <c r="Y4" s="390"/>
      <c r="Z4" s="390"/>
      <c r="AA4" s="390"/>
      <c r="AB4" s="390"/>
      <c r="AC4" s="390"/>
      <c r="AD4" s="390"/>
      <c r="AE4" s="390"/>
      <c r="AF4" s="390"/>
      <c r="AG4" s="390"/>
      <c r="AH4" s="390"/>
      <c r="AI4" s="402"/>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row>
    <row r="5" spans="1:154" ht="30.25" customHeight="1" thickBot="1">
      <c r="A5" s="821" t="s">
        <v>2481</v>
      </c>
      <c r="B5" s="904"/>
      <c r="C5" s="905"/>
      <c r="D5" s="224"/>
      <c r="E5" s="207"/>
      <c r="F5" s="206"/>
      <c r="G5" s="206"/>
      <c r="H5" s="206"/>
      <c r="I5" s="206"/>
      <c r="J5" s="207"/>
      <c r="K5" s="207"/>
      <c r="L5" s="206"/>
      <c r="M5" s="206"/>
      <c r="N5" s="391"/>
      <c r="O5" s="391"/>
      <c r="P5" s="391"/>
      <c r="Q5" s="391"/>
      <c r="R5" s="391"/>
      <c r="S5" s="391"/>
      <c r="T5" s="391"/>
      <c r="U5" s="391"/>
      <c r="V5" s="391"/>
      <c r="W5" s="391"/>
      <c r="X5" s="391"/>
      <c r="Y5" s="391"/>
      <c r="Z5" s="391"/>
      <c r="AA5" s="391"/>
      <c r="AB5" s="391"/>
      <c r="AC5" s="391"/>
      <c r="AD5" s="391"/>
      <c r="AE5" s="391"/>
      <c r="AF5" s="391"/>
      <c r="AG5" s="391"/>
      <c r="AH5" s="391"/>
      <c r="AI5" s="402"/>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317"/>
      <c r="CR5" s="317"/>
      <c r="CS5" s="317"/>
      <c r="CT5" s="317"/>
      <c r="CU5" s="317"/>
      <c r="CV5" s="317"/>
      <c r="CW5" s="317"/>
      <c r="CX5" s="317"/>
      <c r="CY5" s="317"/>
      <c r="CZ5" s="317"/>
      <c r="DA5" s="317"/>
      <c r="DB5" s="317"/>
      <c r="DC5" s="317"/>
      <c r="DD5" s="317"/>
      <c r="DE5" s="317"/>
      <c r="DF5" s="317"/>
      <c r="DG5" s="317"/>
      <c r="DH5" s="317"/>
      <c r="DI5" s="317"/>
      <c r="DJ5" s="317"/>
      <c r="DK5" s="317"/>
      <c r="DL5" s="317"/>
      <c r="DM5" s="317"/>
      <c r="DN5" s="317"/>
      <c r="DO5" s="317"/>
      <c r="DP5" s="317"/>
      <c r="DQ5" s="317"/>
      <c r="DR5" s="317"/>
      <c r="DS5" s="317"/>
      <c r="DT5" s="317"/>
      <c r="DU5" s="317"/>
      <c r="DV5" s="317"/>
      <c r="DW5" s="317"/>
      <c r="DX5" s="317"/>
      <c r="DY5" s="317"/>
      <c r="DZ5" s="317"/>
      <c r="EA5" s="317"/>
      <c r="EB5" s="317"/>
      <c r="EC5" s="317"/>
      <c r="ED5" s="317"/>
      <c r="EE5" s="317"/>
      <c r="EF5" s="317"/>
      <c r="EG5" s="317"/>
      <c r="EH5" s="317"/>
      <c r="EI5" s="317"/>
      <c r="EJ5" s="317"/>
      <c r="EK5" s="317"/>
      <c r="EL5" s="317"/>
      <c r="EM5" s="317"/>
      <c r="EN5" s="317"/>
      <c r="EO5" s="317"/>
      <c r="EP5" s="317"/>
      <c r="EQ5" s="317"/>
      <c r="ER5" s="317"/>
      <c r="ES5" s="317"/>
      <c r="ET5" s="317"/>
      <c r="EU5" s="317"/>
      <c r="EV5" s="317"/>
      <c r="EW5" s="317"/>
      <c r="EX5" s="317"/>
    </row>
    <row r="6" spans="1:154" ht="13.5" thickBot="1">
      <c r="A6" s="906" t="s">
        <v>222</v>
      </c>
      <c r="B6" s="907"/>
      <c r="C6" s="908"/>
      <c r="D6" s="117">
        <f>SUM(E6:AH6)</f>
        <v>0</v>
      </c>
      <c r="E6" s="184"/>
      <c r="F6" s="185"/>
      <c r="G6" s="185"/>
      <c r="H6" s="185"/>
      <c r="I6" s="185"/>
      <c r="J6" s="184"/>
      <c r="K6" s="184"/>
      <c r="L6" s="185"/>
      <c r="M6" s="185"/>
      <c r="N6" s="392"/>
      <c r="O6" s="392"/>
      <c r="P6" s="392"/>
      <c r="Q6" s="392"/>
      <c r="R6" s="392"/>
      <c r="S6" s="392"/>
      <c r="T6" s="392"/>
      <c r="U6" s="392"/>
      <c r="V6" s="392"/>
      <c r="W6" s="392"/>
      <c r="X6" s="392"/>
      <c r="Y6" s="392"/>
      <c r="Z6" s="392"/>
      <c r="AA6" s="392"/>
      <c r="AB6" s="392"/>
      <c r="AC6" s="392"/>
      <c r="AD6" s="392"/>
      <c r="AE6" s="392"/>
      <c r="AF6" s="392"/>
      <c r="AG6" s="392"/>
      <c r="AH6" s="392"/>
      <c r="AI6" s="402"/>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317"/>
      <c r="DR6" s="317"/>
      <c r="DS6" s="317"/>
      <c r="DT6" s="317"/>
      <c r="DU6" s="317"/>
      <c r="DV6" s="317"/>
      <c r="DW6" s="317"/>
      <c r="DX6" s="317"/>
      <c r="DY6" s="317"/>
      <c r="DZ6" s="317"/>
      <c r="EA6" s="317"/>
      <c r="EB6" s="317"/>
      <c r="EC6" s="317"/>
      <c r="ED6" s="317"/>
      <c r="EE6" s="317"/>
      <c r="EF6" s="317"/>
      <c r="EG6" s="317"/>
      <c r="EH6" s="317"/>
      <c r="EI6" s="317"/>
      <c r="EJ6" s="317"/>
      <c r="EK6" s="317"/>
      <c r="EL6" s="317"/>
      <c r="EM6" s="317"/>
      <c r="EN6" s="317"/>
      <c r="EO6" s="317"/>
      <c r="EP6" s="317"/>
      <c r="EQ6" s="317"/>
      <c r="ER6" s="317"/>
      <c r="ES6" s="317"/>
      <c r="ET6" s="317"/>
      <c r="EU6" s="317"/>
      <c r="EV6" s="317"/>
      <c r="EW6" s="317"/>
      <c r="EX6" s="317"/>
    </row>
    <row r="7" spans="1:154" ht="39.5" thickBot="1">
      <c r="A7" s="909" t="s">
        <v>202</v>
      </c>
      <c r="B7" s="910"/>
      <c r="C7" s="109" t="s">
        <v>203</v>
      </c>
      <c r="D7" s="110" t="s">
        <v>2453</v>
      </c>
      <c r="E7" s="108" t="s">
        <v>204</v>
      </c>
      <c r="F7" s="111" t="s">
        <v>204</v>
      </c>
      <c r="G7" s="111" t="s">
        <v>204</v>
      </c>
      <c r="H7" s="112" t="s">
        <v>204</v>
      </c>
      <c r="I7" s="111" t="s">
        <v>204</v>
      </c>
      <c r="J7" s="108" t="s">
        <v>204</v>
      </c>
      <c r="K7" s="108" t="s">
        <v>204</v>
      </c>
      <c r="L7" s="111" t="s">
        <v>204</v>
      </c>
      <c r="M7" s="112" t="s">
        <v>204</v>
      </c>
      <c r="N7" s="112" t="s">
        <v>204</v>
      </c>
      <c r="O7" s="112" t="s">
        <v>204</v>
      </c>
      <c r="P7" s="112" t="s">
        <v>204</v>
      </c>
      <c r="Q7" s="112" t="s">
        <v>204</v>
      </c>
      <c r="R7" s="112" t="s">
        <v>204</v>
      </c>
      <c r="S7" s="112" t="s">
        <v>204</v>
      </c>
      <c r="T7" s="112" t="s">
        <v>204</v>
      </c>
      <c r="U7" s="112" t="s">
        <v>204</v>
      </c>
      <c r="V7" s="112" t="s">
        <v>204</v>
      </c>
      <c r="W7" s="112" t="s">
        <v>204</v>
      </c>
      <c r="X7" s="112" t="s">
        <v>204</v>
      </c>
      <c r="Y7" s="112" t="s">
        <v>204</v>
      </c>
      <c r="Z7" s="112" t="s">
        <v>204</v>
      </c>
      <c r="AA7" s="112" t="s">
        <v>204</v>
      </c>
      <c r="AB7" s="112" t="s">
        <v>204</v>
      </c>
      <c r="AC7" s="112" t="s">
        <v>204</v>
      </c>
      <c r="AD7" s="112" t="s">
        <v>204</v>
      </c>
      <c r="AE7" s="112" t="s">
        <v>204</v>
      </c>
      <c r="AF7" s="112" t="s">
        <v>204</v>
      </c>
      <c r="AG7" s="112" t="s">
        <v>204</v>
      </c>
      <c r="AH7" s="112" t="s">
        <v>204</v>
      </c>
      <c r="AI7" s="402"/>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row>
    <row r="8" spans="1:154" ht="26">
      <c r="A8" s="896" t="s">
        <v>205</v>
      </c>
      <c r="B8" s="696"/>
      <c r="C8" s="113" t="s">
        <v>2437</v>
      </c>
      <c r="D8" s="104">
        <f t="shared" ref="D8:D29" si="0">SUM(E8:AH8)</f>
        <v>0</v>
      </c>
      <c r="E8" s="104" t="str">
        <f>IF($B$64=0,"",IF(SUMIF($A$34:$A$63,E$2,$B$34:$B$63)=0,"",(SUMIF($A$34:$A$63,E$2,$B$34:$B$63)-$B$71)))</f>
        <v/>
      </c>
      <c r="F8" s="114" t="str">
        <f>IF($B$64=0,"",IF(SUMIF($A$34:$A$63,F$2,$B$34:$B$63)=0,"",(SUMIF($A$34:$A$63,F$2,$B$34:$B$63)-$B$72)))</f>
        <v/>
      </c>
      <c r="G8" s="105" t="str">
        <f>IF($B$64=0,"",IF(SUMIF($A$34:$A$63,G$2,$B$34:$B$63)=0,"",(SUMIF($A$34:$A$63,G$2,$B$34:$B$63)-$B$73)))</f>
        <v/>
      </c>
      <c r="H8" s="105" t="str">
        <f>IF($B$64=0,"",IF(SUMIF($A$34:$A$63,H$2,$B$34:$B$63)=0,"",(SUMIF($A$34:$A$63,H$2,$B$34:$B$63)-$B$74)))</f>
        <v/>
      </c>
      <c r="I8" s="105" t="str">
        <f>IF($B$64=0,"",IF(SUMIF($A$34:$A$63,I$2,$B$34:$B$63)=0,"",(SUMIF($A$34:$A$63,I$2,$B$34:$B$63)-$B$75)))</f>
        <v/>
      </c>
      <c r="J8" s="114" t="str">
        <f>IF($B$64=0,"",IF(SUMIF($A$34:$A$63,J$2,$B$34:$B$63)=0,"",(SUMIF($A$34:$A$63,J$2,$B$34:$B$63)-$B$76)))</f>
        <v/>
      </c>
      <c r="K8" s="114" t="str">
        <f>IF($B$64=0,"",IF(SUMIF($A$34:$A$63,K$2,$B$34:$B$63)=0,"",(SUMIF($A$34:$A$63,K$2,$B$34:$B$63)-$B$77)))</f>
        <v/>
      </c>
      <c r="L8" s="105" t="str">
        <f>IF($B$64=0,"",IF(SUMIF($A$34:$A$63,L$2,$B$34:$B$63)=0,"",(SUMIF($A$34:$A$63,L$2,$B$34:$B$63)-$B$78)))</f>
        <v/>
      </c>
      <c r="M8" s="105" t="str">
        <f>IF($B$64=0,"",IF(SUMIF($A$34:$A$63,M$2,$B$34:$B$63)=0,"",(SUMIF($A$34:$A$63,M$2,$B$34:$B$63)-$B$79)))</f>
        <v/>
      </c>
      <c r="N8" s="393" t="str">
        <f>IF($B$64=0,"",IF(SUMIF($A$34:$A$63,N$2,$B$34:$B$63)=0,"",(SUMIF($A$34:$A$63,N$2,$B$34:$B$63)-$B$80)))</f>
        <v/>
      </c>
      <c r="O8" s="393" t="str">
        <f>IF($B$64=0,"",IF(SUMIF($A$34:$A$63,O$2,$B$34:$B$63)=0,"",(SUMIF($A$34:$A$63,O$2,$B$34:$B$63)-$B$81)))</f>
        <v/>
      </c>
      <c r="P8" s="393" t="str">
        <f>IF($B$64=0,"",IF(SUMIF($A$34:$A$63,P$2,$B$34:$B$63)=0,"",(SUMIF($A$34:$A$63,P$2,$B$34:$B$63)-$B$82)))</f>
        <v/>
      </c>
      <c r="Q8" s="393" t="str">
        <f>IF($B$64=0,"",IF(SUMIF($A$34:$A$63,Q$2,$B$34:$B$63)=0,"",(SUMIF($A$34:$A$63,Q$2,$B$34:$B$63)-$B$83)))</f>
        <v/>
      </c>
      <c r="R8" s="393" t="str">
        <f>IF($B$64=0,"",IF(SUMIF($A$34:$A$63,R$2,$B$34:$B$63)=0,"",(SUMIF($A$34:$A$63,R$2,$B$34:$B$63)-$B$84)))</f>
        <v/>
      </c>
      <c r="S8" s="393" t="str">
        <f>IF($B$64=0,"",IF(SUMIF($A$34:$A$63,S$2,$B$34:$B$63)=0,"",(SUMIF($A$34:$A$63,S$2,$B$34:$B$63)-$B$85)))</f>
        <v/>
      </c>
      <c r="T8" s="393" t="str">
        <f>IF($B$64=0,"",IF(SUMIF($A$34:$A$63,T$2,$B$34:$B$63)=0,"",(SUMIF($A$34:$A$63,T$2,$B$34:$B$63)-$B$86)))</f>
        <v/>
      </c>
      <c r="U8" s="393" t="str">
        <f>IF($B$64=0,"",IF(SUMIF($A$34:$A$63,U$2,$B$34:$B$63)=0,"",(SUMIF($A$34:$A$63,U$2,$B$34:$B$63)-$B$87)))</f>
        <v/>
      </c>
      <c r="V8" s="393" t="str">
        <f>IF($B$64=0,"",IF(SUMIF($A$34:$A$63,V$2,$B$34:$B$63)=0,"",(SUMIF($A$34:$A$63,V$2,$B$34:$B$63)-$B$88)))</f>
        <v/>
      </c>
      <c r="W8" s="393" t="str">
        <f>IF($B$64=0,"",IF(SUMIF($A$34:$A$63,W$2,$B$34:$B$63)=0,"",(SUMIF($A$34:$A$63,W$2,$B$34:$B$63)-$B$89)))</f>
        <v/>
      </c>
      <c r="X8" s="393" t="str">
        <f>IF($B$64=0,"",IF(SUMIF($A$34:$A$63,X$2,$B$34:$B$63)=0,"",(SUMIF($A$34:$A$63,X$2,$B$34:$B$63)-$B$90)))</f>
        <v/>
      </c>
      <c r="Y8" s="393" t="str">
        <f>IF($B$64=0,"",IF(SUMIF($A$34:$A$63,Y$2,$B$34:$B$63)=0,"",(SUMIF($A$34:$A$63,Y$2,$B$34:$B$63)-$B$91)))</f>
        <v/>
      </c>
      <c r="Z8" s="393" t="str">
        <f>IF($B$64=0,"",IF(SUMIF($A$34:$A$63,Z$2,$B$34:$B$63)=0,"",(SUMIF($A$34:$A$63,Z$2,$B$34:$B$63)-$B$92)))</f>
        <v/>
      </c>
      <c r="AA8" s="393" t="str">
        <f>IF($B$64=0,"",IF(SUMIF($A$34:$A$63,AA$2,$B$34:$B$63)=0,"",(SUMIF($A$34:$A$63,AA$2,$B$34:$B$63)-$B$93)))</f>
        <v/>
      </c>
      <c r="AB8" s="393" t="str">
        <f>IF($B$64=0,"",IF(SUMIF($A$34:$A$63,AB$2,$B$34:$B$63)=0,"",(SUMIF($A$34:$A$63,AB$2,$B$34:$B$63)-$B$94)))</f>
        <v/>
      </c>
      <c r="AC8" s="393" t="str">
        <f>IF($B$64=0,"",IF(SUMIF($A$34:$A$63,AC$2,$B$34:$B$63)=0,"",(SUMIF($A$34:$A$63,AC$2,$B$34:$B$63)-$B$95)))</f>
        <v/>
      </c>
      <c r="AD8" s="393" t="str">
        <f>IF($B$64=0,"",IF(SUMIF($A$34:$A$63,AD$2,$B$34:$B$63)=0,"",(SUMIF($A$34:$A$63,AD$2,$B$34:$B$63)-$B$96)))</f>
        <v/>
      </c>
      <c r="AE8" s="393" t="str">
        <f>IF($B$64=0,"",IF(SUMIF($A$34:$A$63,AE$2,$B$34:$B$63)=0,"",(SUMIF($A$34:$A$63,AE$2,$B$34:$B$63)-$B$97)))</f>
        <v/>
      </c>
      <c r="AF8" s="393" t="str">
        <f>IF($B$64=0,"",IF(SUMIF($A$34:$A$63,AF$2,$B$34:$B$63)=0,"",(SUMIF($A$34:$A$63,AF$2,$B$34:$B$63)-$B$98)))</f>
        <v/>
      </c>
      <c r="AG8" s="393" t="str">
        <f>IF($B$64=0,"",IF(SUMIF($A$34:$A$63,AG$2,$B$34:$B$63)=0,"",(SUMIF($A$34:$A$63,AG$2,$B$34:$B$63)-$B$99)))</f>
        <v/>
      </c>
      <c r="AH8" s="393" t="str">
        <f>IF($B$64=0,"",IF(SUMIF($A$34:$A$63,AH$2,$B$34:$B$63)=0,"",(SUMIF($A$34:$A$63,AH$2,$B$34:$B$63)-$B$100)))</f>
        <v/>
      </c>
      <c r="AI8" s="402"/>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317"/>
      <c r="DR8" s="317"/>
      <c r="DS8" s="317"/>
      <c r="DT8" s="317"/>
      <c r="DU8" s="317"/>
      <c r="DV8" s="317"/>
      <c r="DW8" s="317"/>
      <c r="DX8" s="317"/>
      <c r="DY8" s="317"/>
      <c r="DZ8" s="317"/>
      <c r="EA8" s="317"/>
      <c r="EB8" s="317"/>
      <c r="EC8" s="317"/>
      <c r="ED8" s="317"/>
      <c r="EE8" s="317"/>
      <c r="EF8" s="317"/>
      <c r="EG8" s="317"/>
      <c r="EH8" s="317"/>
      <c r="EI8" s="317"/>
      <c r="EJ8" s="317"/>
      <c r="EK8" s="317"/>
      <c r="EL8" s="317"/>
      <c r="EM8" s="317"/>
      <c r="EN8" s="317"/>
      <c r="EO8" s="317"/>
      <c r="EP8" s="317"/>
      <c r="EQ8" s="317"/>
      <c r="ER8" s="317"/>
      <c r="ES8" s="317"/>
      <c r="ET8" s="317"/>
      <c r="EU8" s="317"/>
      <c r="EV8" s="317"/>
      <c r="EW8" s="317"/>
      <c r="EX8" s="317"/>
    </row>
    <row r="9" spans="1:154" ht="39">
      <c r="A9" s="897"/>
      <c r="B9" s="812"/>
      <c r="C9" s="115" t="s">
        <v>2438</v>
      </c>
      <c r="D9" s="107">
        <f t="shared" si="0"/>
        <v>0</v>
      </c>
      <c r="E9" s="107" t="str">
        <f>IF($C$64=0,"",IF(SUMIF($A$34:$A$63,E$2,$C$34:$C$63)=0,"",(SUMIF($A$34:$A$63,E$2,$C$34:$C$63)-$C$71)))</f>
        <v/>
      </c>
      <c r="F9" s="116" t="str">
        <f>IF($C$64=0,"",IF(SUMIF($A$34:$A$63,F$2,$C$34:$C$63)=0,"",(SUMIF($A$34:$A$63,F$2,$C$34:$C$63)-$C$72)))</f>
        <v/>
      </c>
      <c r="G9" s="106" t="str">
        <f>IF($C$64=0,"",IF(SUMIF($A$34:$A$63,G$2,$C$34:$C$63)=0,"",(SUMIF($A$34:$A$63,G$2,$C$34:$C$63)-$C$73)))</f>
        <v/>
      </c>
      <c r="H9" s="106" t="str">
        <f>IF($C$64=0,"",IF(SUMIF($A$34:$A$63,H$2,$C$34:$C$63)=0,"",(SUMIF($A$34:$A$63,H$2,$C$34:$C$63)-$C$74)))</f>
        <v/>
      </c>
      <c r="I9" s="106" t="str">
        <f>IF($C$64=0,"",IF(SUMIF($A$34:$A$63,I$2,$C$34:$C$63)=0,"",(SUMIF($A$34:$A$63,I$2,$C$34:$C$63)-$C$75)))</f>
        <v/>
      </c>
      <c r="J9" s="226" t="str">
        <f>IF($C$64=0,"",IF(SUMIF($A$34:$A$63,J$2,$C$34:$C$63)=0,"",(SUMIF($A$34:$A$63,J$2,$C$34:$C$63)-$C$76)))</f>
        <v/>
      </c>
      <c r="K9" s="116" t="str">
        <f>IF($C$64=0,"",IF(SUMIF($A$34:$A$63,K$2,$C$34:$C$63)=0,"",(SUMIF($A$34:$A$63,K$2,$C$34:$C$63)-$C$77)))</f>
        <v/>
      </c>
      <c r="L9" s="106" t="str">
        <f>IF($C$64=0,"",IF(SUMIF($A$34:$A$63,L$2,$C$34:$C$63)=0,"",(SUMIF($A$34:$A$63,L$2,$C$34:$C$63)-$C$78)))</f>
        <v/>
      </c>
      <c r="M9" s="106" t="str">
        <f>IF($C$64=0,"",IF(SUMIF($A$34:$A$63,M$2,$C$34:$C$63)=0,"",(SUMIF($A$34:$A$63,M$2,$C$34:$C$63)-$C$79)))</f>
        <v/>
      </c>
      <c r="N9" s="372" t="str">
        <f>IF($C$64=0,"",IF(SUMIF($A$34:$A$63,N$2,$C$34:$C$63)=0,"",(SUMIF($A$34:$A$63,N$2,$C$34:$C$63)-$C$80)))</f>
        <v/>
      </c>
      <c r="O9" s="372" t="str">
        <f>IF($C$64=0,"",IF(SUMIF($A$34:$A$63,O$2,$C$34:$C$63)=0,"",(SUMIF($A$34:$A$63,O$2,$C$34:$C$63)-$C$81)))</f>
        <v/>
      </c>
      <c r="P9" s="372" t="str">
        <f>IF($C$64=0,"",IF(SUMIF($A$34:$A$63,P$2,$C$34:$C$63)=0,"",(SUMIF($A$34:$A$63,P$2,$C$34:$C$63)-$C$82)))</f>
        <v/>
      </c>
      <c r="Q9" s="372" t="str">
        <f>IF($C$64=0,"",IF(SUMIF($A$34:$A$63,Q$2,$C$34:$C$63)=0,"",(SUMIF($A$34:$A$63,Q$2,$C$34:$C$63)-$C$83)))</f>
        <v/>
      </c>
      <c r="R9" s="372" t="str">
        <f>IF($C$64=0,"",IF(SUMIF($A$34:$A$63,R$2,$C$34:$C$63)=0,"",(SUMIF($A$34:$A$63,R$2,$C$34:$C$63)-$C$84)))</f>
        <v/>
      </c>
      <c r="S9" s="372" t="str">
        <f>IF($C$64=0,"",IF(SUMIF($A$34:$A$63,S$2,$C$34:$C$63)=0,"",(SUMIF($A$34:$A$63,S$2,$C$34:$C$63)-$C$85)))</f>
        <v/>
      </c>
      <c r="T9" s="372" t="str">
        <f>IF($C$64=0,"",IF(SUMIF($A$34:$A$63,T$2,$C$34:$C$63)=0,"",(SUMIF($A$34:$A$63,T$2,$C$34:$C$63)-$C$86)))</f>
        <v/>
      </c>
      <c r="U9" s="372" t="str">
        <f>IF($C$64=0,"",IF(SUMIF($A$34:$A$63,U$2,$C$34:$C$63)=0,"",(SUMIF($A$34:$A$63,U$2,$C$34:$C$63)-$C$87)))</f>
        <v/>
      </c>
      <c r="V9" s="372" t="str">
        <f>IF($C$64=0,"",IF(SUMIF($A$34:$A$63,V$2,$C$34:$C$63)=0,"",(SUMIF($A$34:$A$63,V$2,$C$34:$C$63)-$C$88)))</f>
        <v/>
      </c>
      <c r="W9" s="372" t="str">
        <f>IF($C$64=0,"",IF(SUMIF($A$34:$A$63,W$2,$C$34:$C$63)=0,"",(SUMIF($A$34:$A$63,W$2,$C$34:$C$63)-$C$89)))</f>
        <v/>
      </c>
      <c r="X9" s="372" t="str">
        <f>IF($C$64=0,"",IF(SUMIF($A$34:$A$63,X$2,$C$34:$C$63)=0,"",(SUMIF($A$34:$A$63,X$2,$C$34:$C$63)-$C$90)))</f>
        <v/>
      </c>
      <c r="Y9" s="372" t="str">
        <f>IF($C$64=0,"",IF(SUMIF($A$34:$A$63,Y$2,$C$34:$C$63)=0,"",(SUMIF($A$34:$A$63,Y$2,$C$34:$C$63)-$C$91)))</f>
        <v/>
      </c>
      <c r="Z9" s="372" t="str">
        <f>IF($C$64=0,"",IF(SUMIF($A$34:$A$63,Z$2,$C$34:$C$63)=0,"",(SUMIF($A$34:$A$63,Z$2,$C$34:$C$63)-$C$92)))</f>
        <v/>
      </c>
      <c r="AA9" s="372" t="str">
        <f>IF($C$64=0,"",IF(SUMIF($A$34:$A$63,AA$2,$C$34:$C$63)=0,"",(SUMIF($A$34:$A$63,AA$2,$C$34:$C$63)-$C$93)))</f>
        <v/>
      </c>
      <c r="AB9" s="372" t="str">
        <f>IF($C$64=0,"",IF(SUMIF($A$34:$A$63,AB$2,$C$34:$C$63)=0,"",(SUMIF($A$34:$A$63,AB$2,$C$34:$C$63)-$C$94)))</f>
        <v/>
      </c>
      <c r="AC9" s="372" t="str">
        <f>IF($C$64=0,"",IF(SUMIF($A$34:$A$63,AC$2,$C$34:$C$63)=0,"",(SUMIF($A$34:$A$63,AC$2,$C$34:$C$63)-$C$95)))</f>
        <v/>
      </c>
      <c r="AD9" s="372" t="str">
        <f>IF($C$64=0,"",IF(SUMIF($A$34:$A$63,AD$2,$C$34:$C$63)=0,"",(SUMIF($A$34:$A$63,AD$2,$C$34:$C$63)-$C$96)))</f>
        <v/>
      </c>
      <c r="AE9" s="372" t="str">
        <f>IF($C$64=0,"",IF(SUMIF($A$34:$A$63,AE$2,$C$34:$C$63)=0,"",(SUMIF($A$34:$A$63,AE$2,$C$34:$C$63)-$C$97)))</f>
        <v/>
      </c>
      <c r="AF9" s="372" t="str">
        <f>IF($C$64=0,"",IF(SUMIF($A$34:$A$63,AF$2,$C$34:$C$63)=0,"",(SUMIF($A$34:$A$63,AF$2,$C$34:$C$63)-$C$98)))</f>
        <v/>
      </c>
      <c r="AG9" s="372" t="str">
        <f>IF($C$64=0,"",IF(SUMIF($A$34:$A$63,AG$2,$C$34:$C$63)=0,"",(SUMIF($A$34:$A$63,AG$2,$C$34:$C$63)-$C$99)))</f>
        <v/>
      </c>
      <c r="AH9" s="372" t="str">
        <f>IF($C$64=0,"",IF(SUMIF($A$34:$A$63,AH$2,$C$34:$C$63)=0,"",(SUMIF($A$34:$A$63,AH$2,$C$34:$C$63)-$C$100)))</f>
        <v/>
      </c>
      <c r="AI9" s="402"/>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317"/>
      <c r="DR9" s="317"/>
      <c r="DS9" s="317"/>
      <c r="DT9" s="317"/>
      <c r="DU9" s="317"/>
      <c r="DV9" s="317"/>
      <c r="DW9" s="317"/>
      <c r="DX9" s="317"/>
      <c r="DY9" s="317"/>
      <c r="DZ9" s="317"/>
      <c r="EA9" s="317"/>
      <c r="EB9" s="317"/>
      <c r="EC9" s="317"/>
      <c r="ED9" s="317"/>
      <c r="EE9" s="317"/>
      <c r="EF9" s="317"/>
      <c r="EG9" s="317"/>
      <c r="EH9" s="317"/>
      <c r="EI9" s="317"/>
      <c r="EJ9" s="317"/>
      <c r="EK9" s="317"/>
      <c r="EL9" s="317"/>
      <c r="EM9" s="317"/>
      <c r="EN9" s="317"/>
      <c r="EO9" s="317"/>
      <c r="EP9" s="317"/>
      <c r="EQ9" s="317"/>
      <c r="ER9" s="317"/>
      <c r="ES9" s="317"/>
      <c r="ET9" s="317"/>
      <c r="EU9" s="317"/>
      <c r="EV9" s="317"/>
      <c r="EW9" s="317"/>
      <c r="EX9" s="317"/>
    </row>
    <row r="10" spans="1:154" ht="39">
      <c r="A10" s="897"/>
      <c r="B10" s="812"/>
      <c r="C10" s="115" t="s">
        <v>2439</v>
      </c>
      <c r="D10" s="107">
        <f t="shared" si="0"/>
        <v>0</v>
      </c>
      <c r="E10" s="107" t="str">
        <f>IF($D$64=0,"",IF(SUMIF($A$34:$A$63,E$2,$D$34:$D$63)=0,"",(SUMIF($A$34:$A$63,E$2,$D$34:$D$63)-$D$71)))</f>
        <v/>
      </c>
      <c r="F10" s="116" t="str">
        <f>IF($D$64=0,"",IF(SUMIF($A$34:$A$63,F$2,$D$34:$D$63)=0,"",(SUMIF($A$34:$A$63,F$2,$D$34:$D$63)-$D$72)))</f>
        <v/>
      </c>
      <c r="G10" s="106" t="str">
        <f>IF($D$64=0,"",IF(SUMIF($A$34:$A$63,G$2,$D$34:$D$63)=0,"",(SUMIF($A$34:$A$63,G$2,$D$34:$D$63)-$D$73)))</f>
        <v/>
      </c>
      <c r="H10" s="106" t="str">
        <f>IF($D$64=0,"",IF(SUMIF($A$34:$A$63,H$2,$D$34:$D$63)=0,"",(SUMIF($A$34:$A$63,H$2,$D$34:$D$63)-$D$74)))</f>
        <v/>
      </c>
      <c r="I10" s="106" t="str">
        <f>IF($D$64=0,"",IF(SUMIF($A$34:$A$63,I$2,$D$34:$D$63)=0,"",(SUMIF($A$34:$A$63,I$2,$D$34:$D$63)-$D$75)))</f>
        <v/>
      </c>
      <c r="J10" s="226" t="str">
        <f>IF($D$64=0,"",IF(SUMIF($A$34:$A$63,J$2,$D$34:$D$63)=0,"",(SUMIF($A$34:$A$63,J$2,$D$34:$D$63)-$E$76)))</f>
        <v/>
      </c>
      <c r="K10" s="116" t="str">
        <f>IF($D$64=0,"",IF(SUMIF($A$34:$A$63,K$2,$D$34:$D$63)=0,"",(SUMIF($A$34:$A$63,K$2,$D$34:$D$63)-$D$77)))</f>
        <v/>
      </c>
      <c r="L10" s="106" t="str">
        <f>IF($D$64=0,"",IF(SUMIF($A$34:$A$63,L$2,$D$34:$D$63)=0,"",(SUMIF($A$34:$A$63,L$2,$D$34:$D$63)-$D$78)))</f>
        <v/>
      </c>
      <c r="M10" s="106" t="str">
        <f>IF($D$64=0,"",IF(SUMIF($A$34:$A$63,M$2,$D$34:$D$63)=0,"",(SUMIF($A$34:$A$63,M$2,$D$34:$D$63)-$D$79)))</f>
        <v/>
      </c>
      <c r="N10" s="372" t="str">
        <f>IF($D$64=0,"",IF(SUMIF($A$34:$A$63,N$2,$D$34:$D$63)=0,"",(SUMIF($A$34:$A$63,N$2,$D$34:$D$63)-$D$80)))</f>
        <v/>
      </c>
      <c r="O10" s="372" t="str">
        <f>IF($D$64=0,"",IF(SUMIF($A$34:$A$63,O$2,$D$34:$D$63)=0,"",(SUMIF($A$34:$A$63,O$2,$D$34:$D$63)-$D$81)))</f>
        <v/>
      </c>
      <c r="P10" s="372" t="str">
        <f>IF($D$64=0,"",IF(SUMIF($A$34:$A$63,P$2,$D$34:$D$63)=0,"",(SUMIF($A$34:$A$63,P$2,$D$34:$D$63)-$D$82)))</f>
        <v/>
      </c>
      <c r="Q10" s="372" t="str">
        <f>IF($D$64=0,"",IF(SUMIF($A$34:$A$63,Q$2,$D$34:$D$63)=0,"",(SUMIF($A$34:$A$63,Q$2,$D$34:$D$63)-$D$83)))</f>
        <v/>
      </c>
      <c r="R10" s="372" t="str">
        <f>IF($D$64=0,"",IF(SUMIF($A$34:$A$63,R$2,$D$34:$D$63)=0,"",(SUMIF($A$34:$A$63,R$2,$D$34:$D$63)-$D$84)))</f>
        <v/>
      </c>
      <c r="S10" s="372" t="str">
        <f>IF($D$64=0,"",IF(SUMIF($A$34:$A$63,S$2,$D$34:$D$63)=0,"",(SUMIF($A$34:$A$63,S$2,$D$34:$D$63)-$D$85)))</f>
        <v/>
      </c>
      <c r="T10" s="372" t="str">
        <f>IF($D$64=0,"",IF(SUMIF($A$34:$A$63,T$2,$D$34:$D$63)=0,"",(SUMIF($A$34:$A$63,T$2,$D$34:$D$63)-$D$86)))</f>
        <v/>
      </c>
      <c r="U10" s="372" t="str">
        <f>IF($D$64=0,"",IF(SUMIF($A$34:$A$63,U$2,$D$34:$D$63)=0,"",(SUMIF($A$34:$A$63,U$2,$D$34:$D$63)-$D$87)))</f>
        <v/>
      </c>
      <c r="V10" s="372" t="str">
        <f>IF($D$64=0,"",IF(SUMIF($A$34:$A$63,V$2,$D$34:$D$63)=0,"",(SUMIF($A$34:$A$63,V$2,$D$34:$D$63)-$D$88)))</f>
        <v/>
      </c>
      <c r="W10" s="372" t="str">
        <f>IF($D$64=0,"",IF(SUMIF($A$34:$A$63,W$2,$D$34:$D$63)=0,"",(SUMIF($A$34:$A$63,W$2,$D$34:$D$63)-$D$89)))</f>
        <v/>
      </c>
      <c r="X10" s="372" t="str">
        <f>IF($D$64=0,"",IF(SUMIF($A$34:$A$63,X$2,$D$34:$D$63)=0,"",(SUMIF($A$34:$A$63,X$2,$D$34:$D$63)-$D$90)))</f>
        <v/>
      </c>
      <c r="Y10" s="372" t="str">
        <f>IF($D$64=0,"",IF(SUMIF($A$34:$A$63,Y$2,$D$34:$D$63)=0,"",(SUMIF($A$34:$A$63,Y$2,$D$34:$D$63)-$D$91)))</f>
        <v/>
      </c>
      <c r="Z10" s="372" t="str">
        <f>IF($D$64=0,"",IF(SUMIF($A$34:$A$63,Z$2,$D$34:$D$63)=0,"",(SUMIF($A$34:$A$63,Z$2,$D$34:$D$63)-$D$92)))</f>
        <v/>
      </c>
      <c r="AA10" s="372" t="str">
        <f>IF($D$64=0,"",IF(SUMIF($A$34:$A$63,AA$2,$D$34:$D$63)=0,"",(SUMIF($A$34:$A$63,AA$2,$D$34:$D$63)-$D$93)))</f>
        <v/>
      </c>
      <c r="AB10" s="372" t="str">
        <f>IF($D$64=0,"",IF(SUMIF($A$34:$A$63,AB$2,$D$34:$D$63)=0,"",(SUMIF($A$34:$A$63,AB$2,$D$34:$D$63)-$D$94)))</f>
        <v/>
      </c>
      <c r="AC10" s="372" t="str">
        <f>IF($D$64=0,"",IF(SUMIF($A$34:$A$63,AC$2,$D$34:$D$63)=0,"",(SUMIF($A$34:$A$63,AC$2,$D$34:$D$63)-$D$95)))</f>
        <v/>
      </c>
      <c r="AD10" s="372" t="str">
        <f>IF($D$64=0,"",IF(SUMIF($A$34:$A$63,AD$2,$D$34:$D$63)=0,"",(SUMIF($A$34:$A$63,AD$2,$D$34:$D$63)-$D$96)))</f>
        <v/>
      </c>
      <c r="AE10" s="372" t="str">
        <f>IF($D$64=0,"",IF(SUMIF($A$34:$A$63,AE$2,$D$34:$D$63)=0,"",(SUMIF($A$34:$A$63,AE$2,$D$34:$D$63)-$D$97)))</f>
        <v/>
      </c>
      <c r="AF10" s="372" t="str">
        <f>IF($D$64=0,"",IF(SUMIF($A$34:$A$63,AF$2,$D$34:$D$63)=0,"",(SUMIF($A$34:$A$63,AF$2,$D$34:$D$63)-$D$98)))</f>
        <v/>
      </c>
      <c r="AG10" s="372" t="str">
        <f>IF($D$64=0,"",IF(SUMIF($A$34:$A$63,AG$2,$D$34:$D$63)=0,"",(SUMIF($A$34:$A$63,AG$2,$D$34:$D$63)-$D$99)))</f>
        <v/>
      </c>
      <c r="AH10" s="372" t="str">
        <f>IF($D$64=0,"",IF(SUMIF($A$34:$A$63,AH$2,$D$34:$D$63)=0,"",(SUMIF($A$34:$A$63,AH$2,$D$34:$D$63)-$D$100)))</f>
        <v/>
      </c>
      <c r="AI10" s="402"/>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c r="DF10" s="317"/>
      <c r="DG10" s="317"/>
      <c r="DH10" s="317"/>
      <c r="DI10" s="317"/>
      <c r="DJ10" s="317"/>
      <c r="DK10" s="317"/>
      <c r="DL10" s="317"/>
      <c r="DM10" s="317"/>
      <c r="DN10" s="317"/>
      <c r="DO10" s="317"/>
      <c r="DP10" s="317"/>
      <c r="DQ10" s="317"/>
      <c r="DR10" s="317"/>
      <c r="DS10" s="317"/>
      <c r="DT10" s="317"/>
      <c r="DU10" s="317"/>
      <c r="DV10" s="317"/>
      <c r="DW10" s="317"/>
      <c r="DX10" s="317"/>
      <c r="DY10" s="317"/>
      <c r="DZ10" s="317"/>
      <c r="EA10" s="317"/>
      <c r="EB10" s="317"/>
      <c r="EC10" s="317"/>
      <c r="ED10" s="317"/>
      <c r="EE10" s="317"/>
      <c r="EF10" s="317"/>
      <c r="EG10" s="317"/>
      <c r="EH10" s="317"/>
      <c r="EI10" s="317"/>
      <c r="EJ10" s="317"/>
      <c r="EK10" s="317"/>
      <c r="EL10" s="317"/>
      <c r="EM10" s="317"/>
      <c r="EN10" s="317"/>
      <c r="EO10" s="317"/>
      <c r="EP10" s="317"/>
      <c r="EQ10" s="317"/>
      <c r="ER10" s="317"/>
      <c r="ES10" s="317"/>
      <c r="ET10" s="317"/>
      <c r="EU10" s="317"/>
      <c r="EV10" s="317"/>
      <c r="EW10" s="317"/>
      <c r="EX10" s="317"/>
    </row>
    <row r="11" spans="1:154" ht="13.5" thickBot="1">
      <c r="A11" s="898"/>
      <c r="B11" s="814"/>
      <c r="C11" s="115" t="s">
        <v>2440</v>
      </c>
      <c r="D11" s="107">
        <f t="shared" si="0"/>
        <v>0</v>
      </c>
      <c r="E11" s="107" t="str">
        <f>IF($E$64=0,"",IF(SUMIF($A$34:$A$63,E$2,$E$34:$E$63)=0,"",(SUMIF($A$34:$A$63,E$2,$E$34:$E$63)-$E$71)))</f>
        <v/>
      </c>
      <c r="F11" s="116" t="str">
        <f>IF($E$64=0,"",IF(SUMIF($A$34:$A$63,F$2,$E$34:$E$63)=0,"",(SUMIF($A$34:$A$63,F$2,$E$34:$E$63)-$E$72)))</f>
        <v/>
      </c>
      <c r="G11" s="106" t="str">
        <f>IF($E$64=0,"",IF(SUMIF($A$34:$A$63,G$2,$E$34:$E$63)=0,"",(SUMIF($A$34:$A$63,G$2,$E$34:$E$63)-$E$73)))</f>
        <v/>
      </c>
      <c r="H11" s="106" t="str">
        <f>IF($E$64=0,"",IF(SUMIF($A$34:$A$63,H$2,$E$34:$E$63)=0,"",(SUMIF($A$34:$A$63,H$2,$E$34:$E$63)-$E$74)))</f>
        <v/>
      </c>
      <c r="I11" s="106" t="str">
        <f>IF($E$64=0,"",IF(SUMIF($A$34:$A$63,I$2,$E$34:$E$63)=0,"",(SUMIF($A$34:$A$63,I$2,$E$34:$E$63)-$E$75)))</f>
        <v/>
      </c>
      <c r="J11" s="226" t="str">
        <f>IF($E$64=0,"",IF(SUMIF($A$34:$A$63,J$2,$E$34:$E$63)=0,"",(SUMIF($A$34:$A$63,J$2,$E$34:$E$63)-$E$76)))</f>
        <v/>
      </c>
      <c r="K11" s="116" t="str">
        <f>IF($E$64=0,"",IF(SUMIF($A$34:$A$63,K$2,$E$34:$E$63)=0,"",(SUMIF($A$34:$A$63,K$2,$E$34:$E$63)-$E$77)))</f>
        <v/>
      </c>
      <c r="L11" s="106" t="str">
        <f>IF($E$64=0,"",IF(SUMIF($A$34:$A$63,L$2,$E$34:$E$63)=0,"",(SUMIF($A$34:$A$63,L$2,$E$34:$E$63)-$E$78)))</f>
        <v/>
      </c>
      <c r="M11" s="106" t="str">
        <f>IF($E$64=0,"",IF(SUMIF($A$34:$A$63,M$2,$E$34:$E$63)=0,"",(SUMIF($A$34:$A$63,M$2,$E$34:$E$63)-$E$79)))</f>
        <v/>
      </c>
      <c r="N11" s="372" t="str">
        <f>IF($E$64=0,"",IF(SUMIF($A$34:$A$63,N$2,$E$34:$E$63)=0,"",(SUMIF($A$34:$A$63,N$2,$E$34:$E$63)-$E$80)))</f>
        <v/>
      </c>
      <c r="O11" s="372" t="str">
        <f>IF($E$64=0,"",IF(SUMIF($A$34:$A$63,O$2,$E$34:$E$63)=0,"",(SUMIF($A$34:$A$63,O$2,$E$34:$E$63)-$E$81)))</f>
        <v/>
      </c>
      <c r="P11" s="372" t="str">
        <f>IF($E$64=0,"",IF(SUMIF($A$34:$A$63,P$2,$E$34:$E$63)=0,"",(SUMIF($A$34:$A$63,P$2,$E$34:$E$63)-$E$82)))</f>
        <v/>
      </c>
      <c r="Q11" s="372" t="str">
        <f>IF($E$64=0,"",IF(SUMIF($A$34:$A$63,Q$2,$E$34:$E$63)=0,"",(SUMIF($A$34:$A$63,Q$2,$E$34:$E$63)-$E$83)))</f>
        <v/>
      </c>
      <c r="R11" s="372" t="str">
        <f>IF($E$64=0,"",IF(SUMIF($A$34:$A$63,R$2,$E$34:$E$63)=0,"",(SUMIF($A$34:$A$63,R$2,$E$34:$E$63)-$E$84)))</f>
        <v/>
      </c>
      <c r="S11" s="372" t="str">
        <f>IF($E$64=0,"",IF(SUMIF($A$34:$A$63,S$2,$E$34:$E$63)=0,"",(SUMIF($A$34:$A$63,S$2,$E$34:$E$63)-$E$85)))</f>
        <v/>
      </c>
      <c r="T11" s="372" t="str">
        <f>IF($E$64=0,"",IF(SUMIF($A$34:$A$63,T$2,$E$34:$E$63)=0,"",(SUMIF($A$34:$A$63,T$2,$E$34:$E$63)-$E$86)))</f>
        <v/>
      </c>
      <c r="U11" s="372" t="str">
        <f>IF($E$64=0,"",IF(SUMIF($A$34:$A$63,U$2,$E$34:$E$63)=0,"",(SUMIF($A$34:$A$63,U$2,$E$34:$E$63)-$E$87)))</f>
        <v/>
      </c>
      <c r="V11" s="372" t="str">
        <f>IF($E$64=0,"",IF(SUMIF($A$34:$A$63,V$2,$E$34:$E$63)=0,"",(SUMIF($A$34:$A$63,V$2,$E$34:$E$63)-$E$88)))</f>
        <v/>
      </c>
      <c r="W11" s="372" t="str">
        <f>IF($E$64=0,"",IF(SUMIF($A$34:$A$63,W$2,$E$34:$E$63)=0,"",(SUMIF($A$34:$A$63,W$2,$E$34:$E$63)-$E$89)))</f>
        <v/>
      </c>
      <c r="X11" s="372" t="str">
        <f>IF($E$64=0,"",IF(SUMIF($A$34:$A$63,X$2,$E$34:$E$63)=0,"",(SUMIF($A$34:$A$63,X$2,$E$34:$E$63)-$E$90)))</f>
        <v/>
      </c>
      <c r="Y11" s="372" t="str">
        <f>IF($E$64=0,"",IF(SUMIF($A$34:$A$63,Y$2,$E$34:$E$63)=0,"",(SUMIF($A$34:$A$63,Y$2,$E$34:$E$63)-$E$91)))</f>
        <v/>
      </c>
      <c r="Z11" s="372" t="str">
        <f>IF($E$64=0,"",IF(SUMIF($A$34:$A$63,Z$2,$E$34:$E$63)=0,"",(SUMIF($A$34:$A$63,Z$2,$E$34:$E$63)-$E$92)))</f>
        <v/>
      </c>
      <c r="AA11" s="372" t="str">
        <f>IF($E$64=0,"",IF(SUMIF($A$34:$A$63,AA$2,$E$34:$E$63)=0,"",(SUMIF($A$34:$A$63,AA$2,$E$34:$E$63)-$E$93)))</f>
        <v/>
      </c>
      <c r="AB11" s="372" t="str">
        <f>IF($E$64=0,"",IF(SUMIF($A$34:$A$63,AB$2,$E$34:$E$63)=0,"",(SUMIF($A$34:$A$63,AB$2,$E$34:$E$63)-$E$94)))</f>
        <v/>
      </c>
      <c r="AC11" s="372" t="str">
        <f>IF($E$64=0,"",IF(SUMIF($A$34:$A$63,AC$2,$E$34:$E$63)=0,"",(SUMIF($A$34:$A$63,AC$2,$E$34:$E$63)-$E$95)))</f>
        <v/>
      </c>
      <c r="AD11" s="372" t="str">
        <f>IF($E$64=0,"",IF(SUMIF($A$34:$A$63,AD$2,$E$34:$E$63)=0,"",(SUMIF($A$34:$A$63,AD$2,$E$34:$E$63)-$E$96)))</f>
        <v/>
      </c>
      <c r="AE11" s="372" t="str">
        <f>IF($E$64=0,"",IF(SUMIF($A$34:$A$63,AE$2,$E$34:$E$63)=0,"",(SUMIF($A$34:$A$63,AE$2,$E$34:$E$63)-$E$97)))</f>
        <v/>
      </c>
      <c r="AF11" s="372" t="str">
        <f>IF($E$64=0,"",IF(SUMIF($A$34:$A$63,AF$2,$E$34:$E$63)=0,"",(SUMIF($A$34:$A$63,AF$2,$E$34:$E$63)-$E$98)))</f>
        <v/>
      </c>
      <c r="AG11" s="372" t="str">
        <f>IF($E$64=0,"",IF(SUMIF($A$34:$A$63,AG$2,$E$34:$E$63)=0,"",(SUMIF($A$34:$A$63,AG$2,$E$34:$E$63)-$E$99)))</f>
        <v/>
      </c>
      <c r="AH11" s="372" t="str">
        <f>IF($E$64=0,"",IF(SUMIF($A$34:$A$63,AH$2,$E$34:$E$63)=0,"",(SUMIF($A$34:$A$63,AH$2,$E$34:$E$63)-$E$100)))</f>
        <v/>
      </c>
      <c r="AI11" s="402"/>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317"/>
      <c r="DR11" s="317"/>
      <c r="DS11" s="317"/>
      <c r="DT11" s="317"/>
      <c r="DU11" s="317"/>
      <c r="DV11" s="317"/>
      <c r="DW11" s="317"/>
      <c r="DX11" s="317"/>
      <c r="DY11" s="317"/>
      <c r="DZ11" s="317"/>
      <c r="EA11" s="317"/>
      <c r="EB11" s="317"/>
      <c r="EC11" s="317"/>
      <c r="ED11" s="317"/>
      <c r="EE11" s="317"/>
      <c r="EF11" s="317"/>
      <c r="EG11" s="317"/>
      <c r="EH11" s="317"/>
      <c r="EI11" s="317"/>
      <c r="EJ11" s="317"/>
      <c r="EK11" s="317"/>
      <c r="EL11" s="317"/>
      <c r="EM11" s="317"/>
      <c r="EN11" s="317"/>
      <c r="EO11" s="317"/>
      <c r="EP11" s="317"/>
      <c r="EQ11" s="317"/>
      <c r="ER11" s="317"/>
      <c r="ES11" s="317"/>
      <c r="ET11" s="317"/>
      <c r="EU11" s="317"/>
      <c r="EV11" s="317"/>
      <c r="EW11" s="317"/>
      <c r="EX11" s="317"/>
    </row>
    <row r="12" spans="1:154" ht="26">
      <c r="A12" s="896" t="s">
        <v>206</v>
      </c>
      <c r="B12" s="696"/>
      <c r="C12" s="113" t="s">
        <v>2437</v>
      </c>
      <c r="D12" s="104">
        <f t="shared" si="0"/>
        <v>0</v>
      </c>
      <c r="E12" s="104" t="str">
        <f>IF($F$64=0,"",IF(SUMIF($A$34:$A$63,E$2,$F$34:$F$63)=0,"",(SUMIF($A$34:$A$63,E$2,$F$34:$F$63)-$F$71)))</f>
        <v/>
      </c>
      <c r="F12" s="114" t="str">
        <f>IF($F$64=0,"",IF(SUMIF($A$34:$A$63,F$2,$F$34:$F$63)=0,"",(SUMIF($A$34:$A$63,F$2,$F$34:$F$63)-$F$72)))</f>
        <v/>
      </c>
      <c r="G12" s="105" t="str">
        <f>IF($F$64=0,"",IF(SUMIF($A$34:$A$63,G$2,$F$34:$F$63)=0,"",(SUMIF($A$34:$A$63,G$2,$F$34:$F$63)-$F$73)))</f>
        <v/>
      </c>
      <c r="H12" s="105" t="str">
        <f>IF($F$64=0,"",IF(SUMIF($A$34:$A$63,H$2,$F$34:$F$63)=0,"",(SUMIF($A$34:$A$63,H$2,$F$34:$F$63)-$F$74)))</f>
        <v/>
      </c>
      <c r="I12" s="105" t="str">
        <f>IF($F$64=0,"",IF(SUMIF($A$34:$A$63,I$2,$F$34:$F$63)=0,"",(SUMIF($A$34:$A$63,I$2,$F$34:$F$63)-$F$75)))</f>
        <v/>
      </c>
      <c r="J12" s="114" t="str">
        <f>IF($F$64=0,"",IF(SUMIF($A$34:$A$63,J$2,$F$34:$F$63)=0,"",(SUMIF($A$34:$A$63,J$2,$F$34:$F$63)-$F$76)))</f>
        <v/>
      </c>
      <c r="K12" s="114" t="str">
        <f>IF($F$64=0,"",IF(SUMIF($A$34:$A$63,K$2,$F$34:$F$63)=0,"",(SUMIF($A$34:$A$63,K$2,$F$34:$F$63)-$F$77)))</f>
        <v/>
      </c>
      <c r="L12" s="105" t="str">
        <f>IF($F$64=0,"",IF(SUMIF($A$34:$A$63,L$2,$F$34:$F$63)=0,"",(SUMIF($A$34:$A$63,L$2,$F$34:$F$63)-$F$78)))</f>
        <v/>
      </c>
      <c r="M12" s="105" t="str">
        <f>IF($F$64=0,"",IF(SUMIF($A$34:$A$63,M$2,$F$34:$F$63)=0,"",(SUMIF($A$34:$A$63,M$2,$F$34:$F$63)-$F$79)))</f>
        <v/>
      </c>
      <c r="N12" s="393" t="str">
        <f>IF($F$64=0,"",IF(SUMIF($A$34:$A$63,N$2,$F$34:$F$63)=0,"",(SUMIF($A$34:$A$63,N$2,$F$34:$F$63)-$F$80)))</f>
        <v/>
      </c>
      <c r="O12" s="393" t="str">
        <f>IF($F$64=0,"",IF(SUMIF($A$34:$A$63,O$2,$F$34:$F$63)=0,"",(SUMIF($A$34:$A$63,O$2,$F$34:$F$63)-$F$81)))</f>
        <v/>
      </c>
      <c r="P12" s="393" t="str">
        <f>IF($F$64=0,"",IF(SUMIF($A$34:$A$63,P$2,$F$34:$F$63)=0,"",(SUMIF($A$34:$A$63,P$2,$F$34:$F$63)-$F$82)))</f>
        <v/>
      </c>
      <c r="Q12" s="393" t="str">
        <f>IF($F$64=0,"",IF(SUMIF($A$34:$A$63,Q$2,$F$34:$F$63)=0,"",(SUMIF($A$34:$A$63,Q$2,$F$34:$F$63)-$F$83)))</f>
        <v/>
      </c>
      <c r="R12" s="393" t="str">
        <f>IF($F$64=0,"",IF(SUMIF($A$34:$A$63,R$2,$F$34:$F$63)=0,"",(SUMIF($A$34:$A$63,R$2,$F$34:$F$63)-$F$84)))</f>
        <v/>
      </c>
      <c r="S12" s="393" t="str">
        <f>IF($F$64=0,"",IF(SUMIF($A$34:$A$63,S$2,$F$34:$F$63)=0,"",(SUMIF($A$34:$A$63,S$2,$F$34:$F$63)-$F$85)))</f>
        <v/>
      </c>
      <c r="T12" s="393" t="str">
        <f>IF($F$64=0,"",IF(SUMIF($A$34:$A$63,T$2,$F$34:$F$63)=0,"",(SUMIF($A$34:$A$63,T$2,$F$34:$F$63)-$F$86)))</f>
        <v/>
      </c>
      <c r="U12" s="393" t="str">
        <f>IF($F$64=0,"",IF(SUMIF($A$34:$A$63,U$2,$F$34:$F$63)=0,"",(SUMIF($A$34:$A$63,U$2,$F$34:$F$63)-$F$87)))</f>
        <v/>
      </c>
      <c r="V12" s="393" t="str">
        <f>IF($F$64=0,"",IF(SUMIF($A$34:$A$63,V$2,$F$34:$F$63)=0,"",(SUMIF($A$34:$A$63,V$2,$F$34:$F$63)-$F$88)))</f>
        <v/>
      </c>
      <c r="W12" s="393" t="str">
        <f>IF($F$64=0,"",IF(SUMIF($A$34:$A$63,W$2,$F$34:$F$63)=0,"",(SUMIF($A$34:$A$63,W$2,$F$34:$F$63)-$F$89)))</f>
        <v/>
      </c>
      <c r="X12" s="393" t="str">
        <f>IF($F$64=0,"",IF(SUMIF($A$34:$A$63,X$2,$F$34:$F$63)=0,"",(SUMIF($A$34:$A$63,X$2,$F$34:$F$63)-$F$90)))</f>
        <v/>
      </c>
      <c r="Y12" s="393" t="str">
        <f>IF($F$64=0,"",IF(SUMIF($A$34:$A$63,Y$2,$F$34:$F$63)=0,"",(SUMIF($A$34:$A$63,Y$2,$F$34:$F$63)-$F$91)))</f>
        <v/>
      </c>
      <c r="Z12" s="393" t="str">
        <f>IF($F$64=0,"",IF(SUMIF($A$34:$A$63,Z$2,$F$34:$F$63)=0,"",(SUMIF($A$34:$A$63,Z$2,$F$34:$F$63)-$F$92)))</f>
        <v/>
      </c>
      <c r="AA12" s="393" t="str">
        <f>IF($F$64=0,"",IF(SUMIF($A$34:$A$63,AA$2,$F$34:$F$63)=0,"",(SUMIF($A$34:$A$63,AA$2,$F$34:$F$63)-$F$93)))</f>
        <v/>
      </c>
      <c r="AB12" s="393" t="str">
        <f>IF($F$64=0,"",IF(SUMIF($A$34:$A$63,AB$2,$F$34:$F$63)=0,"",(SUMIF($A$34:$A$63,AB$2,$F$34:$F$63)-$F$94)))</f>
        <v/>
      </c>
      <c r="AC12" s="393" t="str">
        <f>IF($F$64=0,"",IF(SUMIF($A$34:$A$63,AC$2,$F$34:$F$63)=0,"",(SUMIF($A$34:$A$63,AC$2,$F$34:$F$63)-$F$95)))</f>
        <v/>
      </c>
      <c r="AD12" s="393" t="str">
        <f>IF($F$64=0,"",IF(SUMIF($A$34:$A$63,AD$2,$F$34:$F$63)=0,"",(SUMIF($A$34:$A$63,AD$2,$F$34:$F$63)-$F$96)))</f>
        <v/>
      </c>
      <c r="AE12" s="393" t="str">
        <f>IF($F$64=0,"",IF(SUMIF($A$34:$A$63,AE$2,$F$34:$F$63)=0,"",(SUMIF($A$34:$A$63,AE$2,$F$34:$F$63)-$F$97)))</f>
        <v/>
      </c>
      <c r="AF12" s="393" t="str">
        <f>IF($F$64=0,"",IF(SUMIF($A$34:$A$63,AF$2,$F$34:$F$63)=0,"",(SUMIF($A$34:$A$63,AF$2,$F$34:$F$63)-$F$98)))</f>
        <v/>
      </c>
      <c r="AG12" s="393" t="str">
        <f>IF($F$64=0,"",IF(SUMIF($A$34:$A$63,AG$2,$F$34:$F$63)=0,"",(SUMIF($A$34:$A$63,AG$2,$F$34:$F$63)-$F$99)))</f>
        <v/>
      </c>
      <c r="AH12" s="393" t="str">
        <f>IF($F$64=0,"",IF(SUMIF($A$34:$A$63,AH$2,$F$34:$F$63)=0,"",(SUMIF($A$34:$A$63,AH$2,$F$34:$F$63)-$F$100)))</f>
        <v/>
      </c>
      <c r="AI12" s="402"/>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7"/>
      <c r="DS12" s="317"/>
      <c r="DT12" s="317"/>
      <c r="DU12" s="317"/>
      <c r="DV12" s="317"/>
      <c r="DW12" s="317"/>
      <c r="DX12" s="317"/>
      <c r="DY12" s="317"/>
      <c r="DZ12" s="317"/>
      <c r="EA12" s="317"/>
      <c r="EB12" s="317"/>
      <c r="EC12" s="317"/>
      <c r="ED12" s="317"/>
      <c r="EE12" s="317"/>
      <c r="EF12" s="317"/>
      <c r="EG12" s="317"/>
      <c r="EH12" s="317"/>
      <c r="EI12" s="317"/>
      <c r="EJ12" s="317"/>
      <c r="EK12" s="317"/>
      <c r="EL12" s="317"/>
      <c r="EM12" s="317"/>
      <c r="EN12" s="317"/>
      <c r="EO12" s="317"/>
      <c r="EP12" s="317"/>
      <c r="EQ12" s="317"/>
      <c r="ER12" s="317"/>
      <c r="ES12" s="317"/>
      <c r="ET12" s="317"/>
      <c r="EU12" s="317"/>
      <c r="EV12" s="317"/>
      <c r="EW12" s="317"/>
      <c r="EX12" s="317"/>
    </row>
    <row r="13" spans="1:154" ht="39">
      <c r="A13" s="897"/>
      <c r="B13" s="812"/>
      <c r="C13" s="115" t="s">
        <v>2438</v>
      </c>
      <c r="D13" s="107">
        <f t="shared" si="0"/>
        <v>0</v>
      </c>
      <c r="E13" s="107" t="str">
        <f>IF($G$64=0,"",IF(SUMIF($A$34:$A$63,E$2,$G$34:$G$63)=0,"",(SUMIF($A$34:$A$63,E$2,$G$34:$G$63)-$G$71)))</f>
        <v/>
      </c>
      <c r="F13" s="116" t="str">
        <f>IF($G$64=0,"",IF(SUMIF($A$34:$A$63,F$2,$G$34:$G$63)=0,"",(SUMIF($A$34:$A$63,F$2,$G$34:$G$63)-$G$72)))</f>
        <v/>
      </c>
      <c r="G13" s="106" t="str">
        <f>IF($G$64=0,"",IF(SUMIF($A$34:$A$63,G$2,$G$34:$G$63)=0,"",(SUMIF($A$34:$A$63,G$2,$G$34:$G$63)-$G$73)))</f>
        <v/>
      </c>
      <c r="H13" s="106" t="str">
        <f>IF($G$64=0,"",IF(SUMIF($A$34:$A$63,H$2,$G$34:$G$63)=0,"",(SUMIF($A$34:$A$63,H$2,$G$34:$G$63)-$G$74)))</f>
        <v/>
      </c>
      <c r="I13" s="106" t="str">
        <f>IF($G$64=0,"",IF(SUMIF($A$34:$A$63,I$2,$G$34:$G$63)=0,"",(SUMIF($A$34:$A$63,I$2,$G$34:$G$63)-$G$75)))</f>
        <v/>
      </c>
      <c r="J13" s="226" t="str">
        <f>IF($G$64=0,"",IF(SUMIF($A$34:$A$63,J$2,$G$34:$G$63)=0,"",(SUMIF($A$34:$A$63,J$2,$G$34:$G$63)-$G$76)))</f>
        <v/>
      </c>
      <c r="K13" s="116" t="str">
        <f>IF($G$64=0,"",IF(SUMIF($A$34:$A$63,K$2,$G$34:$G$63)=0,"",(SUMIF($A$34:$A$63,K$2,$G$34:$G$63)-$G$77)))</f>
        <v/>
      </c>
      <c r="L13" s="106" t="str">
        <f>IF($G$64=0,"",IF(SUMIF($A$34:$A$63,L$2,$G$34:$G$63)=0,"",(SUMIF($A$34:$A$63,L$2,$G$34:$G$63)-$G$78)))</f>
        <v/>
      </c>
      <c r="M13" s="106" t="str">
        <f>IF($G$64=0,"",IF(SUMIF($A$34:$A$63,M$2,$G$34:$G$63)=0,"",(SUMIF($A$34:$A$63,M$2,$G$34:$G$63)-$G$79)))</f>
        <v/>
      </c>
      <c r="N13" s="372" t="str">
        <f>IF($G$64=0,"",IF(SUMIF($A$34:$A$63,N$2,$G$34:$G$63)=0,"",(SUMIF($A$34:$A$63,N$2,$G$34:$G$63)-$G$80)))</f>
        <v/>
      </c>
      <c r="O13" s="372" t="str">
        <f>IF($G$64=0,"",IF(SUMIF($A$34:$A$63,O$2,$G$34:$G$63)=0,"",(SUMIF($A$34:$A$63,O$2,$G$34:$G$63)-$G$81)))</f>
        <v/>
      </c>
      <c r="P13" s="372" t="str">
        <f>IF($G$64=0,"",IF(SUMIF($A$34:$A$63,P$2,$G$34:$G$63)=0,"",(SUMIF($A$34:$A$63,P$2,$G$34:$G$63)-$G$82)))</f>
        <v/>
      </c>
      <c r="Q13" s="372" t="str">
        <f>IF($G$64=0,"",IF(SUMIF($A$34:$A$63,Q$2,$G$34:$G$63)=0,"",(SUMIF($A$34:$A$63,Q$2,$G$34:$G$63)-$G$83)))</f>
        <v/>
      </c>
      <c r="R13" s="372" t="str">
        <f>IF($G$64=0,"",IF(SUMIF($A$34:$A$63,R$2,$G$34:$G$63)=0,"",(SUMIF($A$34:$A$63,R$2,$G$34:$G$63)-$G$84)))</f>
        <v/>
      </c>
      <c r="S13" s="372" t="str">
        <f>IF($G$64=0,"",IF(SUMIF($A$34:$A$63,S$2,$G$34:$G$63)=0,"",(SUMIF($A$34:$A$63,S$2,$G$34:$G$63)-$G$85)))</f>
        <v/>
      </c>
      <c r="T13" s="372" t="str">
        <f>IF($G$64=0,"",IF(SUMIF($A$34:$A$63,T$2,$G$34:$G$63)=0,"",(SUMIF($A$34:$A$63,T$2,$G$34:$G$63)-$G$86)))</f>
        <v/>
      </c>
      <c r="U13" s="372" t="str">
        <f>IF($G$64=0,"",IF(SUMIF($A$34:$A$63,U$2,$G$34:$G$63)=0,"",(SUMIF($A$34:$A$63,U$2,$G$34:$G$63)-$G$87)))</f>
        <v/>
      </c>
      <c r="V13" s="372" t="str">
        <f>IF($G$64=0,"",IF(SUMIF($A$34:$A$63,V$2,$G$34:$G$63)=0,"",(SUMIF($A$34:$A$63,V$2,$G$34:$G$63)-$G$88)))</f>
        <v/>
      </c>
      <c r="W13" s="372" t="str">
        <f>IF($G$64=0,"",IF(SUMIF($A$34:$A$63,W$2,$G$34:$G$63)=0,"",(SUMIF($A$34:$A$63,W$2,$G$34:$G$63)-$G$89)))</f>
        <v/>
      </c>
      <c r="X13" s="372" t="str">
        <f>IF($G$64=0,"",IF(SUMIF($A$34:$A$63,X$2,$G$34:$G$63)=0,"",(SUMIF($A$34:$A$63,X$2,$G$34:$G$63)-$G$90)))</f>
        <v/>
      </c>
      <c r="Y13" s="372" t="str">
        <f>IF($G$64=0,"",IF(SUMIF($A$34:$A$63,Y$2,$G$34:$G$63)=0,"",(SUMIF($A$34:$A$63,Y$2,$G$34:$G$63)-$G$91)))</f>
        <v/>
      </c>
      <c r="Z13" s="372" t="str">
        <f>IF($G$64=0,"",IF(SUMIF($A$34:$A$63,Z$2,$G$34:$G$63)=0,"",(SUMIF($A$34:$A$63,Z$2,$G$34:$G$63)-$G$92)))</f>
        <v/>
      </c>
      <c r="AA13" s="372" t="str">
        <f>IF($G$64=0,"",IF(SUMIF($A$34:$A$63,AA$2,$G$34:$G$63)=0,"",(SUMIF($A$34:$A$63,AA$2,$G$34:$G$63)-$G$93)))</f>
        <v/>
      </c>
      <c r="AB13" s="372" t="str">
        <f>IF($G$64=0,"",IF(SUMIF($A$34:$A$63,AB$2,$G$34:$G$63)=0,"",(SUMIF($A$34:$A$63,AB$2,$G$34:$G$63)-$G$94)))</f>
        <v/>
      </c>
      <c r="AC13" s="372" t="str">
        <f>IF($G$64=0,"",IF(SUMIF($A$34:$A$63,AC$2,$G$34:$G$63)=0,"",(SUMIF($A$34:$A$63,AC$2,$G$34:$G$63)-$G$95)))</f>
        <v/>
      </c>
      <c r="AD13" s="372" t="str">
        <f>IF($G$64=0,"",IF(SUMIF($A$34:$A$63,AD$2,$G$34:$G$63)=0,"",(SUMIF($A$34:$A$63,AD$2,$G$34:$G$63)-$G$96)))</f>
        <v/>
      </c>
      <c r="AE13" s="372" t="str">
        <f>IF($G$64=0,"",IF(SUMIF($A$34:$A$63,AE$2,$G$34:$G$63)=0,"",(SUMIF($A$34:$A$63,AE$2,$G$34:$G$63)-$G$97)))</f>
        <v/>
      </c>
      <c r="AF13" s="372" t="str">
        <f>IF($G$64=0,"",IF(SUMIF($A$34:$A$63,AF$2,$G$34:$G$63)=0,"",(SUMIF($A$34:$A$63,AF$2,$G$34:$G$63)-$G$98)))</f>
        <v/>
      </c>
      <c r="AG13" s="372" t="str">
        <f>IF($G$64=0,"",IF(SUMIF($A$34:$A$63,AG$2,$G$34:$G$63)=0,"",(SUMIF($A$34:$A$63,AG$2,$G$34:$G$63)-$G$99)))</f>
        <v/>
      </c>
      <c r="AH13" s="372" t="str">
        <f>IF($G$64=0,"",IF(SUMIF($A$34:$A$63,AH$2,$G$34:$G$63)=0,"",(SUMIF($A$34:$A$63,AH$2,$G$34:$G$63)-$G$100)))</f>
        <v/>
      </c>
      <c r="AI13" s="402"/>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row>
    <row r="14" spans="1:154" ht="39">
      <c r="A14" s="897"/>
      <c r="B14" s="812"/>
      <c r="C14" s="115" t="s">
        <v>2439</v>
      </c>
      <c r="D14" s="107">
        <f t="shared" si="0"/>
        <v>0</v>
      </c>
      <c r="E14" s="107" t="str">
        <f>IF($H$64=0,"",IF(SUMIF($A$34:$A$63,E$2,$H$34:$H$63)=0,"",(SUMIF($A$34:$A$63,E$2,$H$34:$H$63)-$H$71)))</f>
        <v/>
      </c>
      <c r="F14" s="116" t="str">
        <f>IF($H$64=0,"",IF(SUMIF($A$34:$A$63,F$2,$H$34:$H$63)=0,"",(SUMIF($A$34:$A$63,F$2,$H$34:$H$63)-$H$72)))</f>
        <v/>
      </c>
      <c r="G14" s="106" t="str">
        <f>IF($H$64=0,"",IF(SUMIF($A$34:$A$63,G$2,$H$34:$H$63)=0,"",(SUMIF($A$34:$A$63,G$2,$H$34:$H$63)-$H$73)))</f>
        <v/>
      </c>
      <c r="H14" s="106" t="str">
        <f>IF($H$64=0,"",IF(SUMIF($A$34:$A$63,H$2,$H$34:$H$63)=0,"",(SUMIF($A$34:$A$63,H$2,$H$34:$H$63)-$H$74)))</f>
        <v/>
      </c>
      <c r="I14" s="106" t="str">
        <f>IF($H$64=0,"",IF(SUMIF($A$34:$A$63,I$2,$H$34:$H$63)=0,"",(SUMIF($A$34:$A$63,I$2,$H$34:$H$63)-$H$75)))</f>
        <v/>
      </c>
      <c r="J14" s="226" t="str">
        <f>IF($H$64=0,"",IF(SUMIF($A$34:$A$63,J$2,$H$34:$H$63)=0,"",(SUMIF($A$34:$A$63,J$2,$H$34:$H$63)-$H$76)))</f>
        <v/>
      </c>
      <c r="K14" s="116" t="str">
        <f>IF($H$64=0,"",IF(SUMIF($A$34:$A$63,K$2,$H$34:$H$63)=0,"",(SUMIF($A$34:$A$63,K$2,$H$34:$H$63)-$H$77)))</f>
        <v/>
      </c>
      <c r="L14" s="106" t="str">
        <f>IF($H$64=0,"",IF(SUMIF($A$34:$A$63,L$2,$H$34:$H$63)=0,"",(SUMIF($A$34:$A$63,L$2,$H$34:$H$63)-$H$78)))</f>
        <v/>
      </c>
      <c r="M14" s="106" t="str">
        <f>IF($H$64=0,"",IF(SUMIF($A$34:$A$63,M$2,$H$34:$H$63)=0,"",(SUMIF($A$34:$A$63,M$2,$H$34:$H$63)-$H$79)))</f>
        <v/>
      </c>
      <c r="N14" s="372" t="str">
        <f>IF($H$64=0,"",IF(SUMIF($A$34:$A$63,N$2,$H$34:$H$63)=0,"",(SUMIF($A$34:$A$63,N$2,$H$34:$H$63)-$H$80)))</f>
        <v/>
      </c>
      <c r="O14" s="372" t="str">
        <f>IF($H$64=0,"",IF(SUMIF($A$34:$A$63,O$2,$H$34:$H$63)=0,"",(SUMIF($A$34:$A$63,O$2,$H$34:$H$63)-$H$81)))</f>
        <v/>
      </c>
      <c r="P14" s="372" t="str">
        <f>IF($H$64=0,"",IF(SUMIF($A$34:$A$63,P$2,$H$34:$H$63)=0,"",(SUMIF($A$34:$A$63,P$2,$H$34:$H$63)-$H$82)))</f>
        <v/>
      </c>
      <c r="Q14" s="372" t="str">
        <f>IF($H$64=0,"",IF(SUMIF($A$34:$A$63,Q$2,$H$34:$H$63)=0,"",(SUMIF($A$34:$A$63,Q$2,$H$34:$H$63)-$H$83)))</f>
        <v/>
      </c>
      <c r="R14" s="372" t="str">
        <f>IF($H$64=0,"",IF(SUMIF($A$34:$A$63,R$2,$H$34:$H$63)=0,"",(SUMIF($A$34:$A$63,R$2,$H$34:$H$63)-$H$84)))</f>
        <v/>
      </c>
      <c r="S14" s="372" t="str">
        <f>IF($H$64=0,"",IF(SUMIF($A$34:$A$63,S$2,$H$34:$H$63)=0,"",(SUMIF($A$34:$A$63,S$2,$H$34:$H$63)-$H$85)))</f>
        <v/>
      </c>
      <c r="T14" s="372" t="str">
        <f>IF($H$64=0,"",IF(SUMIF($A$34:$A$63,T$2,$H$34:$H$63)=0,"",(SUMIF($A$34:$A$63,T$2,$H$34:$H$63)-$H$86)))</f>
        <v/>
      </c>
      <c r="U14" s="372" t="str">
        <f>IF($H$64=0,"",IF(SUMIF($A$34:$A$63,U$2,$H$34:$H$63)=0,"",(SUMIF($A$34:$A$63,U$2,$H$34:$H$63)-$H$87)))</f>
        <v/>
      </c>
      <c r="V14" s="372" t="str">
        <f>IF($H$64=0,"",IF(SUMIF($A$34:$A$63,V$2,$H$34:$H$63)=0,"",(SUMIF($A$34:$A$63,V$2,$H$34:$H$63)-$H$88)))</f>
        <v/>
      </c>
      <c r="W14" s="372" t="str">
        <f>IF($H$64=0,"",IF(SUMIF($A$34:$A$63,W$2,$H$34:$H$63)=0,"",(SUMIF($A$34:$A$63,W$2,$H$34:$H$63)-$H$89)))</f>
        <v/>
      </c>
      <c r="X14" s="372" t="str">
        <f>IF($H$64=0,"",IF(SUMIF($A$34:$A$63,X$2,$H$34:$H$63)=0,"",(SUMIF($A$34:$A$63,X$2,$H$34:$H$63)-$H$90)))</f>
        <v/>
      </c>
      <c r="Y14" s="372" t="str">
        <f>IF($H$64=0,"",IF(SUMIF($A$34:$A$63,Y$2,$H$34:$H$63)=0,"",(SUMIF($A$34:$A$63,Y$2,$H$34:$H$63)-$H$91)))</f>
        <v/>
      </c>
      <c r="Z14" s="372" t="str">
        <f>IF($H$64=0,"",IF(SUMIF($A$34:$A$63,Z$2,$H$34:$H$63)=0,"",(SUMIF($A$34:$A$63,Z$2,$H$34:$H$63)-$H$92)))</f>
        <v/>
      </c>
      <c r="AA14" s="372" t="str">
        <f>IF($H$64=0,"",IF(SUMIF($A$34:$A$63,AA$2,$H$34:$H$63)=0,"",(SUMIF($A$34:$A$63,AA$2,$H$34:$H$63)-$H$93)))</f>
        <v/>
      </c>
      <c r="AB14" s="372" t="str">
        <f>IF($H$64=0,"",IF(SUMIF($A$34:$A$63,AB$2,$H$34:$H$63)=0,"",(SUMIF($A$34:$A$63,AB$2,$H$34:$H$63)-$H$94)))</f>
        <v/>
      </c>
      <c r="AC14" s="372" t="str">
        <f>IF($H$64=0,"",IF(SUMIF($A$34:$A$63,AC$2,$H$34:$H$63)=0,"",(SUMIF($A$34:$A$63,AC$2,$H$34:$H$63)-$H$95)))</f>
        <v/>
      </c>
      <c r="AD14" s="372" t="str">
        <f>IF($H$64=0,"",IF(SUMIF($A$34:$A$63,AD$2,$H$34:$H$63)=0,"",(SUMIF($A$34:$A$63,AD$2,$H$34:$H$63)-$H$96)))</f>
        <v/>
      </c>
      <c r="AE14" s="372" t="str">
        <f>IF($H$64=0,"",IF(SUMIF($A$34:$A$63,AE$2,$H$34:$H$63)=0,"",(SUMIF($A$34:$A$63,AE$2,$H$34:$H$63)-$H$97)))</f>
        <v/>
      </c>
      <c r="AF14" s="372" t="str">
        <f>IF($H$64=0,"",IF(SUMIF($A$34:$A$63,AF$2,$H$34:$H$63)=0,"",(SUMIF($A$34:$A$63,AF$2,$H$34:$H$63)-$H$98)))</f>
        <v/>
      </c>
      <c r="AG14" s="372" t="str">
        <f>IF($H$64=0,"",IF(SUMIF($A$34:$A$63,AG$2,$H$34:$H$63)=0,"",(SUMIF($A$34:$A$63,AG$2,$H$34:$H$63)-$H$99)))</f>
        <v/>
      </c>
      <c r="AH14" s="372" t="str">
        <f>IF($H$64=0,"",IF(SUMIF($A$34:$A$63,AH$2,$H$34:$H$63)=0,"",(SUMIF($A$34:$A$63,AH$2,$H$34:$H$63)-$H$100)))</f>
        <v/>
      </c>
      <c r="AI14" s="402"/>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row>
    <row r="15" spans="1:154" ht="13.5" thickBot="1">
      <c r="A15" s="898"/>
      <c r="B15" s="814"/>
      <c r="C15" s="115" t="s">
        <v>2440</v>
      </c>
      <c r="D15" s="107">
        <f t="shared" si="0"/>
        <v>0</v>
      </c>
      <c r="E15" s="107" t="str">
        <f>IF($I$64=0,"",IF(SUMIF($A$34:$A$63,E$2,$I$34:$I$63)=0,"",(SUMIF($A$34:$A$63,E$2,$I$34:$I$63)-$I$71)))</f>
        <v/>
      </c>
      <c r="F15" s="116" t="str">
        <f>IF($I$64=0,"",IF(SUMIF($A$34:$A$63,F$2,$I$34:$I$63)=0,"",(SUMIF($A$34:$A$63,F$2,$I$34:$I$63)-$I$72)))</f>
        <v/>
      </c>
      <c r="G15" s="106" t="str">
        <f>IF($I$64=0,"",IF(SUMIF($A$34:$A$63,G$2,$I$34:$I$63)=0,"",(SUMIF($A$34:$A$63,G$2,$I$34:$I$63)-$I$73)))</f>
        <v/>
      </c>
      <c r="H15" s="106" t="str">
        <f>IF($I$64=0,"",IF(SUMIF($A$34:$A$63,H$2,$I$34:$I$63)=0,"",(SUMIF($A$34:$A$63,H$2,$I$34:$I$63)-$I$74)))</f>
        <v/>
      </c>
      <c r="I15" s="106" t="str">
        <f>IF($I$64=0,"",IF(SUMIF($A$34:$A$63,I$2,$I$34:$I$63)=0,"",(SUMIF($A$34:$A$63,I$2,$I$34:$I$63)-$I$75)))</f>
        <v/>
      </c>
      <c r="J15" s="226" t="str">
        <f>IF($I$64=0,"",IF(SUMIF($A$34:$A$63,J$2,$I$34:$I$63)=0,"",(SUMIF($A$34:$A$63,J$2,$I$34:$I$63)-$I$76)))</f>
        <v/>
      </c>
      <c r="K15" s="116" t="str">
        <f>IF($I$64=0,"",IF(SUMIF($A$34:$A$63,K$2,$I$34:$I$63)=0,"",(SUMIF($A$34:$A$63,K$2,$I$34:$I$63)-$I$77)))</f>
        <v/>
      </c>
      <c r="L15" s="106" t="str">
        <f>IF($I$64=0,"",IF(SUMIF($A$34:$A$63,L$2,$I$34:$I$63)=0,"",(SUMIF($A$34:$A$63,L$2,$I$34:$I$63)-$I$78)))</f>
        <v/>
      </c>
      <c r="M15" s="106" t="str">
        <f>IF($I$64=0,"",IF(SUMIF($A$34:$A$63,M$2,$I$34:$I$63)=0,"",(SUMIF($A$34:$A$63,M$2,$I$34:$I$63)-$I$79)))</f>
        <v/>
      </c>
      <c r="N15" s="372" t="str">
        <f>IF($I$64=0,"",IF(SUMIF($A$34:$A$63,N$2,$I$34:$I$63)=0,"",(SUMIF($A$34:$A$63,N$2,$I$34:$I$63)-$I$80)))</f>
        <v/>
      </c>
      <c r="O15" s="372" t="str">
        <f>IF($I$64=0,"",IF(SUMIF($A$34:$A$63,O$2,$I$34:$I$63)=0,"",(SUMIF($A$34:$A$63,O$2,$I$34:$I$63)-$I$81)))</f>
        <v/>
      </c>
      <c r="P15" s="372" t="str">
        <f>IF($I$64=0,"",IF(SUMIF($A$34:$A$63,P$2,$I$34:$I$63)=0,"",(SUMIF($A$34:$A$63,P$2,$I$34:$I$63)-$I$82)))</f>
        <v/>
      </c>
      <c r="Q15" s="372" t="str">
        <f>IF($I$64=0,"",IF(SUMIF($A$34:$A$63,Q$2,$I$34:$I$63)=0,"",(SUMIF($A$34:$A$63,Q$2,$I$34:$I$63)-$I$83)))</f>
        <v/>
      </c>
      <c r="R15" s="372" t="str">
        <f>IF($I$64=0,"",IF(SUMIF($A$34:$A$63,R$2,$I$34:$I$63)=0,"",(SUMIF($A$34:$A$63,R$2,$I$34:$I$63)-$I$84)))</f>
        <v/>
      </c>
      <c r="S15" s="372" t="str">
        <f>IF($I$64=0,"",IF(SUMIF($A$34:$A$63,S$2,$I$34:$I$63)=0,"",(SUMIF($A$34:$A$63,S$2,$I$34:$I$63)-$I$85)))</f>
        <v/>
      </c>
      <c r="T15" s="372" t="str">
        <f>IF($I$64=0,"",IF(SUMIF($A$34:$A$63,T$2,$I$34:$I$63)=0,"",(SUMIF($A$34:$A$63,T$2,$I$34:$I$63)-$I$86)))</f>
        <v/>
      </c>
      <c r="U15" s="372" t="str">
        <f>IF($I$64=0,"",IF(SUMIF($A$34:$A$63,U$2,$I$34:$I$63)=0,"",(SUMIF($A$34:$A$63,U$2,$I$34:$I$63)-$I$87)))</f>
        <v/>
      </c>
      <c r="V15" s="372" t="str">
        <f>IF($I$64=0,"",IF(SUMIF($A$34:$A$63,V$2,$I$34:$I$63)=0,"",(SUMIF($A$34:$A$63,V$2,$I$34:$I$63)-$I$88)))</f>
        <v/>
      </c>
      <c r="W15" s="372" t="str">
        <f>IF($I$64=0,"",IF(SUMIF($A$34:$A$63,W$2,$I$34:$I$63)=0,"",(SUMIF($A$34:$A$63,W$2,$I$34:$I$63)-$I$89)))</f>
        <v/>
      </c>
      <c r="X15" s="372" t="str">
        <f>IF($I$64=0,"",IF(SUMIF($A$34:$A$63,X$2,$I$34:$I$63)=0,"",(SUMIF($A$34:$A$63,X$2,$I$34:$I$63)-$I$90)))</f>
        <v/>
      </c>
      <c r="Y15" s="372" t="str">
        <f>IF($I$64=0,"",IF(SUMIF($A$34:$A$63,Y$2,$I$34:$I$63)=0,"",(SUMIF($A$34:$A$63,Y$2,$I$34:$I$63)-$I$91)))</f>
        <v/>
      </c>
      <c r="Z15" s="372" t="str">
        <f>IF($I$64=0,"",IF(SUMIF($A$34:$A$63,Z$2,$I$34:$I$63)=0,"",(SUMIF($A$34:$A$63,Z$2,$I$34:$I$63)-$I$92)))</f>
        <v/>
      </c>
      <c r="AA15" s="372" t="str">
        <f>IF($I$64=0,"",IF(SUMIF($A$34:$A$63,AA$2,$I$34:$I$63)=0,"",(SUMIF($A$34:$A$63,AA$2,$I$34:$I$63)-$I$93)))</f>
        <v/>
      </c>
      <c r="AB15" s="372" t="str">
        <f>IF($I$64=0,"",IF(SUMIF($A$34:$A$63,AB$2,$I$34:$I$63)=0,"",(SUMIF($A$34:$A$63,AB$2,$I$34:$I$63)-$I$94)))</f>
        <v/>
      </c>
      <c r="AC15" s="372" t="str">
        <f>IF($I$64=0,"",IF(SUMIF($A$34:$A$63,AC$2,$I$34:$I$63)=0,"",(SUMIF($A$34:$A$63,AC$2,$I$34:$I$63)-$I$95)))</f>
        <v/>
      </c>
      <c r="AD15" s="372" t="str">
        <f>IF($I$64=0,"",IF(SUMIF($A$34:$A$63,AD$2,$I$34:$I$63)=0,"",(SUMIF($A$34:$A$63,AD$2,$I$34:$I$63)-$I$96)))</f>
        <v/>
      </c>
      <c r="AE15" s="372" t="str">
        <f>IF($I$64=0,"",IF(SUMIF($A$34:$A$63,AE$2,$I$34:$I$63)=0,"",(SUMIF($A$34:$A$63,AE$2,$I$34:$I$63)-$I$97)))</f>
        <v/>
      </c>
      <c r="AF15" s="372" t="str">
        <f>IF($I$64=0,"",IF(SUMIF($A$34:$A$63,AF$2,$I$34:$I$63)=0,"",(SUMIF($A$34:$A$63,AF$2,$I$34:$I$63)-$I$98)))</f>
        <v/>
      </c>
      <c r="AG15" s="372" t="str">
        <f>IF($I$64=0,"",IF(SUMIF($A$34:$A$63,AG$2,$I$34:$I$63)=0,"",(SUMIF($A$34:$A$63,AG$2,$I$34:$I$63)-$I$99)))</f>
        <v/>
      </c>
      <c r="AH15" s="372" t="str">
        <f>IF($I$64=0,"",IF(SUMIF($A$34:$A$63,AH$2,$I$34:$I$63)=0,"",(SUMIF($A$34:$A$63,AH$2,$I$34:$I$63)-$I$100)))</f>
        <v/>
      </c>
      <c r="AI15" s="402"/>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row>
    <row r="16" spans="1:154" ht="26">
      <c r="A16" s="896" t="s">
        <v>207</v>
      </c>
      <c r="B16" s="696"/>
      <c r="C16" s="113" t="s">
        <v>2437</v>
      </c>
      <c r="D16" s="104">
        <f t="shared" si="0"/>
        <v>0</v>
      </c>
      <c r="E16" s="104" t="str">
        <f>IF($J$64=0,"",IF(SUMIF($A$34:$A$63,E$2,$J$34:$J$63)=0,"",(SUMIF($A$34:$A$63,E$2,$J$34:$J$63)-$J$71)))</f>
        <v/>
      </c>
      <c r="F16" s="114" t="str">
        <f>IF($J$64=0,"",IF(SUMIF($A$34:$A$63,F$2,$J$34:$J$63)=0,"",(SUMIF($A$34:$A$63,F$2,$J$34:$J$63)-$J$72)))</f>
        <v/>
      </c>
      <c r="G16" s="105" t="str">
        <f>IF($J$64=0,"",IF(SUMIF($A$34:$A$63,G$2,$J$34:$J$63)=0,"",(SUMIF($A$34:$A$63,G$2,$J$34:$J$63)-$J$73)))</f>
        <v/>
      </c>
      <c r="H16" s="105" t="str">
        <f>IF($J$64=0,"",IF(SUMIF($A$34:$A$63,H$2,$J$34:$J$63)=0,"",(SUMIF($A$34:$A$63,H$2,$J$34:$J$63)-$J$74)))</f>
        <v/>
      </c>
      <c r="I16" s="105" t="str">
        <f>IF($J$64=0,"",IF(SUMIF($A$34:$A$63,I$2,$J$34:$J$63)=0,"",(SUMIF($A$34:$A$63,I$2,$J$34:$J$63)-$J$75)))</f>
        <v/>
      </c>
      <c r="J16" s="114" t="str">
        <f>IF($J$64=0,"",IF(SUMIF($A$34:$A$63,J$2,$J$34:$J$63)=0,"",(SUMIF($A$34:$A$63,J$2,$J$34:$J$63)-$J$76)))</f>
        <v/>
      </c>
      <c r="K16" s="114" t="str">
        <f>IF($J$64=0,"",IF(SUMIF($A$34:$A$63,K$2,$J$34:$J$63)=0,"",(SUMIF($A$34:$A$63,K$2,$J$34:$J$63)-$J$77)))</f>
        <v/>
      </c>
      <c r="L16" s="105" t="str">
        <f>IF($J$64=0,"",IF(SUMIF($A$34:$A$63,L$2,$J$34:$J$63)=0,"",(SUMIF($A$34:$A$63,L$2,$J$34:$J$63)-$J$78)))</f>
        <v/>
      </c>
      <c r="M16" s="105" t="str">
        <f>IF($J$64=0,"",IF(SUMIF($A$34:$A$63,M$2,$J$34:$J$63)=0,"",(SUMIF($A$34:$A$63,M$2,$J$34:$J$63)-$J$79)))</f>
        <v/>
      </c>
      <c r="N16" s="393" t="str">
        <f>IF($J$64=0,"",IF(SUMIF($A$34:$A$63,N$2,$J$34:$J$63)=0,"",(SUMIF($A$34:$A$63,N$2,$J$34:$J$63)-$J$80)))</f>
        <v/>
      </c>
      <c r="O16" s="393" t="str">
        <f>IF($J$64=0,"",IF(SUMIF($A$34:$A$63,O$2,$J$34:$J$63)=0,"",(SUMIF($A$34:$A$63,O$2,$J$34:$J$63)-$J$81)))</f>
        <v/>
      </c>
      <c r="P16" s="393" t="str">
        <f>IF($J$64=0,"",IF(SUMIF($A$34:$A$63,P$2,$J$34:$J$63)=0,"",(SUMIF($A$34:$A$63,P$2,$J$34:$J$63)-$J$82)))</f>
        <v/>
      </c>
      <c r="Q16" s="393" t="str">
        <f>IF($J$64=0,"",IF(SUMIF($A$34:$A$63,Q$2,$J$34:$J$63)=0,"",(SUMIF($A$34:$A$63,Q$2,$J$34:$J$63)-$J$83)))</f>
        <v/>
      </c>
      <c r="R16" s="393" t="str">
        <f>IF($J$64=0,"",IF(SUMIF($A$34:$A$63,R$2,$J$34:$J$63)=0,"",(SUMIF($A$34:$A$63,R$2,$J$34:$J$63)-$J$84)))</f>
        <v/>
      </c>
      <c r="S16" s="393" t="str">
        <f>IF($J$64=0,"",IF(SUMIF($A$34:$A$63,S$2,$J$34:$J$63)=0,"",(SUMIF($A$34:$A$63,S$2,$J$34:$J$63)-$J$85)))</f>
        <v/>
      </c>
      <c r="T16" s="393" t="str">
        <f>IF($J$64=0,"",IF(SUMIF($A$34:$A$63,T$2,$J$34:$J$63)=0,"",(SUMIF($A$34:$A$63,T$2,$J$34:$J$63)-$J$86)))</f>
        <v/>
      </c>
      <c r="U16" s="393" t="str">
        <f>IF($J$64=0,"",IF(SUMIF($A$34:$A$63,U$2,$J$34:$J$63)=0,"",(SUMIF($A$34:$A$63,U$2,$J$34:$J$63)-$J$87)))</f>
        <v/>
      </c>
      <c r="V16" s="393" t="str">
        <f>IF($J$64=0,"",IF(SUMIF($A$34:$A$63,V$2,$J$34:$J$63)=0,"",(SUMIF($A$34:$A$63,V$2,$J$34:$J$63)-$J$88)))</f>
        <v/>
      </c>
      <c r="W16" s="393" t="str">
        <f>IF($J$64=0,"",IF(SUMIF($A$34:$A$63,W$2,$J$34:$J$63)=0,"",(SUMIF($A$34:$A$63,W$2,$J$34:$J$63)-$J$89)))</f>
        <v/>
      </c>
      <c r="X16" s="393" t="str">
        <f>IF($J$64=0,"",IF(SUMIF($A$34:$A$63,X$2,$J$34:$J$63)=0,"",(SUMIF($A$34:$A$63,X$2,$J$34:$J$63)-$J$90)))</f>
        <v/>
      </c>
      <c r="Y16" s="393" t="str">
        <f>IF($J$64=0,"",IF(SUMIF($A$34:$A$63,Y$2,$J$34:$J$63)=0,"",(SUMIF($A$34:$A$63,Y$2,$J$34:$J$63)-$J$91)))</f>
        <v/>
      </c>
      <c r="Z16" s="393" t="str">
        <f>IF($J$64=0,"",IF(SUMIF($A$34:$A$63,Z$2,$J$34:$J$63)=0,"",(SUMIF($A$34:$A$63,Z$2,$J$34:$J$63)-$J$92)))</f>
        <v/>
      </c>
      <c r="AA16" s="393" t="str">
        <f>IF($J$64=0,"",IF(SUMIF($A$34:$A$63,AA$2,$J$34:$J$63)=0,"",(SUMIF($A$34:$A$63,AA$2,$J$34:$J$63)-$J$93)))</f>
        <v/>
      </c>
      <c r="AB16" s="393" t="str">
        <f>IF($J$64=0,"",IF(SUMIF($A$34:$A$63,AB$2,$J$34:$J$63)=0,"",(SUMIF($A$34:$A$63,AB$2,$J$34:$J$63)-$J$94)))</f>
        <v/>
      </c>
      <c r="AC16" s="393" t="str">
        <f>IF($J$64=0,"",IF(SUMIF($A$34:$A$63,AC$2,$J$34:$J$63)=0,"",(SUMIF($A$34:$A$63,AC$2,$J$34:$J$63)-$J$95)))</f>
        <v/>
      </c>
      <c r="AD16" s="393" t="str">
        <f>IF($J$64=0,"",IF(SUMIF($A$34:$A$63,AD$2,$J$34:$J$63)=0,"",(SUMIF($A$34:$A$63,AD$2,$J$34:$J$63)-$J$96)))</f>
        <v/>
      </c>
      <c r="AE16" s="393" t="str">
        <f>IF($J$64=0,"",IF(SUMIF($A$34:$A$63,AE$2,$J$34:$J$63)=0,"",(SUMIF($A$34:$A$63,AE$2,$J$34:$J$63)-$J$97)))</f>
        <v/>
      </c>
      <c r="AF16" s="393" t="str">
        <f>IF($J$64=0,"",IF(SUMIF($A$34:$A$63,AF$2,$J$34:$J$63)=0,"",(SUMIF($A$34:$A$63,AF$2,$J$34:$J$63)-$J$98)))</f>
        <v/>
      </c>
      <c r="AG16" s="393" t="str">
        <f>IF($J$64=0,"",IF(SUMIF($A$34:$A$63,AG$2,$J$34:$J$63)=0,"",(SUMIF($A$34:$A$63,AG$2,$J$34:$J$63)-$J$99)))</f>
        <v/>
      </c>
      <c r="AH16" s="393" t="str">
        <f>IF($J$64=0,"",IF(SUMIF($A$34:$A$63,AH$2,$J$34:$J$63)=0,"",(SUMIF($A$34:$A$63,AH$2,$J$34:$J$63)-$J$100)))</f>
        <v/>
      </c>
      <c r="AI16" s="402"/>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7"/>
      <c r="EN16" s="317"/>
      <c r="EO16" s="317"/>
      <c r="EP16" s="317"/>
      <c r="EQ16" s="317"/>
      <c r="ER16" s="317"/>
      <c r="ES16" s="317"/>
      <c r="ET16" s="317"/>
      <c r="EU16" s="317"/>
      <c r="EV16" s="317"/>
      <c r="EW16" s="317"/>
      <c r="EX16" s="317"/>
    </row>
    <row r="17" spans="1:154" ht="39">
      <c r="A17" s="897"/>
      <c r="B17" s="812"/>
      <c r="C17" s="115" t="s">
        <v>2438</v>
      </c>
      <c r="D17" s="107">
        <f t="shared" si="0"/>
        <v>0</v>
      </c>
      <c r="E17" s="107" t="str">
        <f>IF($K$64=0,"",IF(SUMIF($A$34:$A$63,E$2,$K$34:$K$63)=0,"",(SUMIF($A$34:$A$63,E$2,$K$34:$K$63)-$K$71)))</f>
        <v/>
      </c>
      <c r="F17" s="116" t="str">
        <f>IF($K$64=0,"",IF(SUMIF($A$34:$A$63,F$2,$K$34:$K$63)=0,"",(SUMIF($A$34:$A$63,F$2,$K$34:$K$63)-$K$72)))</f>
        <v/>
      </c>
      <c r="G17" s="106" t="str">
        <f>IF($K$64=0,"",IF(SUMIF($A$34:$A$63,G$2,$K$34:$K$63)=0,"",(SUMIF($A$34:$A$63,G$2,$K$34:$K$63)-$K$73)))</f>
        <v/>
      </c>
      <c r="H17" s="106" t="str">
        <f>IF($K$64=0,"",IF(SUMIF($A$34:$A$63,H$2,$K$34:$K$63)=0,"",(SUMIF($A$34:$A$63,H$2,$K$34:$K$63)-$K$74)))</f>
        <v/>
      </c>
      <c r="I17" s="106" t="str">
        <f>IF($K$64=0,"",IF(SUMIF($A$34:$A$63,I$2,$K$34:$K$63)=0,"",(SUMIF($A$34:$A$63,I$2,$K$34:$K$63)-$K$75)))</f>
        <v/>
      </c>
      <c r="J17" s="226" t="str">
        <f>IF($K$64=0,"",IF(SUMIF($A$34:$A$63,J$2,$K$34:$K$63)=0,"",(SUMIF($A$34:$A$63,J$2,$K$34:$K$63)-$K$76)))</f>
        <v/>
      </c>
      <c r="K17" s="116" t="str">
        <f>IF($K$64=0,"",IF(SUMIF($A$34:$A$63,K$2,$K$34:$K$63)=0,"",(SUMIF($A$34:$A$63,K$2,$K$34:$K$63)-$K$77)))</f>
        <v/>
      </c>
      <c r="L17" s="106" t="str">
        <f>IF($K$64=0,"",IF(SUMIF($A$34:$A$63,L$2,$K$34:$K$63)=0,"",(SUMIF($A$34:$A$63,L$2,$K$34:$K$63)-$K$78)))</f>
        <v/>
      </c>
      <c r="M17" s="106" t="str">
        <f>IF($K$64=0,"",IF(SUMIF($A$34:$A$63,M$2,$K$34:$K$63)=0,"",(SUMIF($A$34:$A$63,M$2,$K$34:$K$63)-$K$79)))</f>
        <v/>
      </c>
      <c r="N17" s="372" t="str">
        <f>IF($K$64=0,"",IF(SUMIF($A$34:$A$63,N$2,$K$34:$K$63)=0,"",(SUMIF($A$34:$A$63,N$2,$K$34:$K$63)-$K$80)))</f>
        <v/>
      </c>
      <c r="O17" s="372" t="str">
        <f>IF($K$64=0,"",IF(SUMIF($A$34:$A$63,O$2,$K$34:$K$63)=0,"",(SUMIF($A$34:$A$63,O$2,$K$34:$K$63)-$K$81)))</f>
        <v/>
      </c>
      <c r="P17" s="372" t="str">
        <f>IF($K$64=0,"",IF(SUMIF($A$34:$A$63,P$2,$K$34:$K$63)=0,"",(SUMIF($A$34:$A$63,P$2,$K$34:$K$63)-$K$82)))</f>
        <v/>
      </c>
      <c r="Q17" s="372" t="str">
        <f>IF($K$64=0,"",IF(SUMIF($A$34:$A$63,Q$2,$K$34:$K$63)=0,"",(SUMIF($A$34:$A$63,Q$2,$K$34:$K$63)-$K$83)))</f>
        <v/>
      </c>
      <c r="R17" s="372" t="str">
        <f>IF($K$64=0,"",IF(SUMIF($A$34:$A$63,R$2,$K$34:$K$63)=0,"",(SUMIF($A$34:$A$63,R$2,$K$34:$K$63)-$K$84)))</f>
        <v/>
      </c>
      <c r="S17" s="372" t="str">
        <f>IF($K$64=0,"",IF(SUMIF($A$34:$A$63,S$2,$K$34:$K$63)=0,"",(SUMIF($A$34:$A$63,S$2,$K$34:$K$63)-$K$85)))</f>
        <v/>
      </c>
      <c r="T17" s="372" t="str">
        <f>IF($K$64=0,"",IF(SUMIF($A$34:$A$63,T$2,$K$34:$K$63)=0,"",(SUMIF($A$34:$A$63,T$2,$K$34:$K$63)-$K$86)))</f>
        <v/>
      </c>
      <c r="U17" s="372" t="str">
        <f>IF($K$64=0,"",IF(SUMIF($A$34:$A$63,U$2,$K$34:$K$63)=0,"",(SUMIF($A$34:$A$63,U$2,$K$34:$K$63)-$K$87)))</f>
        <v/>
      </c>
      <c r="V17" s="372" t="str">
        <f>IF($K$64=0,"",IF(SUMIF($A$34:$A$63,V$2,$K$34:$K$63)=0,"",(SUMIF($A$34:$A$63,V$2,$K$34:$K$63)-$K$88)))</f>
        <v/>
      </c>
      <c r="W17" s="372" t="str">
        <f>IF($K$64=0,"",IF(SUMIF($A$34:$A$63,W$2,$K$34:$K$63)=0,"",(SUMIF($A$34:$A$63,W$2,$K$34:$K$63)-$K$89)))</f>
        <v/>
      </c>
      <c r="X17" s="372" t="str">
        <f>IF($K$64=0,"",IF(SUMIF($A$34:$A$63,X$2,$K$34:$K$63)=0,"",(SUMIF($A$34:$A$63,X$2,$K$34:$K$63)-$K$90)))</f>
        <v/>
      </c>
      <c r="Y17" s="372" t="str">
        <f>IF($K$64=0,"",IF(SUMIF($A$34:$A$63,Y$2,$K$34:$K$63)=0,"",(SUMIF($A$34:$A$63,Y$2,$K$34:$K$63)-$K$91)))</f>
        <v/>
      </c>
      <c r="Z17" s="372" t="str">
        <f>IF($K$64=0,"",IF(SUMIF($A$34:$A$63,Z$2,$K$34:$K$63)=0,"",(SUMIF($A$34:$A$63,Z$2,$K$34:$K$63)-$K$92)))</f>
        <v/>
      </c>
      <c r="AA17" s="372" t="str">
        <f>IF($K$64=0,"",IF(SUMIF($A$34:$A$63,AA$2,$K$34:$K$63)=0,"",(SUMIF($A$34:$A$63,AA$2,$K$34:$K$63)-$K$93)))</f>
        <v/>
      </c>
      <c r="AB17" s="372" t="str">
        <f>IF($K$64=0,"",IF(SUMIF($A$34:$A$63,AB$2,$K$34:$K$63)=0,"",(SUMIF($A$34:$A$63,AB$2,$K$34:$K$63)-$K$94)))</f>
        <v/>
      </c>
      <c r="AC17" s="372" t="str">
        <f>IF($K$64=0,"",IF(SUMIF($A$34:$A$63,AC$2,$K$34:$K$63)=0,"",(SUMIF($A$34:$A$63,AC$2,$K$34:$K$63)-$K$95)))</f>
        <v/>
      </c>
      <c r="AD17" s="372" t="str">
        <f>IF($K$64=0,"",IF(SUMIF($A$34:$A$63,AD$2,$K$34:$K$63)=0,"",(SUMIF($A$34:$A$63,AD$2,$K$34:$K$63)-$K$96)))</f>
        <v/>
      </c>
      <c r="AE17" s="372" t="str">
        <f>IF($K$64=0,"",IF(SUMIF($A$34:$A$63,AE$2,$K$34:$K$63)=0,"",(SUMIF($A$34:$A$63,AE$2,$K$34:$K$63)-$K$97)))</f>
        <v/>
      </c>
      <c r="AF17" s="372" t="str">
        <f>IF($K$64=0,"",IF(SUMIF($A$34:$A$63,AF$2,$K$34:$K$63)=0,"",(SUMIF($A$34:$A$63,AF$2,$K$34:$K$63)-$K$98)))</f>
        <v/>
      </c>
      <c r="AG17" s="372" t="str">
        <f>IF($K$64=0,"",IF(SUMIF($A$34:$A$63,AG$2,$K$34:$K$63)=0,"",(SUMIF($A$34:$A$63,AG$2,$K$34:$K$63)-$K$99)))</f>
        <v/>
      </c>
      <c r="AH17" s="372" t="str">
        <f>IF($K$64=0,"",IF(SUMIF($A$34:$A$63,AH$2,$K$34:$K$63)=0,"",(SUMIF($A$34:$A$63,AH$2,$K$34:$K$63)-$K$100)))</f>
        <v/>
      </c>
      <c r="AI17" s="402"/>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317"/>
      <c r="DZ17" s="317"/>
      <c r="EA17" s="317"/>
      <c r="EB17" s="317"/>
      <c r="EC17" s="317"/>
      <c r="ED17" s="317"/>
      <c r="EE17" s="317"/>
      <c r="EF17" s="317"/>
      <c r="EG17" s="317"/>
      <c r="EH17" s="317"/>
      <c r="EI17" s="317"/>
      <c r="EJ17" s="317"/>
      <c r="EK17" s="317"/>
      <c r="EL17" s="317"/>
      <c r="EM17" s="317"/>
      <c r="EN17" s="317"/>
      <c r="EO17" s="317"/>
      <c r="EP17" s="317"/>
      <c r="EQ17" s="317"/>
      <c r="ER17" s="317"/>
      <c r="ES17" s="317"/>
      <c r="ET17" s="317"/>
      <c r="EU17" s="317"/>
      <c r="EV17" s="317"/>
      <c r="EW17" s="317"/>
      <c r="EX17" s="317"/>
    </row>
    <row r="18" spans="1:154" ht="39">
      <c r="A18" s="897"/>
      <c r="B18" s="812"/>
      <c r="C18" s="115" t="s">
        <v>2439</v>
      </c>
      <c r="D18" s="107">
        <f t="shared" si="0"/>
        <v>0</v>
      </c>
      <c r="E18" s="107" t="str">
        <f>IF($L$64=0,"",IF(SUMIF($A$34:$A$63,E$2,$L$34:$L$63)=0,"",(SUMIF($A$34:$A$63,E$2,$L$34:$L$63)-$L$71)))</f>
        <v/>
      </c>
      <c r="F18" s="116" t="str">
        <f>IF($L$64=0,"",IF(SUMIF($A$34:$A$63,F$2,$L$34:$L$63)=0,"",(SUMIF($A$34:$A$63,F$2,$L$34:$L$63)-$L$72)))</f>
        <v/>
      </c>
      <c r="G18" s="106" t="str">
        <f>IF($L$64=0,"",IF(SUMIF($A$34:$A$63,G$2,$L$34:$L$63)=0,"",(SUMIF($A$34:$A$63,G$2,$L$34:$L$63)-$L$73)))</f>
        <v/>
      </c>
      <c r="H18" s="106" t="str">
        <f>IF($L$64=0,"",IF(SUMIF($A$34:$A$63,H$2,$L$34:$L$63)=0,"",(SUMIF($A$34:$A$63,H$2,$L$34:$L$63)-$L$74)))</f>
        <v/>
      </c>
      <c r="I18" s="106" t="str">
        <f>IF($L$64=0,"",IF(SUMIF($A$34:$A$63,I$2,$L$34:$L$63)=0,"",(SUMIF($A$34:$A$63,I$2,$L$34:$L$63)-$L$75)))</f>
        <v/>
      </c>
      <c r="J18" s="226" t="str">
        <f>IF($L$64=0,"",IF(SUMIF($A$34:$A$63,J$2,$L$34:$L$63)=0,"",(SUMIF($A$34:$A$63,J$2,$L$34:$L$63)-$L$76)))</f>
        <v/>
      </c>
      <c r="K18" s="116" t="str">
        <f>IF($L$64=0,"",IF(SUMIF($A$34:$A$63,K$2,$L$34:$L$63)=0,"",(SUMIF($A$34:$A$63,K$2,$L$34:$L$63)-$L$77)))</f>
        <v/>
      </c>
      <c r="L18" s="106" t="str">
        <f>IF($L$64=0,"",IF(SUMIF($A$34:$A$63,L$2,$L$34:$L$63)=0,"",(SUMIF($A$34:$A$63,L$2,$L$34:$L$63)-$L$78)))</f>
        <v/>
      </c>
      <c r="M18" s="106" t="str">
        <f>IF($L$64=0,"",IF(SUMIF($A$34:$A$63,M$2,$L$34:$L$63)=0,"",(SUMIF($A$34:$A$63,M$2,$L$34:$L$63)-$L$79)))</f>
        <v/>
      </c>
      <c r="N18" s="372" t="str">
        <f>IF($L$64=0,"",IF(SUMIF($A$34:$A$63,N$2,$L$34:$L$63)=0,"",(SUMIF($A$34:$A$63,N$2,$L$34:$L$63)-$L$80)))</f>
        <v/>
      </c>
      <c r="O18" s="372" t="str">
        <f>IF($L$64=0,"",IF(SUMIF($A$34:$A$63,O$2,$L$34:$L$63)=0,"",(SUMIF($A$34:$A$63,O$2,$L$34:$L$63)-$L$81)))</f>
        <v/>
      </c>
      <c r="P18" s="372" t="str">
        <f>IF($L$64=0,"",IF(SUMIF($A$34:$A$63,P$2,$L$34:$L$63)=0,"",(SUMIF($A$34:$A$63,P$2,$L$34:$L$63)-$L$82)))</f>
        <v/>
      </c>
      <c r="Q18" s="372" t="str">
        <f>IF($L$64=0,"",IF(SUMIF($A$34:$A$63,Q$2,$L$34:$L$63)=0,"",(SUMIF($A$34:$A$63,Q$2,$L$34:$L$63)-$L$83)))</f>
        <v/>
      </c>
      <c r="R18" s="372" t="str">
        <f>IF($L$64=0,"",IF(SUMIF($A$34:$A$63,R$2,$L$34:$L$63)=0,"",(SUMIF($A$34:$A$63,R$2,$L$34:$L$63)-$L$84)))</f>
        <v/>
      </c>
      <c r="S18" s="372" t="str">
        <f>IF($L$64=0,"",IF(SUMIF($A$34:$A$63,S$2,$L$34:$L$63)=0,"",(SUMIF($A$34:$A$63,S$2,$L$34:$L$63)-$L$85)))</f>
        <v/>
      </c>
      <c r="T18" s="372" t="str">
        <f>IF($L$64=0,"",IF(SUMIF($A$34:$A$63,T$2,$L$34:$L$63)=0,"",(SUMIF($A$34:$A$63,T$2,$L$34:$L$63)-$L$86)))</f>
        <v/>
      </c>
      <c r="U18" s="372" t="str">
        <f>IF($L$64=0,"",IF(SUMIF($A$34:$A$63,U$2,$L$34:$L$63)=0,"",(SUMIF($A$34:$A$63,U$2,$L$34:$L$63)-$L$87)))</f>
        <v/>
      </c>
      <c r="V18" s="372" t="str">
        <f>IF($L$64=0,"",IF(SUMIF($A$34:$A$63,V$2,$L$34:$L$63)=0,"",(SUMIF($A$34:$A$63,V$2,$L$34:$L$63)-$L$88)))</f>
        <v/>
      </c>
      <c r="W18" s="372" t="str">
        <f>IF($L$64=0,"",IF(SUMIF($A$34:$A$63,W$2,$L$34:$L$63)=0,"",(SUMIF($A$34:$A$63,W$2,$L$34:$L$63)-$L$89)))</f>
        <v/>
      </c>
      <c r="X18" s="372" t="str">
        <f>IF($L$64=0,"",IF(SUMIF($A$34:$A$63,X$2,$L$34:$L$63)=0,"",(SUMIF($A$34:$A$63,X$2,$L$34:$L$63)-$L$90)))</f>
        <v/>
      </c>
      <c r="Y18" s="372" t="str">
        <f>IF($L$64=0,"",IF(SUMIF($A$34:$A$63,Y$2,$L$34:$L$63)=0,"",(SUMIF($A$34:$A$63,Y$2,$L$34:$L$63)-$L$91)))</f>
        <v/>
      </c>
      <c r="Z18" s="372" t="str">
        <f>IF($L$64=0,"",IF(SUMIF($A$34:$A$63,Z$2,$L$34:$L$63)=0,"",(SUMIF($A$34:$A$63,Z$2,$L$34:$L$63)-$L$92)))</f>
        <v/>
      </c>
      <c r="AA18" s="372" t="str">
        <f>IF($L$64=0,"",IF(SUMIF($A$34:$A$63,AA$2,$L$34:$L$63)=0,"",(SUMIF($A$34:$A$63,AA$2,$L$34:$L$63)-$L$93)))</f>
        <v/>
      </c>
      <c r="AB18" s="372" t="str">
        <f>IF($L$64=0,"",IF(SUMIF($A$34:$A$63,AB$2,$L$34:$L$63)=0,"",(SUMIF($A$34:$A$63,AB$2,$L$34:$L$63)-$L$94)))</f>
        <v/>
      </c>
      <c r="AC18" s="372" t="str">
        <f>IF($L$64=0,"",IF(SUMIF($A$34:$A$63,AC$2,$L$34:$L$63)=0,"",(SUMIF($A$34:$A$63,AC$2,$L$34:$L$63)-$L$95)))</f>
        <v/>
      </c>
      <c r="AD18" s="372" t="str">
        <f>IF($L$64=0,"",IF(SUMIF($A$34:$A$63,AD$2,$L$34:$L$63)=0,"",(SUMIF($A$34:$A$63,AD$2,$L$34:$L$63)-$L$96)))</f>
        <v/>
      </c>
      <c r="AE18" s="372" t="str">
        <f>IF($L$64=0,"",IF(SUMIF($A$34:$A$63,AE$2,$L$34:$L$63)=0,"",(SUMIF($A$34:$A$63,AE$2,$L$34:$L$63)-$L$97)))</f>
        <v/>
      </c>
      <c r="AF18" s="372" t="str">
        <f>IF($L$64=0,"",IF(SUMIF($A$34:$A$63,AF$2,$L$34:$L$63)=0,"",(SUMIF($A$34:$A$63,AF$2,$L$34:$L$63)-$L$98)))</f>
        <v/>
      </c>
      <c r="AG18" s="372" t="str">
        <f>IF($L$64=0,"",IF(SUMIF($A$34:$A$63,AG$2,$L$34:$L$63)=0,"",(SUMIF($A$34:$A$63,AG$2,$L$34:$L$63)-$L$99)))</f>
        <v/>
      </c>
      <c r="AH18" s="372" t="str">
        <f>IF($L$64=0,"",IF(SUMIF($A$34:$A$63,AH$2,$L$34:$L$63)=0,"",(SUMIF($A$34:$A$63,AH$2,$L$34:$L$63)-$L$100)))</f>
        <v/>
      </c>
      <c r="AI18" s="402"/>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7"/>
      <c r="DS18" s="317"/>
      <c r="DT18" s="317"/>
      <c r="DU18" s="317"/>
      <c r="DV18" s="317"/>
      <c r="DW18" s="317"/>
      <c r="DX18" s="317"/>
      <c r="DY18" s="317"/>
      <c r="DZ18" s="317"/>
      <c r="EA18" s="317"/>
      <c r="EB18" s="317"/>
      <c r="EC18" s="317"/>
      <c r="ED18" s="317"/>
      <c r="EE18" s="317"/>
      <c r="EF18" s="317"/>
      <c r="EG18" s="317"/>
      <c r="EH18" s="317"/>
      <c r="EI18" s="317"/>
      <c r="EJ18" s="317"/>
      <c r="EK18" s="317"/>
      <c r="EL18" s="317"/>
      <c r="EM18" s="317"/>
      <c r="EN18" s="317"/>
      <c r="EO18" s="317"/>
      <c r="EP18" s="317"/>
      <c r="EQ18" s="317"/>
      <c r="ER18" s="317"/>
      <c r="ES18" s="317"/>
      <c r="ET18" s="317"/>
      <c r="EU18" s="317"/>
      <c r="EV18" s="317"/>
      <c r="EW18" s="317"/>
      <c r="EX18" s="317"/>
    </row>
    <row r="19" spans="1:154" ht="13.5" thickBot="1">
      <c r="A19" s="898"/>
      <c r="B19" s="814"/>
      <c r="C19" s="115" t="s">
        <v>2440</v>
      </c>
      <c r="D19" s="107">
        <f t="shared" si="0"/>
        <v>0</v>
      </c>
      <c r="E19" s="107" t="str">
        <f>IF($M$64=0,"",IF(SUMIF($A$34:$A$63,E$2,$M$34:$M$63)=0,"",(SUMIF($A$34:$A$63,E$2,$M$34:$M$63)-$M$71)))</f>
        <v/>
      </c>
      <c r="F19" s="116" t="str">
        <f>IF($M$64=0,"",IF(SUMIF($A$34:$A$63,F$2,$M$34:$M$63)=0,"",(SUMIF($A$34:$A$63,F$2,$M$34:$M$63)-$M$72)))</f>
        <v/>
      </c>
      <c r="G19" s="106" t="str">
        <f>IF($M$64=0,"",IF(SUMIF($A$34:$A$63,G$2,$M$34:$M$63)=0,"",(SUMIF($A$34:$A$63,G$2,$M$34:$M$63)-$M$73)))</f>
        <v/>
      </c>
      <c r="H19" s="106" t="str">
        <f>IF($M$64=0,"",IF(SUMIF($A$34:$A$63,H$2,$M$34:$M$63)=0,"",(SUMIF($A$34:$A$63,H$2,$M$34:$M$63)-$M$74)))</f>
        <v/>
      </c>
      <c r="I19" s="106" t="str">
        <f>IF($M$64=0,"",IF(SUMIF($A$34:$A$63,I$2,$M$34:$M$63)=0,"",(SUMIF($A$34:$A$63,I$2,$M$34:$M$63)-$M$75)))</f>
        <v/>
      </c>
      <c r="J19" s="226" t="str">
        <f>IF($M$64=0,"",IF(SUMIF($A$34:$A$63,J$2,$M$34:$M$63)=0,"",(SUMIF($A$34:$A$63,J$2,$M$34:$M$63)-$M$76)))</f>
        <v/>
      </c>
      <c r="K19" s="116" t="str">
        <f>IF($M$64=0,"",IF(SUMIF($A$34:$A$63,K$2,$M$34:$M$63)=0,"",(SUMIF($A$34:$A$63,K$2,$M$34:$M$63)-$M$77)))</f>
        <v/>
      </c>
      <c r="L19" s="106" t="str">
        <f>IF($M$64=0,"",IF(SUMIF($A$34:$A$63,L$2,$M$34:$M$63)=0,"",(SUMIF($A$34:$A$63,L$2,$M$34:$M$63)-$M$78)))</f>
        <v/>
      </c>
      <c r="M19" s="106" t="str">
        <f>IF($M$64=0,"",IF(SUMIF($A$34:$A$63,M$2,$M$34:$M$63)=0,"",(SUMIF($A$34:$A$63,M$2,$M$34:$M$63)-$M$79)))</f>
        <v/>
      </c>
      <c r="N19" s="372" t="str">
        <f>IF($M$64=0,"",IF(SUMIF($A$34:$A$63,N$2,$M$34:$M$63)=0,"",(SUMIF($A$34:$A$63,N$2,$M$34:$M$63)-$M$80)))</f>
        <v/>
      </c>
      <c r="O19" s="372" t="str">
        <f>IF($M$64=0,"",IF(SUMIF($A$34:$A$63,O$2,$M$34:$M$63)=0,"",(SUMIF($A$34:$A$63,O$2,$M$34:$M$63)-$M$81)))</f>
        <v/>
      </c>
      <c r="P19" s="372" t="str">
        <f>IF($M$64=0,"",IF(SUMIF($A$34:$A$63,P$2,$M$34:$M$63)=0,"",(SUMIF($A$34:$A$63,P$2,$M$34:$M$63)-$M$82)))</f>
        <v/>
      </c>
      <c r="Q19" s="372" t="str">
        <f>IF($M$64=0,"",IF(SUMIF($A$34:$A$63,Q$2,$M$34:$M$63)=0,"",(SUMIF($A$34:$A$63,Q$2,$M$34:$M$63)-$M$83)))</f>
        <v/>
      </c>
      <c r="R19" s="372" t="str">
        <f>IF($M$64=0,"",IF(SUMIF($A$34:$A$63,R$2,$M$34:$M$63)=0,"",(SUMIF($A$34:$A$63,R$2,$M$34:$M$63)-$M$84)))</f>
        <v/>
      </c>
      <c r="S19" s="372" t="str">
        <f>IF($M$64=0,"",IF(SUMIF($A$34:$A$63,S$2,$M$34:$M$63)=0,"",(SUMIF($A$34:$A$63,S$2,$M$34:$M$63)-$M$85)))</f>
        <v/>
      </c>
      <c r="T19" s="372" t="str">
        <f>IF($M$64=0,"",IF(SUMIF($A$34:$A$63,T$2,$M$34:$M$63)=0,"",(SUMIF($A$34:$A$63,T$2,$M$34:$M$63)-$M$86)))</f>
        <v/>
      </c>
      <c r="U19" s="372" t="str">
        <f>IF($M$64=0,"",IF(SUMIF($A$34:$A$63,U$2,$M$34:$M$63)=0,"",(SUMIF($A$34:$A$63,U$2,$M$34:$M$63)-$M$87)))</f>
        <v/>
      </c>
      <c r="V19" s="372" t="str">
        <f>IF($M$64=0,"",IF(SUMIF($A$34:$A$63,V$2,$M$34:$M$63)=0,"",(SUMIF($A$34:$A$63,V$2,$M$34:$M$63)-$M$88)))</f>
        <v/>
      </c>
      <c r="W19" s="372" t="str">
        <f>IF($M$64=0,"",IF(SUMIF($A$34:$A$63,W$2,$M$34:$M$63)=0,"",(SUMIF($A$34:$A$63,W$2,$M$34:$M$63)-$M$89)))</f>
        <v/>
      </c>
      <c r="X19" s="372" t="str">
        <f>IF($M$64=0,"",IF(SUMIF($A$34:$A$63,X$2,$M$34:$M$63)=0,"",(SUMIF($A$34:$A$63,X$2,$M$34:$M$63)-$M$90)))</f>
        <v/>
      </c>
      <c r="Y19" s="372" t="str">
        <f>IF($M$64=0,"",IF(SUMIF($A$34:$A$63,Y$2,$M$34:$M$63)=0,"",(SUMIF($A$34:$A$63,Y$2,$M$34:$M$63)-$M$91)))</f>
        <v/>
      </c>
      <c r="Z19" s="372" t="str">
        <f>IF($M$64=0,"",IF(SUMIF($A$34:$A$63,Z$2,$M$34:$M$63)=0,"",(SUMIF($A$34:$A$63,Z$2,$M$34:$M$63)-$M$92)))</f>
        <v/>
      </c>
      <c r="AA19" s="372" t="str">
        <f>IF($M$64=0,"",IF(SUMIF($A$34:$A$63,AA$2,$M$34:$M$63)=0,"",(SUMIF($A$34:$A$63,AA$2,$M$34:$M$63)-$M$93)))</f>
        <v/>
      </c>
      <c r="AB19" s="372" t="str">
        <f>IF($M$64=0,"",IF(SUMIF($A$34:$A$63,AB$2,$M$34:$M$63)=0,"",(SUMIF($A$34:$A$63,AB$2,$M$34:$M$63)-$M$94)))</f>
        <v/>
      </c>
      <c r="AC19" s="372" t="str">
        <f>IF($M$64=0,"",IF(SUMIF($A$34:$A$63,AC$2,$M$34:$M$63)=0,"",(SUMIF($A$34:$A$63,AC$2,$M$34:$M$63)-$M$95)))</f>
        <v/>
      </c>
      <c r="AD19" s="372" t="str">
        <f>IF($M$64=0,"",IF(SUMIF($A$34:$A$63,AD$2,$M$34:$M$63)=0,"",(SUMIF($A$34:$A$63,AD$2,$M$34:$M$63)-$M$96)))</f>
        <v/>
      </c>
      <c r="AE19" s="372" t="str">
        <f>IF($M$64=0,"",IF(SUMIF($A$34:$A$63,AE$2,$M$34:$M$63)=0,"",(SUMIF($A$34:$A$63,AE$2,$M$34:$M$63)-$M$97)))</f>
        <v/>
      </c>
      <c r="AF19" s="372" t="str">
        <f>IF($M$64=0,"",IF(SUMIF($A$34:$A$63,AF$2,$M$34:$M$63)=0,"",(SUMIF($A$34:$A$63,AF$2,$M$34:$M$63)-$M$98)))</f>
        <v/>
      </c>
      <c r="AG19" s="372" t="str">
        <f>IF($M$64=0,"",IF(SUMIF($A$34:$A$63,AG$2,$M$34:$M$63)=0,"",(SUMIF($A$34:$A$63,AG$2,$M$34:$M$63)-$M$99)))</f>
        <v/>
      </c>
      <c r="AH19" s="372" t="str">
        <f>IF($M$64=0,"",IF(SUMIF($A$34:$A$63,AH$2,$M$34:$M$63)=0,"",(SUMIF($A$34:$A$63,AH$2,$M$34:$M$63)-$M$100)))</f>
        <v/>
      </c>
      <c r="AI19" s="402"/>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c r="CT19" s="317"/>
      <c r="CU19" s="317"/>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317"/>
      <c r="DZ19" s="317"/>
      <c r="EA19" s="317"/>
      <c r="EB19" s="317"/>
      <c r="EC19" s="317"/>
      <c r="ED19" s="317"/>
      <c r="EE19" s="317"/>
      <c r="EF19" s="317"/>
      <c r="EG19" s="317"/>
      <c r="EH19" s="317"/>
      <c r="EI19" s="317"/>
      <c r="EJ19" s="317"/>
      <c r="EK19" s="317"/>
      <c r="EL19" s="317"/>
      <c r="EM19" s="317"/>
      <c r="EN19" s="317"/>
      <c r="EO19" s="317"/>
      <c r="EP19" s="317"/>
      <c r="EQ19" s="317"/>
      <c r="ER19" s="317"/>
      <c r="ES19" s="317"/>
      <c r="ET19" s="317"/>
      <c r="EU19" s="317"/>
      <c r="EV19" s="317"/>
      <c r="EW19" s="317"/>
      <c r="EX19" s="317"/>
    </row>
    <row r="20" spans="1:154" ht="26">
      <c r="A20" s="896" t="s">
        <v>2038</v>
      </c>
      <c r="B20" s="696"/>
      <c r="C20" s="113" t="s">
        <v>2437</v>
      </c>
      <c r="D20" s="104">
        <f t="shared" si="0"/>
        <v>0</v>
      </c>
      <c r="E20" s="104" t="str">
        <f>IF($N$64=0,"",IF(SUMIF($A$34:$A$63,E$2,$N$34:$N$63)=0,"",(SUMIF($A$34:$A$63,E$2,$N$34:$N$63)-$N$71)))</f>
        <v/>
      </c>
      <c r="F20" s="114" t="str">
        <f>IF($N$64=0,"",IF(SUMIF($A$34:$A$63,F$2,$N$34:$N$63)=0,"",(SUMIF($A$34:$A$63,F$2,$N$34:$N$63)-$N$72)))</f>
        <v/>
      </c>
      <c r="G20" s="105" t="str">
        <f>IF($N$64=0,"",IF(SUMIF($A$34:$A$63,G$2,$N$34:$N$63)=0,"",(SUMIF($A$34:$A$63,G$2,$N$34:$N$63)-$N$73)))</f>
        <v/>
      </c>
      <c r="H20" s="105" t="str">
        <f>IF($N$64=0,"",IF(SUMIF($A$34:$A$63,H$2,$N$34:$N$63)=0,"",(SUMIF($A$34:$A$63,H$2,$N$34:$N$63)-$N$74)))</f>
        <v/>
      </c>
      <c r="I20" s="105" t="str">
        <f>IF($N$64=0,"",IF(SUMIF($A$34:$A$63,I$2,$N$34:$N$63)=0,"",(SUMIF($A$34:$A$63,I$2,$N$34:$N$63)-$N$75)))</f>
        <v/>
      </c>
      <c r="J20" s="114" t="str">
        <f>IF($N$64=0,"",IF(SUMIF($A$34:$A$63,J$2,$N$34:$N$63)=0,"",(SUMIF($A$34:$A$63,J$2,$N$34:$N$63)-$N$76)))</f>
        <v/>
      </c>
      <c r="K20" s="114" t="str">
        <f>IF($N$64=0,"",IF(SUMIF($A$34:$A$63,K$2,$N$34:$N$63)=0,"",(SUMIF($A$34:$A$63,K$2,$N$34:$N$63)-$N$77)))</f>
        <v/>
      </c>
      <c r="L20" s="105" t="str">
        <f>IF($N$64=0,"",IF(SUMIF($A$34:$A$63,L$2,$N$34:$N$63)=0,"",(SUMIF($A$34:$A$63,L$2,$N$34:$N$63)-$N$78)))</f>
        <v/>
      </c>
      <c r="M20" s="105" t="str">
        <f>IF($N$64=0,"",IF(SUMIF($A$34:$A$63,M$2,$N$34:$N$63)=0,"",(SUMIF($A$34:$A$63,M$2,$N$34:$N$63)-$N$79)))</f>
        <v/>
      </c>
      <c r="N20" s="393" t="str">
        <f>IF($N$64=0,"",IF(SUMIF($A$34:$A$63,N$2,$N$34:$N$63)=0,"",(SUMIF($A$34:$A$63,N$2,$N$34:$N$63)-$N$80)))</f>
        <v/>
      </c>
      <c r="O20" s="393" t="str">
        <f>IF($N$64=0,"",IF(SUMIF($A$34:$A$63,O$2,$N$34:$N$63)=0,"",(SUMIF($A$34:$A$63,O$2,$N$34:$N$63)-$N$81)))</f>
        <v/>
      </c>
      <c r="P20" s="393" t="str">
        <f>IF($N$64=0,"",IF(SUMIF($A$34:$A$63,P$2,$N$34:$N$63)=0,"",(SUMIF($A$34:$A$63,P$2,$N$34:$N$63)-$N$82)))</f>
        <v/>
      </c>
      <c r="Q20" s="393" t="str">
        <f>IF($N$64=0,"",IF(SUMIF($A$34:$A$63,Q$2,$N$34:$N$63)=0,"",(SUMIF($A$34:$A$63,Q$2,$N$34:$N$63)-$N$83)))</f>
        <v/>
      </c>
      <c r="R20" s="393" t="str">
        <f>IF($N$64=0,"",IF(SUMIF($A$34:$A$63,R$2,$N$34:$N$63)=0,"",(SUMIF($A$34:$A$63,R$2,$N$34:$N$63)-$N$84)))</f>
        <v/>
      </c>
      <c r="S20" s="393" t="str">
        <f>IF($N$64=0,"",IF(SUMIF($A$34:$A$63,S$2,$N$34:$N$63)=0,"",(SUMIF($A$34:$A$63,S$2,$N$34:$N$63)-$N$85)))</f>
        <v/>
      </c>
      <c r="T20" s="393" t="str">
        <f>IF($N$64=0,"",IF(SUMIF($A$34:$A$63,T$2,$N$34:$N$63)=0,"",(SUMIF($A$34:$A$63,T$2,$N$34:$N$63)-$N$86)))</f>
        <v/>
      </c>
      <c r="U20" s="393" t="str">
        <f>IF($N$64=0,"",IF(SUMIF($A$34:$A$63,U$2,$N$34:$N$63)=0,"",(SUMIF($A$34:$A$63,U$2,$N$34:$N$63)-$N$87)))</f>
        <v/>
      </c>
      <c r="V20" s="393" t="str">
        <f>IF($N$64=0,"",IF(SUMIF($A$34:$A$63,V$2,$N$34:$N$63)=0,"",(SUMIF($A$34:$A$63,V$2,$N$34:$N$63)-$N$88)))</f>
        <v/>
      </c>
      <c r="W20" s="393" t="str">
        <f>IF($N$64=0,"",IF(SUMIF($A$34:$A$63,W$2,$N$34:$N$63)=0,"",(SUMIF($A$34:$A$63,W$2,$N$34:$N$63)-$N$89)))</f>
        <v/>
      </c>
      <c r="X20" s="393" t="str">
        <f>IF($N$64=0,"",IF(SUMIF($A$34:$A$63,X$2,$N$34:$N$63)=0,"",(SUMIF($A$34:$A$63,X$2,$N$34:$N$63)-$N$90)))</f>
        <v/>
      </c>
      <c r="Y20" s="393" t="str">
        <f>IF($N$64=0,"",IF(SUMIF($A$34:$A$63,Y$2,$N$34:$N$63)=0,"",(SUMIF($A$34:$A$63,Y$2,$N$34:$N$63)-$N$91)))</f>
        <v/>
      </c>
      <c r="Z20" s="393" t="str">
        <f>IF($N$64=0,"",IF(SUMIF($A$34:$A$63,Z$2,$N$34:$N$63)=0,"",(SUMIF($A$34:$A$63,Z$2,$N$34:$N$63)-$N$92)))</f>
        <v/>
      </c>
      <c r="AA20" s="393" t="str">
        <f>IF($N$64=0,"",IF(SUMIF($A$34:$A$63,AA$2,$N$34:$N$63)=0,"",(SUMIF($A$34:$A$63,AA$2,$N$34:$N$63)-$N$93)))</f>
        <v/>
      </c>
      <c r="AB20" s="393" t="str">
        <f>IF($N$64=0,"",IF(SUMIF($A$34:$A$63,AB$2,$N$34:$N$63)=0,"",(SUMIF($A$34:$A$63,AB$2,$N$34:$N$63)-$N$94)))</f>
        <v/>
      </c>
      <c r="AC20" s="393" t="str">
        <f>IF($N$64=0,"",IF(SUMIF($A$34:$A$63,AC$2,$N$34:$N$63)=0,"",(SUMIF($A$34:$A$63,AC$2,$N$34:$N$63)-$N$95)))</f>
        <v/>
      </c>
      <c r="AD20" s="393" t="str">
        <f>IF($N$64=0,"",IF(SUMIF($A$34:$A$63,AD$2,$N$34:$N$63)=0,"",(SUMIF($A$34:$A$63,AD$2,$N$34:$N$63)-$N$96)))</f>
        <v/>
      </c>
      <c r="AE20" s="393" t="str">
        <f>IF($N$64=0,"",IF(SUMIF($A$34:$A$63,AE$2,$N$34:$N$63)=0,"",(SUMIF($A$34:$A$63,AE$2,$N$34:$N$63)-$N$97)))</f>
        <v/>
      </c>
      <c r="AF20" s="393" t="str">
        <f>IF($N$64=0,"",IF(SUMIF($A$34:$A$63,AF$2,$N$34:$N$63)=0,"",(SUMIF($A$34:$A$63,AF$2,$N$34:$N$63)-$N$98)))</f>
        <v/>
      </c>
      <c r="AG20" s="393" t="str">
        <f>IF($N$64=0,"",IF(SUMIF($A$34:$A$63,AG$2,$N$34:$N$63)=0,"",(SUMIF($A$34:$A$63,AG$2,$N$34:$N$63)-$N$99)))</f>
        <v/>
      </c>
      <c r="AH20" s="393" t="str">
        <f>IF($N$64=0,"",IF(SUMIF($A$34:$A$63,AH$2,$N$34:$N$63)=0,"",(SUMIF($A$34:$A$63,AH$2,$N$34:$N$63)-$N$100)))</f>
        <v/>
      </c>
      <c r="AI20" s="402"/>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c r="DU20" s="317"/>
      <c r="DV20" s="317"/>
      <c r="DW20" s="317"/>
      <c r="DX20" s="317"/>
      <c r="DY20" s="317"/>
      <c r="DZ20" s="317"/>
      <c r="EA20" s="317"/>
      <c r="EB20" s="317"/>
      <c r="EC20" s="317"/>
      <c r="ED20" s="317"/>
      <c r="EE20" s="317"/>
      <c r="EF20" s="317"/>
      <c r="EG20" s="317"/>
      <c r="EH20" s="317"/>
      <c r="EI20" s="317"/>
      <c r="EJ20" s="317"/>
      <c r="EK20" s="317"/>
      <c r="EL20" s="317"/>
      <c r="EM20" s="317"/>
      <c r="EN20" s="317"/>
      <c r="EO20" s="317"/>
      <c r="EP20" s="317"/>
      <c r="EQ20" s="317"/>
      <c r="ER20" s="317"/>
      <c r="ES20" s="317"/>
      <c r="ET20" s="317"/>
      <c r="EU20" s="317"/>
      <c r="EV20" s="317"/>
      <c r="EW20" s="317"/>
      <c r="EX20" s="317"/>
    </row>
    <row r="21" spans="1:154" ht="39">
      <c r="A21" s="897"/>
      <c r="B21" s="812"/>
      <c r="C21" s="115" t="s">
        <v>2438</v>
      </c>
      <c r="D21" s="107">
        <f t="shared" si="0"/>
        <v>0</v>
      </c>
      <c r="E21" s="107" t="str">
        <f>IF($O$64=0,"",IF(SUMIF($A$34:$A$63,E$2,$O$34:$O$63)=0,"",(SUMIF($A$34:$A$63,E$2,$O$34:$O$63)-$O$71)))</f>
        <v/>
      </c>
      <c r="F21" s="116" t="str">
        <f>IF($O$64=0,"",IF(SUMIF($A$34:$A$63,F$2,$O$34:$O$63)=0,"",(SUMIF($A$34:$A$63,F$2,$O$34:$O$63)-$O$72)))</f>
        <v/>
      </c>
      <c r="G21" s="106" t="str">
        <f>IF($O$64=0,"",IF(SUMIF($A$34:$A$63,G$2,$O$34:$O$63)=0,"",(SUMIF($A$34:$A$63,G$2,$O$34:$O$63)-$O$73)))</f>
        <v/>
      </c>
      <c r="H21" s="106" t="str">
        <f>IF($O$64=0,"",IF(SUMIF($A$34:$A$63,H$2,$O$34:$O$63)=0,"",(SUMIF($A$34:$A$63,H$2,$O$34:$O$63)-$O$74)))</f>
        <v/>
      </c>
      <c r="I21" s="106" t="str">
        <f>IF($O$64=0,"",IF(SUMIF($A$34:$A$63,I$2,$O$34:$O$63)=0,"",(SUMIF($A$34:$A$63,I$2,$O$34:$O$63)-$O$75)))</f>
        <v/>
      </c>
      <c r="J21" s="226" t="str">
        <f>IF($O$64=0,"",IF(SUMIF($A$34:$A$63,J$2,$O$34:$O$63)=0,"",(SUMIF($A$34:$A$63,J$2,$O$34:$O$63)-$O$76)))</f>
        <v/>
      </c>
      <c r="K21" s="116" t="str">
        <f>IF($O$64=0,"",IF(SUMIF($A$34:$A$63,K$2,$O$34:$O$63)=0,"",(SUMIF($A$34:$A$63,K$2,$O$34:$O$63)-$O$77)))</f>
        <v/>
      </c>
      <c r="L21" s="106" t="str">
        <f>IF($O$64=0,"",IF(SUMIF($A$34:$A$63,L$2,$O$34:$O$63)=0,"",(SUMIF($A$34:$A$63,L$2,$O$34:$O$63)-$O$78)))</f>
        <v/>
      </c>
      <c r="M21" s="106" t="str">
        <f>IF($O$64=0,"",IF(SUMIF($A$34:$A$63,M$2,$O$34:$O$63)=0,"",(SUMIF($A$34:$A$63,M$2,$O$34:$O$63)-$O$79)))</f>
        <v/>
      </c>
      <c r="N21" s="372" t="str">
        <f>IF($O$64=0,"",IF(SUMIF($A$34:$A$63,N$2,$O$34:$O$63)=0,"",(SUMIF($A$34:$A$63,N$2,$O$34:$O$63)-$O$80)))</f>
        <v/>
      </c>
      <c r="O21" s="372" t="str">
        <f>IF($O$64=0,"",IF(SUMIF($A$34:$A$63,O$2,$O$34:$O$63)=0,"",(SUMIF($A$34:$A$63,O$2,$O$34:$O$63)-$O$81)))</f>
        <v/>
      </c>
      <c r="P21" s="372" t="str">
        <f>IF($O$64=0,"",IF(SUMIF($A$34:$A$63,P$2,$O$34:$O$63)=0,"",(SUMIF($A$34:$A$63,P$2,$O$34:$O$63)-$O$82)))</f>
        <v/>
      </c>
      <c r="Q21" s="372" t="str">
        <f>IF($O$64=0,"",IF(SUMIF($A$34:$A$63,Q$2,$O$34:$O$63)=0,"",(SUMIF($A$34:$A$63,Q$2,$O$34:$O$63)-$O$83)))</f>
        <v/>
      </c>
      <c r="R21" s="372" t="str">
        <f>IF($O$64=0,"",IF(SUMIF($A$34:$A$63,R$2,$O$34:$O$63)=0,"",(SUMIF($A$34:$A$63,R$2,$O$34:$O$63)-$O$84)))</f>
        <v/>
      </c>
      <c r="S21" s="372" t="str">
        <f>IF($O$64=0,"",IF(SUMIF($A$34:$A$63,S$2,$O$34:$O$63)=0,"",(SUMIF($A$34:$A$63,S$2,$O$34:$O$63)-$O$85)))</f>
        <v/>
      </c>
      <c r="T21" s="372" t="str">
        <f>IF($O$64=0,"",IF(SUMIF($A$34:$A$63,T$2,$O$34:$O$63)=0,"",(SUMIF($A$34:$A$63,T$2,$O$34:$O$63)-$O$86)))</f>
        <v/>
      </c>
      <c r="U21" s="372" t="str">
        <f>IF($O$64=0,"",IF(SUMIF($A$34:$A$63,U$2,$O$34:$O$63)=0,"",(SUMIF($A$34:$A$63,U$2,$O$34:$O$63)-$O$87)))</f>
        <v/>
      </c>
      <c r="V21" s="372" t="str">
        <f>IF($O$64=0,"",IF(SUMIF($A$34:$A$63,V$2,$O$34:$O$63)=0,"",(SUMIF($A$34:$A$63,V$2,$O$34:$O$63)-$O$88)))</f>
        <v/>
      </c>
      <c r="W21" s="372" t="str">
        <f>IF($O$64=0,"",IF(SUMIF($A$34:$A$63,W$2,$O$34:$O$63)=0,"",(SUMIF($A$34:$A$63,W$2,$O$34:$O$63)-$O$89)))</f>
        <v/>
      </c>
      <c r="X21" s="372" t="str">
        <f>IF($O$64=0,"",IF(SUMIF($A$34:$A$63,X$2,$O$34:$O$63)=0,"",(SUMIF($A$34:$A$63,X$2,$O$34:$O$63)-$O$90)))</f>
        <v/>
      </c>
      <c r="Y21" s="372" t="str">
        <f>IF($O$64=0,"",IF(SUMIF($A$34:$A$63,Y$2,$O$34:$O$63)=0,"",(SUMIF($A$34:$A$63,Y$2,$O$34:$O$63)-$O$91)))</f>
        <v/>
      </c>
      <c r="Z21" s="372" t="str">
        <f>IF($O$64=0,"",IF(SUMIF($A$34:$A$63,Z$2,$O$34:$O$63)=0,"",(SUMIF($A$34:$A$63,Z$2,$O$34:$O$63)-$O$92)))</f>
        <v/>
      </c>
      <c r="AA21" s="372" t="str">
        <f>IF($O$64=0,"",IF(SUMIF($A$34:$A$63,AA$2,$O$34:$O$63)=0,"",(SUMIF($A$34:$A$63,AA$2,$O$34:$O$63)-$O$93)))</f>
        <v/>
      </c>
      <c r="AB21" s="372" t="str">
        <f>IF($O$64=0,"",IF(SUMIF($A$34:$A$63,AB$2,$O$34:$O$63)=0,"",(SUMIF($A$34:$A$63,AB$2,$O$34:$O$63)-$O$94)))</f>
        <v/>
      </c>
      <c r="AC21" s="372" t="str">
        <f>IF($O$64=0,"",IF(SUMIF($A$34:$A$63,AC$2,$O$34:$O$63)=0,"",(SUMIF($A$34:$A$63,AC$2,$O$34:$O$63)-$O$95)))</f>
        <v/>
      </c>
      <c r="AD21" s="372" t="str">
        <f>IF($O$64=0,"",IF(SUMIF($A$34:$A$63,AD$2,$O$34:$O$63)=0,"",(SUMIF($A$34:$A$63,AD$2,$O$34:$O$63)-$O$96)))</f>
        <v/>
      </c>
      <c r="AE21" s="372" t="str">
        <f>IF($O$64=0,"",IF(SUMIF($A$34:$A$63,AE$2,$O$34:$O$63)=0,"",(SUMIF($A$34:$A$63,AE$2,$O$34:$O$63)-$O$97)))</f>
        <v/>
      </c>
      <c r="AF21" s="372" t="str">
        <f>IF($O$64=0,"",IF(SUMIF($A$34:$A$63,AF$2,$O$34:$O$63)=0,"",(SUMIF($A$34:$A$63,AF$2,$O$34:$O$63)-$O$98)))</f>
        <v/>
      </c>
      <c r="AG21" s="372" t="str">
        <f>IF($O$64=0,"",IF(SUMIF($A$34:$A$63,AG$2,$O$34:$O$63)=0,"",(SUMIF($A$34:$A$63,AG$2,$O$34:$O$63)-$O$99)))</f>
        <v/>
      </c>
      <c r="AH21" s="372" t="str">
        <f>IF($O$64=0,"",IF(SUMIF($A$34:$A$63,AH$2,$O$34:$O$63)=0,"",(SUMIF($A$34:$A$63,AH$2,$O$34:$O$63)-$O$100)))</f>
        <v/>
      </c>
      <c r="AI21" s="402"/>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317"/>
      <c r="CA21" s="317"/>
      <c r="CB21" s="317"/>
      <c r="CC21" s="317"/>
      <c r="CD21" s="317"/>
      <c r="CE21" s="317"/>
      <c r="CF21" s="317"/>
      <c r="CG21" s="317"/>
      <c r="CH21" s="317"/>
      <c r="CI21" s="317"/>
      <c r="CJ21" s="317"/>
      <c r="CK21" s="317"/>
      <c r="CL21" s="317"/>
      <c r="CM21" s="317"/>
      <c r="CN21" s="317"/>
      <c r="CO21" s="317"/>
      <c r="CP21" s="317"/>
      <c r="CQ21" s="317"/>
      <c r="CR21" s="317"/>
      <c r="CS21" s="317"/>
      <c r="CT21" s="317"/>
      <c r="CU21" s="317"/>
      <c r="CV21" s="317"/>
      <c r="CW21" s="317"/>
      <c r="CX21" s="317"/>
      <c r="CY21" s="317"/>
      <c r="CZ21" s="317"/>
      <c r="DA21" s="317"/>
      <c r="DB21" s="317"/>
      <c r="DC21" s="317"/>
      <c r="DD21" s="317"/>
      <c r="DE21" s="317"/>
      <c r="DF21" s="317"/>
      <c r="DG21" s="317"/>
      <c r="DH21" s="317"/>
      <c r="DI21" s="317"/>
      <c r="DJ21" s="317"/>
      <c r="DK21" s="317"/>
      <c r="DL21" s="317"/>
      <c r="DM21" s="317"/>
      <c r="DN21" s="317"/>
      <c r="DO21" s="317"/>
      <c r="DP21" s="317"/>
      <c r="DQ21" s="317"/>
      <c r="DR21" s="317"/>
      <c r="DS21" s="317"/>
      <c r="DT21" s="317"/>
      <c r="DU21" s="317"/>
      <c r="DV21" s="317"/>
      <c r="DW21" s="317"/>
      <c r="DX21" s="317"/>
      <c r="DY21" s="317"/>
      <c r="DZ21" s="317"/>
      <c r="EA21" s="317"/>
      <c r="EB21" s="317"/>
      <c r="EC21" s="317"/>
      <c r="ED21" s="317"/>
      <c r="EE21" s="317"/>
      <c r="EF21" s="317"/>
      <c r="EG21" s="317"/>
      <c r="EH21" s="317"/>
      <c r="EI21" s="317"/>
      <c r="EJ21" s="317"/>
      <c r="EK21" s="317"/>
      <c r="EL21" s="317"/>
      <c r="EM21" s="317"/>
      <c r="EN21" s="317"/>
      <c r="EO21" s="317"/>
      <c r="EP21" s="317"/>
      <c r="EQ21" s="317"/>
      <c r="ER21" s="317"/>
      <c r="ES21" s="317"/>
      <c r="ET21" s="317"/>
      <c r="EU21" s="317"/>
      <c r="EV21" s="317"/>
      <c r="EW21" s="317"/>
      <c r="EX21" s="317"/>
    </row>
    <row r="22" spans="1:154" ht="39">
      <c r="A22" s="897"/>
      <c r="B22" s="812"/>
      <c r="C22" s="115" t="s">
        <v>2439</v>
      </c>
      <c r="D22" s="107">
        <f t="shared" si="0"/>
        <v>0</v>
      </c>
      <c r="E22" s="107" t="str">
        <f>IF($P$64=0,"",IF(SUMIF($A$34:$A$63,E$2,$P$34:$P$63)=0,"",(SUMIF($A$34:$A$63,E$2,$P$34:$P$63)-$P$71)))</f>
        <v/>
      </c>
      <c r="F22" s="116" t="str">
        <f>IF($P$64=0,"",IF(SUMIF($A$34:$A$63,F$2,$P$34:$P$63)=0,"",(SUMIF($A$34:$A$63,F$2,$P$34:$P$63)-$P$72)))</f>
        <v/>
      </c>
      <c r="G22" s="106" t="str">
        <f>IF($P$64=0,"",IF(SUMIF($A$34:$A$63,G$2,$P$34:$P$63)=0,"",(SUMIF($A$34:$A$63,G$2,$P$34:$P$63)-$P$73)))</f>
        <v/>
      </c>
      <c r="H22" s="106" t="str">
        <f>IF($P$64=0,"",IF(SUMIF($A$34:$A$63,H$2,$P$34:$P$63)=0,"",(SUMIF($A$34:$A$63,H$2,$P$34:$P$63)-$P$74)))</f>
        <v/>
      </c>
      <c r="I22" s="106" t="str">
        <f>IF($P$64=0,"",IF(SUMIF($A$34:$A$63,I$2,$P$34:$P$63)=0,"",(SUMIF($A$34:$A$63,I$2,$P$34:$P$63)-$P$75)))</f>
        <v/>
      </c>
      <c r="J22" s="226" t="str">
        <f>IF($P$64=0,"",IF(SUMIF($A$34:$A$63,J$2,$P$34:$P$63)=0,"",(SUMIF($A$34:$A$63,J$2,$P$34:$P$63)-$P$76)))</f>
        <v/>
      </c>
      <c r="K22" s="116" t="str">
        <f>IF($P$64=0,"",IF(SUMIF($A$34:$A$63,K$2,$P$34:$P$63)=0,"",(SUMIF($A$34:$A$63,K$2,$P$34:$P$63)-$P$77)))</f>
        <v/>
      </c>
      <c r="L22" s="106" t="str">
        <f>IF($P$64=0,"",IF(SUMIF($A$34:$A$63,L$2,$P$34:$P$63)=0,"",(SUMIF($A$34:$A$63,L$2,$P$34:$P$63)-$P$78)))</f>
        <v/>
      </c>
      <c r="M22" s="106" t="str">
        <f>IF($P$64=0,"",IF(SUMIF($A$34:$A$63,M$2,$P$34:$P$63)=0,"",(SUMIF($A$34:$A$63,M$2,$P$34:$P$63)-$P$79)))</f>
        <v/>
      </c>
      <c r="N22" s="372" t="str">
        <f>IF($P$64=0,"",IF(SUMIF($A$34:$A$63,N$2,$P$34:$P$63)=0,"",(SUMIF($A$34:$A$63,N$2,$P$34:$P$63)-$P$80)))</f>
        <v/>
      </c>
      <c r="O22" s="372" t="str">
        <f>IF($P$64=0,"",IF(SUMIF($A$34:$A$63,O$2,$P$34:$P$63)=0,"",(SUMIF($A$34:$A$63,O$2,$P$34:$P$63)-$P$81)))</f>
        <v/>
      </c>
      <c r="P22" s="372" t="str">
        <f>IF($P$64=0,"",IF(SUMIF($A$34:$A$63,P$2,$P$34:$P$63)=0,"",(SUMIF($A$34:$A$63,P$2,$P$34:$P$63)-$P$82)))</f>
        <v/>
      </c>
      <c r="Q22" s="372" t="str">
        <f>IF($P$64=0,"",IF(SUMIF($A$34:$A$63,Q$2,$P$34:$P$63)=0,"",(SUMIF($A$34:$A$63,Q$2,$P$34:$P$63)-$P$83)))</f>
        <v/>
      </c>
      <c r="R22" s="372" t="str">
        <f>IF($P$64=0,"",IF(SUMIF($A$34:$A$63,R$2,$P$34:$P$63)=0,"",(SUMIF($A$34:$A$63,R$2,$P$34:$P$63)-$P$84)))</f>
        <v/>
      </c>
      <c r="S22" s="372" t="str">
        <f>IF($P$64=0,"",IF(SUMIF($A$34:$A$63,S$2,$P$34:$P$63)=0,"",(SUMIF($A$34:$A$63,S$2,$P$34:$P$63)-$P$85)))</f>
        <v/>
      </c>
      <c r="T22" s="372" t="str">
        <f>IF($P$64=0,"",IF(SUMIF($A$34:$A$63,T$2,$P$34:$P$63)=0,"",(SUMIF($A$34:$A$63,T$2,$P$34:$P$63)-$P$86)))</f>
        <v/>
      </c>
      <c r="U22" s="372" t="str">
        <f>IF($P$64=0,"",IF(SUMIF($A$34:$A$63,U$2,$P$34:$P$63)=0,"",(SUMIF($A$34:$A$63,U$2,$P$34:$P$63)-$P$87)))</f>
        <v/>
      </c>
      <c r="V22" s="372" t="str">
        <f>IF($P$64=0,"",IF(SUMIF($A$34:$A$63,V$2,$P$34:$P$63)=0,"",(SUMIF($A$34:$A$63,V$2,$P$34:$P$63)-$P$88)))</f>
        <v/>
      </c>
      <c r="W22" s="372" t="str">
        <f>IF($P$64=0,"",IF(SUMIF($A$34:$A$63,W$2,$P$34:$P$63)=0,"",(SUMIF($A$34:$A$63,W$2,$P$34:$P$63)-$P$89)))</f>
        <v/>
      </c>
      <c r="X22" s="372" t="str">
        <f>IF($P$64=0,"",IF(SUMIF($A$34:$A$63,X$2,$P$34:$P$63)=0,"",(SUMIF($A$34:$A$63,X$2,$P$34:$P$63)-$P$90)))</f>
        <v/>
      </c>
      <c r="Y22" s="372" t="str">
        <f>IF($P$64=0,"",IF(SUMIF($A$34:$A$63,Y$2,$P$34:$P$63)=0,"",(SUMIF($A$34:$A$63,Y$2,$P$34:$P$63)-$P$91)))</f>
        <v/>
      </c>
      <c r="Z22" s="372" t="str">
        <f>IF($P$64=0,"",IF(SUMIF($A$34:$A$63,Z$2,$P$34:$P$63)=0,"",(SUMIF($A$34:$A$63,Z$2,$P$34:$P$63)-$P$92)))</f>
        <v/>
      </c>
      <c r="AA22" s="372" t="str">
        <f>IF($P$64=0,"",IF(SUMIF($A$34:$A$63,AA$2,$P$34:$P$63)=0,"",(SUMIF($A$34:$A$63,AA$2,$P$34:$P$63)-$P$93)))</f>
        <v/>
      </c>
      <c r="AB22" s="372" t="str">
        <f>IF($P$64=0,"",IF(SUMIF($A$34:$A$63,AB$2,$P$34:$P$63)=0,"",(SUMIF($A$34:$A$63,AB$2,$P$34:$P$63)-$P$94)))</f>
        <v/>
      </c>
      <c r="AC22" s="372" t="str">
        <f>IF($P$64=0,"",IF(SUMIF($A$34:$A$63,AC$2,$P$34:$P$63)=0,"",(SUMIF($A$34:$A$63,AC$2,$P$34:$P$63)-$P$95)))</f>
        <v/>
      </c>
      <c r="AD22" s="372" t="str">
        <f>IF($P$64=0,"",IF(SUMIF($A$34:$A$63,AD$2,$P$34:$P$63)=0,"",(SUMIF($A$34:$A$63,AD$2,$P$34:$P$63)-$P$96)))</f>
        <v/>
      </c>
      <c r="AE22" s="372" t="str">
        <f>IF($P$64=0,"",IF(SUMIF($A$34:$A$63,AE$2,$P$34:$P$63)=0,"",(SUMIF($A$34:$A$63,AE$2,$P$34:$P$63)-$P$97)))</f>
        <v/>
      </c>
      <c r="AF22" s="372" t="str">
        <f>IF($P$64=0,"",IF(SUMIF($A$34:$A$63,AF$2,$P$34:$P$63)=0,"",(SUMIF($A$34:$A$63,AF$2,$P$34:$P$63)-$P$98)))</f>
        <v/>
      </c>
      <c r="AG22" s="372" t="str">
        <f>IF($P$64=0,"",IF(SUMIF($A$34:$A$63,AG$2,$P$34:$P$63)=0,"",(SUMIF($A$34:$A$63,AG$2,$P$34:$P$63)-$P$99)))</f>
        <v/>
      </c>
      <c r="AH22" s="372" t="str">
        <f>IF($P$64=0,"",IF(SUMIF($A$34:$A$63,AH$2,$P$34:$P$63)=0,"",(SUMIF($A$34:$A$63,AH$2,$P$34:$P$63)-$P$100)))</f>
        <v/>
      </c>
      <c r="AI22" s="402"/>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317"/>
      <c r="DB22" s="317"/>
      <c r="DC22" s="317"/>
      <c r="DD22" s="317"/>
      <c r="DE22" s="317"/>
      <c r="DF22" s="317"/>
      <c r="DG22" s="317"/>
      <c r="DH22" s="317"/>
      <c r="DI22" s="317"/>
      <c r="DJ22" s="317"/>
      <c r="DK22" s="317"/>
      <c r="DL22" s="317"/>
      <c r="DM22" s="317"/>
      <c r="DN22" s="317"/>
      <c r="DO22" s="317"/>
      <c r="DP22" s="317"/>
      <c r="DQ22" s="317"/>
      <c r="DR22" s="317"/>
      <c r="DS22" s="317"/>
      <c r="DT22" s="317"/>
      <c r="DU22" s="317"/>
      <c r="DV22" s="317"/>
      <c r="DW22" s="317"/>
      <c r="DX22" s="317"/>
      <c r="DY22" s="317"/>
      <c r="DZ22" s="317"/>
      <c r="EA22" s="317"/>
      <c r="EB22" s="317"/>
      <c r="EC22" s="317"/>
      <c r="ED22" s="317"/>
      <c r="EE22" s="317"/>
      <c r="EF22" s="317"/>
      <c r="EG22" s="317"/>
      <c r="EH22" s="317"/>
      <c r="EI22" s="317"/>
      <c r="EJ22" s="317"/>
      <c r="EK22" s="317"/>
      <c r="EL22" s="317"/>
      <c r="EM22" s="317"/>
      <c r="EN22" s="317"/>
      <c r="EO22" s="317"/>
      <c r="EP22" s="317"/>
      <c r="EQ22" s="317"/>
      <c r="ER22" s="317"/>
      <c r="ES22" s="317"/>
      <c r="ET22" s="317"/>
      <c r="EU22" s="317"/>
      <c r="EV22" s="317"/>
      <c r="EW22" s="317"/>
      <c r="EX22" s="317"/>
    </row>
    <row r="23" spans="1:154" ht="13.5" thickBot="1">
      <c r="A23" s="898"/>
      <c r="B23" s="814"/>
      <c r="C23" s="115" t="s">
        <v>2440</v>
      </c>
      <c r="D23" s="107">
        <f t="shared" si="0"/>
        <v>0</v>
      </c>
      <c r="E23" s="107" t="str">
        <f>IF($Q$64=0,"",IF(SUMIF($A$34:$A$63,E$2,$Q$34:$Q$63)=0,"",(SUMIF($A$34:$A$63,E$2,$Q$34:$Q$63)-$Q$71)))</f>
        <v/>
      </c>
      <c r="F23" s="116" t="str">
        <f>IF($Q$64=0,"",IF(SUMIF($A$34:$A$63,F$2,$Q$34:$Q$63)=0,"",(SUMIF($A$34:$A$63,F$2,$Q$34:$Q$63)-$Q$72)))</f>
        <v/>
      </c>
      <c r="G23" s="106" t="str">
        <f>IF($Q$64=0,"",IF(SUMIF($A$34:$A$63,G$2,$Q$34:$Q$63)=0,"",(SUMIF($A$34:$A$63,G$2,$Q$34:$Q$63)-$Q$73)))</f>
        <v/>
      </c>
      <c r="H23" s="106" t="str">
        <f>IF($Q$64=0,"",IF(SUMIF($A$34:$A$63,H$2,$Q$34:$Q$63)=0,"",(SUMIF($A$34:$A$63,H$2,$Q$34:$Q$63)-$Q$74)))</f>
        <v/>
      </c>
      <c r="I23" s="106" t="str">
        <f>IF($Q$64=0,"",IF(SUMIF($A$34:$A$63,I$2,$Q$34:$Q$63)=0,"",(SUMIF($A$34:$A$63,I$2,$Q$34:$Q$63)-$Q$75)))</f>
        <v/>
      </c>
      <c r="J23" s="226" t="str">
        <f>IF($Q$64=0,"",IF(SUMIF($A$34:$A$63,J$2,$Q$34:$Q$63)=0,"",(SUMIF($A$34:$A$63,J$2,$Q$34:$Q$63)-$Q$76)))</f>
        <v/>
      </c>
      <c r="K23" s="116" t="str">
        <f>IF($Q$64=0,"",IF(SUMIF($A$34:$A$63,K$2,$Q$34:$Q$63)=0,"",(SUMIF($A$34:$A$63,K$2,$Q$34:$Q$63)-$Q$77)))</f>
        <v/>
      </c>
      <c r="L23" s="106" t="str">
        <f>IF($Q$64=0,"",IF(SUMIF($A$34:$A$63,L$2,$Q$34:$Q$63)=0,"",(SUMIF($A$34:$A$63,L$2,$Q$34:$Q$63)-$Q$78)))</f>
        <v/>
      </c>
      <c r="M23" s="106" t="str">
        <f>IF($Q$64=0,"",IF(SUMIF($A$34:$A$63,M$2,$Q$34:$Q$63)=0,"",(SUMIF($A$34:$A$63,M$2,$Q$34:$Q$63)-$Q$79)))</f>
        <v/>
      </c>
      <c r="N23" s="372" t="str">
        <f>IF($Q$64=0,"",IF(SUMIF($A$34:$A$63,N$2,$Q$34:$Q$63)=0,"",(SUMIF($A$34:$A$63,N$2,$Q$34:$Q$63)-$Q$80)))</f>
        <v/>
      </c>
      <c r="O23" s="372" t="str">
        <f>IF($Q$64=0,"",IF(SUMIF($A$34:$A$63,O$2,$Q$34:$Q$63)=0,"",(SUMIF($A$34:$A$63,O$2,$Q$34:$Q$63)-$Q$81)))</f>
        <v/>
      </c>
      <c r="P23" s="372" t="str">
        <f>IF($Q$64=0,"",IF(SUMIF($A$34:$A$63,P$2,$Q$34:$Q$63)=0,"",(SUMIF($A$34:$A$63,P$2,$Q$34:$Q$63)-$Q$82)))</f>
        <v/>
      </c>
      <c r="Q23" s="372" t="str">
        <f>IF($Q$64=0,"",IF(SUMIF($A$34:$A$63,Q$2,$Q$34:$Q$63)=0,"",(SUMIF($A$34:$A$63,Q$2,$Q$34:$Q$63)-$Q$83)))</f>
        <v/>
      </c>
      <c r="R23" s="372" t="str">
        <f>IF($Q$64=0,"",IF(SUMIF($A$34:$A$63,R$2,$Q$34:$Q$63)=0,"",(SUMIF($A$34:$A$63,R$2,$Q$34:$Q$63)-$Q$84)))</f>
        <v/>
      </c>
      <c r="S23" s="372" t="str">
        <f>IF($Q$64=0,"",IF(SUMIF($A$34:$A$63,S$2,$Q$34:$Q$63)=0,"",(SUMIF($A$34:$A$63,S$2,$Q$34:$Q$63)-$Q$85)))</f>
        <v/>
      </c>
      <c r="T23" s="372" t="str">
        <f>IF($Q$64=0,"",IF(SUMIF($A$34:$A$63,T$2,$Q$34:$Q$63)=0,"",(SUMIF($A$34:$A$63,T$2,$Q$34:$Q$63)-$Q$86)))</f>
        <v/>
      </c>
      <c r="U23" s="372" t="str">
        <f>IF($Q$64=0,"",IF(SUMIF($A$34:$A$63,U$2,$Q$34:$Q$63)=0,"",(SUMIF($A$34:$A$63,U$2,$Q$34:$Q$63)-$Q$87)))</f>
        <v/>
      </c>
      <c r="V23" s="372" t="str">
        <f>IF($Q$64=0,"",IF(SUMIF($A$34:$A$63,V$2,$Q$34:$Q$63)=0,"",(SUMIF($A$34:$A$63,V$2,$Q$34:$Q$63)-$Q$88)))</f>
        <v/>
      </c>
      <c r="W23" s="372" t="str">
        <f>IF($Q$64=0,"",IF(SUMIF($A$34:$A$63,W$2,$Q$34:$Q$63)=0,"",(SUMIF($A$34:$A$63,W$2,$Q$34:$Q$63)-$Q$89)))</f>
        <v/>
      </c>
      <c r="X23" s="372" t="str">
        <f>IF($Q$64=0,"",IF(SUMIF($A$34:$A$63,X$2,$Q$34:$Q$63)=0,"",(SUMIF($A$34:$A$63,X$2,$Q$34:$Q$63)-$Q$90)))</f>
        <v/>
      </c>
      <c r="Y23" s="372" t="str">
        <f>IF($Q$64=0,"",IF(SUMIF($A$34:$A$63,Y$2,$Q$34:$Q$63)=0,"",(SUMIF($A$34:$A$63,Y$2,$Q$34:$Q$63)-$Q$91)))</f>
        <v/>
      </c>
      <c r="Z23" s="372" t="str">
        <f>IF($Q$64=0,"",IF(SUMIF($A$34:$A$63,Z$2,$Q$34:$Q$63)=0,"",(SUMIF($A$34:$A$63,Z$2,$Q$34:$Q$63)-$Q$92)))</f>
        <v/>
      </c>
      <c r="AA23" s="372" t="str">
        <f>IF($Q$64=0,"",IF(SUMIF($A$34:$A$63,AA$2,$Q$34:$Q$63)=0,"",(SUMIF($A$34:$A$63,AA$2,$Q$34:$Q$63)-$Q$93)))</f>
        <v/>
      </c>
      <c r="AB23" s="372" t="str">
        <f>IF($Q$64=0,"",IF(SUMIF($A$34:$A$63,AB$2,$Q$34:$Q$63)=0,"",(SUMIF($A$34:$A$63,AB$2,$Q$34:$Q$63)-$Q$94)))</f>
        <v/>
      </c>
      <c r="AC23" s="372" t="str">
        <f>IF($Q$64=0,"",IF(SUMIF($A$34:$A$63,AC$2,$Q$34:$Q$63)=0,"",(SUMIF($A$34:$A$63,AC$2,$Q$34:$Q$63)-$Q$95)))</f>
        <v/>
      </c>
      <c r="AD23" s="372" t="str">
        <f>IF($Q$64=0,"",IF(SUMIF($A$34:$A$63,AD$2,$Q$34:$Q$63)=0,"",(SUMIF($A$34:$A$63,AD$2,$Q$34:$Q$63)-$Q$96)))</f>
        <v/>
      </c>
      <c r="AE23" s="372" t="str">
        <f>IF($Q$64=0,"",IF(SUMIF($A$34:$A$63,AE$2,$Q$34:$Q$63)=0,"",(SUMIF($A$34:$A$63,AE$2,$Q$34:$Q$63)-$Q$97)))</f>
        <v/>
      </c>
      <c r="AF23" s="372" t="str">
        <f>IF($Q$64=0,"",IF(SUMIF($A$34:$A$63,AF$2,$Q$34:$Q$63)=0,"",(SUMIF($A$34:$A$63,AF$2,$Q$34:$Q$63)-$Q$98)))</f>
        <v/>
      </c>
      <c r="AG23" s="372" t="str">
        <f>IF($Q$64=0,"",IF(SUMIF($A$34:$A$63,AG$2,$Q$34:$Q$63)=0,"",(SUMIF($A$34:$A$63,AG$2,$Q$34:$Q$63)-$Q$99)))</f>
        <v/>
      </c>
      <c r="AH23" s="372" t="str">
        <f>IF($Q$64=0,"",IF(SUMIF($A$34:$A$63,AH$2,$Q$34:$Q$63)=0,"",(SUMIF($A$34:$A$63,AH$2,$Q$34:$Q$63)-$Q$100)))</f>
        <v/>
      </c>
      <c r="AI23" s="402"/>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7"/>
      <c r="DD23" s="317"/>
      <c r="DE23" s="317"/>
      <c r="DF23" s="317"/>
      <c r="DG23" s="317"/>
      <c r="DH23" s="317"/>
      <c r="DI23" s="317"/>
      <c r="DJ23" s="317"/>
      <c r="DK23" s="317"/>
      <c r="DL23" s="317"/>
      <c r="DM23" s="317"/>
      <c r="DN23" s="317"/>
      <c r="DO23" s="317"/>
      <c r="DP23" s="317"/>
      <c r="DQ23" s="317"/>
      <c r="DR23" s="317"/>
      <c r="DS23" s="317"/>
      <c r="DT23" s="317"/>
      <c r="DU23" s="317"/>
      <c r="DV23" s="317"/>
      <c r="DW23" s="317"/>
      <c r="DX23" s="317"/>
      <c r="DY23" s="317"/>
      <c r="DZ23" s="317"/>
      <c r="EA23" s="317"/>
      <c r="EB23" s="317"/>
      <c r="EC23" s="317"/>
      <c r="ED23" s="317"/>
      <c r="EE23" s="317"/>
      <c r="EF23" s="317"/>
      <c r="EG23" s="317"/>
      <c r="EH23" s="317"/>
      <c r="EI23" s="317"/>
      <c r="EJ23" s="317"/>
      <c r="EK23" s="317"/>
      <c r="EL23" s="317"/>
      <c r="EM23" s="317"/>
      <c r="EN23" s="317"/>
      <c r="EO23" s="317"/>
      <c r="EP23" s="317"/>
      <c r="EQ23" s="317"/>
      <c r="ER23" s="317"/>
      <c r="ES23" s="317"/>
      <c r="ET23" s="317"/>
      <c r="EU23" s="317"/>
      <c r="EV23" s="317"/>
      <c r="EW23" s="317"/>
      <c r="EX23" s="317"/>
    </row>
    <row r="24" spans="1:154" ht="26">
      <c r="A24" s="896" t="s">
        <v>208</v>
      </c>
      <c r="B24" s="696"/>
      <c r="C24" s="113" t="s">
        <v>2437</v>
      </c>
      <c r="D24" s="104">
        <f t="shared" si="0"/>
        <v>0</v>
      </c>
      <c r="E24" s="104" t="str">
        <f>IF($R$64=0,"",IF(SUMIF($A$34:$A$63,E$2,$R$34:$R$63)=0,"",(SUMIF($A$34:$A$63,E$2,$R$34:$R$63)-$R$71)))</f>
        <v/>
      </c>
      <c r="F24" s="114" t="str">
        <f>IF($R$64=0,"",IF(SUMIF($A$34:$A$63,F$2,$R$34:$R$63)=0,"",(SUMIF($A$34:$A$63,F$2,$R$34:$R$63)-$R$72)))</f>
        <v/>
      </c>
      <c r="G24" s="105" t="str">
        <f>IF($R$64=0,"",IF(SUMIF($A$34:$A$63,G$2,$R$34:$R$63)=0,"",(SUMIF($A$34:$A$63,G$2,$R$34:$R$63)-$R$73)))</f>
        <v/>
      </c>
      <c r="H24" s="105" t="str">
        <f>IF($R$64=0,"",IF(SUMIF($A$34:$A$63,H$2,$R$34:$R$63)=0,"",(SUMIF($A$34:$A$63,H$2,$R$34:$R$63)-$R$74)))</f>
        <v/>
      </c>
      <c r="I24" s="105" t="str">
        <f>IF($R$64=0,"",IF(SUMIF($A$34:$A$63,I$2,$R$34:$R$63)=0,"",(SUMIF($A$34:$A$63,I$2,$R$34:$R$63)-$R$75)))</f>
        <v/>
      </c>
      <c r="J24" s="114" t="str">
        <f>IF($R$64=0,"",IF(SUMIF($A$34:$A$63,J$2,$R$34:$R$63)=0,"",(SUMIF($A$34:$A$63,J$2,$R$34:$R$63)-$R$76)))</f>
        <v/>
      </c>
      <c r="K24" s="114" t="str">
        <f>IF($R$64=0,"",IF(SUMIF($A$34:$A$63,K$2,$R$34:$R$63)=0,"",(SUMIF($A$34:$A$63,K$2,$R$34:$R$63)-$R$77)))</f>
        <v/>
      </c>
      <c r="L24" s="105" t="str">
        <f>IF($R$64=0,"",IF(SUMIF($A$34:$A$63,L$2,$R$34:$R$63)=0,"",(SUMIF($A$34:$A$63,L$2,$R$34:$R$63)-$R$78)))</f>
        <v/>
      </c>
      <c r="M24" s="105" t="str">
        <f>IF($R$64=0,"",IF(SUMIF($A$34:$A$63,M$2,$R$34:$R$63)=0,"",(SUMIF($A$34:$A$63,M$2,$R$34:$R$63)-$R$79)))</f>
        <v/>
      </c>
      <c r="N24" s="393" t="str">
        <f>IF($R$64=0,"",IF(SUMIF($A$34:$A$63,N$2,$R$34:$R$63)=0,"",(SUMIF($A$34:$A$63,N$2,$R$34:$R$63)-$R$80)))</f>
        <v/>
      </c>
      <c r="O24" s="393" t="str">
        <f>IF($R$64=0,"",IF(SUMIF($A$34:$A$63,O$2,$R$34:$R$63)=0,"",(SUMIF($A$34:$A$63,O$2,$R$34:$R$63)-$R$81)))</f>
        <v/>
      </c>
      <c r="P24" s="393" t="str">
        <f>IF($R$64=0,"",IF(SUMIF($A$34:$A$63,P$2,$R$34:$R$63)=0,"",(SUMIF($A$34:$A$63,P$2,$R$34:$R$63)-$R$82)))</f>
        <v/>
      </c>
      <c r="Q24" s="393" t="str">
        <f>IF($R$64=0,"",IF(SUMIF($A$34:$A$63,Q$2,$R$34:$R$63)=0,"",(SUMIF($A$34:$A$63,Q$2,$R$34:$R$63)-$R$83)))</f>
        <v/>
      </c>
      <c r="R24" s="393" t="str">
        <f>IF($R$64=0,"",IF(SUMIF($A$34:$A$63,R$2,$R$34:$R$63)=0,"",(SUMIF($A$34:$A$63,R$2,$R$34:$R$63)-$R$84)))</f>
        <v/>
      </c>
      <c r="S24" s="393" t="str">
        <f>IF($R$64=0,"",IF(SUMIF($A$34:$A$63,S$2,$R$34:$R$63)=0,"",(SUMIF($A$34:$A$63,S$2,$R$34:$R$63)-$R$85)))</f>
        <v/>
      </c>
      <c r="T24" s="393" t="str">
        <f>IF($R$64=0,"",IF(SUMIF($A$34:$A$63,T$2,$R$34:$R$63)=0,"",(SUMIF($A$34:$A$63,T$2,$R$34:$R$63)-$R$86)))</f>
        <v/>
      </c>
      <c r="U24" s="393" t="str">
        <f>IF($R$64=0,"",IF(SUMIF($A$34:$A$63,U$2,$R$34:$R$63)=0,"",(SUMIF($A$34:$A$63,U$2,$R$34:$R$63)-$R$87)))</f>
        <v/>
      </c>
      <c r="V24" s="393" t="str">
        <f>IF($R$64=0,"",IF(SUMIF($A$34:$A$63,V$2,$R$34:$R$63)=0,"",(SUMIF($A$34:$A$63,V$2,$R$34:$R$63)-$R$88)))</f>
        <v/>
      </c>
      <c r="W24" s="393" t="str">
        <f>IF($R$64=0,"",IF(SUMIF($A$34:$A$63,W$2,$R$34:$R$63)=0,"",(SUMIF($A$34:$A$63,W$2,$R$34:$R$63)-$R$89)))</f>
        <v/>
      </c>
      <c r="X24" s="393" t="str">
        <f>IF($R$64=0,"",IF(SUMIF($A$34:$A$63,X$2,$R$34:$R$63)=0,"",(SUMIF($A$34:$A$63,X$2,$R$34:$R$63)-$R$90)))</f>
        <v/>
      </c>
      <c r="Y24" s="393" t="str">
        <f>IF($R$64=0,"",IF(SUMIF($A$34:$A$63,Y$2,$R$34:$R$63)=0,"",(SUMIF($A$34:$A$63,Y$2,$R$34:$R$63)-$R$91)))</f>
        <v/>
      </c>
      <c r="Z24" s="393" t="str">
        <f>IF($R$64=0,"",IF(SUMIF($A$34:$A$63,Z$2,$R$34:$R$63)=0,"",(SUMIF($A$34:$A$63,Z$2,$R$34:$R$63)-$R$92)))</f>
        <v/>
      </c>
      <c r="AA24" s="393" t="str">
        <f>IF($R$64=0,"",IF(SUMIF($A$34:$A$63,AA$2,$R$34:$R$63)=0,"",(SUMIF($A$34:$A$63,AA$2,$R$34:$R$63)-$R$93)))</f>
        <v/>
      </c>
      <c r="AB24" s="393" t="str">
        <f>IF($R$64=0,"",IF(SUMIF($A$34:$A$63,AB$2,$R$34:$R$63)=0,"",(SUMIF($A$34:$A$63,AB$2,$R$34:$R$63)-$R$94)))</f>
        <v/>
      </c>
      <c r="AC24" s="393" t="str">
        <f>IF($R$64=0,"",IF(SUMIF($A$34:$A$63,AC$2,$R$34:$R$63)=0,"",(SUMIF($A$34:$A$63,AC$2,$R$34:$R$63)-$R$95)))</f>
        <v/>
      </c>
      <c r="AD24" s="393" t="str">
        <f>IF($R$64=0,"",IF(SUMIF($A$34:$A$63,AD$2,$R$34:$R$63)=0,"",(SUMIF($A$34:$A$63,AD$2,$R$34:$R$63)-$R$96)))</f>
        <v/>
      </c>
      <c r="AE24" s="393" t="str">
        <f>IF($R$64=0,"",IF(SUMIF($A$34:$A$63,AE$2,$R$34:$R$63)=0,"",(SUMIF($A$34:$A$63,AE$2,$R$34:$R$63)-$R$97)))</f>
        <v/>
      </c>
      <c r="AF24" s="393" t="str">
        <f>IF($R$64=0,"",IF(SUMIF($A$34:$A$63,AF$2,$R$34:$R$63)=0,"",(SUMIF($A$34:$A$63,AF$2,$R$34:$R$63)-$R$98)))</f>
        <v/>
      </c>
      <c r="AG24" s="393" t="str">
        <f>IF($R$64=0,"",IF(SUMIF($A$34:$A$63,AG$2,$R$34:$R$63)=0,"",(SUMIF($A$34:$A$63,AG$2,$R$34:$R$63)-$R$99)))</f>
        <v/>
      </c>
      <c r="AH24" s="393" t="str">
        <f>IF($R$64=0,"",IF(SUMIF($A$34:$A$63,AH$2,$R$34:$R$63)=0,"",(SUMIF($A$34:$A$63,AH$2,$R$34:$R$63)-$R$100)))</f>
        <v/>
      </c>
      <c r="AI24" s="402"/>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c r="DD24" s="317"/>
      <c r="DE24" s="317"/>
      <c r="DF24" s="317"/>
      <c r="DG24" s="317"/>
      <c r="DH24" s="317"/>
      <c r="DI24" s="317"/>
      <c r="DJ24" s="317"/>
      <c r="DK24" s="317"/>
      <c r="DL24" s="317"/>
      <c r="DM24" s="317"/>
      <c r="DN24" s="317"/>
      <c r="DO24" s="317"/>
      <c r="DP24" s="317"/>
      <c r="DQ24" s="317"/>
      <c r="DR24" s="317"/>
      <c r="DS24" s="317"/>
      <c r="DT24" s="317"/>
      <c r="DU24" s="317"/>
      <c r="DV24" s="317"/>
      <c r="DW24" s="317"/>
      <c r="DX24" s="317"/>
      <c r="DY24" s="317"/>
      <c r="DZ24" s="317"/>
      <c r="EA24" s="317"/>
      <c r="EB24" s="317"/>
      <c r="EC24" s="317"/>
      <c r="ED24" s="317"/>
      <c r="EE24" s="317"/>
      <c r="EF24" s="317"/>
      <c r="EG24" s="317"/>
      <c r="EH24" s="317"/>
      <c r="EI24" s="317"/>
      <c r="EJ24" s="317"/>
      <c r="EK24" s="317"/>
      <c r="EL24" s="317"/>
      <c r="EM24" s="317"/>
      <c r="EN24" s="317"/>
      <c r="EO24" s="317"/>
      <c r="EP24" s="317"/>
      <c r="EQ24" s="317"/>
      <c r="ER24" s="317"/>
      <c r="ES24" s="317"/>
      <c r="ET24" s="317"/>
      <c r="EU24" s="317"/>
      <c r="EV24" s="317"/>
      <c r="EW24" s="317"/>
      <c r="EX24" s="317"/>
    </row>
    <row r="25" spans="1:154" ht="39">
      <c r="A25" s="897"/>
      <c r="B25" s="812"/>
      <c r="C25" s="115" t="s">
        <v>2438</v>
      </c>
      <c r="D25" s="107">
        <f t="shared" si="0"/>
        <v>0</v>
      </c>
      <c r="E25" s="107" t="str">
        <f>IF($S$64=0,"",IF(SUMIF($A$34:$A$63,E$2,$S$34:$S$63)=0,"",(SUMIF($A$34:$A$63,E$2,$S$34:$S$63)-$S$71)))</f>
        <v/>
      </c>
      <c r="F25" s="116" t="str">
        <f>IF($S$64=0,"",IF(SUMIF($A$34:$A$63,F$2,$S$34:$S$63)=0,"",(SUMIF($A$34:$A$63,F$2,$S$34:$S$63)-$S$72)))</f>
        <v/>
      </c>
      <c r="G25" s="106" t="str">
        <f>IF($S$64=0,"",IF(SUMIF($A$34:$A$63,G$2,$S$34:$S$63)=0,"",(SUMIF($A$34:$A$63,G$2,$S$34:$S$63)-$S$73)))</f>
        <v/>
      </c>
      <c r="H25" s="106" t="str">
        <f>IF($S$64=0,"",IF(SUMIF($A$34:$A$63,H$2,$S$34:$S$63)=0,"",(SUMIF($A$34:$A$63,H$2,$S$34:$S$63)-$S$74)))</f>
        <v/>
      </c>
      <c r="I25" s="106" t="str">
        <f>IF($S$64=0,"",IF(SUMIF($A$34:$A$63,I$2,$S$34:$S$63)=0,"",(SUMIF($A$34:$A$63,I$2,$S$34:$S$63)-$S$75)))</f>
        <v/>
      </c>
      <c r="J25" s="226" t="str">
        <f>IF($S$64=0,"",IF(SUMIF($A$34:$A$63,J$2,$S$34:$S$63)=0,"",(SUMIF($A$34:$A$63,J$2,$S$34:$S$63)-$S$76)))</f>
        <v/>
      </c>
      <c r="K25" s="116" t="str">
        <f>IF($S$64=0,"",IF(SUMIF($A$34:$A$63,K$2,$S$34:$S$63)=0,"",(SUMIF($A$34:$A$63,K$2,$S$34:$S$63)-$S$77)))</f>
        <v/>
      </c>
      <c r="L25" s="106" t="str">
        <f>IF($S$64=0,"",IF(SUMIF($A$34:$A$63,L$2,$S$34:$S$63)=0,"",(SUMIF($A$34:$A$63,L$2,$S$34:$S$63)-$S$78)))</f>
        <v/>
      </c>
      <c r="M25" s="106" t="str">
        <f>IF($S$64=0,"",IF(SUMIF($A$34:$A$63,M$2,$S$34:$S$63)=0,"",(SUMIF($A$34:$A$63,M$2,$S$34:$S$63)-$S$79)))</f>
        <v/>
      </c>
      <c r="N25" s="372" t="str">
        <f>IF($S$64=0,"",IF(SUMIF($A$34:$A$63,N$2,$S$34:$S$63)=0,"",(SUMIF($A$34:$A$63,N$2,$S$34:$S$63)-$S$80)))</f>
        <v/>
      </c>
      <c r="O25" s="372" t="str">
        <f>IF($S$64=0,"",IF(SUMIF($A$34:$A$63,O$2,$S$34:$S$63)=0,"",(SUMIF($A$34:$A$63,O$2,$S$34:$S$63)-$S$81)))</f>
        <v/>
      </c>
      <c r="P25" s="372" t="str">
        <f>IF($S$64=0,"",IF(SUMIF($A$34:$A$63,P$2,$S$34:$S$63)=0,"",(SUMIF($A$34:$A$63,P$2,$S$34:$S$63)-$S$82)))</f>
        <v/>
      </c>
      <c r="Q25" s="372" t="str">
        <f>IF($S$64=0,"",IF(SUMIF($A$34:$A$63,Q$2,$S$34:$S$63)=0,"",(SUMIF($A$34:$A$63,Q$2,$S$34:$S$63)-$S$83)))</f>
        <v/>
      </c>
      <c r="R25" s="372" t="str">
        <f>IF($S$64=0,"",IF(SUMIF($A$34:$A$63,R$2,$S$34:$S$63)=0,"",(SUMIF($A$34:$A$63,R$2,$S$34:$S$63)-$S$84)))</f>
        <v/>
      </c>
      <c r="S25" s="372" t="str">
        <f>IF($S$64=0,"",IF(SUMIF($A$34:$A$63,S$2,$S$34:$S$63)=0,"",(SUMIF($A$34:$A$63,S$2,$S$34:$S$63)-$S$85)))</f>
        <v/>
      </c>
      <c r="T25" s="372" t="str">
        <f>IF($S$64=0,"",IF(SUMIF($A$34:$A$63,T$2,$S$34:$S$63)=0,"",(SUMIF($A$34:$A$63,T$2,$S$34:$S$63)-$S$86)))</f>
        <v/>
      </c>
      <c r="U25" s="372" t="str">
        <f>IF($S$64=0,"",IF(SUMIF($A$34:$A$63,U$2,$S$34:$S$63)=0,"",(SUMIF($A$34:$A$63,U$2,$S$34:$S$63)-$S$87)))</f>
        <v/>
      </c>
      <c r="V25" s="372" t="str">
        <f>IF($S$64=0,"",IF(SUMIF($A$34:$A$63,V$2,$S$34:$S$63)=0,"",(SUMIF($A$34:$A$63,V$2,$S$34:$S$63)-$S$88)))</f>
        <v/>
      </c>
      <c r="W25" s="372" t="str">
        <f>IF($S$64=0,"",IF(SUMIF($A$34:$A$63,W$2,$S$34:$S$63)=0,"",(SUMIF($A$34:$A$63,W$2,$S$34:$S$63)-$S$89)))</f>
        <v/>
      </c>
      <c r="X25" s="372" t="str">
        <f>IF($S$64=0,"",IF(SUMIF($A$34:$A$63,X$2,$S$34:$S$63)=0,"",(SUMIF($A$34:$A$63,X$2,$S$34:$S$63)-$S$90)))</f>
        <v/>
      </c>
      <c r="Y25" s="372" t="str">
        <f>IF($S$64=0,"",IF(SUMIF($A$34:$A$63,Y$2,$S$34:$S$63)=0,"",(SUMIF($A$34:$A$63,Y$2,$S$34:$S$63)-$S$91)))</f>
        <v/>
      </c>
      <c r="Z25" s="372" t="str">
        <f>IF($S$64=0,"",IF(SUMIF($A$34:$A$63,Z$2,$S$34:$S$63)=0,"",(SUMIF($A$34:$A$63,Z$2,$S$34:$S$63)-$S$92)))</f>
        <v/>
      </c>
      <c r="AA25" s="372" t="str">
        <f>IF($S$64=0,"",IF(SUMIF($A$34:$A$63,AA$2,$S$34:$S$63)=0,"",(SUMIF($A$34:$A$63,AA$2,$S$34:$S$63)-$S$93)))</f>
        <v/>
      </c>
      <c r="AB25" s="372" t="str">
        <f>IF($S$64=0,"",IF(SUMIF($A$34:$A$63,AB$2,$S$34:$S$63)=0,"",(SUMIF($A$34:$A$63,AB$2,$S$34:$S$63)-$S$94)))</f>
        <v/>
      </c>
      <c r="AC25" s="372" t="str">
        <f>IF($S$64=0,"",IF(SUMIF($A$34:$A$63,AC$2,$S$34:$S$63)=0,"",(SUMIF($A$34:$A$63,AC$2,$S$34:$S$63)-$S$95)))</f>
        <v/>
      </c>
      <c r="AD25" s="372" t="str">
        <f>IF($S$64=0,"",IF(SUMIF($A$34:$A$63,AD$2,$S$34:$S$63)=0,"",(SUMIF($A$34:$A$63,AD$2,$S$34:$S$63)-$S$96)))</f>
        <v/>
      </c>
      <c r="AE25" s="372" t="str">
        <f>IF($S$64=0,"",IF(SUMIF($A$34:$A$63,AE$2,$S$34:$S$63)=0,"",(SUMIF($A$34:$A$63,AE$2,$S$34:$S$63)-$S$97)))</f>
        <v/>
      </c>
      <c r="AF25" s="372" t="str">
        <f>IF($S$64=0,"",IF(SUMIF($A$34:$A$63,AF$2,$S$34:$S$63)=0,"",(SUMIF($A$34:$A$63,AF$2,$S$34:$S$63)-$S$98)))</f>
        <v/>
      </c>
      <c r="AG25" s="372" t="str">
        <f>IF($S$64=0,"",IF(SUMIF($A$34:$A$63,AG$2,$S$34:$S$63)=0,"",(SUMIF($A$34:$A$63,AG$2,$S$34:$S$63)-$S$99)))</f>
        <v/>
      </c>
      <c r="AH25" s="372" t="str">
        <f>IF($S$64=0,"",IF(SUMIF($A$34:$A$63,AH$2,$S$34:$S$63)=0,"",(SUMIF($A$34:$A$63,AH$2,$S$34:$S$63)-$S$100)))</f>
        <v/>
      </c>
      <c r="AI25" s="402"/>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c r="DD25" s="317"/>
      <c r="DE25" s="317"/>
      <c r="DF25" s="317"/>
      <c r="DG25" s="317"/>
      <c r="DH25" s="317"/>
      <c r="DI25" s="317"/>
      <c r="DJ25" s="317"/>
      <c r="DK25" s="317"/>
      <c r="DL25" s="317"/>
      <c r="DM25" s="317"/>
      <c r="DN25" s="317"/>
      <c r="DO25" s="317"/>
      <c r="DP25" s="317"/>
      <c r="DQ25" s="317"/>
      <c r="DR25" s="317"/>
      <c r="DS25" s="317"/>
      <c r="DT25" s="317"/>
      <c r="DU25" s="317"/>
      <c r="DV25" s="317"/>
      <c r="DW25" s="317"/>
      <c r="DX25" s="317"/>
      <c r="DY25" s="317"/>
      <c r="DZ25" s="317"/>
      <c r="EA25" s="317"/>
      <c r="EB25" s="317"/>
      <c r="EC25" s="317"/>
      <c r="ED25" s="317"/>
      <c r="EE25" s="317"/>
      <c r="EF25" s="317"/>
      <c r="EG25" s="317"/>
      <c r="EH25" s="317"/>
      <c r="EI25" s="317"/>
      <c r="EJ25" s="317"/>
      <c r="EK25" s="317"/>
      <c r="EL25" s="317"/>
      <c r="EM25" s="317"/>
      <c r="EN25" s="317"/>
      <c r="EO25" s="317"/>
      <c r="EP25" s="317"/>
      <c r="EQ25" s="317"/>
      <c r="ER25" s="317"/>
      <c r="ES25" s="317"/>
      <c r="ET25" s="317"/>
      <c r="EU25" s="317"/>
      <c r="EV25" s="317"/>
      <c r="EW25" s="317"/>
      <c r="EX25" s="317"/>
    </row>
    <row r="26" spans="1:154" ht="39">
      <c r="A26" s="897"/>
      <c r="B26" s="812"/>
      <c r="C26" s="115" t="s">
        <v>2439</v>
      </c>
      <c r="D26" s="107">
        <f t="shared" si="0"/>
        <v>0</v>
      </c>
      <c r="E26" s="107" t="str">
        <f>IF($T$64=0,"",IF(SUMIF($A$34:$A$63,E$2,$T$34:$T$63)=0,"",(SUMIF($A$34:$A$63,E$2,$T$34:$T$63)-$T$71)))</f>
        <v/>
      </c>
      <c r="F26" s="116" t="str">
        <f>IF($T$64=0,"",IF(SUMIF($A$34:$A$63,F$2,$T$34:$T$63)=0,"",(SUMIF($A$34:$A$63,F$2,$T$34:$T$63)-$T$72)))</f>
        <v/>
      </c>
      <c r="G26" s="106" t="str">
        <f>IF($T$64=0,"",IF(SUMIF($A$34:$A$63,G$2,$T$34:$T$63)=0,"",(SUMIF($A$34:$A$63,G$2,$T$34:$T$63)-$T$73)))</f>
        <v/>
      </c>
      <c r="H26" s="106" t="str">
        <f>IF($T$64=0,"",IF(SUMIF($A$34:$A$63,H$2,$T$34:$T$63)=0,"",(SUMIF($A$34:$A$63,H$2,$T$34:$T$63)-$T$74)))</f>
        <v/>
      </c>
      <c r="I26" s="106" t="str">
        <f>IF($T$64=0,"",IF(SUMIF($A$34:$A$63,I$2,$T$34:$T$63)=0,"",(SUMIF($A$34:$A$63,I$2,$T$34:$T$63)-$T$75)))</f>
        <v/>
      </c>
      <c r="J26" s="226" t="str">
        <f>IF($T$64=0,"",IF(SUMIF($A$34:$A$63,J$2,$T$34:$T$63)=0,"",(SUMIF($A$34:$A$63,J$2,$T$34:$T$63)-$T$76)))</f>
        <v/>
      </c>
      <c r="K26" s="116" t="str">
        <f>IF($T$64=0,"",IF(SUMIF($A$34:$A$63,K$2,$T$34:$T$63)=0,"",(SUMIF($A$34:$A$63,K$2,$T$34:$T$63)-$T$77)))</f>
        <v/>
      </c>
      <c r="L26" s="106" t="str">
        <f>IF($T$64=0,"",IF(SUMIF($A$34:$A$63,L$2,$T$34:$T$63)=0,"",(SUMIF($A$34:$A$63,L$2,$T$34:$T$63)-$T$78)))</f>
        <v/>
      </c>
      <c r="M26" s="106" t="str">
        <f>IF($T$64=0,"",IF(SUMIF($A$34:$A$63,M$2,$T$34:$T$63)=0,"",(SUMIF($A$34:$A$63,M$2,$T$34:$T$63)-$T$79)))</f>
        <v/>
      </c>
      <c r="N26" s="372" t="str">
        <f>IF($T$64=0,"",IF(SUMIF($A$34:$A$63,N$2,$T$34:$T$63)=0,"",(SUMIF($A$34:$A$63,N$2,$T$34:$T$63)-$T$80)))</f>
        <v/>
      </c>
      <c r="O26" s="372" t="str">
        <f>IF($T$64=0,"",IF(SUMIF($A$34:$A$63,O$2,$T$34:$T$63)=0,"",(SUMIF($A$34:$A$63,O$2,$T$34:$T$63)-$T$81)))</f>
        <v/>
      </c>
      <c r="P26" s="372" t="str">
        <f>IF($T$64=0,"",IF(SUMIF($A$34:$A$63,P$2,$T$34:$T$63)=0,"",(SUMIF($A$34:$A$63,P$2,$T$34:$T$63)-$T$82)))</f>
        <v/>
      </c>
      <c r="Q26" s="372" t="str">
        <f>IF($T$64=0,"",IF(SUMIF($A$34:$A$63,Q$2,$T$34:$T$63)=0,"",(SUMIF($A$34:$A$63,Q$2,$T$34:$T$63)-$T$83)))</f>
        <v/>
      </c>
      <c r="R26" s="372" t="str">
        <f>IF($T$64=0,"",IF(SUMIF($A$34:$A$63,R$2,$T$34:$T$63)=0,"",(SUMIF($A$34:$A$63,R$2,$T$34:$T$63)-$T$84)))</f>
        <v/>
      </c>
      <c r="S26" s="372" t="str">
        <f>IF($T$64=0,"",IF(SUMIF($A$34:$A$63,S$2,$T$34:$T$63)=0,"",(SUMIF($A$34:$A$63,S$2,$T$34:$T$63)-$T$85)))</f>
        <v/>
      </c>
      <c r="T26" s="372" t="str">
        <f>IF($T$64=0,"",IF(SUMIF($A$34:$A$63,T$2,$T$34:$T$63)=0,"",(SUMIF($A$34:$A$63,T$2,$T$34:$T$63)-$T$86)))</f>
        <v/>
      </c>
      <c r="U26" s="372" t="str">
        <f>IF($T$64=0,"",IF(SUMIF($A$34:$A$63,U$2,$T$34:$T$63)=0,"",(SUMIF($A$34:$A$63,U$2,$T$34:$T$63)-$T$87)))</f>
        <v/>
      </c>
      <c r="V26" s="372" t="str">
        <f>IF($T$64=0,"",IF(SUMIF($A$34:$A$63,V$2,$T$34:$T$63)=0,"",(SUMIF($A$34:$A$63,V$2,$T$34:$T$63)-$T$88)))</f>
        <v/>
      </c>
      <c r="W26" s="372" t="str">
        <f>IF($T$64=0,"",IF(SUMIF($A$34:$A$63,W$2,$T$34:$T$63)=0,"",(SUMIF($A$34:$A$63,W$2,$T$34:$T$63)-$T$89)))</f>
        <v/>
      </c>
      <c r="X26" s="372" t="str">
        <f>IF($T$64=0,"",IF(SUMIF($A$34:$A$63,X$2,$T$34:$T$63)=0,"",(SUMIF($A$34:$A$63,X$2,$T$34:$T$63)-$T$90)))</f>
        <v/>
      </c>
      <c r="Y26" s="372" t="str">
        <f>IF($T$64=0,"",IF(SUMIF($A$34:$A$63,Y$2,$T$34:$T$63)=0,"",(SUMIF($A$34:$A$63,Y$2,$T$34:$T$63)-$T$91)))</f>
        <v/>
      </c>
      <c r="Z26" s="372" t="str">
        <f>IF($T$64=0,"",IF(SUMIF($A$34:$A$63,Z$2,$T$34:$T$63)=0,"",(SUMIF($A$34:$A$63,Z$2,$T$34:$T$63)-$T$92)))</f>
        <v/>
      </c>
      <c r="AA26" s="372" t="str">
        <f>IF($T$64=0,"",IF(SUMIF($A$34:$A$63,AA$2,$T$34:$T$63)=0,"",(SUMIF($A$34:$A$63,AA$2,$T$34:$T$63)-$T$93)))</f>
        <v/>
      </c>
      <c r="AB26" s="372" t="str">
        <f>IF($T$64=0,"",IF(SUMIF($A$34:$A$63,AB$2,$T$34:$T$63)=0,"",(SUMIF($A$34:$A$63,AB$2,$T$34:$T$63)-$T$94)))</f>
        <v/>
      </c>
      <c r="AC26" s="372" t="str">
        <f>IF($T$64=0,"",IF(SUMIF($A$34:$A$63,AC$2,$T$34:$T$63)=0,"",(SUMIF($A$34:$A$63,AC$2,$T$34:$T$63)-$T$95)))</f>
        <v/>
      </c>
      <c r="AD26" s="372" t="str">
        <f>IF($T$64=0,"",IF(SUMIF($A$34:$A$63,AD$2,$T$34:$T$63)=0,"",(SUMIF($A$34:$A$63,AD$2,$T$34:$T$63)-$T$96)))</f>
        <v/>
      </c>
      <c r="AE26" s="372" t="str">
        <f>IF($T$64=0,"",IF(SUMIF($A$34:$A$63,AE$2,$T$34:$T$63)=0,"",(SUMIF($A$34:$A$63,AE$2,$T$34:$T$63)-$T$97)))</f>
        <v/>
      </c>
      <c r="AF26" s="372" t="str">
        <f>IF($T$64=0,"",IF(SUMIF($A$34:$A$63,AF$2,$T$34:$T$63)=0,"",(SUMIF($A$34:$A$63,AF$2,$T$34:$T$63)-$T$98)))</f>
        <v/>
      </c>
      <c r="AG26" s="372" t="str">
        <f>IF($T$64=0,"",IF(SUMIF($A$34:$A$63,AG$2,$T$34:$T$63)=0,"",(SUMIF($A$34:$A$63,AG$2,$T$34:$T$63)-$T$99)))</f>
        <v/>
      </c>
      <c r="AH26" s="372" t="str">
        <f>IF($T$64=0,"",IF(SUMIF($A$34:$A$63,AH$2,$T$34:$T$63)=0,"",(SUMIF($A$34:$A$63,AH$2,$T$34:$T$63)-$T$100)))</f>
        <v/>
      </c>
      <c r="AI26" s="402"/>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c r="DD26" s="317"/>
      <c r="DE26" s="317"/>
      <c r="DF26" s="317"/>
      <c r="DG26" s="317"/>
      <c r="DH26" s="317"/>
      <c r="DI26" s="317"/>
      <c r="DJ26" s="317"/>
      <c r="DK26" s="317"/>
      <c r="DL26" s="317"/>
      <c r="DM26" s="317"/>
      <c r="DN26" s="317"/>
      <c r="DO26" s="317"/>
      <c r="DP26" s="317"/>
      <c r="DQ26" s="317"/>
      <c r="DR26" s="317"/>
      <c r="DS26" s="317"/>
      <c r="DT26" s="317"/>
      <c r="DU26" s="317"/>
      <c r="DV26" s="317"/>
      <c r="DW26" s="317"/>
      <c r="DX26" s="317"/>
      <c r="DY26" s="317"/>
      <c r="DZ26" s="317"/>
      <c r="EA26" s="317"/>
      <c r="EB26" s="317"/>
      <c r="EC26" s="317"/>
      <c r="ED26" s="317"/>
      <c r="EE26" s="317"/>
      <c r="EF26" s="317"/>
      <c r="EG26" s="317"/>
      <c r="EH26" s="317"/>
      <c r="EI26" s="317"/>
      <c r="EJ26" s="317"/>
      <c r="EK26" s="317"/>
      <c r="EL26" s="317"/>
      <c r="EM26" s="317"/>
      <c r="EN26" s="317"/>
      <c r="EO26" s="317"/>
      <c r="EP26" s="317"/>
      <c r="EQ26" s="317"/>
      <c r="ER26" s="317"/>
      <c r="ES26" s="317"/>
      <c r="ET26" s="317"/>
      <c r="EU26" s="317"/>
      <c r="EV26" s="317"/>
      <c r="EW26" s="317"/>
      <c r="EX26" s="317"/>
    </row>
    <row r="27" spans="1:154" ht="13.5" thickBot="1">
      <c r="A27" s="898"/>
      <c r="B27" s="814"/>
      <c r="C27" s="115" t="s">
        <v>2440</v>
      </c>
      <c r="D27" s="107">
        <f t="shared" si="0"/>
        <v>0</v>
      </c>
      <c r="E27" s="107" t="str">
        <f>IF($U$64=0,"",IF(SUMIF($A$34:$A$63,E$2,$U$34:$U$63)=0,"",(SUMIF($A$34:$A$63,E$2,$U$34:$U$63)-$U$71)))</f>
        <v/>
      </c>
      <c r="F27" s="116" t="str">
        <f>IF($U$64=0,"",IF(SUMIF($A$34:$A$63,F$2,$U$34:$U$63)=0,"",(SUMIF($A$34:$A$63,F$2,$U$34:$U$63)-$U$72)))</f>
        <v/>
      </c>
      <c r="G27" s="106" t="str">
        <f>IF($U$64=0,"",IF(SUMIF($A$34:$A$63,G$2,$U$34:$U$63)=0,"",(SUMIF($A$34:$A$63,G$2,$U$34:$U$63)-$U$73)))</f>
        <v/>
      </c>
      <c r="H27" s="106" t="str">
        <f>IF($U$64=0,"",IF(SUMIF($A$34:$A$63,H$2,$U$34:$U$63)=0,"",(SUMIF($A$34:$A$63,H$2,$U$34:$U$63)-$U$74)))</f>
        <v/>
      </c>
      <c r="I27" s="106" t="str">
        <f>IF($U$64=0,"",IF(SUMIF($A$34:$A$63,I$2,$U$34:$U$63)=0,"",(SUMIF($A$34:$A$63,I$2,$U$34:$U$63)-$U$75)))</f>
        <v/>
      </c>
      <c r="J27" s="226" t="str">
        <f>IF($U$64=0,"",IF(SUMIF($A$34:$A$63,J$2,$U$34:$U$63)=0,"",(SUMIF($A$34:$A$63,J$2,$U$34:$U$63)-$U$76)))</f>
        <v/>
      </c>
      <c r="K27" s="116" t="str">
        <f>IF($U$64=0,"",IF(SUMIF($A$34:$A$63,K$2,$U$34:$U$63)=0,"",(SUMIF($A$34:$A$63,K$2,$U$34:$U$63)-$U$77)))</f>
        <v/>
      </c>
      <c r="L27" s="106" t="str">
        <f>IF($U$64=0,"",IF(SUMIF($A$34:$A$63,L$2,$U$34:$U$63)=0,"",(SUMIF($A$34:$A$63,L$2,$U$34:$U$63)-$U$78)))</f>
        <v/>
      </c>
      <c r="M27" s="106" t="str">
        <f>IF($U$64=0,"",IF(SUMIF($A$34:$A$63,M$2,$U$34:$U$63)=0,"",(SUMIF($A$34:$A$63,M$2,$U$34:$U$63)-$U$79)))</f>
        <v/>
      </c>
      <c r="N27" s="372" t="str">
        <f>IF($U$64=0,"",IF(SUMIF($A$34:$A$63,N$2,$U$34:$U$63)=0,"",(SUMIF($A$34:$A$63,N$2,$U$34:$U$63)-$U$80)))</f>
        <v/>
      </c>
      <c r="O27" s="372" t="str">
        <f>IF($U$64=0,"",IF(SUMIF($A$34:$A$63,O$2,$U$34:$U$63)=0,"",(SUMIF($A$34:$A$63,O$2,$U$34:$U$63)-$U$81)))</f>
        <v/>
      </c>
      <c r="P27" s="372" t="str">
        <f>IF($U$64=0,"",IF(SUMIF($A$34:$A$63,P$2,$U$34:$U$63)=0,"",(SUMIF($A$34:$A$63,P$2,$U$34:$U$63)-$U$82)))</f>
        <v/>
      </c>
      <c r="Q27" s="372" t="str">
        <f>IF($U$64=0,"",IF(SUMIF($A$34:$A$63,Q$2,$U$34:$U$63)=0,"",(SUMIF($A$34:$A$63,Q$2,$U$34:$U$63)-$U$83)))</f>
        <v/>
      </c>
      <c r="R27" s="372" t="str">
        <f>IF($U$64=0,"",IF(SUMIF($A$34:$A$63,R$2,$U$34:$U$63)=0,"",(SUMIF($A$34:$A$63,R$2,$U$34:$U$63)-$U$84)))</f>
        <v/>
      </c>
      <c r="S27" s="372" t="str">
        <f>IF($U$64=0,"",IF(SUMIF($A$34:$A$63,S$2,$U$34:$U$63)=0,"",(SUMIF($A$34:$A$63,S$2,$U$34:$U$63)-$U$85)))</f>
        <v/>
      </c>
      <c r="T27" s="372" t="str">
        <f>IF($U$64=0,"",IF(SUMIF($A$34:$A$63,T$2,$U$34:$U$63)=0,"",(SUMIF($A$34:$A$63,T$2,$U$34:$U$63)-$U$86)))</f>
        <v/>
      </c>
      <c r="U27" s="372" t="str">
        <f>IF($U$64=0,"",IF(SUMIF($A$34:$A$63,U$2,$U$34:$U$63)=0,"",(SUMIF($A$34:$A$63,U$2,$U$34:$U$63)-$U$87)))</f>
        <v/>
      </c>
      <c r="V27" s="372" t="str">
        <f>IF($U$64=0,"",IF(SUMIF($A$34:$A$63,V$2,$U$34:$U$63)=0,"",(SUMIF($A$34:$A$63,V$2,$U$34:$U$63)-$U$88)))</f>
        <v/>
      </c>
      <c r="W27" s="372" t="str">
        <f>IF($U$64=0,"",IF(SUMIF($A$34:$A$63,W$2,$U$34:$U$63)=0,"",(SUMIF($A$34:$A$63,W$2,$U$34:$U$63)-$U$89)))</f>
        <v/>
      </c>
      <c r="X27" s="372" t="str">
        <f>IF($U$64=0,"",IF(SUMIF($A$34:$A$63,X$2,$U$34:$U$63)=0,"",(SUMIF($A$34:$A$63,X$2,$U$34:$U$63)-$U$90)))</f>
        <v/>
      </c>
      <c r="Y27" s="372" t="str">
        <f>IF($U$64=0,"",IF(SUMIF($A$34:$A$63,Y$2,$U$34:$U$63)=0,"",(SUMIF($A$34:$A$63,Y$2,$U$34:$U$63)-$U$91)))</f>
        <v/>
      </c>
      <c r="Z27" s="372" t="str">
        <f>IF($U$64=0,"",IF(SUMIF($A$34:$A$63,Z$2,$U$34:$U$63)=0,"",(SUMIF($A$34:$A$63,Z$2,$U$34:$U$63)-$U$92)))</f>
        <v/>
      </c>
      <c r="AA27" s="372" t="str">
        <f>IF($U$64=0,"",IF(SUMIF($A$34:$A$63,AA$2,$U$34:$U$63)=0,"",(SUMIF($A$34:$A$63,AA$2,$U$34:$U$63)-$U$93)))</f>
        <v/>
      </c>
      <c r="AB27" s="372" t="str">
        <f>IF($U$64=0,"",IF(SUMIF($A$34:$A$63,AB$2,$U$34:$U$63)=0,"",(SUMIF($A$34:$A$63,AB$2,$U$34:$U$63)-$U$94)))</f>
        <v/>
      </c>
      <c r="AC27" s="372" t="str">
        <f>IF($U$64=0,"",IF(SUMIF($A$34:$A$63,AC$2,$U$34:$U$63)=0,"",(SUMIF($A$34:$A$63,AC$2,$U$34:$U$63)-$U$95)))</f>
        <v/>
      </c>
      <c r="AD27" s="372" t="str">
        <f>IF($U$64=0,"",IF(SUMIF($A$34:$A$63,AD$2,$U$34:$U$63)=0,"",(SUMIF($A$34:$A$63,AD$2,$U$34:$U$63)-$U$96)))</f>
        <v/>
      </c>
      <c r="AE27" s="372" t="str">
        <f>IF($U$64=0,"",IF(SUMIF($A$34:$A$63,AE$2,$U$34:$U$63)=0,"",(SUMIF($A$34:$A$63,AE$2,$U$34:$U$63)-$U$97)))</f>
        <v/>
      </c>
      <c r="AF27" s="372" t="str">
        <f>IF($U$64=0,"",IF(SUMIF($A$34:$A$63,AF$2,$U$34:$U$63)=0,"",(SUMIF($A$34:$A$63,AF$2,$U$34:$U$63)-$U$98)))</f>
        <v/>
      </c>
      <c r="AG27" s="372" t="str">
        <f>IF($U$64=0,"",IF(SUMIF($A$34:$A$63,AG$2,$U$34:$U$63)=0,"",(SUMIF($A$34:$A$63,AG$2,$U$34:$U$63)-$U$99)))</f>
        <v/>
      </c>
      <c r="AH27" s="372" t="str">
        <f>IF($U$64=0,"",IF(SUMIF($A$34:$A$63,AH$2,$U$34:$U$63)=0,"",(SUMIF($A$34:$A$63,AH$2,$U$34:$U$63)-$U$100)))</f>
        <v/>
      </c>
      <c r="AI27" s="402"/>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c r="DD27" s="317"/>
      <c r="DE27" s="317"/>
      <c r="DF27" s="317"/>
      <c r="DG27" s="317"/>
      <c r="DH27" s="317"/>
      <c r="DI27" s="317"/>
      <c r="DJ27" s="317"/>
      <c r="DK27" s="317"/>
      <c r="DL27" s="317"/>
      <c r="DM27" s="317"/>
      <c r="DN27" s="317"/>
      <c r="DO27" s="317"/>
      <c r="DP27" s="317"/>
      <c r="DQ27" s="317"/>
      <c r="DR27" s="317"/>
      <c r="DS27" s="317"/>
      <c r="DT27" s="317"/>
      <c r="DU27" s="317"/>
      <c r="DV27" s="317"/>
      <c r="DW27" s="317"/>
      <c r="DX27" s="317"/>
      <c r="DY27" s="317"/>
      <c r="DZ27" s="317"/>
      <c r="EA27" s="317"/>
      <c r="EB27" s="317"/>
      <c r="EC27" s="317"/>
      <c r="ED27" s="317"/>
      <c r="EE27" s="317"/>
      <c r="EF27" s="317"/>
      <c r="EG27" s="317"/>
      <c r="EH27" s="317"/>
      <c r="EI27" s="317"/>
      <c r="EJ27" s="317"/>
      <c r="EK27" s="317"/>
      <c r="EL27" s="317"/>
      <c r="EM27" s="317"/>
      <c r="EN27" s="317"/>
      <c r="EO27" s="317"/>
      <c r="EP27" s="317"/>
      <c r="EQ27" s="317"/>
      <c r="ER27" s="317"/>
      <c r="ES27" s="317"/>
      <c r="ET27" s="317"/>
      <c r="EU27" s="317"/>
      <c r="EV27" s="317"/>
      <c r="EW27" s="317"/>
      <c r="EX27" s="317"/>
    </row>
    <row r="28" spans="1:154" ht="13.5" thickBot="1">
      <c r="A28" s="899" t="s">
        <v>209</v>
      </c>
      <c r="B28" s="900"/>
      <c r="C28" s="900"/>
      <c r="D28" s="118">
        <f t="shared" si="0"/>
        <v>0</v>
      </c>
      <c r="E28" s="118" t="str">
        <f>IF($V$64=0,"",IF(SUMIF($A$34:$A$63,E$2,$V$34:$V$63)=0,"",(SUMIF($A$34:$A$63,E$2,$V$34:$V$63)-$V$71)))</f>
        <v/>
      </c>
      <c r="F28" s="119" t="str">
        <f>IF($V$64=0,"",IF(SUMIF($A$34:$A$63,F$2,$V$34:$V$63)=0,"",(SUMIF($A$34:$A$63,F$2,$V$34:$V$63)-$V$72)))</f>
        <v/>
      </c>
      <c r="G28" s="120" t="str">
        <f>IF($V$64=0,"",IF(SUMIF($A$34:$A$63,G$2,$V$34:$V$63)=0,"",(SUMIF($A$34:$A$63,G$2,$V$34:$V$63)-$V$73)))</f>
        <v/>
      </c>
      <c r="H28" s="120" t="str">
        <f>IF($V$64=0,"",IF(SUMIF($A$34:$A$63,H$2,$V$34:$V$63)=0,"",(SUMIF($A$34:$A$63,H$2,$V$34:$V$63)-$V$74)))</f>
        <v/>
      </c>
      <c r="I28" s="120" t="str">
        <f>IF($V$64=0,"",IF(SUMIF($A$34:$A$63,I$2,$V$34:$V$63)=0,"",(SUMIF($A$34:$A$63,I$2,$V$34:$V$63)-$V$75)))</f>
        <v/>
      </c>
      <c r="J28" s="119" t="str">
        <f>IF($V$64=0,"",IF(SUMIF($A$34:$A$63,J$2,$V$34:$V$63)=0,"",(SUMIF($A$34:$A$63,J$2,$V$34:$V$63)-$V$76)))</f>
        <v/>
      </c>
      <c r="K28" s="119" t="str">
        <f>IF($V$64=0,"",IF(SUMIF($A$34:$A$63,K$2,$V$34:$V$63)=0,"",(SUMIF($A$34:$A$63,K$2,$V$34:$V$63)-$V$77)))</f>
        <v/>
      </c>
      <c r="L28" s="120" t="str">
        <f>IF($V$64=0,"",IF(SUMIF($A$34:$A$63,L$2,$V$34:$V$63)=0,"",(SUMIF($A$34:$A$63,L$2,$V$34:$V$63)-$V$78)))</f>
        <v/>
      </c>
      <c r="M28" s="120" t="str">
        <f>IF($V$64=0,"",IF(SUMIF($A$34:$A$63,M$2,$V$34:$V$63)=0,"",(SUMIF($A$34:$A$63,M$2,$V$34:$V$63)-$V$79)))</f>
        <v/>
      </c>
      <c r="N28" s="394" t="str">
        <f>IF($V$64=0,"",IF(SUMIF($A$34:$A$63,N$2,$V$34:$V$63)=0,"",(SUMIF($A$34:$A$63,N$2,$V$34:$V$63)-$V$80)))</f>
        <v/>
      </c>
      <c r="O28" s="394" t="str">
        <f>IF($V$64=0,"",IF(SUMIF($A$34:$A$63,O$2,$V$34:$V$63)=0,"",(SUMIF($A$34:$A$63,O$2,$V$34:$V$63)-$V$81)))</f>
        <v/>
      </c>
      <c r="P28" s="394" t="str">
        <f>IF($V$64=0,"",IF(SUMIF($A$34:$A$63,P$2,$V$34:$V$63)=0,"",(SUMIF($A$34:$A$63,P$2,$V$34:$V$63)-$V$82)))</f>
        <v/>
      </c>
      <c r="Q28" s="394" t="str">
        <f>IF($V$64=0,"",IF(SUMIF($A$34:$A$63,Q$2,$V$34:$V$63)=0,"",(SUMIF($A$34:$A$63,Q$2,$V$34:$V$63)-$V$83)))</f>
        <v/>
      </c>
      <c r="R28" s="394" t="str">
        <f>IF($V$64=0,"",IF(SUMIF($A$34:$A$63,R$2,$V$34:$V$63)=0,"",(SUMIF($A$34:$A$63,R$2,$V$34:$V$63)-$V$84)))</f>
        <v/>
      </c>
      <c r="S28" s="394" t="str">
        <f>IF($V$64=0,"",IF(SUMIF($A$34:$A$63,S$2,$V$34:$V$63)=0,"",(SUMIF($A$34:$A$63,S$2,$V$34:$V$63)-$V$85)))</f>
        <v/>
      </c>
      <c r="T28" s="394" t="str">
        <f>IF($V$64=0,"",IF(SUMIF($A$34:$A$63,T$2,$V$34:$V$63)=0,"",(SUMIF($A$34:$A$63,T$2,$V$34:$V$63)-$V$86)))</f>
        <v/>
      </c>
      <c r="U28" s="394" t="str">
        <f>IF($V$64=0,"",IF(SUMIF($A$34:$A$63,U$2,$V$34:$V$63)=0,"",(SUMIF($A$34:$A$63,U$2,$V$34:$V$63)-$V$87)))</f>
        <v/>
      </c>
      <c r="V28" s="394" t="str">
        <f>IF($V$64=0,"",IF(SUMIF($A$34:$A$63,V$2,$V$34:$V$63)=0,"",(SUMIF($A$34:$A$63,V$2,$V$34:$V$63)-$V$88)))</f>
        <v/>
      </c>
      <c r="W28" s="394" t="str">
        <f>IF($V$64=0,"",IF(SUMIF($A$34:$A$63,W$2,$V$34:$V$63)=0,"",(SUMIF($A$34:$A$63,W$2,$V$34:$V$63)-$V$89)))</f>
        <v/>
      </c>
      <c r="X28" s="394" t="str">
        <f>IF($V$64=0,"",IF(SUMIF($A$34:$A$63,X$2,$V$34:$V$63)=0,"",(SUMIF($A$34:$A$63,X$2,$V$34:$V$63)-$V$90)))</f>
        <v/>
      </c>
      <c r="Y28" s="394" t="str">
        <f>IF($V$64=0,"",IF(SUMIF($A$34:$A$63,Y$2,$V$34:$V$63)=0,"",(SUMIF($A$34:$A$63,Y$2,$V$34:$V$63)-$V$91)))</f>
        <v/>
      </c>
      <c r="Z28" s="394" t="str">
        <f>IF($V$64=0,"",IF(SUMIF($A$34:$A$63,Z$2,$V$34:$V$63)=0,"",(SUMIF($A$34:$A$63,Z$2,$V$34:$V$63)-$V$92)))</f>
        <v/>
      </c>
      <c r="AA28" s="394" t="str">
        <f>IF($V$64=0,"",IF(SUMIF($A$34:$A$63,AA$2,$V$34:$V$63)=0,"",(SUMIF($A$34:$A$63,AA$2,$V$34:$V$63)-$V$93)))</f>
        <v/>
      </c>
      <c r="AB28" s="394" t="str">
        <f>IF($V$64=0,"",IF(SUMIF($A$34:$A$63,AB$2,$V$34:$V$63)=0,"",(SUMIF($A$34:$A$63,AB$2,$V$34:$V$63)-$V$94)))</f>
        <v/>
      </c>
      <c r="AC28" s="394" t="str">
        <f>IF($V$64=0,"",IF(SUMIF($A$34:$A$63,AC$2,$V$34:$V$63)=0,"",(SUMIF($A$34:$A$63,AC$2,$V$34:$V$63)-$V$95)))</f>
        <v/>
      </c>
      <c r="AD28" s="394" t="str">
        <f>IF($V$64=0,"",IF(SUMIF($A$34:$A$63,AD$2,$V$34:$V$63)=0,"",(SUMIF($A$34:$A$63,AD$2,$V$34:$V$63)-$V$96)))</f>
        <v/>
      </c>
      <c r="AE28" s="394" t="str">
        <f>IF($V$64=0,"",IF(SUMIF($A$34:$A$63,AE$2,$V$34:$V$63)=0,"",(SUMIF($A$34:$A$63,AE$2,$V$34:$V$63)-$V$97)))</f>
        <v/>
      </c>
      <c r="AF28" s="394" t="str">
        <f>IF($V$64=0,"",IF(SUMIF($A$34:$A$63,AF$2,$V$34:$V$63)=0,"",(SUMIF($A$34:$A$63,AF$2,$V$34:$V$63)-$V$98)))</f>
        <v/>
      </c>
      <c r="AG28" s="394" t="str">
        <f>IF($V$64=0,"",IF(SUMIF($A$34:$A$63,AG$2,$V$34:$V$63)=0,"",(SUMIF($A$34:$A$63,AG$2,$V$34:$V$63)-$V$99)))</f>
        <v/>
      </c>
      <c r="AH28" s="394" t="str">
        <f>IF($V$64=0,"",IF(SUMIF($A$34:$A$63,AH$2,$V$34:$V$63)=0,"",(SUMIF($A$34:$A$63,AH$2,$V$34:$V$63)-$V$100)))</f>
        <v/>
      </c>
      <c r="AI28" s="402"/>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c r="DD28" s="317"/>
      <c r="DE28" s="317"/>
      <c r="DF28" s="317"/>
      <c r="DG28" s="317"/>
      <c r="DH28" s="317"/>
      <c r="DI28" s="317"/>
      <c r="DJ28" s="317"/>
      <c r="DK28" s="317"/>
      <c r="DL28" s="317"/>
      <c r="DM28" s="317"/>
      <c r="DN28" s="317"/>
      <c r="DO28" s="317"/>
      <c r="DP28" s="317"/>
      <c r="DQ28" s="317"/>
      <c r="DR28" s="317"/>
      <c r="DS28" s="317"/>
      <c r="DT28" s="317"/>
      <c r="DU28" s="317"/>
      <c r="DV28" s="317"/>
      <c r="DW28" s="317"/>
      <c r="DX28" s="317"/>
      <c r="DY28" s="317"/>
      <c r="DZ28" s="317"/>
      <c r="EA28" s="317"/>
      <c r="EB28" s="317"/>
      <c r="EC28" s="317"/>
      <c r="ED28" s="317"/>
      <c r="EE28" s="317"/>
      <c r="EF28" s="317"/>
      <c r="EG28" s="317"/>
      <c r="EH28" s="317"/>
      <c r="EI28" s="317"/>
      <c r="EJ28" s="317"/>
      <c r="EK28" s="317"/>
      <c r="EL28" s="317"/>
      <c r="EM28" s="317"/>
      <c r="EN28" s="317"/>
      <c r="EO28" s="317"/>
      <c r="EP28" s="317"/>
      <c r="EQ28" s="317"/>
      <c r="ER28" s="317"/>
      <c r="ES28" s="317"/>
      <c r="ET28" s="317"/>
      <c r="EU28" s="317"/>
      <c r="EV28" s="317"/>
      <c r="EW28" s="317"/>
      <c r="EX28" s="317"/>
    </row>
    <row r="29" spans="1:154" s="396" customFormat="1" ht="13.5" thickBot="1">
      <c r="A29" s="911" t="s">
        <v>210</v>
      </c>
      <c r="B29" s="912"/>
      <c r="C29" s="913"/>
      <c r="D29" s="398">
        <f t="shared" si="0"/>
        <v>0</v>
      </c>
      <c r="E29" s="397" t="str">
        <f t="shared" ref="E29:AH29" si="1">IF(SUM(E8:E28)=0,"",SUM(E8:E28))</f>
        <v/>
      </c>
      <c r="F29" s="395" t="str">
        <f t="shared" si="1"/>
        <v/>
      </c>
      <c r="G29" s="395" t="str">
        <f t="shared" si="1"/>
        <v/>
      </c>
      <c r="H29" s="395" t="str">
        <f t="shared" si="1"/>
        <v/>
      </c>
      <c r="I29" s="395" t="str">
        <f t="shared" si="1"/>
        <v/>
      </c>
      <c r="J29" s="395" t="str">
        <f t="shared" si="1"/>
        <v/>
      </c>
      <c r="K29" s="395" t="str">
        <f t="shared" si="1"/>
        <v/>
      </c>
      <c r="L29" s="395" t="str">
        <f t="shared" si="1"/>
        <v/>
      </c>
      <c r="M29" s="395" t="str">
        <f t="shared" si="1"/>
        <v/>
      </c>
      <c r="N29" s="395" t="str">
        <f t="shared" si="1"/>
        <v/>
      </c>
      <c r="O29" s="395" t="str">
        <f t="shared" si="1"/>
        <v/>
      </c>
      <c r="P29" s="395" t="str">
        <f t="shared" si="1"/>
        <v/>
      </c>
      <c r="Q29" s="395" t="str">
        <f t="shared" si="1"/>
        <v/>
      </c>
      <c r="R29" s="395" t="str">
        <f t="shared" si="1"/>
        <v/>
      </c>
      <c r="S29" s="395" t="str">
        <f t="shared" si="1"/>
        <v/>
      </c>
      <c r="T29" s="395" t="str">
        <f t="shared" si="1"/>
        <v/>
      </c>
      <c r="U29" s="395" t="str">
        <f t="shared" si="1"/>
        <v/>
      </c>
      <c r="V29" s="395" t="str">
        <f t="shared" si="1"/>
        <v/>
      </c>
      <c r="W29" s="395" t="str">
        <f t="shared" si="1"/>
        <v/>
      </c>
      <c r="X29" s="395" t="str">
        <f t="shared" si="1"/>
        <v/>
      </c>
      <c r="Y29" s="395" t="str">
        <f t="shared" si="1"/>
        <v/>
      </c>
      <c r="Z29" s="395" t="str">
        <f t="shared" si="1"/>
        <v/>
      </c>
      <c r="AA29" s="395" t="str">
        <f t="shared" si="1"/>
        <v/>
      </c>
      <c r="AB29" s="395" t="str">
        <f t="shared" si="1"/>
        <v/>
      </c>
      <c r="AC29" s="395" t="str">
        <f t="shared" si="1"/>
        <v/>
      </c>
      <c r="AD29" s="395" t="str">
        <f t="shared" si="1"/>
        <v/>
      </c>
      <c r="AE29" s="395" t="str">
        <f t="shared" si="1"/>
        <v/>
      </c>
      <c r="AF29" s="395" t="str">
        <f t="shared" si="1"/>
        <v/>
      </c>
      <c r="AG29" s="395" t="str">
        <f t="shared" si="1"/>
        <v/>
      </c>
      <c r="AH29" s="399" t="str">
        <f t="shared" si="1"/>
        <v/>
      </c>
      <c r="AI29" s="402"/>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7"/>
      <c r="CY29" s="317"/>
      <c r="CZ29" s="317"/>
      <c r="DA29" s="317"/>
      <c r="DB29" s="317"/>
      <c r="DC29" s="317"/>
      <c r="DD29" s="317"/>
      <c r="DE29" s="317"/>
      <c r="DF29" s="317"/>
      <c r="DG29" s="317"/>
      <c r="DH29" s="317"/>
      <c r="DI29" s="317"/>
      <c r="DJ29" s="317"/>
      <c r="DK29" s="317"/>
      <c r="DL29" s="317"/>
      <c r="DM29" s="317"/>
      <c r="DN29" s="317"/>
      <c r="DO29" s="317"/>
      <c r="DP29" s="317"/>
      <c r="DQ29" s="317"/>
      <c r="DR29" s="317"/>
      <c r="DS29" s="317"/>
      <c r="DT29" s="317"/>
      <c r="DU29" s="317"/>
      <c r="DV29" s="317"/>
      <c r="DW29" s="317"/>
      <c r="DX29" s="317"/>
      <c r="DY29" s="317"/>
      <c r="DZ29" s="317"/>
      <c r="EA29" s="317"/>
      <c r="EB29" s="317"/>
      <c r="EC29" s="317"/>
      <c r="ED29" s="317"/>
      <c r="EE29" s="317"/>
      <c r="EF29" s="317"/>
      <c r="EG29" s="317"/>
      <c r="EH29" s="317"/>
      <c r="EI29" s="317"/>
      <c r="EJ29" s="317"/>
      <c r="EK29" s="317"/>
      <c r="EL29" s="317"/>
      <c r="EM29" s="317"/>
      <c r="EN29" s="317"/>
      <c r="EO29" s="317"/>
      <c r="EP29" s="317"/>
      <c r="EQ29" s="317"/>
      <c r="ER29" s="317"/>
      <c r="ES29" s="317"/>
      <c r="ET29" s="317"/>
      <c r="EU29" s="317"/>
      <c r="EV29" s="317"/>
      <c r="EW29" s="317"/>
      <c r="EX29" s="317"/>
    </row>
    <row r="30" spans="1:154" ht="14">
      <c r="B30" s="2"/>
    </row>
    <row r="31" spans="1:154" ht="13.75" hidden="1" customHeight="1">
      <c r="A31" s="808" t="s">
        <v>221</v>
      </c>
      <c r="B31" s="805" t="s">
        <v>2339</v>
      </c>
      <c r="C31" s="806"/>
      <c r="D31" s="806"/>
      <c r="E31" s="806"/>
      <c r="F31" s="806"/>
      <c r="G31" s="806"/>
      <c r="H31" s="806"/>
      <c r="I31" s="806"/>
      <c r="J31" s="806"/>
      <c r="K31" s="806"/>
      <c r="L31" s="806"/>
      <c r="M31" s="806"/>
      <c r="N31" s="806"/>
      <c r="O31" s="806"/>
      <c r="P31" s="806"/>
      <c r="Q31" s="806"/>
      <c r="R31" s="806"/>
      <c r="S31" s="806"/>
      <c r="T31" s="806"/>
      <c r="U31" s="806"/>
      <c r="V31" s="806"/>
      <c r="W31" s="807"/>
    </row>
    <row r="32" spans="1:154" ht="13.75" hidden="1" customHeight="1">
      <c r="A32" s="809"/>
      <c r="B32" s="802" t="s">
        <v>2433</v>
      </c>
      <c r="C32" s="802"/>
      <c r="D32" s="802"/>
      <c r="E32" s="802"/>
      <c r="F32" s="802" t="s">
        <v>2434</v>
      </c>
      <c r="G32" s="802"/>
      <c r="H32" s="802"/>
      <c r="I32" s="802"/>
      <c r="J32" s="802" t="s">
        <v>223</v>
      </c>
      <c r="K32" s="802"/>
      <c r="L32" s="802"/>
      <c r="M32" s="802"/>
      <c r="N32" s="802" t="s">
        <v>1799</v>
      </c>
      <c r="O32" s="802"/>
      <c r="P32" s="802"/>
      <c r="Q32" s="802"/>
      <c r="R32" s="802" t="s">
        <v>2435</v>
      </c>
      <c r="S32" s="802"/>
      <c r="T32" s="802"/>
      <c r="U32" s="802"/>
      <c r="V32" s="802" t="s">
        <v>2436</v>
      </c>
      <c r="W32" s="804" t="s">
        <v>2453</v>
      </c>
    </row>
    <row r="33" spans="1:23" ht="42.75" hidden="1" customHeight="1">
      <c r="A33" s="809"/>
      <c r="B33" s="170" t="s">
        <v>2437</v>
      </c>
      <c r="C33" s="170" t="s">
        <v>2438</v>
      </c>
      <c r="D33" s="170" t="s">
        <v>2439</v>
      </c>
      <c r="E33" s="170" t="s">
        <v>2440</v>
      </c>
      <c r="F33" s="170" t="s">
        <v>2437</v>
      </c>
      <c r="G33" s="170" t="s">
        <v>2438</v>
      </c>
      <c r="H33" s="170" t="s">
        <v>2439</v>
      </c>
      <c r="I33" s="170" t="s">
        <v>2440</v>
      </c>
      <c r="J33" s="170" t="s">
        <v>2437</v>
      </c>
      <c r="K33" s="170" t="s">
        <v>2438</v>
      </c>
      <c r="L33" s="170" t="s">
        <v>2439</v>
      </c>
      <c r="M33" s="170" t="s">
        <v>2440</v>
      </c>
      <c r="N33" s="170" t="s">
        <v>2437</v>
      </c>
      <c r="O33" s="170" t="s">
        <v>2438</v>
      </c>
      <c r="P33" s="170" t="s">
        <v>2439</v>
      </c>
      <c r="Q33" s="170" t="s">
        <v>2440</v>
      </c>
      <c r="R33" s="170" t="s">
        <v>2437</v>
      </c>
      <c r="S33" s="170" t="s">
        <v>2438</v>
      </c>
      <c r="T33" s="170" t="s">
        <v>2439</v>
      </c>
      <c r="U33" s="170" t="s">
        <v>2440</v>
      </c>
      <c r="V33" s="802"/>
      <c r="W33" s="804"/>
    </row>
    <row r="34" spans="1:23" ht="13.75" hidden="1" customHeight="1">
      <c r="A34" s="157">
        <v>1</v>
      </c>
      <c r="B34" s="165">
        <f>COUNTIF(J車種重量,CONCATENATE($A34,11))</f>
        <v>0</v>
      </c>
      <c r="C34" s="165">
        <f>COUNTIF(J車種重量,CONCATENATE($A34,12))</f>
        <v>0</v>
      </c>
      <c r="D34" s="165">
        <f>COUNTIF(J車種重量,CONCATENATE($A34,13))</f>
        <v>0</v>
      </c>
      <c r="E34" s="165">
        <f>COUNTIF(J車種重量,CONCATENATE($A34,14))</f>
        <v>0</v>
      </c>
      <c r="F34" s="165">
        <f>COUNTIF(J車種重量,CONCATENATE($A34,21))</f>
        <v>0</v>
      </c>
      <c r="G34" s="165">
        <f>COUNTIF(J車種重量,CONCATENATE($A34,22))</f>
        <v>0</v>
      </c>
      <c r="H34" s="165">
        <f>COUNTIF(J車種重量,CONCATENATE($A34,23))</f>
        <v>0</v>
      </c>
      <c r="I34" s="165">
        <f>COUNTIF(J車種重量,CONCATENATE($A34,24))</f>
        <v>0</v>
      </c>
      <c r="J34" s="165">
        <f>COUNTIF(J車種重量,CONCATENATE($A34,31))</f>
        <v>0</v>
      </c>
      <c r="K34" s="165">
        <f>COUNTIF(J車種重量,CONCATENATE($A34,32))</f>
        <v>0</v>
      </c>
      <c r="L34" s="165">
        <f>COUNTIF(J車種重量,CONCATENATE($A34,33))</f>
        <v>0</v>
      </c>
      <c r="M34" s="165">
        <f>COUNTIF(J車種重量,CONCATENATE($A34,34))</f>
        <v>0</v>
      </c>
      <c r="N34" s="165">
        <f>COUNTIF(J車種重量,CONCATENATE($A34,41))</f>
        <v>0</v>
      </c>
      <c r="O34" s="165">
        <f>COUNTIF(J車種重量,CONCATENATE($A34,42))</f>
        <v>0</v>
      </c>
      <c r="P34" s="165">
        <f>COUNTIF(J車種重量,CONCATENATE($A34,43))</f>
        <v>0</v>
      </c>
      <c r="Q34" s="165">
        <f>COUNTIF(J車種重量,CONCATENATE($A34,44))</f>
        <v>0</v>
      </c>
      <c r="R34" s="165">
        <f>COUNTIF(J車種重量,CONCATENATE($A34,51))+COUNTIF(J車種重量,CONCATENATE($A34,61))</f>
        <v>0</v>
      </c>
      <c r="S34" s="165">
        <f>COUNTIF(J車種重量,CONCATENATE($A34,52))+COUNTIF(J車種重量,CONCATENATE($A34,62))</f>
        <v>0</v>
      </c>
      <c r="T34" s="165">
        <f>COUNTIF(J車種重量,CONCATENATE($A34,53))+COUNTIF(J車種重量,CONCATENATE($A34,63))</f>
        <v>0</v>
      </c>
      <c r="U34" s="165">
        <f>COUNTIF(J車種重量,CONCATENATE($A34,54))+COUNTIF(J車種重量,CONCATENATE($A34,64))</f>
        <v>0</v>
      </c>
      <c r="V34" s="165">
        <f>COUNTIF(J車種重量,CONCATENATE($A34,90))</f>
        <v>0</v>
      </c>
      <c r="W34" s="166">
        <f t="shared" ref="W34:W42" si="2">SUM(B34:V34)</f>
        <v>0</v>
      </c>
    </row>
    <row r="35" spans="1:23" ht="13.75" hidden="1" customHeight="1">
      <c r="A35" s="157">
        <v>2</v>
      </c>
      <c r="B35" s="165">
        <f t="shared" ref="B35:B63" si="3">COUNTIF(J車種重量,CONCATENATE($A35,11))</f>
        <v>0</v>
      </c>
      <c r="C35" s="165">
        <f t="shared" ref="C35:C63" si="4">COUNTIF(J車種重量,CONCATENATE($A35,12))</f>
        <v>0</v>
      </c>
      <c r="D35" s="165">
        <f t="shared" ref="D35:D63" si="5">COUNTIF(J車種重量,CONCATENATE($A35,13))</f>
        <v>0</v>
      </c>
      <c r="E35" s="165">
        <f t="shared" ref="E35:E63" si="6">COUNTIF(J車種重量,CONCATENATE($A35,14))</f>
        <v>0</v>
      </c>
      <c r="F35" s="165">
        <f t="shared" ref="F35:F63" si="7">COUNTIF(J車種重量,CONCATENATE($A35,21))</f>
        <v>0</v>
      </c>
      <c r="G35" s="165">
        <f t="shared" ref="G35:G63" si="8">COUNTIF(J車種重量,CONCATENATE($A35,22))</f>
        <v>0</v>
      </c>
      <c r="H35" s="165">
        <f t="shared" ref="H35:H63" si="9">COUNTIF(J車種重量,CONCATENATE($A35,23))</f>
        <v>0</v>
      </c>
      <c r="I35" s="165">
        <f t="shared" ref="I35:I63" si="10">COUNTIF(J車種重量,CONCATENATE($A35,24))</f>
        <v>0</v>
      </c>
      <c r="J35" s="165">
        <f t="shared" ref="J35:J63" si="11">COUNTIF(J車種重量,CONCATENATE($A35,31))</f>
        <v>0</v>
      </c>
      <c r="K35" s="165">
        <f t="shared" ref="K35:K63" si="12">COUNTIF(J車種重量,CONCATENATE($A35,32))</f>
        <v>0</v>
      </c>
      <c r="L35" s="165">
        <f t="shared" ref="L35:L63" si="13">COUNTIF(J車種重量,CONCATENATE($A35,33))</f>
        <v>0</v>
      </c>
      <c r="M35" s="165">
        <f t="shared" ref="M35:M63" si="14">COUNTIF(J車種重量,CONCATENATE($A35,34))</f>
        <v>0</v>
      </c>
      <c r="N35" s="165">
        <f t="shared" ref="N35:N63" si="15">COUNTIF(J車種重量,CONCATENATE($A35,41))</f>
        <v>0</v>
      </c>
      <c r="O35" s="165">
        <f t="shared" ref="O35:O63" si="16">COUNTIF(J車種重量,CONCATENATE($A35,42))</f>
        <v>0</v>
      </c>
      <c r="P35" s="165">
        <f t="shared" ref="P35:P63" si="17">COUNTIF(J車種重量,CONCATENATE($A35,43))</f>
        <v>0</v>
      </c>
      <c r="Q35" s="165">
        <f t="shared" ref="Q35:Q63" si="18">COUNTIF(J車種重量,CONCATENATE($A35,44))</f>
        <v>0</v>
      </c>
      <c r="R35" s="165">
        <f t="shared" ref="R35:R63" si="19">COUNTIF(J車種重量,CONCATENATE($A35,51))+COUNTIF(J車種重量,CONCATENATE($A35,61))</f>
        <v>0</v>
      </c>
      <c r="S35" s="165">
        <f t="shared" ref="S35:S63" si="20">COUNTIF(J車種重量,CONCATENATE($A35,52))+COUNTIF(J車種重量,CONCATENATE($A35,62))</f>
        <v>0</v>
      </c>
      <c r="T35" s="165">
        <f t="shared" ref="T35:T63" si="21">COUNTIF(J車種重量,CONCATENATE($A35,53))+COUNTIF(J車種重量,CONCATENATE($A35,63))</f>
        <v>0</v>
      </c>
      <c r="U35" s="165">
        <f t="shared" ref="U35:U63" si="22">COUNTIF(J車種重量,CONCATENATE($A35,54))+COUNTIF(J車種重量,CONCATENATE($A35,64))</f>
        <v>0</v>
      </c>
      <c r="V35" s="165">
        <f t="shared" ref="V35:V63" si="23">COUNTIF(J車種重量,CONCATENATE($A35,90))</f>
        <v>0</v>
      </c>
      <c r="W35" s="166">
        <f t="shared" si="2"/>
        <v>0</v>
      </c>
    </row>
    <row r="36" spans="1:23" ht="13.75" hidden="1" customHeight="1">
      <c r="A36" s="157">
        <v>3</v>
      </c>
      <c r="B36" s="165">
        <f t="shared" si="3"/>
        <v>0</v>
      </c>
      <c r="C36" s="165">
        <f t="shared" si="4"/>
        <v>0</v>
      </c>
      <c r="D36" s="165">
        <f t="shared" si="5"/>
        <v>0</v>
      </c>
      <c r="E36" s="165">
        <f t="shared" si="6"/>
        <v>0</v>
      </c>
      <c r="F36" s="165">
        <f t="shared" si="7"/>
        <v>0</v>
      </c>
      <c r="G36" s="165">
        <f t="shared" si="8"/>
        <v>0</v>
      </c>
      <c r="H36" s="165">
        <f t="shared" si="9"/>
        <v>0</v>
      </c>
      <c r="I36" s="165">
        <f t="shared" si="10"/>
        <v>0</v>
      </c>
      <c r="J36" s="165">
        <f t="shared" si="11"/>
        <v>0</v>
      </c>
      <c r="K36" s="165">
        <f t="shared" si="12"/>
        <v>0</v>
      </c>
      <c r="L36" s="165">
        <f t="shared" si="13"/>
        <v>0</v>
      </c>
      <c r="M36" s="165">
        <f t="shared" si="14"/>
        <v>0</v>
      </c>
      <c r="N36" s="165">
        <f t="shared" si="15"/>
        <v>0</v>
      </c>
      <c r="O36" s="165">
        <f t="shared" si="16"/>
        <v>0</v>
      </c>
      <c r="P36" s="165">
        <f t="shared" si="17"/>
        <v>0</v>
      </c>
      <c r="Q36" s="165">
        <f t="shared" si="18"/>
        <v>0</v>
      </c>
      <c r="R36" s="165">
        <f t="shared" si="19"/>
        <v>0</v>
      </c>
      <c r="S36" s="165">
        <f t="shared" si="20"/>
        <v>0</v>
      </c>
      <c r="T36" s="165">
        <f t="shared" si="21"/>
        <v>0</v>
      </c>
      <c r="U36" s="165">
        <f t="shared" si="22"/>
        <v>0</v>
      </c>
      <c r="V36" s="165">
        <f t="shared" si="23"/>
        <v>0</v>
      </c>
      <c r="W36" s="166">
        <f t="shared" si="2"/>
        <v>0</v>
      </c>
    </row>
    <row r="37" spans="1:23" ht="13.75" hidden="1" customHeight="1">
      <c r="A37" s="157">
        <v>4</v>
      </c>
      <c r="B37" s="165">
        <f t="shared" si="3"/>
        <v>0</v>
      </c>
      <c r="C37" s="165">
        <f t="shared" si="4"/>
        <v>0</v>
      </c>
      <c r="D37" s="165">
        <f t="shared" si="5"/>
        <v>0</v>
      </c>
      <c r="E37" s="165">
        <f t="shared" si="6"/>
        <v>0</v>
      </c>
      <c r="F37" s="165">
        <f t="shared" si="7"/>
        <v>0</v>
      </c>
      <c r="G37" s="165">
        <f t="shared" si="8"/>
        <v>0</v>
      </c>
      <c r="H37" s="165">
        <f t="shared" si="9"/>
        <v>0</v>
      </c>
      <c r="I37" s="165">
        <f t="shared" si="10"/>
        <v>0</v>
      </c>
      <c r="J37" s="165">
        <f t="shared" si="11"/>
        <v>0</v>
      </c>
      <c r="K37" s="165">
        <f t="shared" si="12"/>
        <v>0</v>
      </c>
      <c r="L37" s="165">
        <f t="shared" si="13"/>
        <v>0</v>
      </c>
      <c r="M37" s="165">
        <f t="shared" si="14"/>
        <v>0</v>
      </c>
      <c r="N37" s="165">
        <f t="shared" si="15"/>
        <v>0</v>
      </c>
      <c r="O37" s="165">
        <f t="shared" si="16"/>
        <v>0</v>
      </c>
      <c r="P37" s="165">
        <f t="shared" si="17"/>
        <v>0</v>
      </c>
      <c r="Q37" s="165">
        <f t="shared" si="18"/>
        <v>0</v>
      </c>
      <c r="R37" s="165">
        <f t="shared" si="19"/>
        <v>0</v>
      </c>
      <c r="S37" s="165">
        <f t="shared" si="20"/>
        <v>0</v>
      </c>
      <c r="T37" s="165">
        <f t="shared" si="21"/>
        <v>0</v>
      </c>
      <c r="U37" s="165">
        <f t="shared" si="22"/>
        <v>0</v>
      </c>
      <c r="V37" s="165">
        <f t="shared" si="23"/>
        <v>0</v>
      </c>
      <c r="W37" s="166">
        <f t="shared" si="2"/>
        <v>0</v>
      </c>
    </row>
    <row r="38" spans="1:23" ht="13.75" hidden="1" customHeight="1">
      <c r="A38" s="157">
        <v>5</v>
      </c>
      <c r="B38" s="165">
        <f t="shared" si="3"/>
        <v>0</v>
      </c>
      <c r="C38" s="165">
        <f t="shared" si="4"/>
        <v>0</v>
      </c>
      <c r="D38" s="165">
        <f t="shared" si="5"/>
        <v>0</v>
      </c>
      <c r="E38" s="165">
        <f t="shared" si="6"/>
        <v>0</v>
      </c>
      <c r="F38" s="165">
        <f t="shared" si="7"/>
        <v>0</v>
      </c>
      <c r="G38" s="165">
        <f t="shared" si="8"/>
        <v>0</v>
      </c>
      <c r="H38" s="165">
        <f t="shared" si="9"/>
        <v>0</v>
      </c>
      <c r="I38" s="165">
        <f t="shared" si="10"/>
        <v>0</v>
      </c>
      <c r="J38" s="165">
        <f t="shared" si="11"/>
        <v>0</v>
      </c>
      <c r="K38" s="165">
        <f t="shared" si="12"/>
        <v>0</v>
      </c>
      <c r="L38" s="165">
        <f t="shared" si="13"/>
        <v>0</v>
      </c>
      <c r="M38" s="165">
        <f t="shared" si="14"/>
        <v>0</v>
      </c>
      <c r="N38" s="165">
        <f t="shared" si="15"/>
        <v>0</v>
      </c>
      <c r="O38" s="165">
        <f t="shared" si="16"/>
        <v>0</v>
      </c>
      <c r="P38" s="165">
        <f t="shared" si="17"/>
        <v>0</v>
      </c>
      <c r="Q38" s="165">
        <f t="shared" si="18"/>
        <v>0</v>
      </c>
      <c r="R38" s="165">
        <f t="shared" si="19"/>
        <v>0</v>
      </c>
      <c r="S38" s="165">
        <f t="shared" si="20"/>
        <v>0</v>
      </c>
      <c r="T38" s="165">
        <f t="shared" si="21"/>
        <v>0</v>
      </c>
      <c r="U38" s="165">
        <f t="shared" si="22"/>
        <v>0</v>
      </c>
      <c r="V38" s="165">
        <f t="shared" si="23"/>
        <v>0</v>
      </c>
      <c r="W38" s="166">
        <f t="shared" si="2"/>
        <v>0</v>
      </c>
    </row>
    <row r="39" spans="1:23" ht="13.75" hidden="1" customHeight="1">
      <c r="A39" s="157">
        <v>6</v>
      </c>
      <c r="B39" s="165">
        <f t="shared" si="3"/>
        <v>0</v>
      </c>
      <c r="C39" s="165">
        <f t="shared" si="4"/>
        <v>0</v>
      </c>
      <c r="D39" s="165">
        <f t="shared" si="5"/>
        <v>0</v>
      </c>
      <c r="E39" s="165">
        <f t="shared" si="6"/>
        <v>0</v>
      </c>
      <c r="F39" s="165">
        <f t="shared" si="7"/>
        <v>0</v>
      </c>
      <c r="G39" s="165">
        <f t="shared" si="8"/>
        <v>0</v>
      </c>
      <c r="H39" s="165">
        <f t="shared" si="9"/>
        <v>0</v>
      </c>
      <c r="I39" s="165">
        <f t="shared" si="10"/>
        <v>0</v>
      </c>
      <c r="J39" s="165">
        <f t="shared" si="11"/>
        <v>0</v>
      </c>
      <c r="K39" s="165">
        <f t="shared" si="12"/>
        <v>0</v>
      </c>
      <c r="L39" s="165">
        <f t="shared" si="13"/>
        <v>0</v>
      </c>
      <c r="M39" s="165">
        <f t="shared" si="14"/>
        <v>0</v>
      </c>
      <c r="N39" s="165">
        <f t="shared" si="15"/>
        <v>0</v>
      </c>
      <c r="O39" s="165">
        <f t="shared" si="16"/>
        <v>0</v>
      </c>
      <c r="P39" s="165">
        <f t="shared" si="17"/>
        <v>0</v>
      </c>
      <c r="Q39" s="165">
        <f t="shared" si="18"/>
        <v>0</v>
      </c>
      <c r="R39" s="165">
        <f t="shared" si="19"/>
        <v>0</v>
      </c>
      <c r="S39" s="165">
        <f t="shared" si="20"/>
        <v>0</v>
      </c>
      <c r="T39" s="165">
        <f t="shared" si="21"/>
        <v>0</v>
      </c>
      <c r="U39" s="165">
        <f t="shared" si="22"/>
        <v>0</v>
      </c>
      <c r="V39" s="165">
        <f t="shared" si="23"/>
        <v>0</v>
      </c>
      <c r="W39" s="166">
        <f t="shared" si="2"/>
        <v>0</v>
      </c>
    </row>
    <row r="40" spans="1:23" ht="13.75" hidden="1" customHeight="1">
      <c r="A40" s="157">
        <v>7</v>
      </c>
      <c r="B40" s="165">
        <f t="shared" si="3"/>
        <v>0</v>
      </c>
      <c r="C40" s="165">
        <f t="shared" si="4"/>
        <v>0</v>
      </c>
      <c r="D40" s="165">
        <f t="shared" si="5"/>
        <v>0</v>
      </c>
      <c r="E40" s="165">
        <f t="shared" si="6"/>
        <v>0</v>
      </c>
      <c r="F40" s="165">
        <f t="shared" si="7"/>
        <v>0</v>
      </c>
      <c r="G40" s="165">
        <f t="shared" si="8"/>
        <v>0</v>
      </c>
      <c r="H40" s="165">
        <f t="shared" si="9"/>
        <v>0</v>
      </c>
      <c r="I40" s="165">
        <f t="shared" si="10"/>
        <v>0</v>
      </c>
      <c r="J40" s="165">
        <f t="shared" si="11"/>
        <v>0</v>
      </c>
      <c r="K40" s="165">
        <f t="shared" si="12"/>
        <v>0</v>
      </c>
      <c r="L40" s="165">
        <f t="shared" si="13"/>
        <v>0</v>
      </c>
      <c r="M40" s="165">
        <f t="shared" si="14"/>
        <v>0</v>
      </c>
      <c r="N40" s="165">
        <f t="shared" si="15"/>
        <v>0</v>
      </c>
      <c r="O40" s="165">
        <f t="shared" si="16"/>
        <v>0</v>
      </c>
      <c r="P40" s="165">
        <f t="shared" si="17"/>
        <v>0</v>
      </c>
      <c r="Q40" s="165">
        <f t="shared" si="18"/>
        <v>0</v>
      </c>
      <c r="R40" s="165">
        <f t="shared" si="19"/>
        <v>0</v>
      </c>
      <c r="S40" s="165">
        <f t="shared" si="20"/>
        <v>0</v>
      </c>
      <c r="T40" s="165">
        <f t="shared" si="21"/>
        <v>0</v>
      </c>
      <c r="U40" s="165">
        <f t="shared" si="22"/>
        <v>0</v>
      </c>
      <c r="V40" s="165">
        <f t="shared" si="23"/>
        <v>0</v>
      </c>
      <c r="W40" s="166">
        <f t="shared" si="2"/>
        <v>0</v>
      </c>
    </row>
    <row r="41" spans="1:23" ht="13.75" hidden="1" customHeight="1">
      <c r="A41" s="157">
        <v>8</v>
      </c>
      <c r="B41" s="165">
        <f t="shared" si="3"/>
        <v>0</v>
      </c>
      <c r="C41" s="165">
        <f t="shared" si="4"/>
        <v>0</v>
      </c>
      <c r="D41" s="165">
        <f t="shared" si="5"/>
        <v>0</v>
      </c>
      <c r="E41" s="165">
        <f t="shared" si="6"/>
        <v>0</v>
      </c>
      <c r="F41" s="165">
        <f t="shared" si="7"/>
        <v>0</v>
      </c>
      <c r="G41" s="165">
        <f t="shared" si="8"/>
        <v>0</v>
      </c>
      <c r="H41" s="165">
        <f t="shared" si="9"/>
        <v>0</v>
      </c>
      <c r="I41" s="165">
        <f t="shared" si="10"/>
        <v>0</v>
      </c>
      <c r="J41" s="165">
        <f t="shared" si="11"/>
        <v>0</v>
      </c>
      <c r="K41" s="165">
        <f t="shared" si="12"/>
        <v>0</v>
      </c>
      <c r="L41" s="165">
        <f t="shared" si="13"/>
        <v>0</v>
      </c>
      <c r="M41" s="165">
        <f t="shared" si="14"/>
        <v>0</v>
      </c>
      <c r="N41" s="165">
        <f t="shared" si="15"/>
        <v>0</v>
      </c>
      <c r="O41" s="165">
        <f t="shared" si="16"/>
        <v>0</v>
      </c>
      <c r="P41" s="165">
        <f t="shared" si="17"/>
        <v>0</v>
      </c>
      <c r="Q41" s="165">
        <f t="shared" si="18"/>
        <v>0</v>
      </c>
      <c r="R41" s="165">
        <f t="shared" si="19"/>
        <v>0</v>
      </c>
      <c r="S41" s="165">
        <f t="shared" si="20"/>
        <v>0</v>
      </c>
      <c r="T41" s="165">
        <f t="shared" si="21"/>
        <v>0</v>
      </c>
      <c r="U41" s="165">
        <f t="shared" si="22"/>
        <v>0</v>
      </c>
      <c r="V41" s="165">
        <f t="shared" si="23"/>
        <v>0</v>
      </c>
      <c r="W41" s="166">
        <f t="shared" si="2"/>
        <v>0</v>
      </c>
    </row>
    <row r="42" spans="1:23" ht="13.75" hidden="1" customHeight="1">
      <c r="A42" s="157">
        <v>9</v>
      </c>
      <c r="B42" s="165">
        <f t="shared" si="3"/>
        <v>0</v>
      </c>
      <c r="C42" s="165">
        <f t="shared" si="4"/>
        <v>0</v>
      </c>
      <c r="D42" s="165">
        <f t="shared" si="5"/>
        <v>0</v>
      </c>
      <c r="E42" s="165">
        <f t="shared" si="6"/>
        <v>0</v>
      </c>
      <c r="F42" s="165">
        <f t="shared" si="7"/>
        <v>0</v>
      </c>
      <c r="G42" s="165">
        <f t="shared" si="8"/>
        <v>0</v>
      </c>
      <c r="H42" s="165">
        <f t="shared" si="9"/>
        <v>0</v>
      </c>
      <c r="I42" s="165">
        <f t="shared" si="10"/>
        <v>0</v>
      </c>
      <c r="J42" s="165">
        <f t="shared" si="11"/>
        <v>0</v>
      </c>
      <c r="K42" s="165">
        <f t="shared" si="12"/>
        <v>0</v>
      </c>
      <c r="L42" s="165">
        <f t="shared" si="13"/>
        <v>0</v>
      </c>
      <c r="M42" s="165">
        <f t="shared" si="14"/>
        <v>0</v>
      </c>
      <c r="N42" s="165">
        <f t="shared" si="15"/>
        <v>0</v>
      </c>
      <c r="O42" s="165">
        <f t="shared" si="16"/>
        <v>0</v>
      </c>
      <c r="P42" s="165">
        <f t="shared" si="17"/>
        <v>0</v>
      </c>
      <c r="Q42" s="165">
        <f t="shared" si="18"/>
        <v>0</v>
      </c>
      <c r="R42" s="165">
        <f t="shared" si="19"/>
        <v>0</v>
      </c>
      <c r="S42" s="165">
        <f t="shared" si="20"/>
        <v>0</v>
      </c>
      <c r="T42" s="165">
        <f t="shared" si="21"/>
        <v>0</v>
      </c>
      <c r="U42" s="165">
        <f t="shared" si="22"/>
        <v>0</v>
      </c>
      <c r="V42" s="165">
        <f t="shared" si="23"/>
        <v>0</v>
      </c>
      <c r="W42" s="166">
        <f t="shared" si="2"/>
        <v>0</v>
      </c>
    </row>
    <row r="43" spans="1:23" ht="13.75" hidden="1" customHeight="1">
      <c r="A43" s="157">
        <v>10</v>
      </c>
      <c r="B43" s="165">
        <f t="shared" si="3"/>
        <v>0</v>
      </c>
      <c r="C43" s="165">
        <f t="shared" si="4"/>
        <v>0</v>
      </c>
      <c r="D43" s="165">
        <f t="shared" si="5"/>
        <v>0</v>
      </c>
      <c r="E43" s="165">
        <f t="shared" si="6"/>
        <v>0</v>
      </c>
      <c r="F43" s="165">
        <f t="shared" si="7"/>
        <v>0</v>
      </c>
      <c r="G43" s="165">
        <f t="shared" si="8"/>
        <v>0</v>
      </c>
      <c r="H43" s="165">
        <f t="shared" si="9"/>
        <v>0</v>
      </c>
      <c r="I43" s="165">
        <f t="shared" si="10"/>
        <v>0</v>
      </c>
      <c r="J43" s="165">
        <f t="shared" si="11"/>
        <v>0</v>
      </c>
      <c r="K43" s="165">
        <f t="shared" si="12"/>
        <v>0</v>
      </c>
      <c r="L43" s="165">
        <f t="shared" si="13"/>
        <v>0</v>
      </c>
      <c r="M43" s="165">
        <f t="shared" si="14"/>
        <v>0</v>
      </c>
      <c r="N43" s="165">
        <f t="shared" si="15"/>
        <v>0</v>
      </c>
      <c r="O43" s="165">
        <f t="shared" si="16"/>
        <v>0</v>
      </c>
      <c r="P43" s="165">
        <f t="shared" si="17"/>
        <v>0</v>
      </c>
      <c r="Q43" s="165">
        <f t="shared" si="18"/>
        <v>0</v>
      </c>
      <c r="R43" s="165">
        <f t="shared" si="19"/>
        <v>0</v>
      </c>
      <c r="S43" s="165">
        <f t="shared" si="20"/>
        <v>0</v>
      </c>
      <c r="T43" s="165">
        <f t="shared" si="21"/>
        <v>0</v>
      </c>
      <c r="U43" s="165">
        <f t="shared" si="22"/>
        <v>0</v>
      </c>
      <c r="V43" s="165">
        <f t="shared" si="23"/>
        <v>0</v>
      </c>
      <c r="W43" s="166">
        <f t="shared" ref="W43:W63" si="24">SUM(B43:V43)</f>
        <v>0</v>
      </c>
    </row>
    <row r="44" spans="1:23" ht="13.75" hidden="1" customHeight="1">
      <c r="A44" s="157">
        <v>11</v>
      </c>
      <c r="B44" s="165">
        <f t="shared" si="3"/>
        <v>0</v>
      </c>
      <c r="C44" s="165">
        <f t="shared" si="4"/>
        <v>0</v>
      </c>
      <c r="D44" s="165">
        <f t="shared" si="5"/>
        <v>0</v>
      </c>
      <c r="E44" s="165">
        <f t="shared" si="6"/>
        <v>0</v>
      </c>
      <c r="F44" s="165">
        <f t="shared" si="7"/>
        <v>0</v>
      </c>
      <c r="G44" s="165">
        <f t="shared" si="8"/>
        <v>0</v>
      </c>
      <c r="H44" s="165">
        <f t="shared" si="9"/>
        <v>0</v>
      </c>
      <c r="I44" s="165">
        <f t="shared" si="10"/>
        <v>0</v>
      </c>
      <c r="J44" s="165">
        <f t="shared" si="11"/>
        <v>0</v>
      </c>
      <c r="K44" s="165">
        <f t="shared" si="12"/>
        <v>0</v>
      </c>
      <c r="L44" s="165">
        <f t="shared" si="13"/>
        <v>0</v>
      </c>
      <c r="M44" s="165">
        <f t="shared" si="14"/>
        <v>0</v>
      </c>
      <c r="N44" s="165">
        <f t="shared" si="15"/>
        <v>0</v>
      </c>
      <c r="O44" s="165">
        <f t="shared" si="16"/>
        <v>0</v>
      </c>
      <c r="P44" s="165">
        <f t="shared" si="17"/>
        <v>0</v>
      </c>
      <c r="Q44" s="165">
        <f t="shared" si="18"/>
        <v>0</v>
      </c>
      <c r="R44" s="165">
        <f t="shared" si="19"/>
        <v>0</v>
      </c>
      <c r="S44" s="165">
        <f t="shared" si="20"/>
        <v>0</v>
      </c>
      <c r="T44" s="165">
        <f t="shared" si="21"/>
        <v>0</v>
      </c>
      <c r="U44" s="165">
        <f t="shared" si="22"/>
        <v>0</v>
      </c>
      <c r="V44" s="165">
        <f t="shared" si="23"/>
        <v>0</v>
      </c>
      <c r="W44" s="166">
        <f t="shared" si="24"/>
        <v>0</v>
      </c>
    </row>
    <row r="45" spans="1:23" ht="13.75" hidden="1" customHeight="1">
      <c r="A45" s="157">
        <v>12</v>
      </c>
      <c r="B45" s="165">
        <f t="shared" si="3"/>
        <v>0</v>
      </c>
      <c r="C45" s="165">
        <f t="shared" si="4"/>
        <v>0</v>
      </c>
      <c r="D45" s="165">
        <f t="shared" si="5"/>
        <v>0</v>
      </c>
      <c r="E45" s="165">
        <f t="shared" si="6"/>
        <v>0</v>
      </c>
      <c r="F45" s="165">
        <f t="shared" si="7"/>
        <v>0</v>
      </c>
      <c r="G45" s="165">
        <f t="shared" si="8"/>
        <v>0</v>
      </c>
      <c r="H45" s="165">
        <f t="shared" si="9"/>
        <v>0</v>
      </c>
      <c r="I45" s="165">
        <f t="shared" si="10"/>
        <v>0</v>
      </c>
      <c r="J45" s="165">
        <f t="shared" si="11"/>
        <v>0</v>
      </c>
      <c r="K45" s="165">
        <f t="shared" si="12"/>
        <v>0</v>
      </c>
      <c r="L45" s="165">
        <f t="shared" si="13"/>
        <v>0</v>
      </c>
      <c r="M45" s="165">
        <f t="shared" si="14"/>
        <v>0</v>
      </c>
      <c r="N45" s="165">
        <f t="shared" si="15"/>
        <v>0</v>
      </c>
      <c r="O45" s="165">
        <f t="shared" si="16"/>
        <v>0</v>
      </c>
      <c r="P45" s="165">
        <f t="shared" si="17"/>
        <v>0</v>
      </c>
      <c r="Q45" s="165">
        <f t="shared" si="18"/>
        <v>0</v>
      </c>
      <c r="R45" s="165">
        <f t="shared" si="19"/>
        <v>0</v>
      </c>
      <c r="S45" s="165">
        <f t="shared" si="20"/>
        <v>0</v>
      </c>
      <c r="T45" s="165">
        <f t="shared" si="21"/>
        <v>0</v>
      </c>
      <c r="U45" s="165">
        <f t="shared" si="22"/>
        <v>0</v>
      </c>
      <c r="V45" s="165">
        <f t="shared" si="23"/>
        <v>0</v>
      </c>
      <c r="W45" s="166">
        <f t="shared" si="24"/>
        <v>0</v>
      </c>
    </row>
    <row r="46" spans="1:23" ht="13.75" hidden="1" customHeight="1">
      <c r="A46" s="157">
        <v>13</v>
      </c>
      <c r="B46" s="165">
        <f t="shared" si="3"/>
        <v>0</v>
      </c>
      <c r="C46" s="165">
        <f t="shared" si="4"/>
        <v>0</v>
      </c>
      <c r="D46" s="165">
        <f t="shared" si="5"/>
        <v>0</v>
      </c>
      <c r="E46" s="165">
        <f t="shared" si="6"/>
        <v>0</v>
      </c>
      <c r="F46" s="165">
        <f t="shared" si="7"/>
        <v>0</v>
      </c>
      <c r="G46" s="165">
        <f t="shared" si="8"/>
        <v>0</v>
      </c>
      <c r="H46" s="165">
        <f t="shared" si="9"/>
        <v>0</v>
      </c>
      <c r="I46" s="165">
        <f t="shared" si="10"/>
        <v>0</v>
      </c>
      <c r="J46" s="165">
        <f t="shared" si="11"/>
        <v>0</v>
      </c>
      <c r="K46" s="165">
        <f t="shared" si="12"/>
        <v>0</v>
      </c>
      <c r="L46" s="165">
        <f t="shared" si="13"/>
        <v>0</v>
      </c>
      <c r="M46" s="165">
        <f t="shared" si="14"/>
        <v>0</v>
      </c>
      <c r="N46" s="165">
        <f t="shared" si="15"/>
        <v>0</v>
      </c>
      <c r="O46" s="165">
        <f t="shared" si="16"/>
        <v>0</v>
      </c>
      <c r="P46" s="165">
        <f t="shared" si="17"/>
        <v>0</v>
      </c>
      <c r="Q46" s="165">
        <f t="shared" si="18"/>
        <v>0</v>
      </c>
      <c r="R46" s="165">
        <f t="shared" si="19"/>
        <v>0</v>
      </c>
      <c r="S46" s="165">
        <f t="shared" si="20"/>
        <v>0</v>
      </c>
      <c r="T46" s="165">
        <f t="shared" si="21"/>
        <v>0</v>
      </c>
      <c r="U46" s="165">
        <f t="shared" si="22"/>
        <v>0</v>
      </c>
      <c r="V46" s="165">
        <f t="shared" si="23"/>
        <v>0</v>
      </c>
      <c r="W46" s="166">
        <f t="shared" si="24"/>
        <v>0</v>
      </c>
    </row>
    <row r="47" spans="1:23" ht="13.75" hidden="1" customHeight="1">
      <c r="A47" s="157">
        <v>14</v>
      </c>
      <c r="B47" s="165">
        <f t="shared" si="3"/>
        <v>0</v>
      </c>
      <c r="C47" s="165">
        <f t="shared" si="4"/>
        <v>0</v>
      </c>
      <c r="D47" s="165">
        <f t="shared" si="5"/>
        <v>0</v>
      </c>
      <c r="E47" s="165">
        <f t="shared" si="6"/>
        <v>0</v>
      </c>
      <c r="F47" s="165">
        <f t="shared" si="7"/>
        <v>0</v>
      </c>
      <c r="G47" s="165">
        <f t="shared" si="8"/>
        <v>0</v>
      </c>
      <c r="H47" s="165">
        <f t="shared" si="9"/>
        <v>0</v>
      </c>
      <c r="I47" s="165">
        <f t="shared" si="10"/>
        <v>0</v>
      </c>
      <c r="J47" s="165">
        <f t="shared" si="11"/>
        <v>0</v>
      </c>
      <c r="K47" s="165">
        <f t="shared" si="12"/>
        <v>0</v>
      </c>
      <c r="L47" s="165">
        <f t="shared" si="13"/>
        <v>0</v>
      </c>
      <c r="M47" s="165">
        <f t="shared" si="14"/>
        <v>0</v>
      </c>
      <c r="N47" s="165">
        <f t="shared" si="15"/>
        <v>0</v>
      </c>
      <c r="O47" s="165">
        <f t="shared" si="16"/>
        <v>0</v>
      </c>
      <c r="P47" s="165">
        <f t="shared" si="17"/>
        <v>0</v>
      </c>
      <c r="Q47" s="165">
        <f t="shared" si="18"/>
        <v>0</v>
      </c>
      <c r="R47" s="165">
        <f t="shared" si="19"/>
        <v>0</v>
      </c>
      <c r="S47" s="165">
        <f t="shared" si="20"/>
        <v>0</v>
      </c>
      <c r="T47" s="165">
        <f t="shared" si="21"/>
        <v>0</v>
      </c>
      <c r="U47" s="165">
        <f t="shared" si="22"/>
        <v>0</v>
      </c>
      <c r="V47" s="165">
        <f t="shared" si="23"/>
        <v>0</v>
      </c>
      <c r="W47" s="166">
        <f t="shared" si="24"/>
        <v>0</v>
      </c>
    </row>
    <row r="48" spans="1:23" ht="13.75" hidden="1" customHeight="1">
      <c r="A48" s="157">
        <v>15</v>
      </c>
      <c r="B48" s="165">
        <f t="shared" si="3"/>
        <v>0</v>
      </c>
      <c r="C48" s="165">
        <f t="shared" si="4"/>
        <v>0</v>
      </c>
      <c r="D48" s="165">
        <f t="shared" si="5"/>
        <v>0</v>
      </c>
      <c r="E48" s="165">
        <f t="shared" si="6"/>
        <v>0</v>
      </c>
      <c r="F48" s="165">
        <f t="shared" si="7"/>
        <v>0</v>
      </c>
      <c r="G48" s="165">
        <f t="shared" si="8"/>
        <v>0</v>
      </c>
      <c r="H48" s="165">
        <f t="shared" si="9"/>
        <v>0</v>
      </c>
      <c r="I48" s="165">
        <f t="shared" si="10"/>
        <v>0</v>
      </c>
      <c r="J48" s="165">
        <f t="shared" si="11"/>
        <v>0</v>
      </c>
      <c r="K48" s="165">
        <f t="shared" si="12"/>
        <v>0</v>
      </c>
      <c r="L48" s="165">
        <f t="shared" si="13"/>
        <v>0</v>
      </c>
      <c r="M48" s="165">
        <f t="shared" si="14"/>
        <v>0</v>
      </c>
      <c r="N48" s="165">
        <f t="shared" si="15"/>
        <v>0</v>
      </c>
      <c r="O48" s="165">
        <f t="shared" si="16"/>
        <v>0</v>
      </c>
      <c r="P48" s="165">
        <f t="shared" si="17"/>
        <v>0</v>
      </c>
      <c r="Q48" s="165">
        <f t="shared" si="18"/>
        <v>0</v>
      </c>
      <c r="R48" s="165">
        <f t="shared" si="19"/>
        <v>0</v>
      </c>
      <c r="S48" s="165">
        <f t="shared" si="20"/>
        <v>0</v>
      </c>
      <c r="T48" s="165">
        <f t="shared" si="21"/>
        <v>0</v>
      </c>
      <c r="U48" s="165">
        <f t="shared" si="22"/>
        <v>0</v>
      </c>
      <c r="V48" s="165">
        <f t="shared" si="23"/>
        <v>0</v>
      </c>
      <c r="W48" s="166">
        <f t="shared" si="24"/>
        <v>0</v>
      </c>
    </row>
    <row r="49" spans="1:23" ht="13.75" hidden="1" customHeight="1">
      <c r="A49" s="157">
        <v>16</v>
      </c>
      <c r="B49" s="165">
        <f t="shared" si="3"/>
        <v>0</v>
      </c>
      <c r="C49" s="165">
        <f t="shared" si="4"/>
        <v>0</v>
      </c>
      <c r="D49" s="165">
        <f t="shared" si="5"/>
        <v>0</v>
      </c>
      <c r="E49" s="165">
        <f t="shared" si="6"/>
        <v>0</v>
      </c>
      <c r="F49" s="165">
        <f t="shared" si="7"/>
        <v>0</v>
      </c>
      <c r="G49" s="165">
        <f t="shared" si="8"/>
        <v>0</v>
      </c>
      <c r="H49" s="165">
        <f t="shared" si="9"/>
        <v>0</v>
      </c>
      <c r="I49" s="165">
        <f t="shared" si="10"/>
        <v>0</v>
      </c>
      <c r="J49" s="165">
        <f t="shared" si="11"/>
        <v>0</v>
      </c>
      <c r="K49" s="165">
        <f t="shared" si="12"/>
        <v>0</v>
      </c>
      <c r="L49" s="165">
        <f t="shared" si="13"/>
        <v>0</v>
      </c>
      <c r="M49" s="165">
        <f t="shared" si="14"/>
        <v>0</v>
      </c>
      <c r="N49" s="165">
        <f t="shared" si="15"/>
        <v>0</v>
      </c>
      <c r="O49" s="165">
        <f t="shared" si="16"/>
        <v>0</v>
      </c>
      <c r="P49" s="165">
        <f t="shared" si="17"/>
        <v>0</v>
      </c>
      <c r="Q49" s="165">
        <f t="shared" si="18"/>
        <v>0</v>
      </c>
      <c r="R49" s="165">
        <f t="shared" si="19"/>
        <v>0</v>
      </c>
      <c r="S49" s="165">
        <f t="shared" si="20"/>
        <v>0</v>
      </c>
      <c r="T49" s="165">
        <f t="shared" si="21"/>
        <v>0</v>
      </c>
      <c r="U49" s="165">
        <f t="shared" si="22"/>
        <v>0</v>
      </c>
      <c r="V49" s="165">
        <f t="shared" si="23"/>
        <v>0</v>
      </c>
      <c r="W49" s="166">
        <f t="shared" si="24"/>
        <v>0</v>
      </c>
    </row>
    <row r="50" spans="1:23" ht="13.75" hidden="1" customHeight="1">
      <c r="A50" s="157">
        <v>17</v>
      </c>
      <c r="B50" s="165">
        <f t="shared" si="3"/>
        <v>0</v>
      </c>
      <c r="C50" s="165">
        <f t="shared" si="4"/>
        <v>0</v>
      </c>
      <c r="D50" s="165">
        <f t="shared" si="5"/>
        <v>0</v>
      </c>
      <c r="E50" s="165">
        <f t="shared" si="6"/>
        <v>0</v>
      </c>
      <c r="F50" s="165">
        <f t="shared" si="7"/>
        <v>0</v>
      </c>
      <c r="G50" s="165">
        <f t="shared" si="8"/>
        <v>0</v>
      </c>
      <c r="H50" s="165">
        <f t="shared" si="9"/>
        <v>0</v>
      </c>
      <c r="I50" s="165">
        <f t="shared" si="10"/>
        <v>0</v>
      </c>
      <c r="J50" s="165">
        <f t="shared" si="11"/>
        <v>0</v>
      </c>
      <c r="K50" s="165">
        <f t="shared" si="12"/>
        <v>0</v>
      </c>
      <c r="L50" s="165">
        <f t="shared" si="13"/>
        <v>0</v>
      </c>
      <c r="M50" s="165">
        <f t="shared" si="14"/>
        <v>0</v>
      </c>
      <c r="N50" s="165">
        <f t="shared" si="15"/>
        <v>0</v>
      </c>
      <c r="O50" s="165">
        <f t="shared" si="16"/>
        <v>0</v>
      </c>
      <c r="P50" s="165">
        <f t="shared" si="17"/>
        <v>0</v>
      </c>
      <c r="Q50" s="165">
        <f t="shared" si="18"/>
        <v>0</v>
      </c>
      <c r="R50" s="165">
        <f t="shared" si="19"/>
        <v>0</v>
      </c>
      <c r="S50" s="165">
        <f t="shared" si="20"/>
        <v>0</v>
      </c>
      <c r="T50" s="165">
        <f t="shared" si="21"/>
        <v>0</v>
      </c>
      <c r="U50" s="165">
        <f t="shared" si="22"/>
        <v>0</v>
      </c>
      <c r="V50" s="165">
        <f t="shared" si="23"/>
        <v>0</v>
      </c>
      <c r="W50" s="166">
        <f t="shared" si="24"/>
        <v>0</v>
      </c>
    </row>
    <row r="51" spans="1:23" ht="13.75" hidden="1" customHeight="1">
      <c r="A51" s="157">
        <v>18</v>
      </c>
      <c r="B51" s="165">
        <f t="shared" si="3"/>
        <v>0</v>
      </c>
      <c r="C51" s="165">
        <f t="shared" si="4"/>
        <v>0</v>
      </c>
      <c r="D51" s="165">
        <f t="shared" si="5"/>
        <v>0</v>
      </c>
      <c r="E51" s="165">
        <f t="shared" si="6"/>
        <v>0</v>
      </c>
      <c r="F51" s="165">
        <f t="shared" si="7"/>
        <v>0</v>
      </c>
      <c r="G51" s="165">
        <f t="shared" si="8"/>
        <v>0</v>
      </c>
      <c r="H51" s="165">
        <f t="shared" si="9"/>
        <v>0</v>
      </c>
      <c r="I51" s="165">
        <f t="shared" si="10"/>
        <v>0</v>
      </c>
      <c r="J51" s="165">
        <f t="shared" si="11"/>
        <v>0</v>
      </c>
      <c r="K51" s="165">
        <f t="shared" si="12"/>
        <v>0</v>
      </c>
      <c r="L51" s="165">
        <f t="shared" si="13"/>
        <v>0</v>
      </c>
      <c r="M51" s="165">
        <f t="shared" si="14"/>
        <v>0</v>
      </c>
      <c r="N51" s="165">
        <f t="shared" si="15"/>
        <v>0</v>
      </c>
      <c r="O51" s="165">
        <f t="shared" si="16"/>
        <v>0</v>
      </c>
      <c r="P51" s="165">
        <f t="shared" si="17"/>
        <v>0</v>
      </c>
      <c r="Q51" s="165">
        <f t="shared" si="18"/>
        <v>0</v>
      </c>
      <c r="R51" s="165">
        <f t="shared" si="19"/>
        <v>0</v>
      </c>
      <c r="S51" s="165">
        <f t="shared" si="20"/>
        <v>0</v>
      </c>
      <c r="T51" s="165">
        <f t="shared" si="21"/>
        <v>0</v>
      </c>
      <c r="U51" s="165">
        <f t="shared" si="22"/>
        <v>0</v>
      </c>
      <c r="V51" s="165">
        <f t="shared" si="23"/>
        <v>0</v>
      </c>
      <c r="W51" s="166">
        <f t="shared" si="24"/>
        <v>0</v>
      </c>
    </row>
    <row r="52" spans="1:23" ht="13.75" hidden="1" customHeight="1">
      <c r="A52" s="157">
        <v>19</v>
      </c>
      <c r="B52" s="165">
        <f t="shared" si="3"/>
        <v>0</v>
      </c>
      <c r="C52" s="165">
        <f t="shared" si="4"/>
        <v>0</v>
      </c>
      <c r="D52" s="165">
        <f t="shared" si="5"/>
        <v>0</v>
      </c>
      <c r="E52" s="165">
        <f t="shared" si="6"/>
        <v>0</v>
      </c>
      <c r="F52" s="165">
        <f t="shared" si="7"/>
        <v>0</v>
      </c>
      <c r="G52" s="165">
        <f t="shared" si="8"/>
        <v>0</v>
      </c>
      <c r="H52" s="165">
        <f t="shared" si="9"/>
        <v>0</v>
      </c>
      <c r="I52" s="165">
        <f t="shared" si="10"/>
        <v>0</v>
      </c>
      <c r="J52" s="165">
        <f t="shared" si="11"/>
        <v>0</v>
      </c>
      <c r="K52" s="165">
        <f t="shared" si="12"/>
        <v>0</v>
      </c>
      <c r="L52" s="165">
        <f t="shared" si="13"/>
        <v>0</v>
      </c>
      <c r="M52" s="165">
        <f t="shared" si="14"/>
        <v>0</v>
      </c>
      <c r="N52" s="165">
        <f t="shared" si="15"/>
        <v>0</v>
      </c>
      <c r="O52" s="165">
        <f t="shared" si="16"/>
        <v>0</v>
      </c>
      <c r="P52" s="165">
        <f t="shared" si="17"/>
        <v>0</v>
      </c>
      <c r="Q52" s="165">
        <f t="shared" si="18"/>
        <v>0</v>
      </c>
      <c r="R52" s="165">
        <f t="shared" si="19"/>
        <v>0</v>
      </c>
      <c r="S52" s="165">
        <f t="shared" si="20"/>
        <v>0</v>
      </c>
      <c r="T52" s="165">
        <f t="shared" si="21"/>
        <v>0</v>
      </c>
      <c r="U52" s="165">
        <f t="shared" si="22"/>
        <v>0</v>
      </c>
      <c r="V52" s="165">
        <f t="shared" si="23"/>
        <v>0</v>
      </c>
      <c r="W52" s="166">
        <f t="shared" si="24"/>
        <v>0</v>
      </c>
    </row>
    <row r="53" spans="1:23" ht="13.75" hidden="1" customHeight="1">
      <c r="A53" s="157">
        <v>20</v>
      </c>
      <c r="B53" s="165">
        <f t="shared" si="3"/>
        <v>0</v>
      </c>
      <c r="C53" s="165">
        <f t="shared" si="4"/>
        <v>0</v>
      </c>
      <c r="D53" s="165">
        <f t="shared" si="5"/>
        <v>0</v>
      </c>
      <c r="E53" s="165">
        <f t="shared" si="6"/>
        <v>0</v>
      </c>
      <c r="F53" s="165">
        <f t="shared" si="7"/>
        <v>0</v>
      </c>
      <c r="G53" s="165">
        <f t="shared" si="8"/>
        <v>0</v>
      </c>
      <c r="H53" s="165">
        <f t="shared" si="9"/>
        <v>0</v>
      </c>
      <c r="I53" s="165">
        <f t="shared" si="10"/>
        <v>0</v>
      </c>
      <c r="J53" s="165">
        <f t="shared" si="11"/>
        <v>0</v>
      </c>
      <c r="K53" s="165">
        <f t="shared" si="12"/>
        <v>0</v>
      </c>
      <c r="L53" s="165">
        <f t="shared" si="13"/>
        <v>0</v>
      </c>
      <c r="M53" s="165">
        <f t="shared" si="14"/>
        <v>0</v>
      </c>
      <c r="N53" s="165">
        <f t="shared" si="15"/>
        <v>0</v>
      </c>
      <c r="O53" s="165">
        <f t="shared" si="16"/>
        <v>0</v>
      </c>
      <c r="P53" s="165">
        <f t="shared" si="17"/>
        <v>0</v>
      </c>
      <c r="Q53" s="165">
        <f t="shared" si="18"/>
        <v>0</v>
      </c>
      <c r="R53" s="165">
        <f t="shared" si="19"/>
        <v>0</v>
      </c>
      <c r="S53" s="165">
        <f t="shared" si="20"/>
        <v>0</v>
      </c>
      <c r="T53" s="165">
        <f t="shared" si="21"/>
        <v>0</v>
      </c>
      <c r="U53" s="165">
        <f t="shared" si="22"/>
        <v>0</v>
      </c>
      <c r="V53" s="165">
        <f t="shared" si="23"/>
        <v>0</v>
      </c>
      <c r="W53" s="166">
        <f t="shared" si="24"/>
        <v>0</v>
      </c>
    </row>
    <row r="54" spans="1:23" ht="13.75" hidden="1" customHeight="1">
      <c r="A54" s="157">
        <v>21</v>
      </c>
      <c r="B54" s="165">
        <f t="shared" si="3"/>
        <v>0</v>
      </c>
      <c r="C54" s="165">
        <f t="shared" si="4"/>
        <v>0</v>
      </c>
      <c r="D54" s="165">
        <f t="shared" si="5"/>
        <v>0</v>
      </c>
      <c r="E54" s="165">
        <f t="shared" si="6"/>
        <v>0</v>
      </c>
      <c r="F54" s="165">
        <f t="shared" si="7"/>
        <v>0</v>
      </c>
      <c r="G54" s="165">
        <f t="shared" si="8"/>
        <v>0</v>
      </c>
      <c r="H54" s="165">
        <f t="shared" si="9"/>
        <v>0</v>
      </c>
      <c r="I54" s="165">
        <f t="shared" si="10"/>
        <v>0</v>
      </c>
      <c r="J54" s="165">
        <f t="shared" si="11"/>
        <v>0</v>
      </c>
      <c r="K54" s="165">
        <f t="shared" si="12"/>
        <v>0</v>
      </c>
      <c r="L54" s="165">
        <f t="shared" si="13"/>
        <v>0</v>
      </c>
      <c r="M54" s="165">
        <f t="shared" si="14"/>
        <v>0</v>
      </c>
      <c r="N54" s="165">
        <f t="shared" si="15"/>
        <v>0</v>
      </c>
      <c r="O54" s="165">
        <f t="shared" si="16"/>
        <v>0</v>
      </c>
      <c r="P54" s="165">
        <f t="shared" si="17"/>
        <v>0</v>
      </c>
      <c r="Q54" s="165">
        <f t="shared" si="18"/>
        <v>0</v>
      </c>
      <c r="R54" s="165">
        <f t="shared" si="19"/>
        <v>0</v>
      </c>
      <c r="S54" s="165">
        <f t="shared" si="20"/>
        <v>0</v>
      </c>
      <c r="T54" s="165">
        <f t="shared" si="21"/>
        <v>0</v>
      </c>
      <c r="U54" s="165">
        <f t="shared" si="22"/>
        <v>0</v>
      </c>
      <c r="V54" s="165">
        <f t="shared" si="23"/>
        <v>0</v>
      </c>
      <c r="W54" s="166">
        <f t="shared" si="24"/>
        <v>0</v>
      </c>
    </row>
    <row r="55" spans="1:23" ht="13.75" hidden="1" customHeight="1">
      <c r="A55" s="157">
        <v>22</v>
      </c>
      <c r="B55" s="165">
        <f t="shared" si="3"/>
        <v>0</v>
      </c>
      <c r="C55" s="165">
        <f t="shared" si="4"/>
        <v>0</v>
      </c>
      <c r="D55" s="165">
        <f t="shared" si="5"/>
        <v>0</v>
      </c>
      <c r="E55" s="165">
        <f t="shared" si="6"/>
        <v>0</v>
      </c>
      <c r="F55" s="165">
        <f t="shared" si="7"/>
        <v>0</v>
      </c>
      <c r="G55" s="165">
        <f t="shared" si="8"/>
        <v>0</v>
      </c>
      <c r="H55" s="165">
        <f t="shared" si="9"/>
        <v>0</v>
      </c>
      <c r="I55" s="165">
        <f t="shared" si="10"/>
        <v>0</v>
      </c>
      <c r="J55" s="165">
        <f t="shared" si="11"/>
        <v>0</v>
      </c>
      <c r="K55" s="165">
        <f t="shared" si="12"/>
        <v>0</v>
      </c>
      <c r="L55" s="165">
        <f t="shared" si="13"/>
        <v>0</v>
      </c>
      <c r="M55" s="165">
        <f t="shared" si="14"/>
        <v>0</v>
      </c>
      <c r="N55" s="165">
        <f t="shared" si="15"/>
        <v>0</v>
      </c>
      <c r="O55" s="165">
        <f t="shared" si="16"/>
        <v>0</v>
      </c>
      <c r="P55" s="165">
        <f t="shared" si="17"/>
        <v>0</v>
      </c>
      <c r="Q55" s="165">
        <f t="shared" si="18"/>
        <v>0</v>
      </c>
      <c r="R55" s="165">
        <f t="shared" si="19"/>
        <v>0</v>
      </c>
      <c r="S55" s="165">
        <f t="shared" si="20"/>
        <v>0</v>
      </c>
      <c r="T55" s="165">
        <f t="shared" si="21"/>
        <v>0</v>
      </c>
      <c r="U55" s="165">
        <f t="shared" si="22"/>
        <v>0</v>
      </c>
      <c r="V55" s="165">
        <f t="shared" si="23"/>
        <v>0</v>
      </c>
      <c r="W55" s="166">
        <f t="shared" si="24"/>
        <v>0</v>
      </c>
    </row>
    <row r="56" spans="1:23" ht="13.75" hidden="1" customHeight="1">
      <c r="A56" s="157">
        <v>23</v>
      </c>
      <c r="B56" s="165">
        <f t="shared" si="3"/>
        <v>0</v>
      </c>
      <c r="C56" s="165">
        <f t="shared" si="4"/>
        <v>0</v>
      </c>
      <c r="D56" s="165">
        <f t="shared" si="5"/>
        <v>0</v>
      </c>
      <c r="E56" s="165">
        <f t="shared" si="6"/>
        <v>0</v>
      </c>
      <c r="F56" s="165">
        <f t="shared" si="7"/>
        <v>0</v>
      </c>
      <c r="G56" s="165">
        <f t="shared" si="8"/>
        <v>0</v>
      </c>
      <c r="H56" s="165">
        <f t="shared" si="9"/>
        <v>0</v>
      </c>
      <c r="I56" s="165">
        <f t="shared" si="10"/>
        <v>0</v>
      </c>
      <c r="J56" s="165">
        <f t="shared" si="11"/>
        <v>0</v>
      </c>
      <c r="K56" s="165">
        <f t="shared" si="12"/>
        <v>0</v>
      </c>
      <c r="L56" s="165">
        <f t="shared" si="13"/>
        <v>0</v>
      </c>
      <c r="M56" s="165">
        <f t="shared" si="14"/>
        <v>0</v>
      </c>
      <c r="N56" s="165">
        <f t="shared" si="15"/>
        <v>0</v>
      </c>
      <c r="O56" s="165">
        <f t="shared" si="16"/>
        <v>0</v>
      </c>
      <c r="P56" s="165">
        <f t="shared" si="17"/>
        <v>0</v>
      </c>
      <c r="Q56" s="165">
        <f t="shared" si="18"/>
        <v>0</v>
      </c>
      <c r="R56" s="165">
        <f t="shared" si="19"/>
        <v>0</v>
      </c>
      <c r="S56" s="165">
        <f t="shared" si="20"/>
        <v>0</v>
      </c>
      <c r="T56" s="165">
        <f t="shared" si="21"/>
        <v>0</v>
      </c>
      <c r="U56" s="165">
        <f t="shared" si="22"/>
        <v>0</v>
      </c>
      <c r="V56" s="165">
        <f t="shared" si="23"/>
        <v>0</v>
      </c>
      <c r="W56" s="166">
        <f t="shared" si="24"/>
        <v>0</v>
      </c>
    </row>
    <row r="57" spans="1:23" ht="13.75" hidden="1" customHeight="1">
      <c r="A57" s="157">
        <v>24</v>
      </c>
      <c r="B57" s="165">
        <f t="shared" si="3"/>
        <v>0</v>
      </c>
      <c r="C57" s="165">
        <f t="shared" si="4"/>
        <v>0</v>
      </c>
      <c r="D57" s="165">
        <f t="shared" si="5"/>
        <v>0</v>
      </c>
      <c r="E57" s="165">
        <f t="shared" si="6"/>
        <v>0</v>
      </c>
      <c r="F57" s="165">
        <f t="shared" si="7"/>
        <v>0</v>
      </c>
      <c r="G57" s="165">
        <f t="shared" si="8"/>
        <v>0</v>
      </c>
      <c r="H57" s="165">
        <f t="shared" si="9"/>
        <v>0</v>
      </c>
      <c r="I57" s="165">
        <f t="shared" si="10"/>
        <v>0</v>
      </c>
      <c r="J57" s="165">
        <f t="shared" si="11"/>
        <v>0</v>
      </c>
      <c r="K57" s="165">
        <f t="shared" si="12"/>
        <v>0</v>
      </c>
      <c r="L57" s="165">
        <f t="shared" si="13"/>
        <v>0</v>
      </c>
      <c r="M57" s="165">
        <f t="shared" si="14"/>
        <v>0</v>
      </c>
      <c r="N57" s="165">
        <f t="shared" si="15"/>
        <v>0</v>
      </c>
      <c r="O57" s="165">
        <f t="shared" si="16"/>
        <v>0</v>
      </c>
      <c r="P57" s="165">
        <f t="shared" si="17"/>
        <v>0</v>
      </c>
      <c r="Q57" s="165">
        <f t="shared" si="18"/>
        <v>0</v>
      </c>
      <c r="R57" s="165">
        <f t="shared" si="19"/>
        <v>0</v>
      </c>
      <c r="S57" s="165">
        <f t="shared" si="20"/>
        <v>0</v>
      </c>
      <c r="T57" s="165">
        <f t="shared" si="21"/>
        <v>0</v>
      </c>
      <c r="U57" s="165">
        <f t="shared" si="22"/>
        <v>0</v>
      </c>
      <c r="V57" s="165">
        <f t="shared" si="23"/>
        <v>0</v>
      </c>
      <c r="W57" s="166">
        <f t="shared" si="24"/>
        <v>0</v>
      </c>
    </row>
    <row r="58" spans="1:23" ht="13.75" hidden="1" customHeight="1">
      <c r="A58" s="157">
        <v>25</v>
      </c>
      <c r="B58" s="165">
        <f t="shared" si="3"/>
        <v>0</v>
      </c>
      <c r="C58" s="165">
        <f t="shared" si="4"/>
        <v>0</v>
      </c>
      <c r="D58" s="165">
        <f t="shared" si="5"/>
        <v>0</v>
      </c>
      <c r="E58" s="165">
        <f t="shared" si="6"/>
        <v>0</v>
      </c>
      <c r="F58" s="165">
        <f t="shared" si="7"/>
        <v>0</v>
      </c>
      <c r="G58" s="165">
        <f t="shared" si="8"/>
        <v>0</v>
      </c>
      <c r="H58" s="165">
        <f t="shared" si="9"/>
        <v>0</v>
      </c>
      <c r="I58" s="165">
        <f t="shared" si="10"/>
        <v>0</v>
      </c>
      <c r="J58" s="165">
        <f t="shared" si="11"/>
        <v>0</v>
      </c>
      <c r="K58" s="165">
        <f t="shared" si="12"/>
        <v>0</v>
      </c>
      <c r="L58" s="165">
        <f t="shared" si="13"/>
        <v>0</v>
      </c>
      <c r="M58" s="165">
        <f t="shared" si="14"/>
        <v>0</v>
      </c>
      <c r="N58" s="165">
        <f t="shared" si="15"/>
        <v>0</v>
      </c>
      <c r="O58" s="165">
        <f t="shared" si="16"/>
        <v>0</v>
      </c>
      <c r="P58" s="165">
        <f t="shared" si="17"/>
        <v>0</v>
      </c>
      <c r="Q58" s="165">
        <f t="shared" si="18"/>
        <v>0</v>
      </c>
      <c r="R58" s="165">
        <f t="shared" si="19"/>
        <v>0</v>
      </c>
      <c r="S58" s="165">
        <f t="shared" si="20"/>
        <v>0</v>
      </c>
      <c r="T58" s="165">
        <f t="shared" si="21"/>
        <v>0</v>
      </c>
      <c r="U58" s="165">
        <f t="shared" si="22"/>
        <v>0</v>
      </c>
      <c r="V58" s="165">
        <f t="shared" si="23"/>
        <v>0</v>
      </c>
      <c r="W58" s="166">
        <f t="shared" si="24"/>
        <v>0</v>
      </c>
    </row>
    <row r="59" spans="1:23" ht="13.75" hidden="1" customHeight="1">
      <c r="A59" s="157">
        <v>26</v>
      </c>
      <c r="B59" s="165">
        <f t="shared" si="3"/>
        <v>0</v>
      </c>
      <c r="C59" s="165">
        <f t="shared" si="4"/>
        <v>0</v>
      </c>
      <c r="D59" s="165">
        <f t="shared" si="5"/>
        <v>0</v>
      </c>
      <c r="E59" s="165">
        <f t="shared" si="6"/>
        <v>0</v>
      </c>
      <c r="F59" s="165">
        <f t="shared" si="7"/>
        <v>0</v>
      </c>
      <c r="G59" s="165">
        <f t="shared" si="8"/>
        <v>0</v>
      </c>
      <c r="H59" s="165">
        <f t="shared" si="9"/>
        <v>0</v>
      </c>
      <c r="I59" s="165">
        <f t="shared" si="10"/>
        <v>0</v>
      </c>
      <c r="J59" s="165">
        <f t="shared" si="11"/>
        <v>0</v>
      </c>
      <c r="K59" s="165">
        <f t="shared" si="12"/>
        <v>0</v>
      </c>
      <c r="L59" s="165">
        <f t="shared" si="13"/>
        <v>0</v>
      </c>
      <c r="M59" s="165">
        <f t="shared" si="14"/>
        <v>0</v>
      </c>
      <c r="N59" s="165">
        <f t="shared" si="15"/>
        <v>0</v>
      </c>
      <c r="O59" s="165">
        <f t="shared" si="16"/>
        <v>0</v>
      </c>
      <c r="P59" s="165">
        <f t="shared" si="17"/>
        <v>0</v>
      </c>
      <c r="Q59" s="165">
        <f t="shared" si="18"/>
        <v>0</v>
      </c>
      <c r="R59" s="165">
        <f t="shared" si="19"/>
        <v>0</v>
      </c>
      <c r="S59" s="165">
        <f t="shared" si="20"/>
        <v>0</v>
      </c>
      <c r="T59" s="165">
        <f t="shared" si="21"/>
        <v>0</v>
      </c>
      <c r="U59" s="165">
        <f t="shared" si="22"/>
        <v>0</v>
      </c>
      <c r="V59" s="165">
        <f t="shared" si="23"/>
        <v>0</v>
      </c>
      <c r="W59" s="166">
        <f t="shared" si="24"/>
        <v>0</v>
      </c>
    </row>
    <row r="60" spans="1:23" ht="13.75" hidden="1" customHeight="1">
      <c r="A60" s="157">
        <v>27</v>
      </c>
      <c r="B60" s="165">
        <f t="shared" si="3"/>
        <v>0</v>
      </c>
      <c r="C60" s="165">
        <f t="shared" si="4"/>
        <v>0</v>
      </c>
      <c r="D60" s="165">
        <f t="shared" si="5"/>
        <v>0</v>
      </c>
      <c r="E60" s="165">
        <f t="shared" si="6"/>
        <v>0</v>
      </c>
      <c r="F60" s="165">
        <f t="shared" si="7"/>
        <v>0</v>
      </c>
      <c r="G60" s="165">
        <f t="shared" si="8"/>
        <v>0</v>
      </c>
      <c r="H60" s="165">
        <f t="shared" si="9"/>
        <v>0</v>
      </c>
      <c r="I60" s="165">
        <f t="shared" si="10"/>
        <v>0</v>
      </c>
      <c r="J60" s="165">
        <f t="shared" si="11"/>
        <v>0</v>
      </c>
      <c r="K60" s="165">
        <f t="shared" si="12"/>
        <v>0</v>
      </c>
      <c r="L60" s="165">
        <f t="shared" si="13"/>
        <v>0</v>
      </c>
      <c r="M60" s="165">
        <f t="shared" si="14"/>
        <v>0</v>
      </c>
      <c r="N60" s="165">
        <f t="shared" si="15"/>
        <v>0</v>
      </c>
      <c r="O60" s="165">
        <f t="shared" si="16"/>
        <v>0</v>
      </c>
      <c r="P60" s="165">
        <f t="shared" si="17"/>
        <v>0</v>
      </c>
      <c r="Q60" s="165">
        <f t="shared" si="18"/>
        <v>0</v>
      </c>
      <c r="R60" s="165">
        <f t="shared" si="19"/>
        <v>0</v>
      </c>
      <c r="S60" s="165">
        <f t="shared" si="20"/>
        <v>0</v>
      </c>
      <c r="T60" s="165">
        <f t="shared" si="21"/>
        <v>0</v>
      </c>
      <c r="U60" s="165">
        <f t="shared" si="22"/>
        <v>0</v>
      </c>
      <c r="V60" s="165">
        <f t="shared" si="23"/>
        <v>0</v>
      </c>
      <c r="W60" s="166">
        <f t="shared" si="24"/>
        <v>0</v>
      </c>
    </row>
    <row r="61" spans="1:23" ht="13.75" hidden="1" customHeight="1">
      <c r="A61" s="157">
        <v>28</v>
      </c>
      <c r="B61" s="165">
        <f t="shared" si="3"/>
        <v>0</v>
      </c>
      <c r="C61" s="165">
        <f t="shared" si="4"/>
        <v>0</v>
      </c>
      <c r="D61" s="165">
        <f t="shared" si="5"/>
        <v>0</v>
      </c>
      <c r="E61" s="165">
        <f t="shared" si="6"/>
        <v>0</v>
      </c>
      <c r="F61" s="165">
        <f t="shared" si="7"/>
        <v>0</v>
      </c>
      <c r="G61" s="165">
        <f t="shared" si="8"/>
        <v>0</v>
      </c>
      <c r="H61" s="165">
        <f t="shared" si="9"/>
        <v>0</v>
      </c>
      <c r="I61" s="165">
        <f t="shared" si="10"/>
        <v>0</v>
      </c>
      <c r="J61" s="165">
        <f t="shared" si="11"/>
        <v>0</v>
      </c>
      <c r="K61" s="165">
        <f t="shared" si="12"/>
        <v>0</v>
      </c>
      <c r="L61" s="165">
        <f t="shared" si="13"/>
        <v>0</v>
      </c>
      <c r="M61" s="165">
        <f t="shared" si="14"/>
        <v>0</v>
      </c>
      <c r="N61" s="165">
        <f t="shared" si="15"/>
        <v>0</v>
      </c>
      <c r="O61" s="165">
        <f t="shared" si="16"/>
        <v>0</v>
      </c>
      <c r="P61" s="165">
        <f t="shared" si="17"/>
        <v>0</v>
      </c>
      <c r="Q61" s="165">
        <f t="shared" si="18"/>
        <v>0</v>
      </c>
      <c r="R61" s="165">
        <f t="shared" si="19"/>
        <v>0</v>
      </c>
      <c r="S61" s="165">
        <f t="shared" si="20"/>
        <v>0</v>
      </c>
      <c r="T61" s="165">
        <f t="shared" si="21"/>
        <v>0</v>
      </c>
      <c r="U61" s="165">
        <f t="shared" si="22"/>
        <v>0</v>
      </c>
      <c r="V61" s="165">
        <f t="shared" si="23"/>
        <v>0</v>
      </c>
      <c r="W61" s="166">
        <f t="shared" si="24"/>
        <v>0</v>
      </c>
    </row>
    <row r="62" spans="1:23" ht="13.75" hidden="1" customHeight="1">
      <c r="A62" s="157">
        <v>29</v>
      </c>
      <c r="B62" s="165">
        <f t="shared" si="3"/>
        <v>0</v>
      </c>
      <c r="C62" s="165">
        <f t="shared" si="4"/>
        <v>0</v>
      </c>
      <c r="D62" s="165">
        <f t="shared" si="5"/>
        <v>0</v>
      </c>
      <c r="E62" s="165">
        <f t="shared" si="6"/>
        <v>0</v>
      </c>
      <c r="F62" s="165">
        <f t="shared" si="7"/>
        <v>0</v>
      </c>
      <c r="G62" s="165">
        <f t="shared" si="8"/>
        <v>0</v>
      </c>
      <c r="H62" s="165">
        <f t="shared" si="9"/>
        <v>0</v>
      </c>
      <c r="I62" s="165">
        <f t="shared" si="10"/>
        <v>0</v>
      </c>
      <c r="J62" s="165">
        <f t="shared" si="11"/>
        <v>0</v>
      </c>
      <c r="K62" s="165">
        <f t="shared" si="12"/>
        <v>0</v>
      </c>
      <c r="L62" s="165">
        <f t="shared" si="13"/>
        <v>0</v>
      </c>
      <c r="M62" s="165">
        <f t="shared" si="14"/>
        <v>0</v>
      </c>
      <c r="N62" s="165">
        <f t="shared" si="15"/>
        <v>0</v>
      </c>
      <c r="O62" s="165">
        <f t="shared" si="16"/>
        <v>0</v>
      </c>
      <c r="P62" s="165">
        <f t="shared" si="17"/>
        <v>0</v>
      </c>
      <c r="Q62" s="165">
        <f t="shared" si="18"/>
        <v>0</v>
      </c>
      <c r="R62" s="165">
        <f t="shared" si="19"/>
        <v>0</v>
      </c>
      <c r="S62" s="165">
        <f t="shared" si="20"/>
        <v>0</v>
      </c>
      <c r="T62" s="165">
        <f t="shared" si="21"/>
        <v>0</v>
      </c>
      <c r="U62" s="165">
        <f t="shared" si="22"/>
        <v>0</v>
      </c>
      <c r="V62" s="165">
        <f t="shared" si="23"/>
        <v>0</v>
      </c>
      <c r="W62" s="166">
        <f t="shared" si="24"/>
        <v>0</v>
      </c>
    </row>
    <row r="63" spans="1:23" ht="13.75" hidden="1" customHeight="1">
      <c r="A63" s="157">
        <v>30</v>
      </c>
      <c r="B63" s="165">
        <f t="shared" si="3"/>
        <v>0</v>
      </c>
      <c r="C63" s="165">
        <f t="shared" si="4"/>
        <v>0</v>
      </c>
      <c r="D63" s="165">
        <f t="shared" si="5"/>
        <v>0</v>
      </c>
      <c r="E63" s="165">
        <f t="shared" si="6"/>
        <v>0</v>
      </c>
      <c r="F63" s="165">
        <f t="shared" si="7"/>
        <v>0</v>
      </c>
      <c r="G63" s="165">
        <f t="shared" si="8"/>
        <v>0</v>
      </c>
      <c r="H63" s="165">
        <f t="shared" si="9"/>
        <v>0</v>
      </c>
      <c r="I63" s="165">
        <f t="shared" si="10"/>
        <v>0</v>
      </c>
      <c r="J63" s="165">
        <f t="shared" si="11"/>
        <v>0</v>
      </c>
      <c r="K63" s="165">
        <f t="shared" si="12"/>
        <v>0</v>
      </c>
      <c r="L63" s="165">
        <f t="shared" si="13"/>
        <v>0</v>
      </c>
      <c r="M63" s="165">
        <f t="shared" si="14"/>
        <v>0</v>
      </c>
      <c r="N63" s="165">
        <f t="shared" si="15"/>
        <v>0</v>
      </c>
      <c r="O63" s="165">
        <f t="shared" si="16"/>
        <v>0</v>
      </c>
      <c r="P63" s="165">
        <f t="shared" si="17"/>
        <v>0</v>
      </c>
      <c r="Q63" s="165">
        <f t="shared" si="18"/>
        <v>0</v>
      </c>
      <c r="R63" s="165">
        <f t="shared" si="19"/>
        <v>0</v>
      </c>
      <c r="S63" s="165">
        <f t="shared" si="20"/>
        <v>0</v>
      </c>
      <c r="T63" s="165">
        <f t="shared" si="21"/>
        <v>0</v>
      </c>
      <c r="U63" s="165">
        <f t="shared" si="22"/>
        <v>0</v>
      </c>
      <c r="V63" s="165">
        <f t="shared" si="23"/>
        <v>0</v>
      </c>
      <c r="W63" s="166">
        <f t="shared" si="24"/>
        <v>0</v>
      </c>
    </row>
    <row r="64" spans="1:23" ht="13.75" hidden="1" customHeight="1" thickBot="1">
      <c r="A64" s="167" t="s">
        <v>2453</v>
      </c>
      <c r="B64" s="168">
        <f t="shared" ref="B64:W64" si="25">SUM(B34:B63)</f>
        <v>0</v>
      </c>
      <c r="C64" s="168">
        <f t="shared" si="25"/>
        <v>0</v>
      </c>
      <c r="D64" s="168">
        <f t="shared" si="25"/>
        <v>0</v>
      </c>
      <c r="E64" s="168">
        <f t="shared" si="25"/>
        <v>0</v>
      </c>
      <c r="F64" s="168">
        <f t="shared" si="25"/>
        <v>0</v>
      </c>
      <c r="G64" s="168">
        <f t="shared" si="25"/>
        <v>0</v>
      </c>
      <c r="H64" s="168">
        <f t="shared" si="25"/>
        <v>0</v>
      </c>
      <c r="I64" s="168">
        <f t="shared" si="25"/>
        <v>0</v>
      </c>
      <c r="J64" s="168">
        <f t="shared" si="25"/>
        <v>0</v>
      </c>
      <c r="K64" s="168">
        <f t="shared" si="25"/>
        <v>0</v>
      </c>
      <c r="L64" s="168">
        <f t="shared" si="25"/>
        <v>0</v>
      </c>
      <c r="M64" s="168">
        <f t="shared" si="25"/>
        <v>0</v>
      </c>
      <c r="N64" s="168">
        <f t="shared" si="25"/>
        <v>0</v>
      </c>
      <c r="O64" s="168">
        <f t="shared" si="25"/>
        <v>0</v>
      </c>
      <c r="P64" s="168">
        <f t="shared" si="25"/>
        <v>0</v>
      </c>
      <c r="Q64" s="168">
        <f t="shared" si="25"/>
        <v>0</v>
      </c>
      <c r="R64" s="168">
        <f t="shared" si="25"/>
        <v>0</v>
      </c>
      <c r="S64" s="168">
        <f t="shared" si="25"/>
        <v>0</v>
      </c>
      <c r="T64" s="168">
        <f t="shared" si="25"/>
        <v>0</v>
      </c>
      <c r="U64" s="168">
        <f t="shared" si="25"/>
        <v>0</v>
      </c>
      <c r="V64" s="168">
        <f t="shared" si="25"/>
        <v>0</v>
      </c>
      <c r="W64" s="169">
        <f t="shared" si="25"/>
        <v>0</v>
      </c>
    </row>
    <row r="65" spans="1:23" ht="13.75" hidden="1" customHeight="1"/>
    <row r="66" spans="1:23" ht="13.75" hidden="1" customHeight="1"/>
    <row r="67" spans="1:23" ht="13.75" hidden="1" customHeight="1" thickBot="1"/>
    <row r="68" spans="1:23" ht="13.75" hidden="1" customHeight="1">
      <c r="A68" s="808" t="s">
        <v>221</v>
      </c>
      <c r="B68" s="805" t="s">
        <v>2339</v>
      </c>
      <c r="C68" s="806"/>
      <c r="D68" s="806"/>
      <c r="E68" s="806"/>
      <c r="F68" s="806"/>
      <c r="G68" s="806"/>
      <c r="H68" s="806"/>
      <c r="I68" s="806"/>
      <c r="J68" s="806"/>
      <c r="K68" s="806"/>
      <c r="L68" s="806"/>
      <c r="M68" s="806"/>
      <c r="N68" s="806"/>
      <c r="O68" s="806"/>
      <c r="P68" s="806"/>
      <c r="Q68" s="806"/>
      <c r="R68" s="806"/>
      <c r="S68" s="806"/>
      <c r="T68" s="806"/>
      <c r="U68" s="806"/>
      <c r="V68" s="806"/>
      <c r="W68" s="807"/>
    </row>
    <row r="69" spans="1:23" ht="13.75" hidden="1" customHeight="1">
      <c r="A69" s="809"/>
      <c r="B69" s="802" t="s">
        <v>2433</v>
      </c>
      <c r="C69" s="802"/>
      <c r="D69" s="802"/>
      <c r="E69" s="802"/>
      <c r="F69" s="802" t="s">
        <v>2434</v>
      </c>
      <c r="G69" s="802"/>
      <c r="H69" s="802"/>
      <c r="I69" s="802"/>
      <c r="J69" s="802" t="s">
        <v>223</v>
      </c>
      <c r="K69" s="802"/>
      <c r="L69" s="802"/>
      <c r="M69" s="802"/>
      <c r="N69" s="802" t="s">
        <v>1799</v>
      </c>
      <c r="O69" s="802"/>
      <c r="P69" s="802"/>
      <c r="Q69" s="802"/>
      <c r="R69" s="802" t="s">
        <v>2435</v>
      </c>
      <c r="S69" s="802"/>
      <c r="T69" s="802"/>
      <c r="U69" s="802"/>
      <c r="V69" s="802" t="s">
        <v>2436</v>
      </c>
      <c r="W69" s="804" t="s">
        <v>2453</v>
      </c>
    </row>
    <row r="70" spans="1:23" ht="49.75" hidden="1" customHeight="1">
      <c r="A70" s="809"/>
      <c r="B70" s="170" t="s">
        <v>2437</v>
      </c>
      <c r="C70" s="170" t="s">
        <v>2438</v>
      </c>
      <c r="D70" s="170" t="s">
        <v>2439</v>
      </c>
      <c r="E70" s="170" t="s">
        <v>2440</v>
      </c>
      <c r="F70" s="170" t="s">
        <v>2437</v>
      </c>
      <c r="G70" s="170" t="s">
        <v>2438</v>
      </c>
      <c r="H70" s="170" t="s">
        <v>2439</v>
      </c>
      <c r="I70" s="170" t="s">
        <v>2440</v>
      </c>
      <c r="J70" s="170" t="s">
        <v>2437</v>
      </c>
      <c r="K70" s="170" t="s">
        <v>2438</v>
      </c>
      <c r="L70" s="170" t="s">
        <v>2439</v>
      </c>
      <c r="M70" s="170" t="s">
        <v>2440</v>
      </c>
      <c r="N70" s="170" t="s">
        <v>2437</v>
      </c>
      <c r="O70" s="170" t="s">
        <v>2438</v>
      </c>
      <c r="P70" s="170" t="s">
        <v>2439</v>
      </c>
      <c r="Q70" s="170" t="s">
        <v>2440</v>
      </c>
      <c r="R70" s="170" t="s">
        <v>2437</v>
      </c>
      <c r="S70" s="170" t="s">
        <v>2438</v>
      </c>
      <c r="T70" s="170" t="s">
        <v>2439</v>
      </c>
      <c r="U70" s="170" t="s">
        <v>2440</v>
      </c>
      <c r="V70" s="802"/>
      <c r="W70" s="804"/>
    </row>
    <row r="71" spans="1:23" ht="13.75" hidden="1" customHeight="1">
      <c r="A71" s="157">
        <v>1</v>
      </c>
      <c r="B71" s="327">
        <f>COUNTIFS('様式2-2(実績排出量）'!$B$16:$B$515,$A71,'様式2-2(実績排出量）'!$H$16:$H$515,"普通貨物車",'様式2-2(実績排出量）'!$J$16:$J$515,"&lt;=1700",'様式2-2(実績排出量）'!$T$16:$T$515,"*廃止")</f>
        <v>0</v>
      </c>
      <c r="C71" s="327">
        <f>COUNTIFS('様式2-2(実績排出量）'!$B$16:$B$515,$A71,'様式2-2(実績排出量）'!$H$16:$H$515,"普通貨物車",'様式2-2(実績排出量）'!$J$16:$J$515,"&gt;1700",'様式2-2(実績排出量）'!$J$16:$J$515,"&lt;=2500",'様式2-2(実績排出量）'!$T$16:$T$515,"*廃止")</f>
        <v>0</v>
      </c>
      <c r="D71" s="327">
        <f>COUNTIFS('様式2-2(実績排出量）'!$B$16:$B$515,$A71,'様式2-2(実績排出量）'!$H$16:$H$515,"普通貨物車",'様式2-2(実績排出量）'!$J$16:$J$515,"&gt;2500",'様式2-2(実績排出量）'!$J$16:$J$515,"&lt;=3500",'様式2-2(実績排出量）'!$T$16:$T$515,"*廃止")</f>
        <v>0</v>
      </c>
      <c r="E71" s="327">
        <f>COUNTIFS('様式2-2(実績排出量）'!$B$16:$B$515,$A71,'様式2-2(実績排出量）'!$H$16:$H$515,"普通貨物車",'様式2-2(実績排出量）'!$J$16:$J$515,"&gt;3500",'様式2-2(実績排出量）'!$T$16:$T$515,"*廃止")</f>
        <v>0</v>
      </c>
      <c r="F71" s="328">
        <f>COUNTIFS('様式2-2(実績排出量）'!$B$16:$B$515,$A71,'様式2-2(実績排出量）'!$H$16:$H$515,"小型貨物車",'様式2-2(実績排出量）'!$J$16:$J$515,"&lt;=1700",'様式2-2(実績排出量）'!$T$16:$T$515,"*廃止")</f>
        <v>0</v>
      </c>
      <c r="G71" s="328">
        <f>COUNTIFS('様式2-2(実績排出量）'!$B$16:$B$515,$A71,'様式2-2(実績排出量）'!$H$16:$H$515,"小型貨物車",'様式2-2(実績排出量）'!$J$16:$J$515,"&gt;1700",'様式2-2(実績排出量）'!$J$16:$J$515,"&lt;=2500",'様式2-2(実績排出量）'!$T$16:$T$515,"*廃止")</f>
        <v>0</v>
      </c>
      <c r="H71" s="328">
        <f>COUNTIFS('様式2-2(実績排出量）'!$B$16:$B$515,$A71,'様式2-2(実績排出量）'!$H$16:$H$515,"小型貨物車",'様式2-2(実績排出量）'!$J$16:$J$515,"&gt;2500",'様式2-2(実績排出量）'!$J$16:$J$515,"&lt;=3500",'様式2-2(実績排出量）'!$T$16:$T$515,"*廃止")</f>
        <v>0</v>
      </c>
      <c r="I71" s="328">
        <f>COUNTIFS('様式2-2(実績排出量）'!$B$16:$B$515,$A71,'様式2-2(実績排出量）'!$H$16:$H$515,"小型貨物車",'様式2-2(実績排出量）'!$J$16:$J$515,"&gt;3500",'様式2-2(実績排出量）'!$T$16:$T$515,"*廃止")</f>
        <v>0</v>
      </c>
      <c r="J71" s="328">
        <f>COUNTIFS('様式2-2(実績排出量）'!$B$16:$B$515,$A71,'様式2-2(実績排出量）'!$H$16:$H$515,"大型バス",'様式2-2(実績排出量）'!$J$16:$J$515,"&lt;=1700",'様式2-2(実績排出量）'!$T$16:$T$515,"*廃止")</f>
        <v>0</v>
      </c>
      <c r="K71" s="328">
        <f>COUNTIFS('様式2-2(実績排出量）'!$B$16:$B$515,$A71,'様式2-2(実績排出量）'!$H$16:$H$515,"大型バス",'様式2-2(実績排出量）'!$J$16:$J$515,"&gt;1700",'様式2-2(実績排出量）'!$J$16:$J$515,"&lt;=2500",'様式2-2(実績排出量）'!$T$16:$T$515,"*廃止")</f>
        <v>0</v>
      </c>
      <c r="L71" s="328">
        <f>COUNTIFS('様式2-2(実績排出量）'!$B$16:$B$515,$A71,'様式2-2(実績排出量）'!$H$16:$H$515,"大型バス",'様式2-2(実績排出量）'!$J$16:$J$515,"&gt;2500",'様式2-2(実績排出量）'!$J$16:$J$515,"&lt;=3500",'様式2-2(実績排出量）'!$T$16:$T$515,"*廃止")</f>
        <v>0</v>
      </c>
      <c r="M71" s="328">
        <f>COUNTIFS('様式2-2(実績排出量）'!$B$16:$B$515,$A71,'様式2-2(実績排出量）'!$H$16:$H$515,"大型バス",'様式2-2(実績排出量）'!$J$16:$J$515,"&gt;3500",'様式2-2(実績排出量）'!$T$16:$T$515,"*廃止")</f>
        <v>0</v>
      </c>
      <c r="N71" s="328">
        <f>COUNTIFS('様式2-2(実績排出量）'!$B$16:$B$515,$A71,'様式2-2(実績排出量）'!$H$16:$H$515,"マイクロバス",'様式2-2(実績排出量）'!$J$16:$J$515,"&lt;=1700",'様式2-2(実績排出量）'!$T$16:$T$515,"*廃止")</f>
        <v>0</v>
      </c>
      <c r="O71" s="328">
        <f>COUNTIFS('様式2-2(実績排出量）'!$B$16:$B$515,$A71,'様式2-2(実績排出量）'!$H$16:$H$515,"マイクロバス",'様式2-2(実績排出量）'!$J$16:$J$515,"&gt;1700",'様式2-2(実績排出量）'!$J$16:$J$515,"&lt;=2500",'様式2-2(実績排出量）'!$T$16:$T$515,"*廃止")</f>
        <v>0</v>
      </c>
      <c r="P71" s="328">
        <f>COUNTIFS('様式2-2(実績排出量）'!$B$16:$B$515,$A71,'様式2-2(実績排出量）'!$H$16:$H$515,"マイクロバス",'様式2-2(実績排出量）'!$J$16:$J$515,"&gt;2500",'様式2-2(実績排出量）'!$J$16:$J$515,"&lt;=3500",'様式2-2(実績排出量）'!$T$16:$T$515,"*廃止")</f>
        <v>0</v>
      </c>
      <c r="Q71" s="328">
        <f>COUNTIFS('様式2-2(実績排出量）'!$B$16:$B$515,$A71,'様式2-2(実績排出量）'!$H$16:$H$515,"マイクロバス",'様式2-2(実績排出量）'!$J$16:$J$515,"&gt;3500",'様式2-2(実績排出量）'!$T$16:$T$515,"*廃止")</f>
        <v>0</v>
      </c>
      <c r="R71" s="328">
        <f>COUNTIFS('様式2-2(実績排出量）'!$B$16:$B$515,$A71,'様式2-2(実績排出量）'!$H$16:$H$515,"特種車*",'様式2-2(実績排出量）'!$J$16:$J$515,"&lt;=1700",'様式2-2(実績排出量）'!$T$16:$T$515,"*廃止")</f>
        <v>0</v>
      </c>
      <c r="S71" s="328">
        <f>COUNTIFS('様式2-2(実績排出量）'!$B$16:$B$515,$A71,'様式2-2(実績排出量）'!$H$16:$H$515,"特種車*",'様式2-2(実績排出量）'!$J$16:$J$515,"&gt;1700",'様式2-2(実績排出量）'!$J$16:$J$515,"&lt;=2500",'様式2-2(実績排出量）'!$T$16:$T$515,"*廃止")</f>
        <v>0</v>
      </c>
      <c r="T71" s="328">
        <f>COUNTIFS('様式2-2(実績排出量）'!$B$16:$B$515,$A71,'様式2-2(実績排出量）'!$H$16:$H$515,"特種車*",'様式2-2(実績排出量）'!$J$16:$J$515,"&gt;2500",'様式2-2(実績排出量）'!$J$16:$J$515,"&lt;=3500",'様式2-2(実績排出量）'!$T$16:$T$515,"*廃止")</f>
        <v>0</v>
      </c>
      <c r="U71" s="328">
        <f>COUNTIFS('様式2-2(実績排出量）'!$B$16:$B$515,$A71,'様式2-2(実績排出量）'!$H$16:$H$515,"特種車*",'様式2-2(実績排出量）'!$J$16:$J$515,"&gt;3500",'様式2-2(実績排出量）'!$T$16:$T$515,"*廃止")</f>
        <v>0</v>
      </c>
      <c r="V71" s="328">
        <f>COUNTIFS('様式2-2(実績排出量）'!$B$16:$B$515,$A71,'様式2-2(実績排出量）'!$H$16:$H$515,"乗用車*",'様式2-2(実績排出量）'!$T$16:$T$515,"*廃止")</f>
        <v>0</v>
      </c>
      <c r="W71" s="327"/>
    </row>
    <row r="72" spans="1:23" ht="13.75" hidden="1" customHeight="1">
      <c r="A72" s="157">
        <v>2</v>
      </c>
      <c r="B72" s="327">
        <f>COUNTIFS('様式2-2(実績排出量）'!$B$16:$B$515,$A72,'様式2-2(実績排出量）'!$H$16:$H$515,"普通貨物車",'様式2-2(実績排出量）'!$J$16:$J$515,"&lt;=1700",'様式2-2(実績排出量）'!$T$16:$T$515,"*廃止")</f>
        <v>0</v>
      </c>
      <c r="C72" s="327">
        <f>COUNTIFS('様式2-2(実績排出量）'!$B$16:$B$515,$A72,'様式2-2(実績排出量）'!$H$16:$H$515,"普通貨物車",'様式2-2(実績排出量）'!$J$16:$J$515,"&gt;1700",'様式2-2(実績排出量）'!$J$16:$J$515,"&lt;=2500",'様式2-2(実績排出量）'!$T$16:$T$515,"*廃止")</f>
        <v>0</v>
      </c>
      <c r="D72" s="327">
        <f>COUNTIFS('様式2-2(実績排出量）'!$B$16:$B$515,$A72,'様式2-2(実績排出量）'!$H$16:$H$515,"普通貨物車",'様式2-2(実績排出量）'!$J$16:$J$515,"&gt;2500",'様式2-2(実績排出量）'!$J$16:$J$515,"&lt;=3500",'様式2-2(実績排出量）'!$T$16:$T$515,"*廃止")</f>
        <v>0</v>
      </c>
      <c r="E72" s="327">
        <f>COUNTIFS('様式2-2(実績排出量）'!$B$16:$B$515,$A72,'様式2-2(実績排出量）'!$H$16:$H$515,"普通貨物車",'様式2-2(実績排出量）'!$J$16:$J$515,"&gt;3500",'様式2-2(実績排出量）'!$T$16:$T$515,"*廃止")</f>
        <v>0</v>
      </c>
      <c r="F72" s="328">
        <f>COUNTIFS('様式2-2(実績排出量）'!$B$16:$B$515,$A72,'様式2-2(実績排出量）'!$H$16:$H$515,"小型貨物車",'様式2-2(実績排出量）'!$J$16:$J$515,"&lt;=1700",'様式2-2(実績排出量）'!$T$16:$T$515,"*廃止")</f>
        <v>0</v>
      </c>
      <c r="G72" s="328">
        <f>COUNTIFS('様式2-2(実績排出量）'!$B$16:$B$515,$A72,'様式2-2(実績排出量）'!$H$16:$H$515,"小型貨物車",'様式2-2(実績排出量）'!$J$16:$J$515,"&gt;1700",'様式2-2(実績排出量）'!$J$16:$J$515,"&lt;=2500",'様式2-2(実績排出量）'!$T$16:$T$515,"*廃止")</f>
        <v>0</v>
      </c>
      <c r="H72" s="328">
        <f>COUNTIFS('様式2-2(実績排出量）'!$B$16:$B$515,$A72,'様式2-2(実績排出量）'!$H$16:$H$515,"小型貨物車",'様式2-2(実績排出量）'!$J$16:$J$515,"&gt;2500",'様式2-2(実績排出量）'!$J$16:$J$515,"&lt;=3500",'様式2-2(実績排出量）'!$T$16:$T$515,"*廃止")</f>
        <v>0</v>
      </c>
      <c r="I72" s="328">
        <f>COUNTIFS('様式2-2(実績排出量）'!$B$16:$B$515,$A72,'様式2-2(実績排出量）'!$H$16:$H$515,"小型貨物車",'様式2-2(実績排出量）'!$J$16:$J$515,"&gt;3500",'様式2-2(実績排出量）'!$T$16:$T$515,"*廃止")</f>
        <v>0</v>
      </c>
      <c r="J72" s="328">
        <f>COUNTIFS('様式2-2(実績排出量）'!$B$16:$B$515,$A72,'様式2-2(実績排出量）'!$H$16:$H$515,"大型バス",'様式2-2(実績排出量）'!$J$16:$J$515,"&lt;=1700",'様式2-2(実績排出量）'!$T$16:$T$515,"*廃止")</f>
        <v>0</v>
      </c>
      <c r="K72" s="328">
        <f>COUNTIFS('様式2-2(実績排出量）'!$B$16:$B$515,$A72,'様式2-2(実績排出量）'!$H$16:$H$515,"大型バス",'様式2-2(実績排出量）'!$J$16:$J$515,"&gt;1700",'様式2-2(実績排出量）'!$J$16:$J$515,"&lt;=2500",'様式2-2(実績排出量）'!$T$16:$T$515,"*廃止")</f>
        <v>0</v>
      </c>
      <c r="L72" s="328">
        <f>COUNTIFS('様式2-2(実績排出量）'!$B$16:$B$515,$A72,'様式2-2(実績排出量）'!$H$16:$H$515,"大型バス",'様式2-2(実績排出量）'!$J$16:$J$515,"&gt;2500",'様式2-2(実績排出量）'!$J$16:$J$515,"&lt;=3500",'様式2-2(実績排出量）'!$T$16:$T$515,"*廃止")</f>
        <v>0</v>
      </c>
      <c r="M72" s="328">
        <f>COUNTIFS('様式2-2(実績排出量）'!$B$16:$B$515,$A72,'様式2-2(実績排出量）'!$H$16:$H$515,"大型バス",'様式2-2(実績排出量）'!$J$16:$J$515,"&gt;3500",'様式2-2(実績排出量）'!$T$16:$T$515,"*廃止")</f>
        <v>0</v>
      </c>
      <c r="N72" s="328">
        <f>COUNTIFS('様式2-2(実績排出量）'!$B$16:$B$515,$A72,'様式2-2(実績排出量）'!$H$16:$H$515,"マイクロバス",'様式2-2(実績排出量）'!$J$16:$J$515,"&lt;=1700",'様式2-2(実績排出量）'!$T$16:$T$515,"*廃止")</f>
        <v>0</v>
      </c>
      <c r="O72" s="328">
        <f>COUNTIFS('様式2-2(実績排出量）'!$B$16:$B$515,$A72,'様式2-2(実績排出量）'!$H$16:$H$515,"マイクロバス",'様式2-2(実績排出量）'!$J$16:$J$515,"&gt;1700",'様式2-2(実績排出量）'!$J$16:$J$515,"&lt;=2500",'様式2-2(実績排出量）'!$T$16:$T$515,"*廃止")</f>
        <v>0</v>
      </c>
      <c r="P72" s="328">
        <f>COUNTIFS('様式2-2(実績排出量）'!$B$16:$B$515,$A72,'様式2-2(実績排出量）'!$H$16:$H$515,"マイクロバス",'様式2-2(実績排出量）'!$J$16:$J$515,"&gt;2500",'様式2-2(実績排出量）'!$J$16:$J$515,"&lt;=3500",'様式2-2(実績排出量）'!$T$16:$T$515,"*廃止")</f>
        <v>0</v>
      </c>
      <c r="Q72" s="328">
        <f>COUNTIFS('様式2-2(実績排出量）'!$B$16:$B$515,$A72,'様式2-2(実績排出量）'!$H$16:$H$515,"マイクロバス",'様式2-2(実績排出量）'!$J$16:$J$515,"&gt;3500",'様式2-2(実績排出量）'!$T$16:$T$515,"*廃止")</f>
        <v>0</v>
      </c>
      <c r="R72" s="328">
        <f>COUNTIFS('様式2-2(実績排出量）'!$B$16:$B$515,$A72,'様式2-2(実績排出量）'!$H$16:$H$515,"特種車*",'様式2-2(実績排出量）'!$J$16:$J$515,"&lt;=1700",'様式2-2(実績排出量）'!$T$16:$T$515,"*廃止")</f>
        <v>0</v>
      </c>
      <c r="S72" s="328">
        <f>COUNTIFS('様式2-2(実績排出量）'!$B$16:$B$515,$A72,'様式2-2(実績排出量）'!$H$16:$H$515,"特種車*",'様式2-2(実績排出量）'!$J$16:$J$515,"&gt;1700",'様式2-2(実績排出量）'!$J$16:$J$515,"&lt;=2500",'様式2-2(実績排出量）'!$T$16:$T$515,"*廃止")</f>
        <v>0</v>
      </c>
      <c r="T72" s="328">
        <f>COUNTIFS('様式2-2(実績排出量）'!$B$16:$B$515,$A72,'様式2-2(実績排出量）'!$H$16:$H$515,"特種車*",'様式2-2(実績排出量）'!$J$16:$J$515,"&gt;2500",'様式2-2(実績排出量）'!$J$16:$J$515,"&lt;=3500",'様式2-2(実績排出量）'!$T$16:$T$515,"*廃止")</f>
        <v>0</v>
      </c>
      <c r="U72" s="328">
        <f>COUNTIFS('様式2-2(実績排出量）'!$B$16:$B$515,$A72,'様式2-2(実績排出量）'!$H$16:$H$515,"特種車*",'様式2-2(実績排出量）'!$J$16:$J$515,"&gt;3500",'様式2-2(実績排出量）'!$T$16:$T$515,"*廃止")</f>
        <v>0</v>
      </c>
      <c r="V72" s="328">
        <f>COUNTIFS('様式2-2(実績排出量）'!$B$16:$B$515,$A72,'様式2-2(実績排出量）'!$H$16:$H$515,"乗用車*",'様式2-2(実績排出量）'!$T$16:$T$515,"*廃止")</f>
        <v>0</v>
      </c>
      <c r="W72" s="327"/>
    </row>
    <row r="73" spans="1:23" ht="13.75" hidden="1" customHeight="1">
      <c r="A73" s="157">
        <v>3</v>
      </c>
      <c r="B73" s="327">
        <f>COUNTIFS('様式2-2(実績排出量）'!$B$16:$B$515,$A73,'様式2-2(実績排出量）'!$H$16:$H$515,"普通貨物車",'様式2-2(実績排出量）'!$J$16:$J$515,"&lt;=1700",'様式2-2(実績排出量）'!$T$16:$T$515,"*廃止")</f>
        <v>0</v>
      </c>
      <c r="C73" s="327">
        <f>COUNTIFS('様式2-2(実績排出量）'!$B$16:$B$515,$A73,'様式2-2(実績排出量）'!$H$16:$H$515,"普通貨物車",'様式2-2(実績排出量）'!$J$16:$J$515,"&gt;1700",'様式2-2(実績排出量）'!$J$16:$J$515,"&lt;=2500",'様式2-2(実績排出量）'!$T$16:$T$515,"*廃止")</f>
        <v>0</v>
      </c>
      <c r="D73" s="327">
        <f>COUNTIFS('様式2-2(実績排出量）'!$B$16:$B$515,$A73,'様式2-2(実績排出量）'!$H$16:$H$515,"普通貨物車",'様式2-2(実績排出量）'!$J$16:$J$515,"&gt;2500",'様式2-2(実績排出量）'!$J$16:$J$515,"&lt;=3500",'様式2-2(実績排出量）'!$T$16:$T$515,"*廃止")</f>
        <v>0</v>
      </c>
      <c r="E73" s="327">
        <f>COUNTIFS('様式2-2(実績排出量）'!$B$16:$B$515,$A73,'様式2-2(実績排出量）'!$H$16:$H$515,"普通貨物車",'様式2-2(実績排出量）'!$J$16:$J$515,"&gt;3500",'様式2-2(実績排出量）'!$T$16:$T$515,"*廃止")</f>
        <v>0</v>
      </c>
      <c r="F73" s="328">
        <f>COUNTIFS('様式2-2(実績排出量）'!$B$16:$B$515,$A73,'様式2-2(実績排出量）'!$H$16:$H$515,"小型貨物車",'様式2-2(実績排出量）'!$J$16:$J$515,"&lt;=1700",'様式2-2(実績排出量）'!$T$16:$T$515,"*廃止")</f>
        <v>0</v>
      </c>
      <c r="G73" s="328">
        <f>COUNTIFS('様式2-2(実績排出量）'!$B$16:$B$515,$A73,'様式2-2(実績排出量）'!$H$16:$H$515,"小型貨物車",'様式2-2(実績排出量）'!$J$16:$J$515,"&gt;1700",'様式2-2(実績排出量）'!$J$16:$J$515,"&lt;=2500",'様式2-2(実績排出量）'!$T$16:$T$515,"*廃止")</f>
        <v>0</v>
      </c>
      <c r="H73" s="328">
        <f>COUNTIFS('様式2-2(実績排出量）'!$B$16:$B$515,$A73,'様式2-2(実績排出量）'!$H$16:$H$515,"小型貨物車",'様式2-2(実績排出量）'!$J$16:$J$515,"&gt;2500",'様式2-2(実績排出量）'!$J$16:$J$515,"&lt;=3500",'様式2-2(実績排出量）'!$T$16:$T$515,"*廃止")</f>
        <v>0</v>
      </c>
      <c r="I73" s="328">
        <f>COUNTIFS('様式2-2(実績排出量）'!$B$16:$B$515,$A73,'様式2-2(実績排出量）'!$H$16:$H$515,"小型貨物車",'様式2-2(実績排出量）'!$J$16:$J$515,"&gt;3500",'様式2-2(実績排出量）'!$T$16:$T$515,"*廃止")</f>
        <v>0</v>
      </c>
      <c r="J73" s="328">
        <f>COUNTIFS('様式2-2(実績排出量）'!$B$16:$B$515,$A73,'様式2-2(実績排出量）'!$H$16:$H$515,"大型バス",'様式2-2(実績排出量）'!$J$16:$J$515,"&lt;=1700",'様式2-2(実績排出量）'!$T$16:$T$515,"*廃止")</f>
        <v>0</v>
      </c>
      <c r="K73" s="328">
        <f>COUNTIFS('様式2-2(実績排出量）'!$B$16:$B$515,$A73,'様式2-2(実績排出量）'!$H$16:$H$515,"大型バス",'様式2-2(実績排出量）'!$J$16:$J$515,"&gt;1700",'様式2-2(実績排出量）'!$J$16:$J$515,"&lt;=2500",'様式2-2(実績排出量）'!$T$16:$T$515,"*廃止")</f>
        <v>0</v>
      </c>
      <c r="L73" s="328">
        <f>COUNTIFS('様式2-2(実績排出量）'!$B$16:$B$515,$A73,'様式2-2(実績排出量）'!$H$16:$H$515,"大型バス",'様式2-2(実績排出量）'!$J$16:$J$515,"&gt;2500",'様式2-2(実績排出量）'!$J$16:$J$515,"&lt;=3500",'様式2-2(実績排出量）'!$T$16:$T$515,"*廃止")</f>
        <v>0</v>
      </c>
      <c r="M73" s="328">
        <f>COUNTIFS('様式2-2(実績排出量）'!$B$16:$B$515,$A73,'様式2-2(実績排出量）'!$H$16:$H$515,"大型バス",'様式2-2(実績排出量）'!$J$16:$J$515,"&gt;3500",'様式2-2(実績排出量）'!$T$16:$T$515,"*廃止")</f>
        <v>0</v>
      </c>
      <c r="N73" s="328">
        <f>COUNTIFS('様式2-2(実績排出量）'!$B$16:$B$515,$A73,'様式2-2(実績排出量）'!$H$16:$H$515,"マイクロバス",'様式2-2(実績排出量）'!$J$16:$J$515,"&lt;=1700",'様式2-2(実績排出量）'!$T$16:$T$515,"*廃止")</f>
        <v>0</v>
      </c>
      <c r="O73" s="328">
        <f>COUNTIFS('様式2-2(実績排出量）'!$B$16:$B$515,$A73,'様式2-2(実績排出量）'!$H$16:$H$515,"マイクロバス",'様式2-2(実績排出量）'!$J$16:$J$515,"&gt;1700",'様式2-2(実績排出量）'!$J$16:$J$515,"&lt;=2500",'様式2-2(実績排出量）'!$T$16:$T$515,"*廃止")</f>
        <v>0</v>
      </c>
      <c r="P73" s="328">
        <f>COUNTIFS('様式2-2(実績排出量）'!$B$16:$B$515,$A73,'様式2-2(実績排出量）'!$H$16:$H$515,"マイクロバス",'様式2-2(実績排出量）'!$J$16:$J$515,"&gt;2500",'様式2-2(実績排出量）'!$J$16:$J$515,"&lt;=3500",'様式2-2(実績排出量）'!$T$16:$T$515,"*廃止")</f>
        <v>0</v>
      </c>
      <c r="Q73" s="328">
        <f>COUNTIFS('様式2-2(実績排出量）'!$B$16:$B$515,$A73,'様式2-2(実績排出量）'!$H$16:$H$515,"マイクロバス",'様式2-2(実績排出量）'!$J$16:$J$515,"&gt;3500",'様式2-2(実績排出量）'!$T$16:$T$515,"*廃止")</f>
        <v>0</v>
      </c>
      <c r="R73" s="328">
        <f>COUNTIFS('様式2-2(実績排出量）'!$B$16:$B$515,$A73,'様式2-2(実績排出量）'!$H$16:$H$515,"特種車*",'様式2-2(実績排出量）'!$J$16:$J$515,"&lt;=1700",'様式2-2(実績排出量）'!$T$16:$T$515,"*廃止")</f>
        <v>0</v>
      </c>
      <c r="S73" s="328">
        <f>COUNTIFS('様式2-2(実績排出量）'!$B$16:$B$515,$A73,'様式2-2(実績排出量）'!$H$16:$H$515,"特種車*",'様式2-2(実績排出量）'!$J$16:$J$515,"&gt;1700",'様式2-2(実績排出量）'!$J$16:$J$515,"&lt;=2500",'様式2-2(実績排出量）'!$T$16:$T$515,"*廃止")</f>
        <v>0</v>
      </c>
      <c r="T73" s="328">
        <f>COUNTIFS('様式2-2(実績排出量）'!$B$16:$B$515,$A73,'様式2-2(実績排出量）'!$H$16:$H$515,"特種車*",'様式2-2(実績排出量）'!$J$16:$J$515,"&gt;2500",'様式2-2(実績排出量）'!$J$16:$J$515,"&lt;=3500",'様式2-2(実績排出量）'!$T$16:$T$515,"*廃止")</f>
        <v>0</v>
      </c>
      <c r="U73" s="328">
        <f>COUNTIFS('様式2-2(実績排出量）'!$B$16:$B$515,$A73,'様式2-2(実績排出量）'!$H$16:$H$515,"特種車*",'様式2-2(実績排出量）'!$J$16:$J$515,"&gt;3500",'様式2-2(実績排出量）'!$T$16:$T$515,"*廃止")</f>
        <v>0</v>
      </c>
      <c r="V73" s="328">
        <f>COUNTIFS('様式2-2(実績排出量）'!$B$16:$B$515,$A73,'様式2-2(実績排出量）'!$H$16:$H$515,"乗用車*",'様式2-2(実績排出量）'!$T$16:$T$515,"*廃止")</f>
        <v>0</v>
      </c>
      <c r="W73" s="327"/>
    </row>
    <row r="74" spans="1:23" ht="13.75" hidden="1" customHeight="1">
      <c r="A74" s="157">
        <v>4</v>
      </c>
      <c r="B74" s="327">
        <f>COUNTIFS('様式2-2(実績排出量）'!$B$16:$B$515,$A74,'様式2-2(実績排出量）'!$H$16:$H$515,"普通貨物車",'様式2-2(実績排出量）'!$J$16:$J$515,"&lt;=1700",'様式2-2(実績排出量）'!$T$16:$T$515,"*廃止")</f>
        <v>0</v>
      </c>
      <c r="C74" s="327">
        <f>COUNTIFS('様式2-2(実績排出量）'!$B$16:$B$515,$A74,'様式2-2(実績排出量）'!$H$16:$H$515,"普通貨物車",'様式2-2(実績排出量）'!$J$16:$J$515,"&gt;1700",'様式2-2(実績排出量）'!$J$16:$J$515,"&lt;=2500",'様式2-2(実績排出量）'!$T$16:$T$515,"*廃止")</f>
        <v>0</v>
      </c>
      <c r="D74" s="327">
        <f>COUNTIFS('様式2-2(実績排出量）'!$B$16:$B$515,$A74,'様式2-2(実績排出量）'!$H$16:$H$515,"普通貨物車",'様式2-2(実績排出量）'!$J$16:$J$515,"&gt;2500",'様式2-2(実績排出量）'!$J$16:$J$515,"&lt;=3500",'様式2-2(実績排出量）'!$T$16:$T$515,"*廃止")</f>
        <v>0</v>
      </c>
      <c r="E74" s="327">
        <f>COUNTIFS('様式2-2(実績排出量）'!$B$16:$B$515,$A74,'様式2-2(実績排出量）'!$H$16:$H$515,"普通貨物車",'様式2-2(実績排出量）'!$J$16:$J$515,"&gt;3500",'様式2-2(実績排出量）'!$T$16:$T$515,"*廃止")</f>
        <v>0</v>
      </c>
      <c r="F74" s="328">
        <f>COUNTIFS('様式2-2(実績排出量）'!$B$16:$B$515,$A74,'様式2-2(実績排出量）'!$H$16:$H$515,"小型貨物車",'様式2-2(実績排出量）'!$J$16:$J$515,"&lt;=1700",'様式2-2(実績排出量）'!$T$16:$T$515,"*廃止")</f>
        <v>0</v>
      </c>
      <c r="G74" s="328">
        <f>COUNTIFS('様式2-2(実績排出量）'!$B$16:$B$515,$A74,'様式2-2(実績排出量）'!$H$16:$H$515,"小型貨物車",'様式2-2(実績排出量）'!$J$16:$J$515,"&gt;1700",'様式2-2(実績排出量）'!$J$16:$J$515,"&lt;=2500",'様式2-2(実績排出量）'!$T$16:$T$515,"*廃止")</f>
        <v>0</v>
      </c>
      <c r="H74" s="328">
        <f>COUNTIFS('様式2-2(実績排出量）'!$B$16:$B$515,$A74,'様式2-2(実績排出量）'!$H$16:$H$515,"小型貨物車",'様式2-2(実績排出量）'!$J$16:$J$515,"&gt;2500",'様式2-2(実績排出量）'!$J$16:$J$515,"&lt;=3500",'様式2-2(実績排出量）'!$T$16:$T$515,"*廃止")</f>
        <v>0</v>
      </c>
      <c r="I74" s="328">
        <f>COUNTIFS('様式2-2(実績排出量）'!$B$16:$B$515,$A74,'様式2-2(実績排出量）'!$H$16:$H$515,"小型貨物車",'様式2-2(実績排出量）'!$J$16:$J$515,"&gt;3500",'様式2-2(実績排出量）'!$T$16:$T$515,"*廃止")</f>
        <v>0</v>
      </c>
      <c r="J74" s="328">
        <f>COUNTIFS('様式2-2(実績排出量）'!$B$16:$B$515,$A74,'様式2-2(実績排出量）'!$H$16:$H$515,"大型バス",'様式2-2(実績排出量）'!$J$16:$J$515,"&lt;=1700",'様式2-2(実績排出量）'!$T$16:$T$515,"*廃止")</f>
        <v>0</v>
      </c>
      <c r="K74" s="328">
        <f>COUNTIFS('様式2-2(実績排出量）'!$B$16:$B$515,$A74,'様式2-2(実績排出量）'!$H$16:$H$515,"大型バス",'様式2-2(実績排出量）'!$J$16:$J$515,"&gt;1700",'様式2-2(実績排出量）'!$J$16:$J$515,"&lt;=2500",'様式2-2(実績排出量）'!$T$16:$T$515,"*廃止")</f>
        <v>0</v>
      </c>
      <c r="L74" s="328">
        <f>COUNTIFS('様式2-2(実績排出量）'!$B$16:$B$515,$A74,'様式2-2(実績排出量）'!$H$16:$H$515,"大型バス",'様式2-2(実績排出量）'!$J$16:$J$515,"&gt;2500",'様式2-2(実績排出量）'!$J$16:$J$515,"&lt;=3500",'様式2-2(実績排出量）'!$T$16:$T$515,"*廃止")</f>
        <v>0</v>
      </c>
      <c r="M74" s="328">
        <f>COUNTIFS('様式2-2(実績排出量）'!$B$16:$B$515,$A74,'様式2-2(実績排出量）'!$H$16:$H$515,"大型バス",'様式2-2(実績排出量）'!$J$16:$J$515,"&gt;3500",'様式2-2(実績排出量）'!$T$16:$T$515,"*廃止")</f>
        <v>0</v>
      </c>
      <c r="N74" s="328">
        <f>COUNTIFS('様式2-2(実績排出量）'!$B$16:$B$515,$A74,'様式2-2(実績排出量）'!$H$16:$H$515,"マイクロバス",'様式2-2(実績排出量）'!$J$16:$J$515,"&lt;=1700",'様式2-2(実績排出量）'!$T$16:$T$515,"*廃止")</f>
        <v>0</v>
      </c>
      <c r="O74" s="328">
        <f>COUNTIFS('様式2-2(実績排出量）'!$B$16:$B$515,$A74,'様式2-2(実績排出量）'!$H$16:$H$515,"マイクロバス",'様式2-2(実績排出量）'!$J$16:$J$515,"&gt;1700",'様式2-2(実績排出量）'!$J$16:$J$515,"&lt;=2500",'様式2-2(実績排出量）'!$T$16:$T$515,"*廃止")</f>
        <v>0</v>
      </c>
      <c r="P74" s="328">
        <f>COUNTIFS('様式2-2(実績排出量）'!$B$16:$B$515,$A74,'様式2-2(実績排出量）'!$H$16:$H$515,"マイクロバス",'様式2-2(実績排出量）'!$J$16:$J$515,"&gt;2500",'様式2-2(実績排出量）'!$J$16:$J$515,"&lt;=3500",'様式2-2(実績排出量）'!$T$16:$T$515,"*廃止")</f>
        <v>0</v>
      </c>
      <c r="Q74" s="328">
        <f>COUNTIFS('様式2-2(実績排出量）'!$B$16:$B$515,$A74,'様式2-2(実績排出量）'!$H$16:$H$515,"マイクロバス",'様式2-2(実績排出量）'!$J$16:$J$515,"&gt;3500",'様式2-2(実績排出量）'!$T$16:$T$515,"*廃止")</f>
        <v>0</v>
      </c>
      <c r="R74" s="328">
        <f>COUNTIFS('様式2-2(実績排出量）'!$B$16:$B$515,$A74,'様式2-2(実績排出量）'!$H$16:$H$515,"特種車*",'様式2-2(実績排出量）'!$J$16:$J$515,"&lt;=1700",'様式2-2(実績排出量）'!$T$16:$T$515,"*廃止")</f>
        <v>0</v>
      </c>
      <c r="S74" s="328">
        <f>COUNTIFS('様式2-2(実績排出量）'!$B$16:$B$515,$A74,'様式2-2(実績排出量）'!$H$16:$H$515,"特種車*",'様式2-2(実績排出量）'!$J$16:$J$515,"&gt;1700",'様式2-2(実績排出量）'!$J$16:$J$515,"&lt;=2500",'様式2-2(実績排出量）'!$T$16:$T$515,"*廃止")</f>
        <v>0</v>
      </c>
      <c r="T74" s="328">
        <f>COUNTIFS('様式2-2(実績排出量）'!$B$16:$B$515,$A74,'様式2-2(実績排出量）'!$H$16:$H$515,"特種車*",'様式2-2(実績排出量）'!$J$16:$J$515,"&gt;2500",'様式2-2(実績排出量）'!$J$16:$J$515,"&lt;=3500",'様式2-2(実績排出量）'!$T$16:$T$515,"*廃止")</f>
        <v>0</v>
      </c>
      <c r="U74" s="328">
        <f>COUNTIFS('様式2-2(実績排出量）'!$B$16:$B$515,$A74,'様式2-2(実績排出量）'!$H$16:$H$515,"特種車*",'様式2-2(実績排出量）'!$J$16:$J$515,"&gt;3500",'様式2-2(実績排出量）'!$T$16:$T$515,"*廃止")</f>
        <v>0</v>
      </c>
      <c r="V74" s="328">
        <f>COUNTIFS('様式2-2(実績排出量）'!$B$16:$B$515,$A74,'様式2-2(実績排出量）'!$H$16:$H$515,"乗用車*",'様式2-2(実績排出量）'!$T$16:$T$515,"*廃止")</f>
        <v>0</v>
      </c>
      <c r="W74" s="327"/>
    </row>
    <row r="75" spans="1:23" ht="13.75" hidden="1" customHeight="1">
      <c r="A75" s="157">
        <v>5</v>
      </c>
      <c r="B75" s="327">
        <f>COUNTIFS('様式2-2(実績排出量）'!$B$16:$B$515,$A75,'様式2-2(実績排出量）'!$H$16:$H$515,"普通貨物車",'様式2-2(実績排出量）'!$J$16:$J$515,"&lt;=1700",'様式2-2(実績排出量）'!$T$16:$T$515,"*廃止")</f>
        <v>0</v>
      </c>
      <c r="C75" s="327">
        <f>COUNTIFS('様式2-2(実績排出量）'!$B$16:$B$515,$A75,'様式2-2(実績排出量）'!$H$16:$H$515,"普通貨物車",'様式2-2(実績排出量）'!$J$16:$J$515,"&gt;1700",'様式2-2(実績排出量）'!$J$16:$J$515,"&lt;=2500",'様式2-2(実績排出量）'!$T$16:$T$515,"*廃止")</f>
        <v>0</v>
      </c>
      <c r="D75" s="327">
        <f>COUNTIFS('様式2-2(実績排出量）'!$B$16:$B$515,$A75,'様式2-2(実績排出量）'!$H$16:$H$515,"普通貨物車",'様式2-2(実績排出量）'!$J$16:$J$515,"&gt;2500",'様式2-2(実績排出量）'!$J$16:$J$515,"&lt;=3500",'様式2-2(実績排出量）'!$T$16:$T$515,"*廃止")</f>
        <v>0</v>
      </c>
      <c r="E75" s="327">
        <f>COUNTIFS('様式2-2(実績排出量）'!$B$16:$B$515,$A75,'様式2-2(実績排出量）'!$H$16:$H$515,"普通貨物車",'様式2-2(実績排出量）'!$J$16:$J$515,"&gt;3500",'様式2-2(実績排出量）'!$T$16:$T$515,"*廃止")</f>
        <v>0</v>
      </c>
      <c r="F75" s="328">
        <f>COUNTIFS('様式2-2(実績排出量）'!$B$16:$B$515,$A75,'様式2-2(実績排出量）'!$H$16:$H$515,"小型貨物車",'様式2-2(実績排出量）'!$J$16:$J$515,"&lt;=1700",'様式2-2(実績排出量）'!$T$16:$T$515,"*廃止")</f>
        <v>0</v>
      </c>
      <c r="G75" s="328">
        <f>COUNTIFS('様式2-2(実績排出量）'!$B$16:$B$515,$A75,'様式2-2(実績排出量）'!$H$16:$H$515,"小型貨物車",'様式2-2(実績排出量）'!$J$16:$J$515,"&gt;1700",'様式2-2(実績排出量）'!$J$16:$J$515,"&lt;=2500",'様式2-2(実績排出量）'!$T$16:$T$515,"*廃止")</f>
        <v>0</v>
      </c>
      <c r="H75" s="328">
        <f>COUNTIFS('様式2-2(実績排出量）'!$B$16:$B$515,$A75,'様式2-2(実績排出量）'!$H$16:$H$515,"小型貨物車",'様式2-2(実績排出量）'!$J$16:$J$515,"&gt;2500",'様式2-2(実績排出量）'!$J$16:$J$515,"&lt;=3500",'様式2-2(実績排出量）'!$T$16:$T$515,"*廃止")</f>
        <v>0</v>
      </c>
      <c r="I75" s="328">
        <f>COUNTIFS('様式2-2(実績排出量）'!$B$16:$B$515,$A75,'様式2-2(実績排出量）'!$H$16:$H$515,"小型貨物車",'様式2-2(実績排出量）'!$J$16:$J$515,"&gt;3500",'様式2-2(実績排出量）'!$T$16:$T$515,"*廃止")</f>
        <v>0</v>
      </c>
      <c r="J75" s="328">
        <f>COUNTIFS('様式2-2(実績排出量）'!$B$16:$B$515,$A75,'様式2-2(実績排出量）'!$H$16:$H$515,"大型バス",'様式2-2(実績排出量）'!$J$16:$J$515,"&lt;=1700",'様式2-2(実績排出量）'!$T$16:$T$515,"*廃止")</f>
        <v>0</v>
      </c>
      <c r="K75" s="328">
        <f>COUNTIFS('様式2-2(実績排出量）'!$B$16:$B$515,$A75,'様式2-2(実績排出量）'!$H$16:$H$515,"大型バス",'様式2-2(実績排出量）'!$J$16:$J$515,"&gt;1700",'様式2-2(実績排出量）'!$J$16:$J$515,"&lt;=2500",'様式2-2(実績排出量）'!$T$16:$T$515,"*廃止")</f>
        <v>0</v>
      </c>
      <c r="L75" s="328">
        <f>COUNTIFS('様式2-2(実績排出量）'!$B$16:$B$515,$A75,'様式2-2(実績排出量）'!$H$16:$H$515,"大型バス",'様式2-2(実績排出量）'!$J$16:$J$515,"&gt;2500",'様式2-2(実績排出量）'!$J$16:$J$515,"&lt;=3500",'様式2-2(実績排出量）'!$T$16:$T$515,"*廃止")</f>
        <v>0</v>
      </c>
      <c r="M75" s="328">
        <f>COUNTIFS('様式2-2(実績排出量）'!$B$16:$B$515,$A75,'様式2-2(実績排出量）'!$H$16:$H$515,"大型バス",'様式2-2(実績排出量）'!$J$16:$J$515,"&gt;3500",'様式2-2(実績排出量）'!$T$16:$T$515,"*廃止")</f>
        <v>0</v>
      </c>
      <c r="N75" s="328">
        <f>COUNTIFS('様式2-2(実績排出量）'!$B$16:$B$515,$A75,'様式2-2(実績排出量）'!$H$16:$H$515,"マイクロバス",'様式2-2(実績排出量）'!$J$16:$J$515,"&lt;=1700",'様式2-2(実績排出量）'!$T$16:$T$515,"*廃止")</f>
        <v>0</v>
      </c>
      <c r="O75" s="328">
        <f>COUNTIFS('様式2-2(実績排出量）'!$B$16:$B$515,$A75,'様式2-2(実績排出量）'!$H$16:$H$515,"マイクロバス",'様式2-2(実績排出量）'!$J$16:$J$515,"&gt;1700",'様式2-2(実績排出量）'!$J$16:$J$515,"&lt;=2500",'様式2-2(実績排出量）'!$T$16:$T$515,"*廃止")</f>
        <v>0</v>
      </c>
      <c r="P75" s="328">
        <f>COUNTIFS('様式2-2(実績排出量）'!$B$16:$B$515,$A75,'様式2-2(実績排出量）'!$H$16:$H$515,"マイクロバス",'様式2-2(実績排出量）'!$J$16:$J$515,"&gt;2500",'様式2-2(実績排出量）'!$J$16:$J$515,"&lt;=3500",'様式2-2(実績排出量）'!$T$16:$T$515,"*廃止")</f>
        <v>0</v>
      </c>
      <c r="Q75" s="328">
        <f>COUNTIFS('様式2-2(実績排出量）'!$B$16:$B$515,$A75,'様式2-2(実績排出量）'!$H$16:$H$515,"マイクロバス",'様式2-2(実績排出量）'!$J$16:$J$515,"&gt;3500",'様式2-2(実績排出量）'!$T$16:$T$515,"*廃止")</f>
        <v>0</v>
      </c>
      <c r="R75" s="328">
        <f>COUNTIFS('様式2-2(実績排出量）'!$B$16:$B$515,$A75,'様式2-2(実績排出量）'!$H$16:$H$515,"特種車*",'様式2-2(実績排出量）'!$J$16:$J$515,"&lt;=1700",'様式2-2(実績排出量）'!$T$16:$T$515,"*廃止")</f>
        <v>0</v>
      </c>
      <c r="S75" s="328">
        <f>COUNTIFS('様式2-2(実績排出量）'!$B$16:$B$515,$A75,'様式2-2(実績排出量）'!$H$16:$H$515,"特種車*",'様式2-2(実績排出量）'!$J$16:$J$515,"&gt;1700",'様式2-2(実績排出量）'!$J$16:$J$515,"&lt;=2500",'様式2-2(実績排出量）'!$T$16:$T$515,"*廃止")</f>
        <v>0</v>
      </c>
      <c r="T75" s="328">
        <f>COUNTIFS('様式2-2(実績排出量）'!$B$16:$B$515,$A75,'様式2-2(実績排出量）'!$H$16:$H$515,"特種車*",'様式2-2(実績排出量）'!$J$16:$J$515,"&gt;2500",'様式2-2(実績排出量）'!$J$16:$J$515,"&lt;=3500",'様式2-2(実績排出量）'!$T$16:$T$515,"*廃止")</f>
        <v>0</v>
      </c>
      <c r="U75" s="328">
        <f>COUNTIFS('様式2-2(実績排出量）'!$B$16:$B$515,$A75,'様式2-2(実績排出量）'!$H$16:$H$515,"特種車*",'様式2-2(実績排出量）'!$J$16:$J$515,"&gt;3500",'様式2-2(実績排出量）'!$T$16:$T$515,"*廃止")</f>
        <v>0</v>
      </c>
      <c r="V75" s="328">
        <f>COUNTIFS('様式2-2(実績排出量）'!$B$16:$B$515,$A75,'様式2-2(実績排出量）'!$H$16:$H$515,"乗用車*",'様式2-2(実績排出量）'!$T$16:$T$515,"*廃止")</f>
        <v>0</v>
      </c>
      <c r="W75" s="327"/>
    </row>
    <row r="76" spans="1:23" ht="13.75" hidden="1" customHeight="1">
      <c r="A76" s="157">
        <v>6</v>
      </c>
      <c r="B76" s="327">
        <f>COUNTIFS('様式2-2(実績排出量）'!$B$16:$B$515,$A76,'様式2-2(実績排出量）'!$H$16:$H$515,"普通貨物車",'様式2-2(実績排出量）'!$J$16:$J$515,"&lt;=1700",'様式2-2(実績排出量）'!$T$16:$T$515,"*廃止")</f>
        <v>0</v>
      </c>
      <c r="C76" s="327">
        <f>COUNTIFS('様式2-2(実績排出量）'!$B$16:$B$515,$A76,'様式2-2(実績排出量）'!$H$16:$H$515,"普通貨物車",'様式2-2(実績排出量）'!$J$16:$J$515,"&gt;1700",'様式2-2(実績排出量）'!$J$16:$J$515,"&lt;=2500",'様式2-2(実績排出量）'!$T$16:$T$515,"*廃止")</f>
        <v>0</v>
      </c>
      <c r="D76" s="327">
        <f>COUNTIFS('様式2-2(実績排出量）'!$B$16:$B$515,$A76,'様式2-2(実績排出量）'!$H$16:$H$515,"普通貨物車",'様式2-2(実績排出量）'!$J$16:$J$515,"&gt;2500",'様式2-2(実績排出量）'!$J$16:$J$515,"&lt;=3500",'様式2-2(実績排出量）'!$T$16:$T$515,"*廃止")</f>
        <v>0</v>
      </c>
      <c r="E76" s="327">
        <f>COUNTIFS('様式2-2(実績排出量）'!$B$16:$B$515,$A76,'様式2-2(実績排出量）'!$H$16:$H$515,"普通貨物車",'様式2-2(実績排出量）'!$J$16:$J$515,"&gt;3500",'様式2-2(実績排出量）'!$T$16:$T$515,"*廃止")</f>
        <v>0</v>
      </c>
      <c r="F76" s="328">
        <f>COUNTIFS('様式2-2(実績排出量）'!$B$16:$B$515,$A76,'様式2-2(実績排出量）'!$H$16:$H$515,"小型貨物車",'様式2-2(実績排出量）'!$J$16:$J$515,"&lt;=1700",'様式2-2(実績排出量）'!$T$16:$T$515,"*廃止")</f>
        <v>0</v>
      </c>
      <c r="G76" s="328">
        <f>COUNTIFS('様式2-2(実績排出量）'!$B$16:$B$515,$A76,'様式2-2(実績排出量）'!$H$16:$H$515,"小型貨物車",'様式2-2(実績排出量）'!$J$16:$J$515,"&gt;1700",'様式2-2(実績排出量）'!$J$16:$J$515,"&lt;=2500",'様式2-2(実績排出量）'!$T$16:$T$515,"*廃止")</f>
        <v>0</v>
      </c>
      <c r="H76" s="328">
        <f>COUNTIFS('様式2-2(実績排出量）'!$B$16:$B$515,$A76,'様式2-2(実績排出量）'!$H$16:$H$515,"小型貨物車",'様式2-2(実績排出量）'!$J$16:$J$515,"&gt;2500",'様式2-2(実績排出量）'!$J$16:$J$515,"&lt;=3500",'様式2-2(実績排出量）'!$T$16:$T$515,"*廃止")</f>
        <v>0</v>
      </c>
      <c r="I76" s="328">
        <f>COUNTIFS('様式2-2(実績排出量）'!$B$16:$B$515,$A76,'様式2-2(実績排出量）'!$H$16:$H$515,"小型貨物車",'様式2-2(実績排出量）'!$J$16:$J$515,"&gt;3500",'様式2-2(実績排出量）'!$T$16:$T$515,"*廃止")</f>
        <v>0</v>
      </c>
      <c r="J76" s="328">
        <f>COUNTIFS('様式2-2(実績排出量）'!$B$16:$B$515,$A76,'様式2-2(実績排出量）'!$H$16:$H$515,"大型バス",'様式2-2(実績排出量）'!$J$16:$J$515,"&lt;=1700",'様式2-2(実績排出量）'!$T$16:$T$515,"*廃止")</f>
        <v>0</v>
      </c>
      <c r="K76" s="328">
        <f>COUNTIFS('様式2-2(実績排出量）'!$B$16:$B$515,$A76,'様式2-2(実績排出量）'!$H$16:$H$515,"大型バス",'様式2-2(実績排出量）'!$J$16:$J$515,"&gt;1700",'様式2-2(実績排出量）'!$J$16:$J$515,"&lt;=2500",'様式2-2(実績排出量）'!$T$16:$T$515,"*廃止")</f>
        <v>0</v>
      </c>
      <c r="L76" s="328">
        <f>COUNTIFS('様式2-2(実績排出量）'!$B$16:$B$515,$A76,'様式2-2(実績排出量）'!$H$16:$H$515,"大型バス",'様式2-2(実績排出量）'!$J$16:$J$515,"&gt;2500",'様式2-2(実績排出量）'!$J$16:$J$515,"&lt;=3500",'様式2-2(実績排出量）'!$T$16:$T$515,"*廃止")</f>
        <v>0</v>
      </c>
      <c r="M76" s="328">
        <f>COUNTIFS('様式2-2(実績排出量）'!$B$16:$B$515,$A76,'様式2-2(実績排出量）'!$H$16:$H$515,"大型バス",'様式2-2(実績排出量）'!$J$16:$J$515,"&gt;3500",'様式2-2(実績排出量）'!$T$16:$T$515,"*廃止")</f>
        <v>0</v>
      </c>
      <c r="N76" s="328">
        <f>COUNTIFS('様式2-2(実績排出量）'!$B$16:$B$515,$A76,'様式2-2(実績排出量）'!$H$16:$H$515,"マイクロバス",'様式2-2(実績排出量）'!$J$16:$J$515,"&lt;=1700",'様式2-2(実績排出量）'!$T$16:$T$515,"*廃止")</f>
        <v>0</v>
      </c>
      <c r="O76" s="328">
        <f>COUNTIFS('様式2-2(実績排出量）'!$B$16:$B$515,$A76,'様式2-2(実績排出量）'!$H$16:$H$515,"マイクロバス",'様式2-2(実績排出量）'!$J$16:$J$515,"&gt;1700",'様式2-2(実績排出量）'!$J$16:$J$515,"&lt;=2500",'様式2-2(実績排出量）'!$T$16:$T$515,"*廃止")</f>
        <v>0</v>
      </c>
      <c r="P76" s="328">
        <f>COUNTIFS('様式2-2(実績排出量）'!$B$16:$B$515,$A76,'様式2-2(実績排出量）'!$H$16:$H$515,"マイクロバス",'様式2-2(実績排出量）'!$J$16:$J$515,"&gt;2500",'様式2-2(実績排出量）'!$J$16:$J$515,"&lt;=3500",'様式2-2(実績排出量）'!$T$16:$T$515,"*廃止")</f>
        <v>0</v>
      </c>
      <c r="Q76" s="328">
        <f>COUNTIFS('様式2-2(実績排出量）'!$B$16:$B$515,$A76,'様式2-2(実績排出量）'!$H$16:$H$515,"マイクロバス",'様式2-2(実績排出量）'!$J$16:$J$515,"&gt;3500",'様式2-2(実績排出量）'!$T$16:$T$515,"*廃止")</f>
        <v>0</v>
      </c>
      <c r="R76" s="328">
        <f>COUNTIFS('様式2-2(実績排出量）'!$B$16:$B$515,$A76,'様式2-2(実績排出量）'!$H$16:$H$515,"特種車*",'様式2-2(実績排出量）'!$J$16:$J$515,"&lt;=1700",'様式2-2(実績排出量）'!$T$16:$T$515,"*廃止")</f>
        <v>0</v>
      </c>
      <c r="S76" s="328">
        <f>COUNTIFS('様式2-2(実績排出量）'!$B$16:$B$515,$A76,'様式2-2(実績排出量）'!$H$16:$H$515,"特種車*",'様式2-2(実績排出量）'!$J$16:$J$515,"&gt;1700",'様式2-2(実績排出量）'!$J$16:$J$515,"&lt;=2500",'様式2-2(実績排出量）'!$T$16:$T$515,"*廃止")</f>
        <v>0</v>
      </c>
      <c r="T76" s="328">
        <f>COUNTIFS('様式2-2(実績排出量）'!$B$16:$B$515,$A76,'様式2-2(実績排出量）'!$H$16:$H$515,"特種車*",'様式2-2(実績排出量）'!$J$16:$J$515,"&gt;2500",'様式2-2(実績排出量）'!$J$16:$J$515,"&lt;=3500",'様式2-2(実績排出量）'!$T$16:$T$515,"*廃止")</f>
        <v>0</v>
      </c>
      <c r="U76" s="328">
        <f>COUNTIFS('様式2-2(実績排出量）'!$B$16:$B$515,$A76,'様式2-2(実績排出量）'!$H$16:$H$515,"特種車*",'様式2-2(実績排出量）'!$J$16:$J$515,"&gt;3500",'様式2-2(実績排出量）'!$T$16:$T$515,"*廃止")</f>
        <v>0</v>
      </c>
      <c r="V76" s="328">
        <f>COUNTIFS('様式2-2(実績排出量）'!$B$16:$B$515,$A76,'様式2-2(実績排出量）'!$H$16:$H$515,"乗用車*",'様式2-2(実績排出量）'!$T$16:$T$515,"*廃止")</f>
        <v>0</v>
      </c>
      <c r="W76" s="327"/>
    </row>
    <row r="77" spans="1:23" ht="13.75" hidden="1" customHeight="1">
      <c r="A77" s="157">
        <v>7</v>
      </c>
      <c r="B77" s="327">
        <f>COUNTIFS('様式2-2(実績排出量）'!$B$16:$B$515,$A77,'様式2-2(実績排出量）'!$H$16:$H$515,"普通貨物車",'様式2-2(実績排出量）'!$J$16:$J$515,"&lt;=1700",'様式2-2(実績排出量）'!$T$16:$T$515,"*廃止")</f>
        <v>0</v>
      </c>
      <c r="C77" s="327">
        <f>COUNTIFS('様式2-2(実績排出量）'!$B$16:$B$515,$A77,'様式2-2(実績排出量）'!$H$16:$H$515,"普通貨物車",'様式2-2(実績排出量）'!$J$16:$J$515,"&gt;1700",'様式2-2(実績排出量）'!$J$16:$J$515,"&lt;=2500",'様式2-2(実績排出量）'!$T$16:$T$515,"*廃止")</f>
        <v>0</v>
      </c>
      <c r="D77" s="327">
        <f>COUNTIFS('様式2-2(実績排出量）'!$B$16:$B$515,$A77,'様式2-2(実績排出量）'!$H$16:$H$515,"普通貨物車",'様式2-2(実績排出量）'!$J$16:$J$515,"&gt;2500",'様式2-2(実績排出量）'!$J$16:$J$515,"&lt;=3500",'様式2-2(実績排出量）'!$T$16:$T$515,"*廃止")</f>
        <v>0</v>
      </c>
      <c r="E77" s="327">
        <f>COUNTIFS('様式2-2(実績排出量）'!$B$16:$B$515,$A77,'様式2-2(実績排出量）'!$H$16:$H$515,"普通貨物車",'様式2-2(実績排出量）'!$J$16:$J$515,"&gt;3500",'様式2-2(実績排出量）'!$T$16:$T$515,"*廃止")</f>
        <v>0</v>
      </c>
      <c r="F77" s="328">
        <f>COUNTIFS('様式2-2(実績排出量）'!$B$16:$B$515,$A77,'様式2-2(実績排出量）'!$H$16:$H$515,"小型貨物車",'様式2-2(実績排出量）'!$J$16:$J$515,"&lt;=1700",'様式2-2(実績排出量）'!$T$16:$T$515,"*廃止")</f>
        <v>0</v>
      </c>
      <c r="G77" s="328">
        <f>COUNTIFS('様式2-2(実績排出量）'!$B$16:$B$515,$A77,'様式2-2(実績排出量）'!$H$16:$H$515,"小型貨物車",'様式2-2(実績排出量）'!$J$16:$J$515,"&gt;1700",'様式2-2(実績排出量）'!$J$16:$J$515,"&lt;=2500",'様式2-2(実績排出量）'!$T$16:$T$515,"*廃止")</f>
        <v>0</v>
      </c>
      <c r="H77" s="328">
        <f>COUNTIFS('様式2-2(実績排出量）'!$B$16:$B$515,$A77,'様式2-2(実績排出量）'!$H$16:$H$515,"小型貨物車",'様式2-2(実績排出量）'!$J$16:$J$515,"&gt;2500",'様式2-2(実績排出量）'!$J$16:$J$515,"&lt;=3500",'様式2-2(実績排出量）'!$T$16:$T$515,"*廃止")</f>
        <v>0</v>
      </c>
      <c r="I77" s="328">
        <f>COUNTIFS('様式2-2(実績排出量）'!$B$16:$B$515,$A77,'様式2-2(実績排出量）'!$H$16:$H$515,"小型貨物車",'様式2-2(実績排出量）'!$J$16:$J$515,"&gt;3500",'様式2-2(実績排出量）'!$T$16:$T$515,"*廃止")</f>
        <v>0</v>
      </c>
      <c r="J77" s="328">
        <f>COUNTIFS('様式2-2(実績排出量）'!$B$16:$B$515,$A77,'様式2-2(実績排出量）'!$H$16:$H$515,"大型バス",'様式2-2(実績排出量）'!$J$16:$J$515,"&lt;=1700",'様式2-2(実績排出量）'!$T$16:$T$515,"*廃止")</f>
        <v>0</v>
      </c>
      <c r="K77" s="328">
        <f>COUNTIFS('様式2-2(実績排出量）'!$B$16:$B$515,$A77,'様式2-2(実績排出量）'!$H$16:$H$515,"大型バス",'様式2-2(実績排出量）'!$J$16:$J$515,"&gt;1700",'様式2-2(実績排出量）'!$J$16:$J$515,"&lt;=2500",'様式2-2(実績排出量）'!$T$16:$T$515,"*廃止")</f>
        <v>0</v>
      </c>
      <c r="L77" s="328">
        <f>COUNTIFS('様式2-2(実績排出量）'!$B$16:$B$515,$A77,'様式2-2(実績排出量）'!$H$16:$H$515,"大型バス",'様式2-2(実績排出量）'!$J$16:$J$515,"&gt;2500",'様式2-2(実績排出量）'!$J$16:$J$515,"&lt;=3500",'様式2-2(実績排出量）'!$T$16:$T$515,"*廃止")</f>
        <v>0</v>
      </c>
      <c r="M77" s="328">
        <f>COUNTIFS('様式2-2(実績排出量）'!$B$16:$B$515,$A77,'様式2-2(実績排出量）'!$H$16:$H$515,"大型バス",'様式2-2(実績排出量）'!$J$16:$J$515,"&gt;3500",'様式2-2(実績排出量）'!$T$16:$T$515,"*廃止")</f>
        <v>0</v>
      </c>
      <c r="N77" s="328">
        <f>COUNTIFS('様式2-2(実績排出量）'!$B$16:$B$515,$A77,'様式2-2(実績排出量）'!$H$16:$H$515,"マイクロバス",'様式2-2(実績排出量）'!$J$16:$J$515,"&lt;=1700",'様式2-2(実績排出量）'!$T$16:$T$515,"*廃止")</f>
        <v>0</v>
      </c>
      <c r="O77" s="328">
        <f>COUNTIFS('様式2-2(実績排出量）'!$B$16:$B$515,$A77,'様式2-2(実績排出量）'!$H$16:$H$515,"マイクロバス",'様式2-2(実績排出量）'!$J$16:$J$515,"&gt;1700",'様式2-2(実績排出量）'!$J$16:$J$515,"&lt;=2500",'様式2-2(実績排出量）'!$T$16:$T$515,"*廃止")</f>
        <v>0</v>
      </c>
      <c r="P77" s="328">
        <f>COUNTIFS('様式2-2(実績排出量）'!$B$16:$B$515,$A77,'様式2-2(実績排出量）'!$H$16:$H$515,"マイクロバス",'様式2-2(実績排出量）'!$J$16:$J$515,"&gt;2500",'様式2-2(実績排出量）'!$J$16:$J$515,"&lt;=3500",'様式2-2(実績排出量）'!$T$16:$T$515,"*廃止")</f>
        <v>0</v>
      </c>
      <c r="Q77" s="328">
        <f>COUNTIFS('様式2-2(実績排出量）'!$B$16:$B$515,$A77,'様式2-2(実績排出量）'!$H$16:$H$515,"マイクロバス",'様式2-2(実績排出量）'!$J$16:$J$515,"&gt;3500",'様式2-2(実績排出量）'!$T$16:$T$515,"*廃止")</f>
        <v>0</v>
      </c>
      <c r="R77" s="328">
        <f>COUNTIFS('様式2-2(実績排出量）'!$B$16:$B$515,$A77,'様式2-2(実績排出量）'!$H$16:$H$515,"特種車*",'様式2-2(実績排出量）'!$J$16:$J$515,"&lt;=1700",'様式2-2(実績排出量）'!$T$16:$T$515,"*廃止")</f>
        <v>0</v>
      </c>
      <c r="S77" s="328">
        <f>COUNTIFS('様式2-2(実績排出量）'!$B$16:$B$515,$A77,'様式2-2(実績排出量）'!$H$16:$H$515,"特種車*",'様式2-2(実績排出量）'!$J$16:$J$515,"&gt;1700",'様式2-2(実績排出量）'!$J$16:$J$515,"&lt;=2500",'様式2-2(実績排出量）'!$T$16:$T$515,"*廃止")</f>
        <v>0</v>
      </c>
      <c r="T77" s="328">
        <f>COUNTIFS('様式2-2(実績排出量）'!$B$16:$B$515,$A77,'様式2-2(実績排出量）'!$H$16:$H$515,"特種車*",'様式2-2(実績排出量）'!$J$16:$J$515,"&gt;2500",'様式2-2(実績排出量）'!$J$16:$J$515,"&lt;=3500",'様式2-2(実績排出量）'!$T$16:$T$515,"*廃止")</f>
        <v>0</v>
      </c>
      <c r="U77" s="328">
        <f>COUNTIFS('様式2-2(実績排出量）'!$B$16:$B$515,$A77,'様式2-2(実績排出量）'!$H$16:$H$515,"特種車*",'様式2-2(実績排出量）'!$J$16:$J$515,"&gt;3500",'様式2-2(実績排出量）'!$T$16:$T$515,"*廃止")</f>
        <v>0</v>
      </c>
      <c r="V77" s="328">
        <f>COUNTIFS('様式2-2(実績排出量）'!$B$16:$B$515,$A77,'様式2-2(実績排出量）'!$H$16:$H$515,"乗用車*",'様式2-2(実績排出量）'!$T$16:$T$515,"*廃止")</f>
        <v>0</v>
      </c>
      <c r="W77" s="327"/>
    </row>
    <row r="78" spans="1:23" ht="13.75" hidden="1" customHeight="1">
      <c r="A78" s="157">
        <v>8</v>
      </c>
      <c r="B78" s="327">
        <f>COUNTIFS('様式2-2(実績排出量）'!$B$16:$B$515,$A78,'様式2-2(実績排出量）'!$H$16:$H$515,"普通貨物車",'様式2-2(実績排出量）'!$J$16:$J$515,"&lt;=1700",'様式2-2(実績排出量）'!$T$16:$T$515,"*廃止")</f>
        <v>0</v>
      </c>
      <c r="C78" s="327">
        <f>COUNTIFS('様式2-2(実績排出量）'!$B$16:$B$515,$A78,'様式2-2(実績排出量）'!$H$16:$H$515,"普通貨物車",'様式2-2(実績排出量）'!$J$16:$J$515,"&gt;1700",'様式2-2(実績排出量）'!$J$16:$J$515,"&lt;=2500",'様式2-2(実績排出量）'!$T$16:$T$515,"*廃止")</f>
        <v>0</v>
      </c>
      <c r="D78" s="327">
        <f>COUNTIFS('様式2-2(実績排出量）'!$B$16:$B$515,$A78,'様式2-2(実績排出量）'!$H$16:$H$515,"普通貨物車",'様式2-2(実績排出量）'!$J$16:$J$515,"&gt;2500",'様式2-2(実績排出量）'!$J$16:$J$515,"&lt;=3500",'様式2-2(実績排出量）'!$T$16:$T$515,"*廃止")</f>
        <v>0</v>
      </c>
      <c r="E78" s="327">
        <f>COUNTIFS('様式2-2(実績排出量）'!$B$16:$B$515,$A78,'様式2-2(実績排出量）'!$H$16:$H$515,"普通貨物車",'様式2-2(実績排出量）'!$J$16:$J$515,"&gt;3500",'様式2-2(実績排出量）'!$T$16:$T$515,"*廃止")</f>
        <v>0</v>
      </c>
      <c r="F78" s="328">
        <f>COUNTIFS('様式2-2(実績排出量）'!$B$16:$B$515,$A78,'様式2-2(実績排出量）'!$H$16:$H$515,"小型貨物車",'様式2-2(実績排出量）'!$J$16:$J$515,"&lt;=1700",'様式2-2(実績排出量）'!$T$16:$T$515,"*廃止")</f>
        <v>0</v>
      </c>
      <c r="G78" s="328">
        <f>COUNTIFS('様式2-2(実績排出量）'!$B$16:$B$515,$A78,'様式2-2(実績排出量）'!$H$16:$H$515,"小型貨物車",'様式2-2(実績排出量）'!$J$16:$J$515,"&gt;1700",'様式2-2(実績排出量）'!$J$16:$J$515,"&lt;=2500",'様式2-2(実績排出量）'!$T$16:$T$515,"*廃止")</f>
        <v>0</v>
      </c>
      <c r="H78" s="328">
        <f>COUNTIFS('様式2-2(実績排出量）'!$B$16:$B$515,$A78,'様式2-2(実績排出量）'!$H$16:$H$515,"小型貨物車",'様式2-2(実績排出量）'!$J$16:$J$515,"&gt;2500",'様式2-2(実績排出量）'!$J$16:$J$515,"&lt;=3500",'様式2-2(実績排出量）'!$T$16:$T$515,"*廃止")</f>
        <v>0</v>
      </c>
      <c r="I78" s="328">
        <f>COUNTIFS('様式2-2(実績排出量）'!$B$16:$B$515,$A78,'様式2-2(実績排出量）'!$H$16:$H$515,"小型貨物車",'様式2-2(実績排出量）'!$J$16:$J$515,"&gt;3500",'様式2-2(実績排出量）'!$T$16:$T$515,"*廃止")</f>
        <v>0</v>
      </c>
      <c r="J78" s="328">
        <f>COUNTIFS('様式2-2(実績排出量）'!$B$16:$B$515,$A78,'様式2-2(実績排出量）'!$H$16:$H$515,"大型バス",'様式2-2(実績排出量）'!$J$16:$J$515,"&lt;=1700",'様式2-2(実績排出量）'!$T$16:$T$515,"*廃止")</f>
        <v>0</v>
      </c>
      <c r="K78" s="328">
        <f>COUNTIFS('様式2-2(実績排出量）'!$B$16:$B$515,$A78,'様式2-2(実績排出量）'!$H$16:$H$515,"大型バス",'様式2-2(実績排出量）'!$J$16:$J$515,"&gt;1700",'様式2-2(実績排出量）'!$J$16:$J$515,"&lt;=2500",'様式2-2(実績排出量）'!$T$16:$T$515,"*廃止")</f>
        <v>0</v>
      </c>
      <c r="L78" s="328">
        <f>COUNTIFS('様式2-2(実績排出量）'!$B$16:$B$515,$A78,'様式2-2(実績排出量）'!$H$16:$H$515,"大型バス",'様式2-2(実績排出量）'!$J$16:$J$515,"&gt;2500",'様式2-2(実績排出量）'!$J$16:$J$515,"&lt;=3500",'様式2-2(実績排出量）'!$T$16:$T$515,"*廃止")</f>
        <v>0</v>
      </c>
      <c r="M78" s="328">
        <f>COUNTIFS('様式2-2(実績排出量）'!$B$16:$B$515,$A78,'様式2-2(実績排出量）'!$H$16:$H$515,"大型バス",'様式2-2(実績排出量）'!$J$16:$J$515,"&gt;3500",'様式2-2(実績排出量）'!$T$16:$T$515,"*廃止")</f>
        <v>0</v>
      </c>
      <c r="N78" s="328">
        <f>COUNTIFS('様式2-2(実績排出量）'!$B$16:$B$515,$A78,'様式2-2(実績排出量）'!$H$16:$H$515,"マイクロバス",'様式2-2(実績排出量）'!$J$16:$J$515,"&lt;=1700",'様式2-2(実績排出量）'!$T$16:$T$515,"*廃止")</f>
        <v>0</v>
      </c>
      <c r="O78" s="328">
        <f>COUNTIFS('様式2-2(実績排出量）'!$B$16:$B$515,$A78,'様式2-2(実績排出量）'!$H$16:$H$515,"マイクロバス",'様式2-2(実績排出量）'!$J$16:$J$515,"&gt;1700",'様式2-2(実績排出量）'!$J$16:$J$515,"&lt;=2500",'様式2-2(実績排出量）'!$T$16:$T$515,"*廃止")</f>
        <v>0</v>
      </c>
      <c r="P78" s="328">
        <f>COUNTIFS('様式2-2(実績排出量）'!$B$16:$B$515,$A78,'様式2-2(実績排出量）'!$H$16:$H$515,"マイクロバス",'様式2-2(実績排出量）'!$J$16:$J$515,"&gt;2500",'様式2-2(実績排出量）'!$J$16:$J$515,"&lt;=3500",'様式2-2(実績排出量）'!$T$16:$T$515,"*廃止")</f>
        <v>0</v>
      </c>
      <c r="Q78" s="328">
        <f>COUNTIFS('様式2-2(実績排出量）'!$B$16:$B$515,$A78,'様式2-2(実績排出量）'!$H$16:$H$515,"マイクロバス",'様式2-2(実績排出量）'!$J$16:$J$515,"&gt;3500",'様式2-2(実績排出量）'!$T$16:$T$515,"*廃止")</f>
        <v>0</v>
      </c>
      <c r="R78" s="328">
        <f>COUNTIFS('様式2-2(実績排出量）'!$B$16:$B$515,$A78,'様式2-2(実績排出量）'!$H$16:$H$515,"特種車*",'様式2-2(実績排出量）'!$J$16:$J$515,"&lt;=1700",'様式2-2(実績排出量）'!$T$16:$T$515,"*廃止")</f>
        <v>0</v>
      </c>
      <c r="S78" s="328">
        <f>COUNTIFS('様式2-2(実績排出量）'!$B$16:$B$515,$A78,'様式2-2(実績排出量）'!$H$16:$H$515,"特種車*",'様式2-2(実績排出量）'!$J$16:$J$515,"&gt;1700",'様式2-2(実績排出量）'!$J$16:$J$515,"&lt;=2500",'様式2-2(実績排出量）'!$T$16:$T$515,"*廃止")</f>
        <v>0</v>
      </c>
      <c r="T78" s="328">
        <f>COUNTIFS('様式2-2(実績排出量）'!$B$16:$B$515,$A78,'様式2-2(実績排出量）'!$H$16:$H$515,"特種車*",'様式2-2(実績排出量）'!$J$16:$J$515,"&gt;2500",'様式2-2(実績排出量）'!$J$16:$J$515,"&lt;=3500",'様式2-2(実績排出量）'!$T$16:$T$515,"*廃止")</f>
        <v>0</v>
      </c>
      <c r="U78" s="328">
        <f>COUNTIFS('様式2-2(実績排出量）'!$B$16:$B$515,$A78,'様式2-2(実績排出量）'!$H$16:$H$515,"特種車*",'様式2-2(実績排出量）'!$J$16:$J$515,"&gt;3500",'様式2-2(実績排出量）'!$T$16:$T$515,"*廃止")</f>
        <v>0</v>
      </c>
      <c r="V78" s="328">
        <f>COUNTIFS('様式2-2(実績排出量）'!$B$16:$B$515,$A78,'様式2-2(実績排出量）'!$H$16:$H$515,"乗用車*",'様式2-2(実績排出量）'!$T$16:$T$515,"*廃止")</f>
        <v>0</v>
      </c>
      <c r="W78" s="327"/>
    </row>
    <row r="79" spans="1:23" ht="13.75" hidden="1" customHeight="1">
      <c r="A79" s="157">
        <v>9</v>
      </c>
      <c r="B79" s="327">
        <f>COUNTIFS('様式2-2(実績排出量）'!$B$16:$B$515,$A79,'様式2-2(実績排出量）'!$H$16:$H$515,"普通貨物車",'様式2-2(実績排出量）'!$J$16:$J$515,"&lt;=1700",'様式2-2(実績排出量）'!$T$16:$T$515,"*廃止")</f>
        <v>0</v>
      </c>
      <c r="C79" s="327">
        <f>COUNTIFS('様式2-2(実績排出量）'!$B$16:$B$515,$A79,'様式2-2(実績排出量）'!$H$16:$H$515,"普通貨物車",'様式2-2(実績排出量）'!$J$16:$J$515,"&gt;1700",'様式2-2(実績排出量）'!$J$16:$J$515,"&lt;=2500",'様式2-2(実績排出量）'!$T$16:$T$515,"*廃止")</f>
        <v>0</v>
      </c>
      <c r="D79" s="327">
        <f>COUNTIFS('様式2-2(実績排出量）'!$B$16:$B$515,$A79,'様式2-2(実績排出量）'!$H$16:$H$515,"普通貨物車",'様式2-2(実績排出量）'!$J$16:$J$515,"&gt;2500",'様式2-2(実績排出量）'!$J$16:$J$515,"&lt;=3500",'様式2-2(実績排出量）'!$T$16:$T$515,"*廃止")</f>
        <v>0</v>
      </c>
      <c r="E79" s="327">
        <f>COUNTIFS('様式2-2(実績排出量）'!$B$16:$B$515,$A79,'様式2-2(実績排出量）'!$H$16:$H$515,"普通貨物車",'様式2-2(実績排出量）'!$J$16:$J$515,"&gt;3500",'様式2-2(実績排出量）'!$T$16:$T$515,"*廃止")</f>
        <v>0</v>
      </c>
      <c r="F79" s="328">
        <f>COUNTIFS('様式2-2(実績排出量）'!$B$16:$B$515,$A79,'様式2-2(実績排出量）'!$H$16:$H$515,"小型貨物車",'様式2-2(実績排出量）'!$J$16:$J$515,"&lt;=1700",'様式2-2(実績排出量）'!$T$16:$T$515,"*廃止")</f>
        <v>0</v>
      </c>
      <c r="G79" s="328">
        <f>COUNTIFS('様式2-2(実績排出量）'!$B$16:$B$515,$A79,'様式2-2(実績排出量）'!$H$16:$H$515,"小型貨物車",'様式2-2(実績排出量）'!$J$16:$J$515,"&gt;1700",'様式2-2(実績排出量）'!$J$16:$J$515,"&lt;=2500",'様式2-2(実績排出量）'!$T$16:$T$515,"*廃止")</f>
        <v>0</v>
      </c>
      <c r="H79" s="328">
        <f>COUNTIFS('様式2-2(実績排出量）'!$B$16:$B$515,$A79,'様式2-2(実績排出量）'!$H$16:$H$515,"小型貨物車",'様式2-2(実績排出量）'!$J$16:$J$515,"&gt;2500",'様式2-2(実績排出量）'!$J$16:$J$515,"&lt;=3500",'様式2-2(実績排出量）'!$T$16:$T$515,"*廃止")</f>
        <v>0</v>
      </c>
      <c r="I79" s="328">
        <f>COUNTIFS('様式2-2(実績排出量）'!$B$16:$B$515,$A79,'様式2-2(実績排出量）'!$H$16:$H$515,"小型貨物車",'様式2-2(実績排出量）'!$J$16:$J$515,"&gt;3500",'様式2-2(実績排出量）'!$T$16:$T$515,"*廃止")</f>
        <v>0</v>
      </c>
      <c r="J79" s="328">
        <f>COUNTIFS('様式2-2(実績排出量）'!$B$16:$B$515,$A79,'様式2-2(実績排出量）'!$H$16:$H$515,"大型バス",'様式2-2(実績排出量）'!$J$16:$J$515,"&lt;=1700",'様式2-2(実績排出量）'!$T$16:$T$515,"*廃止")</f>
        <v>0</v>
      </c>
      <c r="K79" s="328">
        <f>COUNTIFS('様式2-2(実績排出量）'!$B$16:$B$515,$A79,'様式2-2(実績排出量）'!$H$16:$H$515,"大型バス",'様式2-2(実績排出量）'!$J$16:$J$515,"&gt;1700",'様式2-2(実績排出量）'!$J$16:$J$515,"&lt;=2500",'様式2-2(実績排出量）'!$T$16:$T$515,"*廃止")</f>
        <v>0</v>
      </c>
      <c r="L79" s="328">
        <f>COUNTIFS('様式2-2(実績排出量）'!$B$16:$B$515,$A79,'様式2-2(実績排出量）'!$H$16:$H$515,"大型バス",'様式2-2(実績排出量）'!$J$16:$J$515,"&gt;2500",'様式2-2(実績排出量）'!$J$16:$J$515,"&lt;=3500",'様式2-2(実績排出量）'!$T$16:$T$515,"*廃止")</f>
        <v>0</v>
      </c>
      <c r="M79" s="328">
        <f>COUNTIFS('様式2-2(実績排出量）'!$B$16:$B$515,$A79,'様式2-2(実績排出量）'!$H$16:$H$515,"大型バス",'様式2-2(実績排出量）'!$J$16:$J$515,"&gt;3500",'様式2-2(実績排出量）'!$T$16:$T$515,"*廃止")</f>
        <v>0</v>
      </c>
      <c r="N79" s="328">
        <f>COUNTIFS('様式2-2(実績排出量）'!$B$16:$B$515,$A79,'様式2-2(実績排出量）'!$H$16:$H$515,"マイクロバス",'様式2-2(実績排出量）'!$J$16:$J$515,"&lt;=1700",'様式2-2(実績排出量）'!$T$16:$T$515,"*廃止")</f>
        <v>0</v>
      </c>
      <c r="O79" s="328">
        <f>COUNTIFS('様式2-2(実績排出量）'!$B$16:$B$515,$A79,'様式2-2(実績排出量）'!$H$16:$H$515,"マイクロバス",'様式2-2(実績排出量）'!$J$16:$J$515,"&gt;1700",'様式2-2(実績排出量）'!$J$16:$J$515,"&lt;=2500",'様式2-2(実績排出量）'!$T$16:$T$515,"*廃止")</f>
        <v>0</v>
      </c>
      <c r="P79" s="328">
        <f>COUNTIFS('様式2-2(実績排出量）'!$B$16:$B$515,$A79,'様式2-2(実績排出量）'!$H$16:$H$515,"マイクロバス",'様式2-2(実績排出量）'!$J$16:$J$515,"&gt;2500",'様式2-2(実績排出量）'!$J$16:$J$515,"&lt;=3500",'様式2-2(実績排出量）'!$T$16:$T$515,"*廃止")</f>
        <v>0</v>
      </c>
      <c r="Q79" s="328">
        <f>COUNTIFS('様式2-2(実績排出量）'!$B$16:$B$515,$A79,'様式2-2(実績排出量）'!$H$16:$H$515,"マイクロバス",'様式2-2(実績排出量）'!$J$16:$J$515,"&gt;3500",'様式2-2(実績排出量）'!$T$16:$T$515,"*廃止")</f>
        <v>0</v>
      </c>
      <c r="R79" s="328">
        <f>COUNTIFS('様式2-2(実績排出量）'!$B$16:$B$515,$A79,'様式2-2(実績排出量）'!$H$16:$H$515,"特種車*",'様式2-2(実績排出量）'!$J$16:$J$515,"&lt;=1700",'様式2-2(実績排出量）'!$T$16:$T$515,"*廃止")</f>
        <v>0</v>
      </c>
      <c r="S79" s="328">
        <f>COUNTIFS('様式2-2(実績排出量）'!$B$16:$B$515,$A79,'様式2-2(実績排出量）'!$H$16:$H$515,"特種車*",'様式2-2(実績排出量）'!$J$16:$J$515,"&gt;1700",'様式2-2(実績排出量）'!$J$16:$J$515,"&lt;=2500",'様式2-2(実績排出量）'!$T$16:$T$515,"*廃止")</f>
        <v>0</v>
      </c>
      <c r="T79" s="328">
        <f>COUNTIFS('様式2-2(実績排出量）'!$B$16:$B$515,$A79,'様式2-2(実績排出量）'!$H$16:$H$515,"特種車*",'様式2-2(実績排出量）'!$J$16:$J$515,"&gt;2500",'様式2-2(実績排出量）'!$J$16:$J$515,"&lt;=3500",'様式2-2(実績排出量）'!$T$16:$T$515,"*廃止")</f>
        <v>0</v>
      </c>
      <c r="U79" s="328">
        <f>COUNTIFS('様式2-2(実績排出量）'!$B$16:$B$515,$A79,'様式2-2(実績排出量）'!$H$16:$H$515,"特種車*",'様式2-2(実績排出量）'!$J$16:$J$515,"&gt;3500",'様式2-2(実績排出量）'!$T$16:$T$515,"*廃止")</f>
        <v>0</v>
      </c>
      <c r="V79" s="328">
        <f>COUNTIFS('様式2-2(実績排出量）'!$B$16:$B$515,$A79,'様式2-2(実績排出量）'!$H$16:$H$515,"乗用車*",'様式2-2(実績排出量）'!$T$16:$T$515,"*廃止")</f>
        <v>0</v>
      </c>
      <c r="W79" s="327"/>
    </row>
    <row r="80" spans="1:23" ht="13.75" hidden="1" customHeight="1">
      <c r="A80" s="157">
        <v>10</v>
      </c>
      <c r="B80" s="327">
        <f>COUNTIFS('様式2-2(実績排出量）'!$B$16:$B$515,$A80,'様式2-2(実績排出量）'!$H$16:$H$515,"普通貨物車",'様式2-2(実績排出量）'!$J$16:$J$515,"&lt;=1700",'様式2-2(実績排出量）'!$T$16:$T$515,"*廃止")</f>
        <v>0</v>
      </c>
      <c r="C80" s="327">
        <f>COUNTIFS('様式2-2(実績排出量）'!$B$16:$B$515,$A80,'様式2-2(実績排出量）'!$H$16:$H$515,"普通貨物車",'様式2-2(実績排出量）'!$J$16:$J$515,"&gt;1700",'様式2-2(実績排出量）'!$J$16:$J$515,"&lt;=2500",'様式2-2(実績排出量）'!$T$16:$T$515,"*廃止")</f>
        <v>0</v>
      </c>
      <c r="D80" s="327">
        <f>COUNTIFS('様式2-2(実績排出量）'!$B$16:$B$515,$A80,'様式2-2(実績排出量）'!$H$16:$H$515,"普通貨物車",'様式2-2(実績排出量）'!$J$16:$J$515,"&gt;2500",'様式2-2(実績排出量）'!$J$16:$J$515,"&lt;=3500",'様式2-2(実績排出量）'!$T$16:$T$515,"*廃止")</f>
        <v>0</v>
      </c>
      <c r="E80" s="327">
        <f>COUNTIFS('様式2-2(実績排出量）'!$B$16:$B$515,$A80,'様式2-2(実績排出量）'!$H$16:$H$515,"普通貨物車",'様式2-2(実績排出量）'!$J$16:$J$515,"&gt;3500",'様式2-2(実績排出量）'!$T$16:$T$515,"*廃止")</f>
        <v>0</v>
      </c>
      <c r="F80" s="328">
        <f>COUNTIFS('様式2-2(実績排出量）'!$B$16:$B$515,$A80,'様式2-2(実績排出量）'!$H$16:$H$515,"小型貨物車",'様式2-2(実績排出量）'!$J$16:$J$515,"&lt;=1700",'様式2-2(実績排出量）'!$T$16:$T$515,"*廃止")</f>
        <v>0</v>
      </c>
      <c r="G80" s="328">
        <f>COUNTIFS('様式2-2(実績排出量）'!$B$16:$B$515,$A80,'様式2-2(実績排出量）'!$H$16:$H$515,"小型貨物車",'様式2-2(実績排出量）'!$J$16:$J$515,"&gt;1700",'様式2-2(実績排出量）'!$J$16:$J$515,"&lt;=2500",'様式2-2(実績排出量）'!$T$16:$T$515,"*廃止")</f>
        <v>0</v>
      </c>
      <c r="H80" s="328">
        <f>COUNTIFS('様式2-2(実績排出量）'!$B$16:$B$515,$A80,'様式2-2(実績排出量）'!$H$16:$H$515,"小型貨物車",'様式2-2(実績排出量）'!$J$16:$J$515,"&gt;2500",'様式2-2(実績排出量）'!$J$16:$J$515,"&lt;=3500",'様式2-2(実績排出量）'!$T$16:$T$515,"*廃止")</f>
        <v>0</v>
      </c>
      <c r="I80" s="328">
        <f>COUNTIFS('様式2-2(実績排出量）'!$B$16:$B$515,$A80,'様式2-2(実績排出量）'!$H$16:$H$515,"小型貨物車",'様式2-2(実績排出量）'!$J$16:$J$515,"&gt;3500",'様式2-2(実績排出量）'!$T$16:$T$515,"*廃止")</f>
        <v>0</v>
      </c>
      <c r="J80" s="328">
        <f>COUNTIFS('様式2-2(実績排出量）'!$B$16:$B$515,$A80,'様式2-2(実績排出量）'!$H$16:$H$515,"大型バス",'様式2-2(実績排出量）'!$J$16:$J$515,"&lt;=1700",'様式2-2(実績排出量）'!$T$16:$T$515,"*廃止")</f>
        <v>0</v>
      </c>
      <c r="K80" s="328">
        <f>COUNTIFS('様式2-2(実績排出量）'!$B$16:$B$515,$A80,'様式2-2(実績排出量）'!$H$16:$H$515,"大型バス",'様式2-2(実績排出量）'!$J$16:$J$515,"&gt;1700",'様式2-2(実績排出量）'!$J$16:$J$515,"&lt;=2500",'様式2-2(実績排出量）'!$T$16:$T$515,"*廃止")</f>
        <v>0</v>
      </c>
      <c r="L80" s="328">
        <f>COUNTIFS('様式2-2(実績排出量）'!$B$16:$B$515,$A80,'様式2-2(実績排出量）'!$H$16:$H$515,"大型バス",'様式2-2(実績排出量）'!$J$16:$J$515,"&gt;2500",'様式2-2(実績排出量）'!$J$16:$J$515,"&lt;=3500",'様式2-2(実績排出量）'!$T$16:$T$515,"*廃止")</f>
        <v>0</v>
      </c>
      <c r="M80" s="328">
        <f>COUNTIFS('様式2-2(実績排出量）'!$B$16:$B$515,$A80,'様式2-2(実績排出量）'!$H$16:$H$515,"大型バス",'様式2-2(実績排出量）'!$J$16:$J$515,"&gt;3500",'様式2-2(実績排出量）'!$T$16:$T$515,"*廃止")</f>
        <v>0</v>
      </c>
      <c r="N80" s="328">
        <f>COUNTIFS('様式2-2(実績排出量）'!$B$16:$B$515,$A80,'様式2-2(実績排出量）'!$H$16:$H$515,"マイクロバス",'様式2-2(実績排出量）'!$J$16:$J$515,"&lt;=1700",'様式2-2(実績排出量）'!$T$16:$T$515,"*廃止")</f>
        <v>0</v>
      </c>
      <c r="O80" s="328">
        <f>COUNTIFS('様式2-2(実績排出量）'!$B$16:$B$515,$A80,'様式2-2(実績排出量）'!$H$16:$H$515,"マイクロバス",'様式2-2(実績排出量）'!$J$16:$J$515,"&gt;1700",'様式2-2(実績排出量）'!$J$16:$J$515,"&lt;=2500",'様式2-2(実績排出量）'!$T$16:$T$515,"*廃止")</f>
        <v>0</v>
      </c>
      <c r="P80" s="328">
        <f>COUNTIFS('様式2-2(実績排出量）'!$B$16:$B$515,$A80,'様式2-2(実績排出量）'!$H$16:$H$515,"マイクロバス",'様式2-2(実績排出量）'!$J$16:$J$515,"&gt;2500",'様式2-2(実績排出量）'!$J$16:$J$515,"&lt;=3500",'様式2-2(実績排出量）'!$T$16:$T$515,"*廃止")</f>
        <v>0</v>
      </c>
      <c r="Q80" s="328">
        <f>COUNTIFS('様式2-2(実績排出量）'!$B$16:$B$515,$A80,'様式2-2(実績排出量）'!$H$16:$H$515,"マイクロバス",'様式2-2(実績排出量）'!$J$16:$J$515,"&gt;3500",'様式2-2(実績排出量）'!$T$16:$T$515,"*廃止")</f>
        <v>0</v>
      </c>
      <c r="R80" s="328">
        <f>COUNTIFS('様式2-2(実績排出量）'!$B$16:$B$515,$A80,'様式2-2(実績排出量）'!$H$16:$H$515,"特種車*",'様式2-2(実績排出量）'!$J$16:$J$515,"&lt;=1700",'様式2-2(実績排出量）'!$T$16:$T$515,"*廃止")</f>
        <v>0</v>
      </c>
      <c r="S80" s="328">
        <f>COUNTIFS('様式2-2(実績排出量）'!$B$16:$B$515,$A80,'様式2-2(実績排出量）'!$H$16:$H$515,"特種車*",'様式2-2(実績排出量）'!$J$16:$J$515,"&gt;1700",'様式2-2(実績排出量）'!$J$16:$J$515,"&lt;=2500",'様式2-2(実績排出量）'!$T$16:$T$515,"*廃止")</f>
        <v>0</v>
      </c>
      <c r="T80" s="328">
        <f>COUNTIFS('様式2-2(実績排出量）'!$B$16:$B$515,$A80,'様式2-2(実績排出量）'!$H$16:$H$515,"特種車*",'様式2-2(実績排出量）'!$J$16:$J$515,"&gt;2500",'様式2-2(実績排出量）'!$J$16:$J$515,"&lt;=3500",'様式2-2(実績排出量）'!$T$16:$T$515,"*廃止")</f>
        <v>0</v>
      </c>
      <c r="U80" s="328">
        <f>COUNTIFS('様式2-2(実績排出量）'!$B$16:$B$515,$A80,'様式2-2(実績排出量）'!$H$16:$H$515,"特種車*",'様式2-2(実績排出量）'!$J$16:$J$515,"&gt;3500",'様式2-2(実績排出量）'!$T$16:$T$515,"*廃止")</f>
        <v>0</v>
      </c>
      <c r="V80" s="328">
        <f>COUNTIFS('様式2-2(実績排出量）'!$B$16:$B$515,$A80,'様式2-2(実績排出量）'!$H$16:$H$515,"乗用車*",'様式2-2(実績排出量）'!$T$16:$T$515,"*廃止")</f>
        <v>0</v>
      </c>
      <c r="W80" s="327"/>
    </row>
    <row r="81" spans="1:23" ht="13.75" hidden="1" customHeight="1">
      <c r="A81" s="157">
        <v>11</v>
      </c>
      <c r="B81" s="327">
        <f>COUNTIFS('様式2-2(実績排出量）'!$B$16:$B$515,$A81,'様式2-2(実績排出量）'!$H$16:$H$515,"普通貨物車",'様式2-2(実績排出量）'!$J$16:$J$515,"&lt;=1700",'様式2-2(実績排出量）'!$T$16:$T$515,"*廃止")</f>
        <v>0</v>
      </c>
      <c r="C81" s="327">
        <f>COUNTIFS('様式2-2(実績排出量）'!$B$16:$B$515,$A81,'様式2-2(実績排出量）'!$H$16:$H$515,"普通貨物車",'様式2-2(実績排出量）'!$J$16:$J$515,"&gt;1700",'様式2-2(実績排出量）'!$J$16:$J$515,"&lt;=2500",'様式2-2(実績排出量）'!$T$16:$T$515,"*廃止")</f>
        <v>0</v>
      </c>
      <c r="D81" s="327">
        <f>COUNTIFS('様式2-2(実績排出量）'!$B$16:$B$515,$A81,'様式2-2(実績排出量）'!$H$16:$H$515,"普通貨物車",'様式2-2(実績排出量）'!$J$16:$J$515,"&gt;2500",'様式2-2(実績排出量）'!$J$16:$J$515,"&lt;=3500",'様式2-2(実績排出量）'!$T$16:$T$515,"*廃止")</f>
        <v>0</v>
      </c>
      <c r="E81" s="327">
        <f>COUNTIFS('様式2-2(実績排出量）'!$B$16:$B$515,$A81,'様式2-2(実績排出量）'!$H$16:$H$515,"普通貨物車",'様式2-2(実績排出量）'!$J$16:$J$515,"&gt;3500",'様式2-2(実績排出量）'!$T$16:$T$515,"*廃止")</f>
        <v>0</v>
      </c>
      <c r="F81" s="328">
        <f>COUNTIFS('様式2-2(実績排出量）'!$B$16:$B$515,$A81,'様式2-2(実績排出量）'!$H$16:$H$515,"小型貨物車",'様式2-2(実績排出量）'!$J$16:$J$515,"&lt;=1700",'様式2-2(実績排出量）'!$T$16:$T$515,"*廃止")</f>
        <v>0</v>
      </c>
      <c r="G81" s="328">
        <f>COUNTIFS('様式2-2(実績排出量）'!$B$16:$B$515,$A81,'様式2-2(実績排出量）'!$H$16:$H$515,"小型貨物車",'様式2-2(実績排出量）'!$J$16:$J$515,"&gt;1700",'様式2-2(実績排出量）'!$J$16:$J$515,"&lt;=2500",'様式2-2(実績排出量）'!$T$16:$T$515,"*廃止")</f>
        <v>0</v>
      </c>
      <c r="H81" s="328">
        <f>COUNTIFS('様式2-2(実績排出量）'!$B$16:$B$515,$A81,'様式2-2(実績排出量）'!$H$16:$H$515,"小型貨物車",'様式2-2(実績排出量）'!$J$16:$J$515,"&gt;2500",'様式2-2(実績排出量）'!$J$16:$J$515,"&lt;=3500",'様式2-2(実績排出量）'!$T$16:$T$515,"*廃止")</f>
        <v>0</v>
      </c>
      <c r="I81" s="328">
        <f>COUNTIFS('様式2-2(実績排出量）'!$B$16:$B$515,$A81,'様式2-2(実績排出量）'!$H$16:$H$515,"小型貨物車",'様式2-2(実績排出量）'!$J$16:$J$515,"&gt;3500",'様式2-2(実績排出量）'!$T$16:$T$515,"*廃止")</f>
        <v>0</v>
      </c>
      <c r="J81" s="328">
        <f>COUNTIFS('様式2-2(実績排出量）'!$B$16:$B$515,$A81,'様式2-2(実績排出量）'!$H$16:$H$515,"大型バス",'様式2-2(実績排出量）'!$J$16:$J$515,"&lt;=1700",'様式2-2(実績排出量）'!$T$16:$T$515,"*廃止")</f>
        <v>0</v>
      </c>
      <c r="K81" s="328">
        <f>COUNTIFS('様式2-2(実績排出量）'!$B$16:$B$515,$A81,'様式2-2(実績排出量）'!$H$16:$H$515,"大型バス",'様式2-2(実績排出量）'!$J$16:$J$515,"&gt;1700",'様式2-2(実績排出量）'!$J$16:$J$515,"&lt;=2500",'様式2-2(実績排出量）'!$T$16:$T$515,"*廃止")</f>
        <v>0</v>
      </c>
      <c r="L81" s="328">
        <f>COUNTIFS('様式2-2(実績排出量）'!$B$16:$B$515,$A81,'様式2-2(実績排出量）'!$H$16:$H$515,"大型バス",'様式2-2(実績排出量）'!$J$16:$J$515,"&gt;2500",'様式2-2(実績排出量）'!$J$16:$J$515,"&lt;=3500",'様式2-2(実績排出量）'!$T$16:$T$515,"*廃止")</f>
        <v>0</v>
      </c>
      <c r="M81" s="328">
        <f>COUNTIFS('様式2-2(実績排出量）'!$B$16:$B$515,$A81,'様式2-2(実績排出量）'!$H$16:$H$515,"大型バス",'様式2-2(実績排出量）'!$J$16:$J$515,"&gt;3500",'様式2-2(実績排出量）'!$T$16:$T$515,"*廃止")</f>
        <v>0</v>
      </c>
      <c r="N81" s="328">
        <f>COUNTIFS('様式2-2(実績排出量）'!$B$16:$B$515,$A81,'様式2-2(実績排出量）'!$H$16:$H$515,"マイクロバス",'様式2-2(実績排出量）'!$J$16:$J$515,"&lt;=1700",'様式2-2(実績排出量）'!$T$16:$T$515,"*廃止")</f>
        <v>0</v>
      </c>
      <c r="O81" s="328">
        <f>COUNTIFS('様式2-2(実績排出量）'!$B$16:$B$515,$A81,'様式2-2(実績排出量）'!$H$16:$H$515,"マイクロバス",'様式2-2(実績排出量）'!$J$16:$J$515,"&gt;1700",'様式2-2(実績排出量）'!$J$16:$J$515,"&lt;=2500",'様式2-2(実績排出量）'!$T$16:$T$515,"*廃止")</f>
        <v>0</v>
      </c>
      <c r="P81" s="328">
        <f>COUNTIFS('様式2-2(実績排出量）'!$B$16:$B$515,$A81,'様式2-2(実績排出量）'!$H$16:$H$515,"マイクロバス",'様式2-2(実績排出量）'!$J$16:$J$515,"&gt;2500",'様式2-2(実績排出量）'!$J$16:$J$515,"&lt;=3500",'様式2-2(実績排出量）'!$T$16:$T$515,"*廃止")</f>
        <v>0</v>
      </c>
      <c r="Q81" s="328">
        <f>COUNTIFS('様式2-2(実績排出量）'!$B$16:$B$515,$A81,'様式2-2(実績排出量）'!$H$16:$H$515,"マイクロバス",'様式2-2(実績排出量）'!$J$16:$J$515,"&gt;3500",'様式2-2(実績排出量）'!$T$16:$T$515,"*廃止")</f>
        <v>0</v>
      </c>
      <c r="R81" s="328">
        <f>COUNTIFS('様式2-2(実績排出量）'!$B$16:$B$515,$A81,'様式2-2(実績排出量）'!$H$16:$H$515,"特種車*",'様式2-2(実績排出量）'!$J$16:$J$515,"&lt;=1700",'様式2-2(実績排出量）'!$T$16:$T$515,"*廃止")</f>
        <v>0</v>
      </c>
      <c r="S81" s="328">
        <f>COUNTIFS('様式2-2(実績排出量）'!$B$16:$B$515,$A81,'様式2-2(実績排出量）'!$H$16:$H$515,"特種車*",'様式2-2(実績排出量）'!$J$16:$J$515,"&gt;1700",'様式2-2(実績排出量）'!$J$16:$J$515,"&lt;=2500",'様式2-2(実績排出量）'!$T$16:$T$515,"*廃止")</f>
        <v>0</v>
      </c>
      <c r="T81" s="328">
        <f>COUNTIFS('様式2-2(実績排出量）'!$B$16:$B$515,$A81,'様式2-2(実績排出量）'!$H$16:$H$515,"特種車*",'様式2-2(実績排出量）'!$J$16:$J$515,"&gt;2500",'様式2-2(実績排出量）'!$J$16:$J$515,"&lt;=3500",'様式2-2(実績排出量）'!$T$16:$T$515,"*廃止")</f>
        <v>0</v>
      </c>
      <c r="U81" s="328">
        <f>COUNTIFS('様式2-2(実績排出量）'!$B$16:$B$515,$A81,'様式2-2(実績排出量）'!$H$16:$H$515,"特種車*",'様式2-2(実績排出量）'!$J$16:$J$515,"&gt;3500",'様式2-2(実績排出量）'!$T$16:$T$515,"*廃止")</f>
        <v>0</v>
      </c>
      <c r="V81" s="328">
        <f>COUNTIFS('様式2-2(実績排出量）'!$B$16:$B$515,$A81,'様式2-2(実績排出量）'!$H$16:$H$515,"乗用車*",'様式2-2(実績排出量）'!$T$16:$T$515,"*廃止")</f>
        <v>0</v>
      </c>
      <c r="W81" s="327"/>
    </row>
    <row r="82" spans="1:23" ht="13.75" hidden="1" customHeight="1">
      <c r="A82" s="157">
        <v>12</v>
      </c>
      <c r="B82" s="327">
        <f>COUNTIFS('様式2-2(実績排出量）'!$B$16:$B$515,$A82,'様式2-2(実績排出量）'!$H$16:$H$515,"普通貨物車",'様式2-2(実績排出量）'!$J$16:$J$515,"&lt;=1700",'様式2-2(実績排出量）'!$T$16:$T$515,"*廃止")</f>
        <v>0</v>
      </c>
      <c r="C82" s="327">
        <f>COUNTIFS('様式2-2(実績排出量）'!$B$16:$B$515,$A82,'様式2-2(実績排出量）'!$H$16:$H$515,"普通貨物車",'様式2-2(実績排出量）'!$J$16:$J$515,"&gt;1700",'様式2-2(実績排出量）'!$J$16:$J$515,"&lt;=2500",'様式2-2(実績排出量）'!$T$16:$T$515,"*廃止")</f>
        <v>0</v>
      </c>
      <c r="D82" s="327">
        <f>COUNTIFS('様式2-2(実績排出量）'!$B$16:$B$515,$A82,'様式2-2(実績排出量）'!$H$16:$H$515,"普通貨物車",'様式2-2(実績排出量）'!$J$16:$J$515,"&gt;2500",'様式2-2(実績排出量）'!$J$16:$J$515,"&lt;=3500",'様式2-2(実績排出量）'!$T$16:$T$515,"*廃止")</f>
        <v>0</v>
      </c>
      <c r="E82" s="327">
        <f>COUNTIFS('様式2-2(実績排出量）'!$B$16:$B$515,$A82,'様式2-2(実績排出量）'!$H$16:$H$515,"普通貨物車",'様式2-2(実績排出量）'!$J$16:$J$515,"&gt;3500",'様式2-2(実績排出量）'!$T$16:$T$515,"*廃止")</f>
        <v>0</v>
      </c>
      <c r="F82" s="328">
        <f>COUNTIFS('様式2-2(実績排出量）'!$B$16:$B$515,$A82,'様式2-2(実績排出量）'!$H$16:$H$515,"小型貨物車",'様式2-2(実績排出量）'!$J$16:$J$515,"&lt;=1700",'様式2-2(実績排出量）'!$T$16:$T$515,"*廃止")</f>
        <v>0</v>
      </c>
      <c r="G82" s="328">
        <f>COUNTIFS('様式2-2(実績排出量）'!$B$16:$B$515,$A82,'様式2-2(実績排出量）'!$H$16:$H$515,"小型貨物車",'様式2-2(実績排出量）'!$J$16:$J$515,"&gt;1700",'様式2-2(実績排出量）'!$J$16:$J$515,"&lt;=2500",'様式2-2(実績排出量）'!$T$16:$T$515,"*廃止")</f>
        <v>0</v>
      </c>
      <c r="H82" s="328">
        <f>COUNTIFS('様式2-2(実績排出量）'!$B$16:$B$515,$A82,'様式2-2(実績排出量）'!$H$16:$H$515,"小型貨物車",'様式2-2(実績排出量）'!$J$16:$J$515,"&gt;2500",'様式2-2(実績排出量）'!$J$16:$J$515,"&lt;=3500",'様式2-2(実績排出量）'!$T$16:$T$515,"*廃止")</f>
        <v>0</v>
      </c>
      <c r="I82" s="328">
        <f>COUNTIFS('様式2-2(実績排出量）'!$B$16:$B$515,$A82,'様式2-2(実績排出量）'!$H$16:$H$515,"小型貨物車",'様式2-2(実績排出量）'!$J$16:$J$515,"&gt;3500",'様式2-2(実績排出量）'!$T$16:$T$515,"*廃止")</f>
        <v>0</v>
      </c>
      <c r="J82" s="328">
        <f>COUNTIFS('様式2-2(実績排出量）'!$B$16:$B$515,$A82,'様式2-2(実績排出量）'!$H$16:$H$515,"大型バス",'様式2-2(実績排出量）'!$J$16:$J$515,"&lt;=1700",'様式2-2(実績排出量）'!$T$16:$T$515,"*廃止")</f>
        <v>0</v>
      </c>
      <c r="K82" s="328">
        <f>COUNTIFS('様式2-2(実績排出量）'!$B$16:$B$515,$A82,'様式2-2(実績排出量）'!$H$16:$H$515,"大型バス",'様式2-2(実績排出量）'!$J$16:$J$515,"&gt;1700",'様式2-2(実績排出量）'!$J$16:$J$515,"&lt;=2500",'様式2-2(実績排出量）'!$T$16:$T$515,"*廃止")</f>
        <v>0</v>
      </c>
      <c r="L82" s="328">
        <f>COUNTIFS('様式2-2(実績排出量）'!$B$16:$B$515,$A82,'様式2-2(実績排出量）'!$H$16:$H$515,"大型バス",'様式2-2(実績排出量）'!$J$16:$J$515,"&gt;2500",'様式2-2(実績排出量）'!$J$16:$J$515,"&lt;=3500",'様式2-2(実績排出量）'!$T$16:$T$515,"*廃止")</f>
        <v>0</v>
      </c>
      <c r="M82" s="328">
        <f>COUNTIFS('様式2-2(実績排出量）'!$B$16:$B$515,$A82,'様式2-2(実績排出量）'!$H$16:$H$515,"大型バス",'様式2-2(実績排出量）'!$J$16:$J$515,"&gt;3500",'様式2-2(実績排出量）'!$T$16:$T$515,"*廃止")</f>
        <v>0</v>
      </c>
      <c r="N82" s="328">
        <f>COUNTIFS('様式2-2(実績排出量）'!$B$16:$B$515,$A82,'様式2-2(実績排出量）'!$H$16:$H$515,"マイクロバス",'様式2-2(実績排出量）'!$J$16:$J$515,"&lt;=1700",'様式2-2(実績排出量）'!$T$16:$T$515,"*廃止")</f>
        <v>0</v>
      </c>
      <c r="O82" s="328">
        <f>COUNTIFS('様式2-2(実績排出量）'!$B$16:$B$515,$A82,'様式2-2(実績排出量）'!$H$16:$H$515,"マイクロバス",'様式2-2(実績排出量）'!$J$16:$J$515,"&gt;1700",'様式2-2(実績排出量）'!$J$16:$J$515,"&lt;=2500",'様式2-2(実績排出量）'!$T$16:$T$515,"*廃止")</f>
        <v>0</v>
      </c>
      <c r="P82" s="328">
        <f>COUNTIFS('様式2-2(実績排出量）'!$B$16:$B$515,$A82,'様式2-2(実績排出量）'!$H$16:$H$515,"マイクロバス",'様式2-2(実績排出量）'!$J$16:$J$515,"&gt;2500",'様式2-2(実績排出量）'!$J$16:$J$515,"&lt;=3500",'様式2-2(実績排出量）'!$T$16:$T$515,"*廃止")</f>
        <v>0</v>
      </c>
      <c r="Q82" s="328">
        <f>COUNTIFS('様式2-2(実績排出量）'!$B$16:$B$515,$A82,'様式2-2(実績排出量）'!$H$16:$H$515,"マイクロバス",'様式2-2(実績排出量）'!$J$16:$J$515,"&gt;3500",'様式2-2(実績排出量）'!$T$16:$T$515,"*廃止")</f>
        <v>0</v>
      </c>
      <c r="R82" s="328">
        <f>COUNTIFS('様式2-2(実績排出量）'!$B$16:$B$515,$A82,'様式2-2(実績排出量）'!$H$16:$H$515,"特種車*",'様式2-2(実績排出量）'!$J$16:$J$515,"&lt;=1700",'様式2-2(実績排出量）'!$T$16:$T$515,"*廃止")</f>
        <v>0</v>
      </c>
      <c r="S82" s="328">
        <f>COUNTIFS('様式2-2(実績排出量）'!$B$16:$B$515,$A82,'様式2-2(実績排出量）'!$H$16:$H$515,"特種車*",'様式2-2(実績排出量）'!$J$16:$J$515,"&gt;1700",'様式2-2(実績排出量）'!$J$16:$J$515,"&lt;=2500",'様式2-2(実績排出量）'!$T$16:$T$515,"*廃止")</f>
        <v>0</v>
      </c>
      <c r="T82" s="328">
        <f>COUNTIFS('様式2-2(実績排出量）'!$B$16:$B$515,$A82,'様式2-2(実績排出量）'!$H$16:$H$515,"特種車*",'様式2-2(実績排出量）'!$J$16:$J$515,"&gt;2500",'様式2-2(実績排出量）'!$J$16:$J$515,"&lt;=3500",'様式2-2(実績排出量）'!$T$16:$T$515,"*廃止")</f>
        <v>0</v>
      </c>
      <c r="U82" s="328">
        <f>COUNTIFS('様式2-2(実績排出量）'!$B$16:$B$515,$A82,'様式2-2(実績排出量）'!$H$16:$H$515,"特種車*",'様式2-2(実績排出量）'!$J$16:$J$515,"&gt;3500",'様式2-2(実績排出量）'!$T$16:$T$515,"*廃止")</f>
        <v>0</v>
      </c>
      <c r="V82" s="328">
        <f>COUNTIFS('様式2-2(実績排出量）'!$B$16:$B$515,$A82,'様式2-2(実績排出量）'!$H$16:$H$515,"乗用車*",'様式2-2(実績排出量）'!$T$16:$T$515,"*廃止")</f>
        <v>0</v>
      </c>
      <c r="W82" s="327"/>
    </row>
    <row r="83" spans="1:23" ht="13.75" hidden="1" customHeight="1">
      <c r="A83" s="157">
        <v>13</v>
      </c>
      <c r="B83" s="327">
        <f>COUNTIFS('様式2-2(実績排出量）'!$B$16:$B$515,$A83,'様式2-2(実績排出量）'!$H$16:$H$515,"普通貨物車",'様式2-2(実績排出量）'!$J$16:$J$515,"&lt;=1700",'様式2-2(実績排出量）'!$T$16:$T$515,"*廃止")</f>
        <v>0</v>
      </c>
      <c r="C83" s="327">
        <f>COUNTIFS('様式2-2(実績排出量）'!$B$16:$B$515,$A83,'様式2-2(実績排出量）'!$H$16:$H$515,"普通貨物車",'様式2-2(実績排出量）'!$J$16:$J$515,"&gt;1700",'様式2-2(実績排出量）'!$J$16:$J$515,"&lt;=2500",'様式2-2(実績排出量）'!$T$16:$T$515,"*廃止")</f>
        <v>0</v>
      </c>
      <c r="D83" s="327">
        <f>COUNTIFS('様式2-2(実績排出量）'!$B$16:$B$515,$A83,'様式2-2(実績排出量）'!$H$16:$H$515,"普通貨物車",'様式2-2(実績排出量）'!$J$16:$J$515,"&gt;2500",'様式2-2(実績排出量）'!$J$16:$J$515,"&lt;=3500",'様式2-2(実績排出量）'!$T$16:$T$515,"*廃止")</f>
        <v>0</v>
      </c>
      <c r="E83" s="327">
        <f>COUNTIFS('様式2-2(実績排出量）'!$B$16:$B$515,$A83,'様式2-2(実績排出量）'!$H$16:$H$515,"普通貨物車",'様式2-2(実績排出量）'!$J$16:$J$515,"&gt;3500",'様式2-2(実績排出量）'!$T$16:$T$515,"*廃止")</f>
        <v>0</v>
      </c>
      <c r="F83" s="328">
        <f>COUNTIFS('様式2-2(実績排出量）'!$B$16:$B$515,$A83,'様式2-2(実績排出量）'!$H$16:$H$515,"小型貨物車",'様式2-2(実績排出量）'!$J$16:$J$515,"&lt;=1700",'様式2-2(実績排出量）'!$T$16:$T$515,"*廃止")</f>
        <v>0</v>
      </c>
      <c r="G83" s="328">
        <f>COUNTIFS('様式2-2(実績排出量）'!$B$16:$B$515,$A83,'様式2-2(実績排出量）'!$H$16:$H$515,"小型貨物車",'様式2-2(実績排出量）'!$J$16:$J$515,"&gt;1700",'様式2-2(実績排出量）'!$J$16:$J$515,"&lt;=2500",'様式2-2(実績排出量）'!$T$16:$T$515,"*廃止")</f>
        <v>0</v>
      </c>
      <c r="H83" s="328">
        <f>COUNTIFS('様式2-2(実績排出量）'!$B$16:$B$515,$A83,'様式2-2(実績排出量）'!$H$16:$H$515,"小型貨物車",'様式2-2(実績排出量）'!$J$16:$J$515,"&gt;2500",'様式2-2(実績排出量）'!$J$16:$J$515,"&lt;=3500",'様式2-2(実績排出量）'!$T$16:$T$515,"*廃止")</f>
        <v>0</v>
      </c>
      <c r="I83" s="328">
        <f>COUNTIFS('様式2-2(実績排出量）'!$B$16:$B$515,$A83,'様式2-2(実績排出量）'!$H$16:$H$515,"小型貨物車",'様式2-2(実績排出量）'!$J$16:$J$515,"&gt;3500",'様式2-2(実績排出量）'!$T$16:$T$515,"*廃止")</f>
        <v>0</v>
      </c>
      <c r="J83" s="328">
        <f>COUNTIFS('様式2-2(実績排出量）'!$B$16:$B$515,$A83,'様式2-2(実績排出量）'!$H$16:$H$515,"大型バス",'様式2-2(実績排出量）'!$J$16:$J$515,"&lt;=1700",'様式2-2(実績排出量）'!$T$16:$T$515,"*廃止")</f>
        <v>0</v>
      </c>
      <c r="K83" s="328">
        <f>COUNTIFS('様式2-2(実績排出量）'!$B$16:$B$515,$A83,'様式2-2(実績排出量）'!$H$16:$H$515,"大型バス",'様式2-2(実績排出量）'!$J$16:$J$515,"&gt;1700",'様式2-2(実績排出量）'!$J$16:$J$515,"&lt;=2500",'様式2-2(実績排出量）'!$T$16:$T$515,"*廃止")</f>
        <v>0</v>
      </c>
      <c r="L83" s="328">
        <f>COUNTIFS('様式2-2(実績排出量）'!$B$16:$B$515,$A83,'様式2-2(実績排出量）'!$H$16:$H$515,"大型バス",'様式2-2(実績排出量）'!$J$16:$J$515,"&gt;2500",'様式2-2(実績排出量）'!$J$16:$J$515,"&lt;=3500",'様式2-2(実績排出量）'!$T$16:$T$515,"*廃止")</f>
        <v>0</v>
      </c>
      <c r="M83" s="328">
        <f>COUNTIFS('様式2-2(実績排出量）'!$B$16:$B$515,$A83,'様式2-2(実績排出量）'!$H$16:$H$515,"大型バス",'様式2-2(実績排出量）'!$J$16:$J$515,"&gt;3500",'様式2-2(実績排出量）'!$T$16:$T$515,"*廃止")</f>
        <v>0</v>
      </c>
      <c r="N83" s="328">
        <f>COUNTIFS('様式2-2(実績排出量）'!$B$16:$B$515,$A83,'様式2-2(実績排出量）'!$H$16:$H$515,"マイクロバス",'様式2-2(実績排出量）'!$J$16:$J$515,"&lt;=1700",'様式2-2(実績排出量）'!$T$16:$T$515,"*廃止")</f>
        <v>0</v>
      </c>
      <c r="O83" s="328">
        <f>COUNTIFS('様式2-2(実績排出量）'!$B$16:$B$515,$A83,'様式2-2(実績排出量）'!$H$16:$H$515,"マイクロバス",'様式2-2(実績排出量）'!$J$16:$J$515,"&gt;1700",'様式2-2(実績排出量）'!$J$16:$J$515,"&lt;=2500",'様式2-2(実績排出量）'!$T$16:$T$515,"*廃止")</f>
        <v>0</v>
      </c>
      <c r="P83" s="328">
        <f>COUNTIFS('様式2-2(実績排出量）'!$B$16:$B$515,$A83,'様式2-2(実績排出量）'!$H$16:$H$515,"マイクロバス",'様式2-2(実績排出量）'!$J$16:$J$515,"&gt;2500",'様式2-2(実績排出量）'!$J$16:$J$515,"&lt;=3500",'様式2-2(実績排出量）'!$T$16:$T$515,"*廃止")</f>
        <v>0</v>
      </c>
      <c r="Q83" s="328">
        <f>COUNTIFS('様式2-2(実績排出量）'!$B$16:$B$515,$A83,'様式2-2(実績排出量）'!$H$16:$H$515,"マイクロバス",'様式2-2(実績排出量）'!$J$16:$J$515,"&gt;3500",'様式2-2(実績排出量）'!$T$16:$T$515,"*廃止")</f>
        <v>0</v>
      </c>
      <c r="R83" s="328">
        <f>COUNTIFS('様式2-2(実績排出量）'!$B$16:$B$515,$A83,'様式2-2(実績排出量）'!$H$16:$H$515,"特種車*",'様式2-2(実績排出量）'!$J$16:$J$515,"&lt;=1700",'様式2-2(実績排出量）'!$T$16:$T$515,"*廃止")</f>
        <v>0</v>
      </c>
      <c r="S83" s="328">
        <f>COUNTIFS('様式2-2(実績排出量）'!$B$16:$B$515,$A83,'様式2-2(実績排出量）'!$H$16:$H$515,"特種車*",'様式2-2(実績排出量）'!$J$16:$J$515,"&gt;1700",'様式2-2(実績排出量）'!$J$16:$J$515,"&lt;=2500",'様式2-2(実績排出量）'!$T$16:$T$515,"*廃止")</f>
        <v>0</v>
      </c>
      <c r="T83" s="328">
        <f>COUNTIFS('様式2-2(実績排出量）'!$B$16:$B$515,$A83,'様式2-2(実績排出量）'!$H$16:$H$515,"特種車*",'様式2-2(実績排出量）'!$J$16:$J$515,"&gt;2500",'様式2-2(実績排出量）'!$J$16:$J$515,"&lt;=3500",'様式2-2(実績排出量）'!$T$16:$T$515,"*廃止")</f>
        <v>0</v>
      </c>
      <c r="U83" s="328">
        <f>COUNTIFS('様式2-2(実績排出量）'!$B$16:$B$515,$A83,'様式2-2(実績排出量）'!$H$16:$H$515,"特種車*",'様式2-2(実績排出量）'!$J$16:$J$515,"&gt;3500",'様式2-2(実績排出量）'!$T$16:$T$515,"*廃止")</f>
        <v>0</v>
      </c>
      <c r="V83" s="328">
        <f>COUNTIFS('様式2-2(実績排出量）'!$B$16:$B$515,$A83,'様式2-2(実績排出量）'!$H$16:$H$515,"乗用車*",'様式2-2(実績排出量）'!$T$16:$T$515,"*廃止")</f>
        <v>0</v>
      </c>
      <c r="W83" s="327"/>
    </row>
    <row r="84" spans="1:23" ht="13.75" hidden="1" customHeight="1">
      <c r="A84" s="157">
        <v>14</v>
      </c>
      <c r="B84" s="327">
        <f>COUNTIFS('様式2-2(実績排出量）'!$B$16:$B$515,$A84,'様式2-2(実績排出量）'!$H$16:$H$515,"普通貨物車",'様式2-2(実績排出量）'!$J$16:$J$515,"&lt;=1700",'様式2-2(実績排出量）'!$T$16:$T$515,"*廃止")</f>
        <v>0</v>
      </c>
      <c r="C84" s="327">
        <f>COUNTIFS('様式2-2(実績排出量）'!$B$16:$B$515,$A84,'様式2-2(実績排出量）'!$H$16:$H$515,"普通貨物車",'様式2-2(実績排出量）'!$J$16:$J$515,"&gt;1700",'様式2-2(実績排出量）'!$J$16:$J$515,"&lt;=2500",'様式2-2(実績排出量）'!$T$16:$T$515,"*廃止")</f>
        <v>0</v>
      </c>
      <c r="D84" s="327">
        <f>COUNTIFS('様式2-2(実績排出量）'!$B$16:$B$515,$A84,'様式2-2(実績排出量）'!$H$16:$H$515,"普通貨物車",'様式2-2(実績排出量）'!$J$16:$J$515,"&gt;2500",'様式2-2(実績排出量）'!$J$16:$J$515,"&lt;=3500",'様式2-2(実績排出量）'!$T$16:$T$515,"*廃止")</f>
        <v>0</v>
      </c>
      <c r="E84" s="327">
        <f>COUNTIFS('様式2-2(実績排出量）'!$B$16:$B$515,$A84,'様式2-2(実績排出量）'!$H$16:$H$515,"普通貨物車",'様式2-2(実績排出量）'!$J$16:$J$515,"&gt;3500",'様式2-2(実績排出量）'!$T$16:$T$515,"*廃止")</f>
        <v>0</v>
      </c>
      <c r="F84" s="328">
        <f>COUNTIFS('様式2-2(実績排出量）'!$B$16:$B$515,$A84,'様式2-2(実績排出量）'!$H$16:$H$515,"小型貨物車",'様式2-2(実績排出量）'!$J$16:$J$515,"&lt;=1700",'様式2-2(実績排出量）'!$T$16:$T$515,"*廃止")</f>
        <v>0</v>
      </c>
      <c r="G84" s="328">
        <f>COUNTIFS('様式2-2(実績排出量）'!$B$16:$B$515,$A84,'様式2-2(実績排出量）'!$H$16:$H$515,"小型貨物車",'様式2-2(実績排出量）'!$J$16:$J$515,"&gt;1700",'様式2-2(実績排出量）'!$J$16:$J$515,"&lt;=2500",'様式2-2(実績排出量）'!$T$16:$T$515,"*廃止")</f>
        <v>0</v>
      </c>
      <c r="H84" s="328">
        <f>COUNTIFS('様式2-2(実績排出量）'!$B$16:$B$515,$A84,'様式2-2(実績排出量）'!$H$16:$H$515,"小型貨物車",'様式2-2(実績排出量）'!$J$16:$J$515,"&gt;2500",'様式2-2(実績排出量）'!$J$16:$J$515,"&lt;=3500",'様式2-2(実績排出量）'!$T$16:$T$515,"*廃止")</f>
        <v>0</v>
      </c>
      <c r="I84" s="328">
        <f>COUNTIFS('様式2-2(実績排出量）'!$B$16:$B$515,$A84,'様式2-2(実績排出量）'!$H$16:$H$515,"小型貨物車",'様式2-2(実績排出量）'!$J$16:$J$515,"&gt;3500",'様式2-2(実績排出量）'!$T$16:$T$515,"*廃止")</f>
        <v>0</v>
      </c>
      <c r="J84" s="328">
        <f>COUNTIFS('様式2-2(実績排出量）'!$B$16:$B$515,$A84,'様式2-2(実績排出量）'!$H$16:$H$515,"大型バス",'様式2-2(実績排出量）'!$J$16:$J$515,"&lt;=1700",'様式2-2(実績排出量）'!$T$16:$T$515,"*廃止")</f>
        <v>0</v>
      </c>
      <c r="K84" s="328">
        <f>COUNTIFS('様式2-2(実績排出量）'!$B$16:$B$515,$A84,'様式2-2(実績排出量）'!$H$16:$H$515,"大型バス",'様式2-2(実績排出量）'!$J$16:$J$515,"&gt;1700",'様式2-2(実績排出量）'!$J$16:$J$515,"&lt;=2500",'様式2-2(実績排出量）'!$T$16:$T$515,"*廃止")</f>
        <v>0</v>
      </c>
      <c r="L84" s="328">
        <f>COUNTIFS('様式2-2(実績排出量）'!$B$16:$B$515,$A84,'様式2-2(実績排出量）'!$H$16:$H$515,"大型バス",'様式2-2(実績排出量）'!$J$16:$J$515,"&gt;2500",'様式2-2(実績排出量）'!$J$16:$J$515,"&lt;=3500",'様式2-2(実績排出量）'!$T$16:$T$515,"*廃止")</f>
        <v>0</v>
      </c>
      <c r="M84" s="328">
        <f>COUNTIFS('様式2-2(実績排出量）'!$B$16:$B$515,$A84,'様式2-2(実績排出量）'!$H$16:$H$515,"大型バス",'様式2-2(実績排出量）'!$J$16:$J$515,"&gt;3500",'様式2-2(実績排出量）'!$T$16:$T$515,"*廃止")</f>
        <v>0</v>
      </c>
      <c r="N84" s="328">
        <f>COUNTIFS('様式2-2(実績排出量）'!$B$16:$B$515,$A84,'様式2-2(実績排出量）'!$H$16:$H$515,"マイクロバス",'様式2-2(実績排出量）'!$J$16:$J$515,"&lt;=1700",'様式2-2(実績排出量）'!$T$16:$T$515,"*廃止")</f>
        <v>0</v>
      </c>
      <c r="O84" s="328">
        <f>COUNTIFS('様式2-2(実績排出量）'!$B$16:$B$515,$A84,'様式2-2(実績排出量）'!$H$16:$H$515,"マイクロバス",'様式2-2(実績排出量）'!$J$16:$J$515,"&gt;1700",'様式2-2(実績排出量）'!$J$16:$J$515,"&lt;=2500",'様式2-2(実績排出量）'!$T$16:$T$515,"*廃止")</f>
        <v>0</v>
      </c>
      <c r="P84" s="328">
        <f>COUNTIFS('様式2-2(実績排出量）'!$B$16:$B$515,$A84,'様式2-2(実績排出量）'!$H$16:$H$515,"マイクロバス",'様式2-2(実績排出量）'!$J$16:$J$515,"&gt;2500",'様式2-2(実績排出量）'!$J$16:$J$515,"&lt;=3500",'様式2-2(実績排出量）'!$T$16:$T$515,"*廃止")</f>
        <v>0</v>
      </c>
      <c r="Q84" s="328">
        <f>COUNTIFS('様式2-2(実績排出量）'!$B$16:$B$515,$A84,'様式2-2(実績排出量）'!$H$16:$H$515,"マイクロバス",'様式2-2(実績排出量）'!$J$16:$J$515,"&gt;3500",'様式2-2(実績排出量）'!$T$16:$T$515,"*廃止")</f>
        <v>0</v>
      </c>
      <c r="R84" s="328">
        <f>COUNTIFS('様式2-2(実績排出量）'!$B$16:$B$515,$A84,'様式2-2(実績排出量）'!$H$16:$H$515,"特種車*",'様式2-2(実績排出量）'!$J$16:$J$515,"&lt;=1700",'様式2-2(実績排出量）'!$T$16:$T$515,"*廃止")</f>
        <v>0</v>
      </c>
      <c r="S84" s="328">
        <f>COUNTIFS('様式2-2(実績排出量）'!$B$16:$B$515,$A84,'様式2-2(実績排出量）'!$H$16:$H$515,"特種車*",'様式2-2(実績排出量）'!$J$16:$J$515,"&gt;1700",'様式2-2(実績排出量）'!$J$16:$J$515,"&lt;=2500",'様式2-2(実績排出量）'!$T$16:$T$515,"*廃止")</f>
        <v>0</v>
      </c>
      <c r="T84" s="328">
        <f>COUNTIFS('様式2-2(実績排出量）'!$B$16:$B$515,$A84,'様式2-2(実績排出量）'!$H$16:$H$515,"特種車*",'様式2-2(実績排出量）'!$J$16:$J$515,"&gt;2500",'様式2-2(実績排出量）'!$J$16:$J$515,"&lt;=3500",'様式2-2(実績排出量）'!$T$16:$T$515,"*廃止")</f>
        <v>0</v>
      </c>
      <c r="U84" s="328">
        <f>COUNTIFS('様式2-2(実績排出量）'!$B$16:$B$515,$A84,'様式2-2(実績排出量）'!$H$16:$H$515,"特種車*",'様式2-2(実績排出量）'!$J$16:$J$515,"&gt;3500",'様式2-2(実績排出量）'!$T$16:$T$515,"*廃止")</f>
        <v>0</v>
      </c>
      <c r="V84" s="328">
        <f>COUNTIFS('様式2-2(実績排出量）'!$B$16:$B$515,$A84,'様式2-2(実績排出量）'!$H$16:$H$515,"乗用車*",'様式2-2(実績排出量）'!$T$16:$T$515,"*廃止")</f>
        <v>0</v>
      </c>
      <c r="W84" s="327"/>
    </row>
    <row r="85" spans="1:23" ht="13.75" hidden="1" customHeight="1">
      <c r="A85" s="157">
        <v>15</v>
      </c>
      <c r="B85" s="327">
        <f>COUNTIFS('様式2-2(実績排出量）'!$B$16:$B$515,$A85,'様式2-2(実績排出量）'!$H$16:$H$515,"普通貨物車",'様式2-2(実績排出量）'!$J$16:$J$515,"&lt;=1700",'様式2-2(実績排出量）'!$T$16:$T$515,"*廃止")</f>
        <v>0</v>
      </c>
      <c r="C85" s="327">
        <f>COUNTIFS('様式2-2(実績排出量）'!$B$16:$B$515,$A85,'様式2-2(実績排出量）'!$H$16:$H$515,"普通貨物車",'様式2-2(実績排出量）'!$J$16:$J$515,"&gt;1700",'様式2-2(実績排出量）'!$J$16:$J$515,"&lt;=2500",'様式2-2(実績排出量）'!$T$16:$T$515,"*廃止")</f>
        <v>0</v>
      </c>
      <c r="D85" s="327">
        <f>COUNTIFS('様式2-2(実績排出量）'!$B$16:$B$515,$A85,'様式2-2(実績排出量）'!$H$16:$H$515,"普通貨物車",'様式2-2(実績排出量）'!$J$16:$J$515,"&gt;2500",'様式2-2(実績排出量）'!$J$16:$J$515,"&lt;=3500",'様式2-2(実績排出量）'!$T$16:$T$515,"*廃止")</f>
        <v>0</v>
      </c>
      <c r="E85" s="327">
        <f>COUNTIFS('様式2-2(実績排出量）'!$B$16:$B$515,$A85,'様式2-2(実績排出量）'!$H$16:$H$515,"普通貨物車",'様式2-2(実績排出量）'!$J$16:$J$515,"&gt;3500",'様式2-2(実績排出量）'!$T$16:$T$515,"*廃止")</f>
        <v>0</v>
      </c>
      <c r="F85" s="328">
        <f>COUNTIFS('様式2-2(実績排出量）'!$B$16:$B$515,$A85,'様式2-2(実績排出量）'!$H$16:$H$515,"小型貨物車",'様式2-2(実績排出量）'!$J$16:$J$515,"&lt;=1700",'様式2-2(実績排出量）'!$T$16:$T$515,"*廃止")</f>
        <v>0</v>
      </c>
      <c r="G85" s="328">
        <f>COUNTIFS('様式2-2(実績排出量）'!$B$16:$B$515,$A85,'様式2-2(実績排出量）'!$H$16:$H$515,"小型貨物車",'様式2-2(実績排出量）'!$J$16:$J$515,"&gt;1700",'様式2-2(実績排出量）'!$J$16:$J$515,"&lt;=2500",'様式2-2(実績排出量）'!$T$16:$T$515,"*廃止")</f>
        <v>0</v>
      </c>
      <c r="H85" s="328">
        <f>COUNTIFS('様式2-2(実績排出量）'!$B$16:$B$515,$A85,'様式2-2(実績排出量）'!$H$16:$H$515,"小型貨物車",'様式2-2(実績排出量）'!$J$16:$J$515,"&gt;2500",'様式2-2(実績排出量）'!$J$16:$J$515,"&lt;=3500",'様式2-2(実績排出量）'!$T$16:$T$515,"*廃止")</f>
        <v>0</v>
      </c>
      <c r="I85" s="328">
        <f>COUNTIFS('様式2-2(実績排出量）'!$B$16:$B$515,$A85,'様式2-2(実績排出量）'!$H$16:$H$515,"小型貨物車",'様式2-2(実績排出量）'!$J$16:$J$515,"&gt;3500",'様式2-2(実績排出量）'!$T$16:$T$515,"*廃止")</f>
        <v>0</v>
      </c>
      <c r="J85" s="328">
        <f>COUNTIFS('様式2-2(実績排出量）'!$B$16:$B$515,$A85,'様式2-2(実績排出量）'!$H$16:$H$515,"大型バス",'様式2-2(実績排出量）'!$J$16:$J$515,"&lt;=1700",'様式2-2(実績排出量）'!$T$16:$T$515,"*廃止")</f>
        <v>0</v>
      </c>
      <c r="K85" s="328">
        <f>COUNTIFS('様式2-2(実績排出量）'!$B$16:$B$515,$A85,'様式2-2(実績排出量）'!$H$16:$H$515,"大型バス",'様式2-2(実績排出量）'!$J$16:$J$515,"&gt;1700",'様式2-2(実績排出量）'!$J$16:$J$515,"&lt;=2500",'様式2-2(実績排出量）'!$T$16:$T$515,"*廃止")</f>
        <v>0</v>
      </c>
      <c r="L85" s="328">
        <f>COUNTIFS('様式2-2(実績排出量）'!$B$16:$B$515,$A85,'様式2-2(実績排出量）'!$H$16:$H$515,"大型バス",'様式2-2(実績排出量）'!$J$16:$J$515,"&gt;2500",'様式2-2(実績排出量）'!$J$16:$J$515,"&lt;=3500",'様式2-2(実績排出量）'!$T$16:$T$515,"*廃止")</f>
        <v>0</v>
      </c>
      <c r="M85" s="328">
        <f>COUNTIFS('様式2-2(実績排出量）'!$B$16:$B$515,$A85,'様式2-2(実績排出量）'!$H$16:$H$515,"大型バス",'様式2-2(実績排出量）'!$J$16:$J$515,"&gt;3500",'様式2-2(実績排出量）'!$T$16:$T$515,"*廃止")</f>
        <v>0</v>
      </c>
      <c r="N85" s="328">
        <f>COUNTIFS('様式2-2(実績排出量）'!$B$16:$B$515,$A85,'様式2-2(実績排出量）'!$H$16:$H$515,"マイクロバス",'様式2-2(実績排出量）'!$J$16:$J$515,"&lt;=1700",'様式2-2(実績排出量）'!$T$16:$T$515,"*廃止")</f>
        <v>0</v>
      </c>
      <c r="O85" s="328">
        <f>COUNTIFS('様式2-2(実績排出量）'!$B$16:$B$515,$A85,'様式2-2(実績排出量）'!$H$16:$H$515,"マイクロバス",'様式2-2(実績排出量）'!$J$16:$J$515,"&gt;1700",'様式2-2(実績排出量）'!$J$16:$J$515,"&lt;=2500",'様式2-2(実績排出量）'!$T$16:$T$515,"*廃止")</f>
        <v>0</v>
      </c>
      <c r="P85" s="328">
        <f>COUNTIFS('様式2-2(実績排出量）'!$B$16:$B$515,$A85,'様式2-2(実績排出量）'!$H$16:$H$515,"マイクロバス",'様式2-2(実績排出量）'!$J$16:$J$515,"&gt;2500",'様式2-2(実績排出量）'!$J$16:$J$515,"&lt;=3500",'様式2-2(実績排出量）'!$T$16:$T$515,"*廃止")</f>
        <v>0</v>
      </c>
      <c r="Q85" s="328">
        <f>COUNTIFS('様式2-2(実績排出量）'!$B$16:$B$515,$A85,'様式2-2(実績排出量）'!$H$16:$H$515,"マイクロバス",'様式2-2(実績排出量）'!$J$16:$J$515,"&gt;3500",'様式2-2(実績排出量）'!$T$16:$T$515,"*廃止")</f>
        <v>0</v>
      </c>
      <c r="R85" s="328">
        <f>COUNTIFS('様式2-2(実績排出量）'!$B$16:$B$515,$A85,'様式2-2(実績排出量）'!$H$16:$H$515,"特種車*",'様式2-2(実績排出量）'!$J$16:$J$515,"&lt;=1700",'様式2-2(実績排出量）'!$T$16:$T$515,"*廃止")</f>
        <v>0</v>
      </c>
      <c r="S85" s="328">
        <f>COUNTIFS('様式2-2(実績排出量）'!$B$16:$B$515,$A85,'様式2-2(実績排出量）'!$H$16:$H$515,"特種車*",'様式2-2(実績排出量）'!$J$16:$J$515,"&gt;1700",'様式2-2(実績排出量）'!$J$16:$J$515,"&lt;=2500",'様式2-2(実績排出量）'!$T$16:$T$515,"*廃止")</f>
        <v>0</v>
      </c>
      <c r="T85" s="328">
        <f>COUNTIFS('様式2-2(実績排出量）'!$B$16:$B$515,$A85,'様式2-2(実績排出量）'!$H$16:$H$515,"特種車*",'様式2-2(実績排出量）'!$J$16:$J$515,"&gt;2500",'様式2-2(実績排出量）'!$J$16:$J$515,"&lt;=3500",'様式2-2(実績排出量）'!$T$16:$T$515,"*廃止")</f>
        <v>0</v>
      </c>
      <c r="U85" s="328">
        <f>COUNTIFS('様式2-2(実績排出量）'!$B$16:$B$515,$A85,'様式2-2(実績排出量）'!$H$16:$H$515,"特種車*",'様式2-2(実績排出量）'!$J$16:$J$515,"&gt;3500",'様式2-2(実績排出量）'!$T$16:$T$515,"*廃止")</f>
        <v>0</v>
      </c>
      <c r="V85" s="328">
        <f>COUNTIFS('様式2-2(実績排出量）'!$B$16:$B$515,$A85,'様式2-2(実績排出量）'!$H$16:$H$515,"乗用車*",'様式2-2(実績排出量）'!$T$16:$T$515,"*廃止")</f>
        <v>0</v>
      </c>
      <c r="W85" s="327"/>
    </row>
    <row r="86" spans="1:23" ht="13.75" hidden="1" customHeight="1">
      <c r="A86" s="157">
        <v>16</v>
      </c>
      <c r="B86" s="327">
        <f>COUNTIFS('様式2-2(実績排出量）'!$B$16:$B$515,$A86,'様式2-2(実績排出量）'!$H$16:$H$515,"普通貨物車",'様式2-2(実績排出量）'!$J$16:$J$515,"&lt;=1700",'様式2-2(実績排出量）'!$T$16:$T$515,"*廃止")</f>
        <v>0</v>
      </c>
      <c r="C86" s="327">
        <f>COUNTIFS('様式2-2(実績排出量）'!$B$16:$B$515,$A86,'様式2-2(実績排出量）'!$H$16:$H$515,"普通貨物車",'様式2-2(実績排出量）'!$J$16:$J$515,"&gt;1700",'様式2-2(実績排出量）'!$J$16:$J$515,"&lt;=2500",'様式2-2(実績排出量）'!$T$16:$T$515,"*廃止")</f>
        <v>0</v>
      </c>
      <c r="D86" s="327">
        <f>COUNTIFS('様式2-2(実績排出量）'!$B$16:$B$515,$A86,'様式2-2(実績排出量）'!$H$16:$H$515,"普通貨物車",'様式2-2(実績排出量）'!$J$16:$J$515,"&gt;2500",'様式2-2(実績排出量）'!$J$16:$J$515,"&lt;=3500",'様式2-2(実績排出量）'!$T$16:$T$515,"*廃止")</f>
        <v>0</v>
      </c>
      <c r="E86" s="327">
        <f>COUNTIFS('様式2-2(実績排出量）'!$B$16:$B$515,$A86,'様式2-2(実績排出量）'!$H$16:$H$515,"普通貨物車",'様式2-2(実績排出量）'!$J$16:$J$515,"&gt;3500",'様式2-2(実績排出量）'!$T$16:$T$515,"*廃止")</f>
        <v>0</v>
      </c>
      <c r="F86" s="328">
        <f>COUNTIFS('様式2-2(実績排出量）'!$B$16:$B$515,$A86,'様式2-2(実績排出量）'!$H$16:$H$515,"小型貨物車",'様式2-2(実績排出量）'!$J$16:$J$515,"&lt;=1700",'様式2-2(実績排出量）'!$T$16:$T$515,"*廃止")</f>
        <v>0</v>
      </c>
      <c r="G86" s="328">
        <f>COUNTIFS('様式2-2(実績排出量）'!$B$16:$B$515,$A86,'様式2-2(実績排出量）'!$H$16:$H$515,"小型貨物車",'様式2-2(実績排出量）'!$J$16:$J$515,"&gt;1700",'様式2-2(実績排出量）'!$J$16:$J$515,"&lt;=2500",'様式2-2(実績排出量）'!$T$16:$T$515,"*廃止")</f>
        <v>0</v>
      </c>
      <c r="H86" s="328">
        <f>COUNTIFS('様式2-2(実績排出量）'!$B$16:$B$515,$A86,'様式2-2(実績排出量）'!$H$16:$H$515,"小型貨物車",'様式2-2(実績排出量）'!$J$16:$J$515,"&gt;2500",'様式2-2(実績排出量）'!$J$16:$J$515,"&lt;=3500",'様式2-2(実績排出量）'!$T$16:$T$515,"*廃止")</f>
        <v>0</v>
      </c>
      <c r="I86" s="328">
        <f>COUNTIFS('様式2-2(実績排出量）'!$B$16:$B$515,$A86,'様式2-2(実績排出量）'!$H$16:$H$515,"小型貨物車",'様式2-2(実績排出量）'!$J$16:$J$515,"&gt;3500",'様式2-2(実績排出量）'!$T$16:$T$515,"*廃止")</f>
        <v>0</v>
      </c>
      <c r="J86" s="328">
        <f>COUNTIFS('様式2-2(実績排出量）'!$B$16:$B$515,$A86,'様式2-2(実績排出量）'!$H$16:$H$515,"大型バス",'様式2-2(実績排出量）'!$J$16:$J$515,"&lt;=1700",'様式2-2(実績排出量）'!$T$16:$T$515,"*廃止")</f>
        <v>0</v>
      </c>
      <c r="K86" s="328">
        <f>COUNTIFS('様式2-2(実績排出量）'!$B$16:$B$515,$A86,'様式2-2(実績排出量）'!$H$16:$H$515,"大型バス",'様式2-2(実績排出量）'!$J$16:$J$515,"&gt;1700",'様式2-2(実績排出量）'!$J$16:$J$515,"&lt;=2500",'様式2-2(実績排出量）'!$T$16:$T$515,"*廃止")</f>
        <v>0</v>
      </c>
      <c r="L86" s="328">
        <f>COUNTIFS('様式2-2(実績排出量）'!$B$16:$B$515,$A86,'様式2-2(実績排出量）'!$H$16:$H$515,"大型バス",'様式2-2(実績排出量）'!$J$16:$J$515,"&gt;2500",'様式2-2(実績排出量）'!$J$16:$J$515,"&lt;=3500",'様式2-2(実績排出量）'!$T$16:$T$515,"*廃止")</f>
        <v>0</v>
      </c>
      <c r="M86" s="328">
        <f>COUNTIFS('様式2-2(実績排出量）'!$B$16:$B$515,$A86,'様式2-2(実績排出量）'!$H$16:$H$515,"大型バス",'様式2-2(実績排出量）'!$J$16:$J$515,"&gt;3500",'様式2-2(実績排出量）'!$T$16:$T$515,"*廃止")</f>
        <v>0</v>
      </c>
      <c r="N86" s="328">
        <f>COUNTIFS('様式2-2(実績排出量）'!$B$16:$B$515,$A86,'様式2-2(実績排出量）'!$H$16:$H$515,"マイクロバス",'様式2-2(実績排出量）'!$J$16:$J$515,"&lt;=1700",'様式2-2(実績排出量）'!$T$16:$T$515,"*廃止")</f>
        <v>0</v>
      </c>
      <c r="O86" s="328">
        <f>COUNTIFS('様式2-2(実績排出量）'!$B$16:$B$515,$A86,'様式2-2(実績排出量）'!$H$16:$H$515,"マイクロバス",'様式2-2(実績排出量）'!$J$16:$J$515,"&gt;1700",'様式2-2(実績排出量）'!$J$16:$J$515,"&lt;=2500",'様式2-2(実績排出量）'!$T$16:$T$515,"*廃止")</f>
        <v>0</v>
      </c>
      <c r="P86" s="328">
        <f>COUNTIFS('様式2-2(実績排出量）'!$B$16:$B$515,$A86,'様式2-2(実績排出量）'!$H$16:$H$515,"マイクロバス",'様式2-2(実績排出量）'!$J$16:$J$515,"&gt;2500",'様式2-2(実績排出量）'!$J$16:$J$515,"&lt;=3500",'様式2-2(実績排出量）'!$T$16:$T$515,"*廃止")</f>
        <v>0</v>
      </c>
      <c r="Q86" s="328">
        <f>COUNTIFS('様式2-2(実績排出量）'!$B$16:$B$515,$A86,'様式2-2(実績排出量）'!$H$16:$H$515,"マイクロバス",'様式2-2(実績排出量）'!$J$16:$J$515,"&gt;3500",'様式2-2(実績排出量）'!$T$16:$T$515,"*廃止")</f>
        <v>0</v>
      </c>
      <c r="R86" s="328">
        <f>COUNTIFS('様式2-2(実績排出量）'!$B$16:$B$515,$A86,'様式2-2(実績排出量）'!$H$16:$H$515,"特種車*",'様式2-2(実績排出量）'!$J$16:$J$515,"&lt;=1700",'様式2-2(実績排出量）'!$T$16:$T$515,"*廃止")</f>
        <v>0</v>
      </c>
      <c r="S86" s="328">
        <f>COUNTIFS('様式2-2(実績排出量）'!$B$16:$B$515,$A86,'様式2-2(実績排出量）'!$H$16:$H$515,"特種車*",'様式2-2(実績排出量）'!$J$16:$J$515,"&gt;1700",'様式2-2(実績排出量）'!$J$16:$J$515,"&lt;=2500",'様式2-2(実績排出量）'!$T$16:$T$515,"*廃止")</f>
        <v>0</v>
      </c>
      <c r="T86" s="328">
        <f>COUNTIFS('様式2-2(実績排出量）'!$B$16:$B$515,$A86,'様式2-2(実績排出量）'!$H$16:$H$515,"特種車*",'様式2-2(実績排出量）'!$J$16:$J$515,"&gt;2500",'様式2-2(実績排出量）'!$J$16:$J$515,"&lt;=3500",'様式2-2(実績排出量）'!$T$16:$T$515,"*廃止")</f>
        <v>0</v>
      </c>
      <c r="U86" s="328">
        <f>COUNTIFS('様式2-2(実績排出量）'!$B$16:$B$515,$A86,'様式2-2(実績排出量）'!$H$16:$H$515,"特種車*",'様式2-2(実績排出量）'!$J$16:$J$515,"&gt;3500",'様式2-2(実績排出量）'!$T$16:$T$515,"*廃止")</f>
        <v>0</v>
      </c>
      <c r="V86" s="328">
        <f>COUNTIFS('様式2-2(実績排出量）'!$B$16:$B$515,$A86,'様式2-2(実績排出量）'!$H$16:$H$515,"乗用車*",'様式2-2(実績排出量）'!$T$16:$T$515,"*廃止")</f>
        <v>0</v>
      </c>
      <c r="W86" s="327"/>
    </row>
    <row r="87" spans="1:23" ht="13.75" hidden="1" customHeight="1">
      <c r="A87" s="157">
        <v>17</v>
      </c>
      <c r="B87" s="327">
        <f>COUNTIFS('様式2-2(実績排出量）'!$B$16:$B$515,$A87,'様式2-2(実績排出量）'!$H$16:$H$515,"普通貨物車",'様式2-2(実績排出量）'!$J$16:$J$515,"&lt;=1700",'様式2-2(実績排出量）'!$T$16:$T$515,"*廃止")</f>
        <v>0</v>
      </c>
      <c r="C87" s="327">
        <f>COUNTIFS('様式2-2(実績排出量）'!$B$16:$B$515,$A87,'様式2-2(実績排出量）'!$H$16:$H$515,"普通貨物車",'様式2-2(実績排出量）'!$J$16:$J$515,"&gt;1700",'様式2-2(実績排出量）'!$J$16:$J$515,"&lt;=2500",'様式2-2(実績排出量）'!$T$16:$T$515,"*廃止")</f>
        <v>0</v>
      </c>
      <c r="D87" s="327">
        <f>COUNTIFS('様式2-2(実績排出量）'!$B$16:$B$515,$A87,'様式2-2(実績排出量）'!$H$16:$H$515,"普通貨物車",'様式2-2(実績排出量）'!$J$16:$J$515,"&gt;2500",'様式2-2(実績排出量）'!$J$16:$J$515,"&lt;=3500",'様式2-2(実績排出量）'!$T$16:$T$515,"*廃止")</f>
        <v>0</v>
      </c>
      <c r="E87" s="327">
        <f>COUNTIFS('様式2-2(実績排出量）'!$B$16:$B$515,$A87,'様式2-2(実績排出量）'!$H$16:$H$515,"普通貨物車",'様式2-2(実績排出量）'!$J$16:$J$515,"&gt;3500",'様式2-2(実績排出量）'!$T$16:$T$515,"*廃止")</f>
        <v>0</v>
      </c>
      <c r="F87" s="328">
        <f>COUNTIFS('様式2-2(実績排出量）'!$B$16:$B$515,$A87,'様式2-2(実績排出量）'!$H$16:$H$515,"小型貨物車",'様式2-2(実績排出量）'!$J$16:$J$515,"&lt;=1700",'様式2-2(実績排出量）'!$T$16:$T$515,"*廃止")</f>
        <v>0</v>
      </c>
      <c r="G87" s="328">
        <f>COUNTIFS('様式2-2(実績排出量）'!$B$16:$B$515,$A87,'様式2-2(実績排出量）'!$H$16:$H$515,"小型貨物車",'様式2-2(実績排出量）'!$J$16:$J$515,"&gt;1700",'様式2-2(実績排出量）'!$J$16:$J$515,"&lt;=2500",'様式2-2(実績排出量）'!$T$16:$T$515,"*廃止")</f>
        <v>0</v>
      </c>
      <c r="H87" s="328">
        <f>COUNTIFS('様式2-2(実績排出量）'!$B$16:$B$515,$A87,'様式2-2(実績排出量）'!$H$16:$H$515,"小型貨物車",'様式2-2(実績排出量）'!$J$16:$J$515,"&gt;2500",'様式2-2(実績排出量）'!$J$16:$J$515,"&lt;=3500",'様式2-2(実績排出量）'!$T$16:$T$515,"*廃止")</f>
        <v>0</v>
      </c>
      <c r="I87" s="328">
        <f>COUNTIFS('様式2-2(実績排出量）'!$B$16:$B$515,$A87,'様式2-2(実績排出量）'!$H$16:$H$515,"小型貨物車",'様式2-2(実績排出量）'!$J$16:$J$515,"&gt;3500",'様式2-2(実績排出量）'!$T$16:$T$515,"*廃止")</f>
        <v>0</v>
      </c>
      <c r="J87" s="328">
        <f>COUNTIFS('様式2-2(実績排出量）'!$B$16:$B$515,$A87,'様式2-2(実績排出量）'!$H$16:$H$515,"大型バス",'様式2-2(実績排出量）'!$J$16:$J$515,"&lt;=1700",'様式2-2(実績排出量）'!$T$16:$T$515,"*廃止")</f>
        <v>0</v>
      </c>
      <c r="K87" s="328">
        <f>COUNTIFS('様式2-2(実績排出量）'!$B$16:$B$515,$A87,'様式2-2(実績排出量）'!$H$16:$H$515,"大型バス",'様式2-2(実績排出量）'!$J$16:$J$515,"&gt;1700",'様式2-2(実績排出量）'!$J$16:$J$515,"&lt;=2500",'様式2-2(実績排出量）'!$T$16:$T$515,"*廃止")</f>
        <v>0</v>
      </c>
      <c r="L87" s="328">
        <f>COUNTIFS('様式2-2(実績排出量）'!$B$16:$B$515,$A87,'様式2-2(実績排出量）'!$H$16:$H$515,"大型バス",'様式2-2(実績排出量）'!$J$16:$J$515,"&gt;2500",'様式2-2(実績排出量）'!$J$16:$J$515,"&lt;=3500",'様式2-2(実績排出量）'!$T$16:$T$515,"*廃止")</f>
        <v>0</v>
      </c>
      <c r="M87" s="328">
        <f>COUNTIFS('様式2-2(実績排出量）'!$B$16:$B$515,$A87,'様式2-2(実績排出量）'!$H$16:$H$515,"大型バス",'様式2-2(実績排出量）'!$J$16:$J$515,"&gt;3500",'様式2-2(実績排出量）'!$T$16:$T$515,"*廃止")</f>
        <v>0</v>
      </c>
      <c r="N87" s="328">
        <f>COUNTIFS('様式2-2(実績排出量）'!$B$16:$B$515,$A87,'様式2-2(実績排出量）'!$H$16:$H$515,"マイクロバス",'様式2-2(実績排出量）'!$J$16:$J$515,"&lt;=1700",'様式2-2(実績排出量）'!$T$16:$T$515,"*廃止")</f>
        <v>0</v>
      </c>
      <c r="O87" s="328">
        <f>COUNTIFS('様式2-2(実績排出量）'!$B$16:$B$515,$A87,'様式2-2(実績排出量）'!$H$16:$H$515,"マイクロバス",'様式2-2(実績排出量）'!$J$16:$J$515,"&gt;1700",'様式2-2(実績排出量）'!$J$16:$J$515,"&lt;=2500",'様式2-2(実績排出量）'!$T$16:$T$515,"*廃止")</f>
        <v>0</v>
      </c>
      <c r="P87" s="328">
        <f>COUNTIFS('様式2-2(実績排出量）'!$B$16:$B$515,$A87,'様式2-2(実績排出量）'!$H$16:$H$515,"マイクロバス",'様式2-2(実績排出量）'!$J$16:$J$515,"&gt;2500",'様式2-2(実績排出量）'!$J$16:$J$515,"&lt;=3500",'様式2-2(実績排出量）'!$T$16:$T$515,"*廃止")</f>
        <v>0</v>
      </c>
      <c r="Q87" s="328">
        <f>COUNTIFS('様式2-2(実績排出量）'!$B$16:$B$515,$A87,'様式2-2(実績排出量）'!$H$16:$H$515,"マイクロバス",'様式2-2(実績排出量）'!$J$16:$J$515,"&gt;3500",'様式2-2(実績排出量）'!$T$16:$T$515,"*廃止")</f>
        <v>0</v>
      </c>
      <c r="R87" s="328">
        <f>COUNTIFS('様式2-2(実績排出量）'!$B$16:$B$515,$A87,'様式2-2(実績排出量）'!$H$16:$H$515,"特種車*",'様式2-2(実績排出量）'!$J$16:$J$515,"&lt;=1700",'様式2-2(実績排出量）'!$T$16:$T$515,"*廃止")</f>
        <v>0</v>
      </c>
      <c r="S87" s="328">
        <f>COUNTIFS('様式2-2(実績排出量）'!$B$16:$B$515,$A87,'様式2-2(実績排出量）'!$H$16:$H$515,"特種車*",'様式2-2(実績排出量）'!$J$16:$J$515,"&gt;1700",'様式2-2(実績排出量）'!$J$16:$J$515,"&lt;=2500",'様式2-2(実績排出量）'!$T$16:$T$515,"*廃止")</f>
        <v>0</v>
      </c>
      <c r="T87" s="328">
        <f>COUNTIFS('様式2-2(実績排出量）'!$B$16:$B$515,$A87,'様式2-2(実績排出量）'!$H$16:$H$515,"特種車*",'様式2-2(実績排出量）'!$J$16:$J$515,"&gt;2500",'様式2-2(実績排出量）'!$J$16:$J$515,"&lt;=3500",'様式2-2(実績排出量）'!$T$16:$T$515,"*廃止")</f>
        <v>0</v>
      </c>
      <c r="U87" s="328">
        <f>COUNTIFS('様式2-2(実績排出量）'!$B$16:$B$515,$A87,'様式2-2(実績排出量）'!$H$16:$H$515,"特種車*",'様式2-2(実績排出量）'!$J$16:$J$515,"&gt;3500",'様式2-2(実績排出量）'!$T$16:$T$515,"*廃止")</f>
        <v>0</v>
      </c>
      <c r="V87" s="328">
        <f>COUNTIFS('様式2-2(実績排出量）'!$B$16:$B$515,$A87,'様式2-2(実績排出量）'!$H$16:$H$515,"乗用車*",'様式2-2(実績排出量）'!$T$16:$T$515,"*廃止")</f>
        <v>0</v>
      </c>
      <c r="W87" s="327"/>
    </row>
    <row r="88" spans="1:23" ht="13.75" hidden="1" customHeight="1">
      <c r="A88" s="157">
        <v>18</v>
      </c>
      <c r="B88" s="327">
        <f>COUNTIFS('様式2-2(実績排出量）'!$B$16:$B$515,$A88,'様式2-2(実績排出量）'!$H$16:$H$515,"普通貨物車",'様式2-2(実績排出量）'!$J$16:$J$515,"&lt;=1700",'様式2-2(実績排出量）'!$T$16:$T$515,"*廃止")</f>
        <v>0</v>
      </c>
      <c r="C88" s="327">
        <f>COUNTIFS('様式2-2(実績排出量）'!$B$16:$B$515,$A88,'様式2-2(実績排出量）'!$H$16:$H$515,"普通貨物車",'様式2-2(実績排出量）'!$J$16:$J$515,"&gt;1700",'様式2-2(実績排出量）'!$J$16:$J$515,"&lt;=2500",'様式2-2(実績排出量）'!$T$16:$T$515,"*廃止")</f>
        <v>0</v>
      </c>
      <c r="D88" s="327">
        <f>COUNTIFS('様式2-2(実績排出量）'!$B$16:$B$515,$A88,'様式2-2(実績排出量）'!$H$16:$H$515,"普通貨物車",'様式2-2(実績排出量）'!$J$16:$J$515,"&gt;2500",'様式2-2(実績排出量）'!$J$16:$J$515,"&lt;=3500",'様式2-2(実績排出量）'!$T$16:$T$515,"*廃止")</f>
        <v>0</v>
      </c>
      <c r="E88" s="327">
        <f>COUNTIFS('様式2-2(実績排出量）'!$B$16:$B$515,$A88,'様式2-2(実績排出量）'!$H$16:$H$515,"普通貨物車",'様式2-2(実績排出量）'!$J$16:$J$515,"&gt;3500",'様式2-2(実績排出量）'!$T$16:$T$515,"*廃止")</f>
        <v>0</v>
      </c>
      <c r="F88" s="328">
        <f>COUNTIFS('様式2-2(実績排出量）'!$B$16:$B$515,$A88,'様式2-2(実績排出量）'!$H$16:$H$515,"小型貨物車",'様式2-2(実績排出量）'!$J$16:$J$515,"&lt;=1700",'様式2-2(実績排出量）'!$T$16:$T$515,"*廃止")</f>
        <v>0</v>
      </c>
      <c r="G88" s="328">
        <f>COUNTIFS('様式2-2(実績排出量）'!$B$16:$B$515,$A88,'様式2-2(実績排出量）'!$H$16:$H$515,"小型貨物車",'様式2-2(実績排出量）'!$J$16:$J$515,"&gt;1700",'様式2-2(実績排出量）'!$J$16:$J$515,"&lt;=2500",'様式2-2(実績排出量）'!$T$16:$T$515,"*廃止")</f>
        <v>0</v>
      </c>
      <c r="H88" s="328">
        <f>COUNTIFS('様式2-2(実績排出量）'!$B$16:$B$515,$A88,'様式2-2(実績排出量）'!$H$16:$H$515,"小型貨物車",'様式2-2(実績排出量）'!$J$16:$J$515,"&gt;2500",'様式2-2(実績排出量）'!$J$16:$J$515,"&lt;=3500",'様式2-2(実績排出量）'!$T$16:$T$515,"*廃止")</f>
        <v>0</v>
      </c>
      <c r="I88" s="328">
        <f>COUNTIFS('様式2-2(実績排出量）'!$B$16:$B$515,$A88,'様式2-2(実績排出量）'!$H$16:$H$515,"小型貨物車",'様式2-2(実績排出量）'!$J$16:$J$515,"&gt;3500",'様式2-2(実績排出量）'!$T$16:$T$515,"*廃止")</f>
        <v>0</v>
      </c>
      <c r="J88" s="328">
        <f>COUNTIFS('様式2-2(実績排出量）'!$B$16:$B$515,$A88,'様式2-2(実績排出量）'!$H$16:$H$515,"大型バス",'様式2-2(実績排出量）'!$J$16:$J$515,"&lt;=1700",'様式2-2(実績排出量）'!$T$16:$T$515,"*廃止")</f>
        <v>0</v>
      </c>
      <c r="K88" s="328">
        <f>COUNTIFS('様式2-2(実績排出量）'!$B$16:$B$515,$A88,'様式2-2(実績排出量）'!$H$16:$H$515,"大型バス",'様式2-2(実績排出量）'!$J$16:$J$515,"&gt;1700",'様式2-2(実績排出量）'!$J$16:$J$515,"&lt;=2500",'様式2-2(実績排出量）'!$T$16:$T$515,"*廃止")</f>
        <v>0</v>
      </c>
      <c r="L88" s="328">
        <f>COUNTIFS('様式2-2(実績排出量）'!$B$16:$B$515,$A88,'様式2-2(実績排出量）'!$H$16:$H$515,"大型バス",'様式2-2(実績排出量）'!$J$16:$J$515,"&gt;2500",'様式2-2(実績排出量）'!$J$16:$J$515,"&lt;=3500",'様式2-2(実績排出量）'!$T$16:$T$515,"*廃止")</f>
        <v>0</v>
      </c>
      <c r="M88" s="328">
        <f>COUNTIFS('様式2-2(実績排出量）'!$B$16:$B$515,$A88,'様式2-2(実績排出量）'!$H$16:$H$515,"大型バス",'様式2-2(実績排出量）'!$J$16:$J$515,"&gt;3500",'様式2-2(実績排出量）'!$T$16:$T$515,"*廃止")</f>
        <v>0</v>
      </c>
      <c r="N88" s="328">
        <f>COUNTIFS('様式2-2(実績排出量）'!$B$16:$B$515,$A88,'様式2-2(実績排出量）'!$H$16:$H$515,"マイクロバス",'様式2-2(実績排出量）'!$J$16:$J$515,"&lt;=1700",'様式2-2(実績排出量）'!$T$16:$T$515,"*廃止")</f>
        <v>0</v>
      </c>
      <c r="O88" s="328">
        <f>COUNTIFS('様式2-2(実績排出量）'!$B$16:$B$515,$A88,'様式2-2(実績排出量）'!$H$16:$H$515,"マイクロバス",'様式2-2(実績排出量）'!$J$16:$J$515,"&gt;1700",'様式2-2(実績排出量）'!$J$16:$J$515,"&lt;=2500",'様式2-2(実績排出量）'!$T$16:$T$515,"*廃止")</f>
        <v>0</v>
      </c>
      <c r="P88" s="328">
        <f>COUNTIFS('様式2-2(実績排出量）'!$B$16:$B$515,$A88,'様式2-2(実績排出量）'!$H$16:$H$515,"マイクロバス",'様式2-2(実績排出量）'!$J$16:$J$515,"&gt;2500",'様式2-2(実績排出量）'!$J$16:$J$515,"&lt;=3500",'様式2-2(実績排出量）'!$T$16:$T$515,"*廃止")</f>
        <v>0</v>
      </c>
      <c r="Q88" s="328">
        <f>COUNTIFS('様式2-2(実績排出量）'!$B$16:$B$515,$A88,'様式2-2(実績排出量）'!$H$16:$H$515,"マイクロバス",'様式2-2(実績排出量）'!$J$16:$J$515,"&gt;3500",'様式2-2(実績排出量）'!$T$16:$T$515,"*廃止")</f>
        <v>0</v>
      </c>
      <c r="R88" s="328">
        <f>COUNTIFS('様式2-2(実績排出量）'!$B$16:$B$515,$A88,'様式2-2(実績排出量）'!$H$16:$H$515,"特種車*",'様式2-2(実績排出量）'!$J$16:$J$515,"&lt;=1700",'様式2-2(実績排出量）'!$T$16:$T$515,"*廃止")</f>
        <v>0</v>
      </c>
      <c r="S88" s="328">
        <f>COUNTIFS('様式2-2(実績排出量）'!$B$16:$B$515,$A88,'様式2-2(実績排出量）'!$H$16:$H$515,"特種車*",'様式2-2(実績排出量）'!$J$16:$J$515,"&gt;1700",'様式2-2(実績排出量）'!$J$16:$J$515,"&lt;=2500",'様式2-2(実績排出量）'!$T$16:$T$515,"*廃止")</f>
        <v>0</v>
      </c>
      <c r="T88" s="328">
        <f>COUNTIFS('様式2-2(実績排出量）'!$B$16:$B$515,$A88,'様式2-2(実績排出量）'!$H$16:$H$515,"特種車*",'様式2-2(実績排出量）'!$J$16:$J$515,"&gt;2500",'様式2-2(実績排出量）'!$J$16:$J$515,"&lt;=3500",'様式2-2(実績排出量）'!$T$16:$T$515,"*廃止")</f>
        <v>0</v>
      </c>
      <c r="U88" s="328">
        <f>COUNTIFS('様式2-2(実績排出量）'!$B$16:$B$515,$A88,'様式2-2(実績排出量）'!$H$16:$H$515,"特種車*",'様式2-2(実績排出量）'!$J$16:$J$515,"&gt;3500",'様式2-2(実績排出量）'!$T$16:$T$515,"*廃止")</f>
        <v>0</v>
      </c>
      <c r="V88" s="328">
        <f>COUNTIFS('様式2-2(実績排出量）'!$B$16:$B$515,$A88,'様式2-2(実績排出量）'!$H$16:$H$515,"乗用車*",'様式2-2(実績排出量）'!$T$16:$T$515,"*廃止")</f>
        <v>0</v>
      </c>
      <c r="W88" s="327"/>
    </row>
    <row r="89" spans="1:23" ht="13.75" hidden="1" customHeight="1">
      <c r="A89" s="157">
        <v>19</v>
      </c>
      <c r="B89" s="327">
        <f>COUNTIFS('様式2-2(実績排出量）'!$B$16:$B$515,$A89,'様式2-2(実績排出量）'!$H$16:$H$515,"普通貨物車",'様式2-2(実績排出量）'!$J$16:$J$515,"&lt;=1700",'様式2-2(実績排出量）'!$T$16:$T$515,"*廃止")</f>
        <v>0</v>
      </c>
      <c r="C89" s="327">
        <f>COUNTIFS('様式2-2(実績排出量）'!$B$16:$B$515,$A89,'様式2-2(実績排出量）'!$H$16:$H$515,"普通貨物車",'様式2-2(実績排出量）'!$J$16:$J$515,"&gt;1700",'様式2-2(実績排出量）'!$J$16:$J$515,"&lt;=2500",'様式2-2(実績排出量）'!$T$16:$T$515,"*廃止")</f>
        <v>0</v>
      </c>
      <c r="D89" s="327">
        <f>COUNTIFS('様式2-2(実績排出量）'!$B$16:$B$515,$A89,'様式2-2(実績排出量）'!$H$16:$H$515,"普通貨物車",'様式2-2(実績排出量）'!$J$16:$J$515,"&gt;2500",'様式2-2(実績排出量）'!$J$16:$J$515,"&lt;=3500",'様式2-2(実績排出量）'!$T$16:$T$515,"*廃止")</f>
        <v>0</v>
      </c>
      <c r="E89" s="327">
        <f>COUNTIFS('様式2-2(実績排出量）'!$B$16:$B$515,$A89,'様式2-2(実績排出量）'!$H$16:$H$515,"普通貨物車",'様式2-2(実績排出量）'!$J$16:$J$515,"&gt;3500",'様式2-2(実績排出量）'!$T$16:$T$515,"*廃止")</f>
        <v>0</v>
      </c>
      <c r="F89" s="328">
        <f>COUNTIFS('様式2-2(実績排出量）'!$B$16:$B$515,$A89,'様式2-2(実績排出量）'!$H$16:$H$515,"小型貨物車",'様式2-2(実績排出量）'!$J$16:$J$515,"&lt;=1700",'様式2-2(実績排出量）'!$T$16:$T$515,"*廃止")</f>
        <v>0</v>
      </c>
      <c r="G89" s="328">
        <f>COUNTIFS('様式2-2(実績排出量）'!$B$16:$B$515,$A89,'様式2-2(実績排出量）'!$H$16:$H$515,"小型貨物車",'様式2-2(実績排出量）'!$J$16:$J$515,"&gt;1700",'様式2-2(実績排出量）'!$J$16:$J$515,"&lt;=2500",'様式2-2(実績排出量）'!$T$16:$T$515,"*廃止")</f>
        <v>0</v>
      </c>
      <c r="H89" s="328">
        <f>COUNTIFS('様式2-2(実績排出量）'!$B$16:$B$515,$A89,'様式2-2(実績排出量）'!$H$16:$H$515,"小型貨物車",'様式2-2(実績排出量）'!$J$16:$J$515,"&gt;2500",'様式2-2(実績排出量）'!$J$16:$J$515,"&lt;=3500",'様式2-2(実績排出量）'!$T$16:$T$515,"*廃止")</f>
        <v>0</v>
      </c>
      <c r="I89" s="328">
        <f>COUNTIFS('様式2-2(実績排出量）'!$B$16:$B$515,$A89,'様式2-2(実績排出量）'!$H$16:$H$515,"小型貨物車",'様式2-2(実績排出量）'!$J$16:$J$515,"&gt;3500",'様式2-2(実績排出量）'!$T$16:$T$515,"*廃止")</f>
        <v>0</v>
      </c>
      <c r="J89" s="328">
        <f>COUNTIFS('様式2-2(実績排出量）'!$B$16:$B$515,$A89,'様式2-2(実績排出量）'!$H$16:$H$515,"大型バス",'様式2-2(実績排出量）'!$J$16:$J$515,"&lt;=1700",'様式2-2(実績排出量）'!$T$16:$T$515,"*廃止")</f>
        <v>0</v>
      </c>
      <c r="K89" s="328">
        <f>COUNTIFS('様式2-2(実績排出量）'!$B$16:$B$515,$A89,'様式2-2(実績排出量）'!$H$16:$H$515,"大型バス",'様式2-2(実績排出量）'!$J$16:$J$515,"&gt;1700",'様式2-2(実績排出量）'!$J$16:$J$515,"&lt;=2500",'様式2-2(実績排出量）'!$T$16:$T$515,"*廃止")</f>
        <v>0</v>
      </c>
      <c r="L89" s="328">
        <f>COUNTIFS('様式2-2(実績排出量）'!$B$16:$B$515,$A89,'様式2-2(実績排出量）'!$H$16:$H$515,"大型バス",'様式2-2(実績排出量）'!$J$16:$J$515,"&gt;2500",'様式2-2(実績排出量）'!$J$16:$J$515,"&lt;=3500",'様式2-2(実績排出量）'!$T$16:$T$515,"*廃止")</f>
        <v>0</v>
      </c>
      <c r="M89" s="328">
        <f>COUNTIFS('様式2-2(実績排出量）'!$B$16:$B$515,$A89,'様式2-2(実績排出量）'!$H$16:$H$515,"大型バス",'様式2-2(実績排出量）'!$J$16:$J$515,"&gt;3500",'様式2-2(実績排出量）'!$T$16:$T$515,"*廃止")</f>
        <v>0</v>
      </c>
      <c r="N89" s="328">
        <f>COUNTIFS('様式2-2(実績排出量）'!$B$16:$B$515,$A89,'様式2-2(実績排出量）'!$H$16:$H$515,"マイクロバス",'様式2-2(実績排出量）'!$J$16:$J$515,"&lt;=1700",'様式2-2(実績排出量）'!$T$16:$T$515,"*廃止")</f>
        <v>0</v>
      </c>
      <c r="O89" s="328">
        <f>COUNTIFS('様式2-2(実績排出量）'!$B$16:$B$515,$A89,'様式2-2(実績排出量）'!$H$16:$H$515,"マイクロバス",'様式2-2(実績排出量）'!$J$16:$J$515,"&gt;1700",'様式2-2(実績排出量）'!$J$16:$J$515,"&lt;=2500",'様式2-2(実績排出量）'!$T$16:$T$515,"*廃止")</f>
        <v>0</v>
      </c>
      <c r="P89" s="328">
        <f>COUNTIFS('様式2-2(実績排出量）'!$B$16:$B$515,$A89,'様式2-2(実績排出量）'!$H$16:$H$515,"マイクロバス",'様式2-2(実績排出量）'!$J$16:$J$515,"&gt;2500",'様式2-2(実績排出量）'!$J$16:$J$515,"&lt;=3500",'様式2-2(実績排出量）'!$T$16:$T$515,"*廃止")</f>
        <v>0</v>
      </c>
      <c r="Q89" s="328">
        <f>COUNTIFS('様式2-2(実績排出量）'!$B$16:$B$515,$A89,'様式2-2(実績排出量）'!$H$16:$H$515,"マイクロバス",'様式2-2(実績排出量）'!$J$16:$J$515,"&gt;3500",'様式2-2(実績排出量）'!$T$16:$T$515,"*廃止")</f>
        <v>0</v>
      </c>
      <c r="R89" s="328">
        <f>COUNTIFS('様式2-2(実績排出量）'!$B$16:$B$515,$A89,'様式2-2(実績排出量）'!$H$16:$H$515,"特種車*",'様式2-2(実績排出量）'!$J$16:$J$515,"&lt;=1700",'様式2-2(実績排出量）'!$T$16:$T$515,"*廃止")</f>
        <v>0</v>
      </c>
      <c r="S89" s="328">
        <f>COUNTIFS('様式2-2(実績排出量）'!$B$16:$B$515,$A89,'様式2-2(実績排出量）'!$H$16:$H$515,"特種車*",'様式2-2(実績排出量）'!$J$16:$J$515,"&gt;1700",'様式2-2(実績排出量）'!$J$16:$J$515,"&lt;=2500",'様式2-2(実績排出量）'!$T$16:$T$515,"*廃止")</f>
        <v>0</v>
      </c>
      <c r="T89" s="328">
        <f>COUNTIFS('様式2-2(実績排出量）'!$B$16:$B$515,$A89,'様式2-2(実績排出量）'!$H$16:$H$515,"特種車*",'様式2-2(実績排出量）'!$J$16:$J$515,"&gt;2500",'様式2-2(実績排出量）'!$J$16:$J$515,"&lt;=3500",'様式2-2(実績排出量）'!$T$16:$T$515,"*廃止")</f>
        <v>0</v>
      </c>
      <c r="U89" s="328">
        <f>COUNTIFS('様式2-2(実績排出量）'!$B$16:$B$515,$A89,'様式2-2(実績排出量）'!$H$16:$H$515,"特種車*",'様式2-2(実績排出量）'!$J$16:$J$515,"&gt;3500",'様式2-2(実績排出量）'!$T$16:$T$515,"*廃止")</f>
        <v>0</v>
      </c>
      <c r="V89" s="328">
        <f>COUNTIFS('様式2-2(実績排出量）'!$B$16:$B$515,$A89,'様式2-2(実績排出量）'!$H$16:$H$515,"乗用車*",'様式2-2(実績排出量）'!$T$16:$T$515,"*廃止")</f>
        <v>0</v>
      </c>
      <c r="W89" s="327"/>
    </row>
    <row r="90" spans="1:23" ht="13.75" hidden="1" customHeight="1">
      <c r="A90" s="157">
        <v>20</v>
      </c>
      <c r="B90" s="327">
        <f>COUNTIFS('様式2-2(実績排出量）'!$B$16:$B$515,$A90,'様式2-2(実績排出量）'!$H$16:$H$515,"普通貨物車",'様式2-2(実績排出量）'!$J$16:$J$515,"&lt;=1700",'様式2-2(実績排出量）'!$T$16:$T$515,"*廃止")</f>
        <v>0</v>
      </c>
      <c r="C90" s="327">
        <f>COUNTIFS('様式2-2(実績排出量）'!$B$16:$B$515,$A90,'様式2-2(実績排出量）'!$H$16:$H$515,"普通貨物車",'様式2-2(実績排出量）'!$J$16:$J$515,"&gt;1700",'様式2-2(実績排出量）'!$J$16:$J$515,"&lt;=2500",'様式2-2(実績排出量）'!$T$16:$T$515,"*廃止")</f>
        <v>0</v>
      </c>
      <c r="D90" s="327">
        <f>COUNTIFS('様式2-2(実績排出量）'!$B$16:$B$515,$A90,'様式2-2(実績排出量）'!$H$16:$H$515,"普通貨物車",'様式2-2(実績排出量）'!$J$16:$J$515,"&gt;2500",'様式2-2(実績排出量）'!$J$16:$J$515,"&lt;=3500",'様式2-2(実績排出量）'!$T$16:$T$515,"*廃止")</f>
        <v>0</v>
      </c>
      <c r="E90" s="327">
        <f>COUNTIFS('様式2-2(実績排出量）'!$B$16:$B$515,$A90,'様式2-2(実績排出量）'!$H$16:$H$515,"普通貨物車",'様式2-2(実績排出量）'!$J$16:$J$515,"&gt;3500",'様式2-2(実績排出量）'!$T$16:$T$515,"*廃止")</f>
        <v>0</v>
      </c>
      <c r="F90" s="328">
        <f>COUNTIFS('様式2-2(実績排出量）'!$B$16:$B$515,$A90,'様式2-2(実績排出量）'!$H$16:$H$515,"小型貨物車",'様式2-2(実績排出量）'!$J$16:$J$515,"&lt;=1700",'様式2-2(実績排出量）'!$T$16:$T$515,"*廃止")</f>
        <v>0</v>
      </c>
      <c r="G90" s="328">
        <f>COUNTIFS('様式2-2(実績排出量）'!$B$16:$B$515,$A90,'様式2-2(実績排出量）'!$H$16:$H$515,"小型貨物車",'様式2-2(実績排出量）'!$J$16:$J$515,"&gt;1700",'様式2-2(実績排出量）'!$J$16:$J$515,"&lt;=2500",'様式2-2(実績排出量）'!$T$16:$T$515,"*廃止")</f>
        <v>0</v>
      </c>
      <c r="H90" s="328">
        <f>COUNTIFS('様式2-2(実績排出量）'!$B$16:$B$515,$A90,'様式2-2(実績排出量）'!$H$16:$H$515,"小型貨物車",'様式2-2(実績排出量）'!$J$16:$J$515,"&gt;2500",'様式2-2(実績排出量）'!$J$16:$J$515,"&lt;=3500",'様式2-2(実績排出量）'!$T$16:$T$515,"*廃止")</f>
        <v>0</v>
      </c>
      <c r="I90" s="328">
        <f>COUNTIFS('様式2-2(実績排出量）'!$B$16:$B$515,$A90,'様式2-2(実績排出量）'!$H$16:$H$515,"小型貨物車",'様式2-2(実績排出量）'!$J$16:$J$515,"&gt;3500",'様式2-2(実績排出量）'!$T$16:$T$515,"*廃止")</f>
        <v>0</v>
      </c>
      <c r="J90" s="328">
        <f>COUNTIFS('様式2-2(実績排出量）'!$B$16:$B$515,$A90,'様式2-2(実績排出量）'!$H$16:$H$515,"大型バス",'様式2-2(実績排出量）'!$J$16:$J$515,"&lt;=1700",'様式2-2(実績排出量）'!$T$16:$T$515,"*廃止")</f>
        <v>0</v>
      </c>
      <c r="K90" s="328">
        <f>COUNTIFS('様式2-2(実績排出量）'!$B$16:$B$515,$A90,'様式2-2(実績排出量）'!$H$16:$H$515,"大型バス",'様式2-2(実績排出量）'!$J$16:$J$515,"&gt;1700",'様式2-2(実績排出量）'!$J$16:$J$515,"&lt;=2500",'様式2-2(実績排出量）'!$T$16:$T$515,"*廃止")</f>
        <v>0</v>
      </c>
      <c r="L90" s="328">
        <f>COUNTIFS('様式2-2(実績排出量）'!$B$16:$B$515,$A90,'様式2-2(実績排出量）'!$H$16:$H$515,"大型バス",'様式2-2(実績排出量）'!$J$16:$J$515,"&gt;2500",'様式2-2(実績排出量）'!$J$16:$J$515,"&lt;=3500",'様式2-2(実績排出量）'!$T$16:$T$515,"*廃止")</f>
        <v>0</v>
      </c>
      <c r="M90" s="328">
        <f>COUNTIFS('様式2-2(実績排出量）'!$B$16:$B$515,$A90,'様式2-2(実績排出量）'!$H$16:$H$515,"大型バス",'様式2-2(実績排出量）'!$J$16:$J$515,"&gt;3500",'様式2-2(実績排出量）'!$T$16:$T$515,"*廃止")</f>
        <v>0</v>
      </c>
      <c r="N90" s="328">
        <f>COUNTIFS('様式2-2(実績排出量）'!$B$16:$B$515,$A90,'様式2-2(実績排出量）'!$H$16:$H$515,"マイクロバス",'様式2-2(実績排出量）'!$J$16:$J$515,"&lt;=1700",'様式2-2(実績排出量）'!$T$16:$T$515,"*廃止")</f>
        <v>0</v>
      </c>
      <c r="O90" s="328">
        <f>COUNTIFS('様式2-2(実績排出量）'!$B$16:$B$515,$A90,'様式2-2(実績排出量）'!$H$16:$H$515,"マイクロバス",'様式2-2(実績排出量）'!$J$16:$J$515,"&gt;1700",'様式2-2(実績排出量）'!$J$16:$J$515,"&lt;=2500",'様式2-2(実績排出量）'!$T$16:$T$515,"*廃止")</f>
        <v>0</v>
      </c>
      <c r="P90" s="328">
        <f>COUNTIFS('様式2-2(実績排出量）'!$B$16:$B$515,$A90,'様式2-2(実績排出量）'!$H$16:$H$515,"マイクロバス",'様式2-2(実績排出量）'!$J$16:$J$515,"&gt;2500",'様式2-2(実績排出量）'!$J$16:$J$515,"&lt;=3500",'様式2-2(実績排出量）'!$T$16:$T$515,"*廃止")</f>
        <v>0</v>
      </c>
      <c r="Q90" s="328">
        <f>COUNTIFS('様式2-2(実績排出量）'!$B$16:$B$515,$A90,'様式2-2(実績排出量）'!$H$16:$H$515,"マイクロバス",'様式2-2(実績排出量）'!$J$16:$J$515,"&gt;3500",'様式2-2(実績排出量）'!$T$16:$T$515,"*廃止")</f>
        <v>0</v>
      </c>
      <c r="R90" s="328">
        <f>COUNTIFS('様式2-2(実績排出量）'!$B$16:$B$515,$A90,'様式2-2(実績排出量）'!$H$16:$H$515,"特種車*",'様式2-2(実績排出量）'!$J$16:$J$515,"&lt;=1700",'様式2-2(実績排出量）'!$T$16:$T$515,"*廃止")</f>
        <v>0</v>
      </c>
      <c r="S90" s="328">
        <f>COUNTIFS('様式2-2(実績排出量）'!$B$16:$B$515,$A90,'様式2-2(実績排出量）'!$H$16:$H$515,"特種車*",'様式2-2(実績排出量）'!$J$16:$J$515,"&gt;1700",'様式2-2(実績排出量）'!$J$16:$J$515,"&lt;=2500",'様式2-2(実績排出量）'!$T$16:$T$515,"*廃止")</f>
        <v>0</v>
      </c>
      <c r="T90" s="328">
        <f>COUNTIFS('様式2-2(実績排出量）'!$B$16:$B$515,$A90,'様式2-2(実績排出量）'!$H$16:$H$515,"特種車*",'様式2-2(実績排出量）'!$J$16:$J$515,"&gt;2500",'様式2-2(実績排出量）'!$J$16:$J$515,"&lt;=3500",'様式2-2(実績排出量）'!$T$16:$T$515,"*廃止")</f>
        <v>0</v>
      </c>
      <c r="U90" s="328">
        <f>COUNTIFS('様式2-2(実績排出量）'!$B$16:$B$515,$A90,'様式2-2(実績排出量）'!$H$16:$H$515,"特種車*",'様式2-2(実績排出量）'!$J$16:$J$515,"&gt;3500",'様式2-2(実績排出量）'!$T$16:$T$515,"*廃止")</f>
        <v>0</v>
      </c>
      <c r="V90" s="328">
        <f>COUNTIFS('様式2-2(実績排出量）'!$B$16:$B$515,$A90,'様式2-2(実績排出量）'!$H$16:$H$515,"乗用車*",'様式2-2(実績排出量）'!$T$16:$T$515,"*廃止")</f>
        <v>0</v>
      </c>
      <c r="W90" s="327"/>
    </row>
    <row r="91" spans="1:23" ht="13.75" hidden="1" customHeight="1">
      <c r="A91" s="157">
        <v>21</v>
      </c>
      <c r="B91" s="327">
        <f>COUNTIFS('様式2-2(実績排出量）'!$B$16:$B$515,$A91,'様式2-2(実績排出量）'!$H$16:$H$515,"普通貨物車",'様式2-2(実績排出量）'!$J$16:$J$515,"&lt;=1700",'様式2-2(実績排出量）'!$T$16:$T$515,"*廃止")</f>
        <v>0</v>
      </c>
      <c r="C91" s="327">
        <f>COUNTIFS('様式2-2(実績排出量）'!$B$16:$B$515,$A91,'様式2-2(実績排出量）'!$H$16:$H$515,"普通貨物車",'様式2-2(実績排出量）'!$J$16:$J$515,"&gt;1700",'様式2-2(実績排出量）'!$J$16:$J$515,"&lt;=2500",'様式2-2(実績排出量）'!$T$16:$T$515,"*廃止")</f>
        <v>0</v>
      </c>
      <c r="D91" s="327">
        <f>COUNTIFS('様式2-2(実績排出量）'!$B$16:$B$515,$A91,'様式2-2(実績排出量）'!$H$16:$H$515,"普通貨物車",'様式2-2(実績排出量）'!$J$16:$J$515,"&gt;2500",'様式2-2(実績排出量）'!$J$16:$J$515,"&lt;=3500",'様式2-2(実績排出量）'!$T$16:$T$515,"*廃止")</f>
        <v>0</v>
      </c>
      <c r="E91" s="327">
        <f>COUNTIFS('様式2-2(実績排出量）'!$B$16:$B$515,$A91,'様式2-2(実績排出量）'!$H$16:$H$515,"普通貨物車",'様式2-2(実績排出量）'!$J$16:$J$515,"&gt;3500",'様式2-2(実績排出量）'!$T$16:$T$515,"*廃止")</f>
        <v>0</v>
      </c>
      <c r="F91" s="328">
        <f>COUNTIFS('様式2-2(実績排出量）'!$B$16:$B$515,$A91,'様式2-2(実績排出量）'!$H$16:$H$515,"小型貨物車",'様式2-2(実績排出量）'!$J$16:$J$515,"&lt;=1700",'様式2-2(実績排出量）'!$T$16:$T$515,"*廃止")</f>
        <v>0</v>
      </c>
      <c r="G91" s="328">
        <f>COUNTIFS('様式2-2(実績排出量）'!$B$16:$B$515,$A91,'様式2-2(実績排出量）'!$H$16:$H$515,"小型貨物車",'様式2-2(実績排出量）'!$J$16:$J$515,"&gt;1700",'様式2-2(実績排出量）'!$J$16:$J$515,"&lt;=2500",'様式2-2(実績排出量）'!$T$16:$T$515,"*廃止")</f>
        <v>0</v>
      </c>
      <c r="H91" s="328">
        <f>COUNTIFS('様式2-2(実績排出量）'!$B$16:$B$515,$A91,'様式2-2(実績排出量）'!$H$16:$H$515,"小型貨物車",'様式2-2(実績排出量）'!$J$16:$J$515,"&gt;2500",'様式2-2(実績排出量）'!$J$16:$J$515,"&lt;=3500",'様式2-2(実績排出量）'!$T$16:$T$515,"*廃止")</f>
        <v>0</v>
      </c>
      <c r="I91" s="328">
        <f>COUNTIFS('様式2-2(実績排出量）'!$B$16:$B$515,$A91,'様式2-2(実績排出量）'!$H$16:$H$515,"小型貨物車",'様式2-2(実績排出量）'!$J$16:$J$515,"&gt;3500",'様式2-2(実績排出量）'!$T$16:$T$515,"*廃止")</f>
        <v>0</v>
      </c>
      <c r="J91" s="328">
        <f>COUNTIFS('様式2-2(実績排出量）'!$B$16:$B$515,$A91,'様式2-2(実績排出量）'!$H$16:$H$515,"大型バス",'様式2-2(実績排出量）'!$J$16:$J$515,"&lt;=1700",'様式2-2(実績排出量）'!$T$16:$T$515,"*廃止")</f>
        <v>0</v>
      </c>
      <c r="K91" s="328">
        <f>COUNTIFS('様式2-2(実績排出量）'!$B$16:$B$515,$A91,'様式2-2(実績排出量）'!$H$16:$H$515,"大型バス",'様式2-2(実績排出量）'!$J$16:$J$515,"&gt;1700",'様式2-2(実績排出量）'!$J$16:$J$515,"&lt;=2500",'様式2-2(実績排出量）'!$T$16:$T$515,"*廃止")</f>
        <v>0</v>
      </c>
      <c r="L91" s="328">
        <f>COUNTIFS('様式2-2(実績排出量）'!$B$16:$B$515,$A91,'様式2-2(実績排出量）'!$H$16:$H$515,"大型バス",'様式2-2(実績排出量）'!$J$16:$J$515,"&gt;2500",'様式2-2(実績排出量）'!$J$16:$J$515,"&lt;=3500",'様式2-2(実績排出量）'!$T$16:$T$515,"*廃止")</f>
        <v>0</v>
      </c>
      <c r="M91" s="328">
        <f>COUNTIFS('様式2-2(実績排出量）'!$B$16:$B$515,$A91,'様式2-2(実績排出量）'!$H$16:$H$515,"大型バス",'様式2-2(実績排出量）'!$J$16:$J$515,"&gt;3500",'様式2-2(実績排出量）'!$T$16:$T$515,"*廃止")</f>
        <v>0</v>
      </c>
      <c r="N91" s="328">
        <f>COUNTIFS('様式2-2(実績排出量）'!$B$16:$B$515,$A91,'様式2-2(実績排出量）'!$H$16:$H$515,"マイクロバス",'様式2-2(実績排出量）'!$J$16:$J$515,"&lt;=1700",'様式2-2(実績排出量）'!$T$16:$T$515,"*廃止")</f>
        <v>0</v>
      </c>
      <c r="O91" s="328">
        <f>COUNTIFS('様式2-2(実績排出量）'!$B$16:$B$515,$A91,'様式2-2(実績排出量）'!$H$16:$H$515,"マイクロバス",'様式2-2(実績排出量）'!$J$16:$J$515,"&gt;1700",'様式2-2(実績排出量）'!$J$16:$J$515,"&lt;=2500",'様式2-2(実績排出量）'!$T$16:$T$515,"*廃止")</f>
        <v>0</v>
      </c>
      <c r="P91" s="328">
        <f>COUNTIFS('様式2-2(実績排出量）'!$B$16:$B$515,$A91,'様式2-2(実績排出量）'!$H$16:$H$515,"マイクロバス",'様式2-2(実績排出量）'!$J$16:$J$515,"&gt;2500",'様式2-2(実績排出量）'!$J$16:$J$515,"&lt;=3500",'様式2-2(実績排出量）'!$T$16:$T$515,"*廃止")</f>
        <v>0</v>
      </c>
      <c r="Q91" s="328">
        <f>COUNTIFS('様式2-2(実績排出量）'!$B$16:$B$515,$A91,'様式2-2(実績排出量）'!$H$16:$H$515,"マイクロバス",'様式2-2(実績排出量）'!$J$16:$J$515,"&gt;3500",'様式2-2(実績排出量）'!$T$16:$T$515,"*廃止")</f>
        <v>0</v>
      </c>
      <c r="R91" s="328">
        <f>COUNTIFS('様式2-2(実績排出量）'!$B$16:$B$515,$A91,'様式2-2(実績排出量）'!$H$16:$H$515,"特種車*",'様式2-2(実績排出量）'!$J$16:$J$515,"&lt;=1700",'様式2-2(実績排出量）'!$T$16:$T$515,"*廃止")</f>
        <v>0</v>
      </c>
      <c r="S91" s="328">
        <f>COUNTIFS('様式2-2(実績排出量）'!$B$16:$B$515,$A91,'様式2-2(実績排出量）'!$H$16:$H$515,"特種車*",'様式2-2(実績排出量）'!$J$16:$J$515,"&gt;1700",'様式2-2(実績排出量）'!$J$16:$J$515,"&lt;=2500",'様式2-2(実績排出量）'!$T$16:$T$515,"*廃止")</f>
        <v>0</v>
      </c>
      <c r="T91" s="328">
        <f>COUNTIFS('様式2-2(実績排出量）'!$B$16:$B$515,$A91,'様式2-2(実績排出量）'!$H$16:$H$515,"特種車*",'様式2-2(実績排出量）'!$J$16:$J$515,"&gt;2500",'様式2-2(実績排出量）'!$J$16:$J$515,"&lt;=3500",'様式2-2(実績排出量）'!$T$16:$T$515,"*廃止")</f>
        <v>0</v>
      </c>
      <c r="U91" s="328">
        <f>COUNTIFS('様式2-2(実績排出量）'!$B$16:$B$515,$A91,'様式2-2(実績排出量）'!$H$16:$H$515,"特種車*",'様式2-2(実績排出量）'!$J$16:$J$515,"&gt;3500",'様式2-2(実績排出量）'!$T$16:$T$515,"*廃止")</f>
        <v>0</v>
      </c>
      <c r="V91" s="328">
        <f>COUNTIFS('様式2-2(実績排出量）'!$B$16:$B$515,$A91,'様式2-2(実績排出量）'!$H$16:$H$515,"乗用車*",'様式2-2(実績排出量）'!$T$16:$T$515,"*廃止")</f>
        <v>0</v>
      </c>
      <c r="W91" s="327"/>
    </row>
    <row r="92" spans="1:23" ht="13.75" hidden="1" customHeight="1">
      <c r="A92" s="157">
        <v>22</v>
      </c>
      <c r="B92" s="327">
        <f>COUNTIFS('様式2-2(実績排出量）'!$B$16:$B$515,$A92,'様式2-2(実績排出量）'!$H$16:$H$515,"普通貨物車",'様式2-2(実績排出量）'!$J$16:$J$515,"&lt;=1700",'様式2-2(実績排出量）'!$T$16:$T$515,"*廃止")</f>
        <v>0</v>
      </c>
      <c r="C92" s="327">
        <f>COUNTIFS('様式2-2(実績排出量）'!$B$16:$B$515,$A92,'様式2-2(実績排出量）'!$H$16:$H$515,"普通貨物車",'様式2-2(実績排出量）'!$J$16:$J$515,"&gt;1700",'様式2-2(実績排出量）'!$J$16:$J$515,"&lt;=2500",'様式2-2(実績排出量）'!$T$16:$T$515,"*廃止")</f>
        <v>0</v>
      </c>
      <c r="D92" s="327">
        <f>COUNTIFS('様式2-2(実績排出量）'!$B$16:$B$515,$A92,'様式2-2(実績排出量）'!$H$16:$H$515,"普通貨物車",'様式2-2(実績排出量）'!$J$16:$J$515,"&gt;2500",'様式2-2(実績排出量）'!$J$16:$J$515,"&lt;=3500",'様式2-2(実績排出量）'!$T$16:$T$515,"*廃止")</f>
        <v>0</v>
      </c>
      <c r="E92" s="327">
        <f>COUNTIFS('様式2-2(実績排出量）'!$B$16:$B$515,$A92,'様式2-2(実績排出量）'!$H$16:$H$515,"普通貨物車",'様式2-2(実績排出量）'!$J$16:$J$515,"&gt;3500",'様式2-2(実績排出量）'!$T$16:$T$515,"*廃止")</f>
        <v>0</v>
      </c>
      <c r="F92" s="328">
        <f>COUNTIFS('様式2-2(実績排出量）'!$B$16:$B$515,$A92,'様式2-2(実績排出量）'!$H$16:$H$515,"小型貨物車",'様式2-2(実績排出量）'!$J$16:$J$515,"&lt;=1700",'様式2-2(実績排出量）'!$T$16:$T$515,"*廃止")</f>
        <v>0</v>
      </c>
      <c r="G92" s="328">
        <f>COUNTIFS('様式2-2(実績排出量）'!$B$16:$B$515,$A92,'様式2-2(実績排出量）'!$H$16:$H$515,"小型貨物車",'様式2-2(実績排出量）'!$J$16:$J$515,"&gt;1700",'様式2-2(実績排出量）'!$J$16:$J$515,"&lt;=2500",'様式2-2(実績排出量）'!$T$16:$T$515,"*廃止")</f>
        <v>0</v>
      </c>
      <c r="H92" s="328">
        <f>COUNTIFS('様式2-2(実績排出量）'!$B$16:$B$515,$A92,'様式2-2(実績排出量）'!$H$16:$H$515,"小型貨物車",'様式2-2(実績排出量）'!$J$16:$J$515,"&gt;2500",'様式2-2(実績排出量）'!$J$16:$J$515,"&lt;=3500",'様式2-2(実績排出量）'!$T$16:$T$515,"*廃止")</f>
        <v>0</v>
      </c>
      <c r="I92" s="328">
        <f>COUNTIFS('様式2-2(実績排出量）'!$B$16:$B$515,$A92,'様式2-2(実績排出量）'!$H$16:$H$515,"小型貨物車",'様式2-2(実績排出量）'!$J$16:$J$515,"&gt;3500",'様式2-2(実績排出量）'!$T$16:$T$515,"*廃止")</f>
        <v>0</v>
      </c>
      <c r="J92" s="328">
        <f>COUNTIFS('様式2-2(実績排出量）'!$B$16:$B$515,$A92,'様式2-2(実績排出量）'!$H$16:$H$515,"大型バス",'様式2-2(実績排出量）'!$J$16:$J$515,"&lt;=1700",'様式2-2(実績排出量）'!$T$16:$T$515,"*廃止")</f>
        <v>0</v>
      </c>
      <c r="K92" s="328">
        <f>COUNTIFS('様式2-2(実績排出量）'!$B$16:$B$515,$A92,'様式2-2(実績排出量）'!$H$16:$H$515,"大型バス",'様式2-2(実績排出量）'!$J$16:$J$515,"&gt;1700",'様式2-2(実績排出量）'!$J$16:$J$515,"&lt;=2500",'様式2-2(実績排出量）'!$T$16:$T$515,"*廃止")</f>
        <v>0</v>
      </c>
      <c r="L92" s="328">
        <f>COUNTIFS('様式2-2(実績排出量）'!$B$16:$B$515,$A92,'様式2-2(実績排出量）'!$H$16:$H$515,"大型バス",'様式2-2(実績排出量）'!$J$16:$J$515,"&gt;2500",'様式2-2(実績排出量）'!$J$16:$J$515,"&lt;=3500",'様式2-2(実績排出量）'!$T$16:$T$515,"*廃止")</f>
        <v>0</v>
      </c>
      <c r="M92" s="328">
        <f>COUNTIFS('様式2-2(実績排出量）'!$B$16:$B$515,$A92,'様式2-2(実績排出量）'!$H$16:$H$515,"大型バス",'様式2-2(実績排出量）'!$J$16:$J$515,"&gt;3500",'様式2-2(実績排出量）'!$T$16:$T$515,"*廃止")</f>
        <v>0</v>
      </c>
      <c r="N92" s="328">
        <f>COUNTIFS('様式2-2(実績排出量）'!$B$16:$B$515,$A92,'様式2-2(実績排出量）'!$H$16:$H$515,"マイクロバス",'様式2-2(実績排出量）'!$J$16:$J$515,"&lt;=1700",'様式2-2(実績排出量）'!$T$16:$T$515,"*廃止")</f>
        <v>0</v>
      </c>
      <c r="O92" s="328">
        <f>COUNTIFS('様式2-2(実績排出量）'!$B$16:$B$515,$A92,'様式2-2(実績排出量）'!$H$16:$H$515,"マイクロバス",'様式2-2(実績排出量）'!$J$16:$J$515,"&gt;1700",'様式2-2(実績排出量）'!$J$16:$J$515,"&lt;=2500",'様式2-2(実績排出量）'!$T$16:$T$515,"*廃止")</f>
        <v>0</v>
      </c>
      <c r="P92" s="328">
        <f>COUNTIFS('様式2-2(実績排出量）'!$B$16:$B$515,$A92,'様式2-2(実績排出量）'!$H$16:$H$515,"マイクロバス",'様式2-2(実績排出量）'!$J$16:$J$515,"&gt;2500",'様式2-2(実績排出量）'!$J$16:$J$515,"&lt;=3500",'様式2-2(実績排出量）'!$T$16:$T$515,"*廃止")</f>
        <v>0</v>
      </c>
      <c r="Q92" s="328">
        <f>COUNTIFS('様式2-2(実績排出量）'!$B$16:$B$515,$A92,'様式2-2(実績排出量）'!$H$16:$H$515,"マイクロバス",'様式2-2(実績排出量）'!$J$16:$J$515,"&gt;3500",'様式2-2(実績排出量）'!$T$16:$T$515,"*廃止")</f>
        <v>0</v>
      </c>
      <c r="R92" s="328">
        <f>COUNTIFS('様式2-2(実績排出量）'!$B$16:$B$515,$A92,'様式2-2(実績排出量）'!$H$16:$H$515,"特種車*",'様式2-2(実績排出量）'!$J$16:$J$515,"&lt;=1700",'様式2-2(実績排出量）'!$T$16:$T$515,"*廃止")</f>
        <v>0</v>
      </c>
      <c r="S92" s="328">
        <f>COUNTIFS('様式2-2(実績排出量）'!$B$16:$B$515,$A92,'様式2-2(実績排出量）'!$H$16:$H$515,"特種車*",'様式2-2(実績排出量）'!$J$16:$J$515,"&gt;1700",'様式2-2(実績排出量）'!$J$16:$J$515,"&lt;=2500",'様式2-2(実績排出量）'!$T$16:$T$515,"*廃止")</f>
        <v>0</v>
      </c>
      <c r="T92" s="328">
        <f>COUNTIFS('様式2-2(実績排出量）'!$B$16:$B$515,$A92,'様式2-2(実績排出量）'!$H$16:$H$515,"特種車*",'様式2-2(実績排出量）'!$J$16:$J$515,"&gt;2500",'様式2-2(実績排出量）'!$J$16:$J$515,"&lt;=3500",'様式2-2(実績排出量）'!$T$16:$T$515,"*廃止")</f>
        <v>0</v>
      </c>
      <c r="U92" s="328">
        <f>COUNTIFS('様式2-2(実績排出量）'!$B$16:$B$515,$A92,'様式2-2(実績排出量）'!$H$16:$H$515,"特種車*",'様式2-2(実績排出量）'!$J$16:$J$515,"&gt;3500",'様式2-2(実績排出量）'!$T$16:$T$515,"*廃止")</f>
        <v>0</v>
      </c>
      <c r="V92" s="328">
        <f>COUNTIFS('様式2-2(実績排出量）'!$B$16:$B$515,$A92,'様式2-2(実績排出量）'!$H$16:$H$515,"乗用車*",'様式2-2(実績排出量）'!$T$16:$T$515,"*廃止")</f>
        <v>0</v>
      </c>
      <c r="W92" s="327"/>
    </row>
    <row r="93" spans="1:23" ht="13.75" hidden="1" customHeight="1">
      <c r="A93" s="157">
        <v>23</v>
      </c>
      <c r="B93" s="327">
        <f>COUNTIFS('様式2-2(実績排出量）'!$B$16:$B$515,$A93,'様式2-2(実績排出量）'!$H$16:$H$515,"普通貨物車",'様式2-2(実績排出量）'!$J$16:$J$515,"&lt;=1700",'様式2-2(実績排出量）'!$T$16:$T$515,"*廃止")</f>
        <v>0</v>
      </c>
      <c r="C93" s="327">
        <f>COUNTIFS('様式2-2(実績排出量）'!$B$16:$B$515,$A93,'様式2-2(実績排出量）'!$H$16:$H$515,"普通貨物車",'様式2-2(実績排出量）'!$J$16:$J$515,"&gt;1700",'様式2-2(実績排出量）'!$J$16:$J$515,"&lt;=2500",'様式2-2(実績排出量）'!$T$16:$T$515,"*廃止")</f>
        <v>0</v>
      </c>
      <c r="D93" s="327">
        <f>COUNTIFS('様式2-2(実績排出量）'!$B$16:$B$515,$A93,'様式2-2(実績排出量）'!$H$16:$H$515,"普通貨物車",'様式2-2(実績排出量）'!$J$16:$J$515,"&gt;2500",'様式2-2(実績排出量）'!$J$16:$J$515,"&lt;=3500",'様式2-2(実績排出量）'!$T$16:$T$515,"*廃止")</f>
        <v>0</v>
      </c>
      <c r="E93" s="327">
        <f>COUNTIFS('様式2-2(実績排出量）'!$B$16:$B$515,$A93,'様式2-2(実績排出量）'!$H$16:$H$515,"普通貨物車",'様式2-2(実績排出量）'!$J$16:$J$515,"&gt;3500",'様式2-2(実績排出量）'!$T$16:$T$515,"*廃止")</f>
        <v>0</v>
      </c>
      <c r="F93" s="328">
        <f>COUNTIFS('様式2-2(実績排出量）'!$B$16:$B$515,$A93,'様式2-2(実績排出量）'!$H$16:$H$515,"小型貨物車",'様式2-2(実績排出量）'!$J$16:$J$515,"&lt;=1700",'様式2-2(実績排出量）'!$T$16:$T$515,"*廃止")</f>
        <v>0</v>
      </c>
      <c r="G93" s="328">
        <f>COUNTIFS('様式2-2(実績排出量）'!$B$16:$B$515,$A93,'様式2-2(実績排出量）'!$H$16:$H$515,"小型貨物車",'様式2-2(実績排出量）'!$J$16:$J$515,"&gt;1700",'様式2-2(実績排出量）'!$J$16:$J$515,"&lt;=2500",'様式2-2(実績排出量）'!$T$16:$T$515,"*廃止")</f>
        <v>0</v>
      </c>
      <c r="H93" s="328">
        <f>COUNTIFS('様式2-2(実績排出量）'!$B$16:$B$515,$A93,'様式2-2(実績排出量）'!$H$16:$H$515,"小型貨物車",'様式2-2(実績排出量）'!$J$16:$J$515,"&gt;2500",'様式2-2(実績排出量）'!$J$16:$J$515,"&lt;=3500",'様式2-2(実績排出量）'!$T$16:$T$515,"*廃止")</f>
        <v>0</v>
      </c>
      <c r="I93" s="328">
        <f>COUNTIFS('様式2-2(実績排出量）'!$B$16:$B$515,$A93,'様式2-2(実績排出量）'!$H$16:$H$515,"小型貨物車",'様式2-2(実績排出量）'!$J$16:$J$515,"&gt;3500",'様式2-2(実績排出量）'!$T$16:$T$515,"*廃止")</f>
        <v>0</v>
      </c>
      <c r="J93" s="328">
        <f>COUNTIFS('様式2-2(実績排出量）'!$B$16:$B$515,$A93,'様式2-2(実績排出量）'!$H$16:$H$515,"大型バス",'様式2-2(実績排出量）'!$J$16:$J$515,"&lt;=1700",'様式2-2(実績排出量）'!$T$16:$T$515,"*廃止")</f>
        <v>0</v>
      </c>
      <c r="K93" s="328">
        <f>COUNTIFS('様式2-2(実績排出量）'!$B$16:$B$515,$A93,'様式2-2(実績排出量）'!$H$16:$H$515,"大型バス",'様式2-2(実績排出量）'!$J$16:$J$515,"&gt;1700",'様式2-2(実績排出量）'!$J$16:$J$515,"&lt;=2500",'様式2-2(実績排出量）'!$T$16:$T$515,"*廃止")</f>
        <v>0</v>
      </c>
      <c r="L93" s="328">
        <f>COUNTIFS('様式2-2(実績排出量）'!$B$16:$B$515,$A93,'様式2-2(実績排出量）'!$H$16:$H$515,"大型バス",'様式2-2(実績排出量）'!$J$16:$J$515,"&gt;2500",'様式2-2(実績排出量）'!$J$16:$J$515,"&lt;=3500",'様式2-2(実績排出量）'!$T$16:$T$515,"*廃止")</f>
        <v>0</v>
      </c>
      <c r="M93" s="328">
        <f>COUNTIFS('様式2-2(実績排出量）'!$B$16:$B$515,$A93,'様式2-2(実績排出量）'!$H$16:$H$515,"大型バス",'様式2-2(実績排出量）'!$J$16:$J$515,"&gt;3500",'様式2-2(実績排出量）'!$T$16:$T$515,"*廃止")</f>
        <v>0</v>
      </c>
      <c r="N93" s="328">
        <f>COUNTIFS('様式2-2(実績排出量）'!$B$16:$B$515,$A93,'様式2-2(実績排出量）'!$H$16:$H$515,"マイクロバス",'様式2-2(実績排出量）'!$J$16:$J$515,"&lt;=1700",'様式2-2(実績排出量）'!$T$16:$T$515,"*廃止")</f>
        <v>0</v>
      </c>
      <c r="O93" s="328">
        <f>COUNTIFS('様式2-2(実績排出量）'!$B$16:$B$515,$A93,'様式2-2(実績排出量）'!$H$16:$H$515,"マイクロバス",'様式2-2(実績排出量）'!$J$16:$J$515,"&gt;1700",'様式2-2(実績排出量）'!$J$16:$J$515,"&lt;=2500",'様式2-2(実績排出量）'!$T$16:$T$515,"*廃止")</f>
        <v>0</v>
      </c>
      <c r="P93" s="328">
        <f>COUNTIFS('様式2-2(実績排出量）'!$B$16:$B$515,$A93,'様式2-2(実績排出量）'!$H$16:$H$515,"マイクロバス",'様式2-2(実績排出量）'!$J$16:$J$515,"&gt;2500",'様式2-2(実績排出量）'!$J$16:$J$515,"&lt;=3500",'様式2-2(実績排出量）'!$T$16:$T$515,"*廃止")</f>
        <v>0</v>
      </c>
      <c r="Q93" s="328">
        <f>COUNTIFS('様式2-2(実績排出量）'!$B$16:$B$515,$A93,'様式2-2(実績排出量）'!$H$16:$H$515,"マイクロバス",'様式2-2(実績排出量）'!$J$16:$J$515,"&gt;3500",'様式2-2(実績排出量）'!$T$16:$T$515,"*廃止")</f>
        <v>0</v>
      </c>
      <c r="R93" s="328">
        <f>COUNTIFS('様式2-2(実績排出量）'!$B$16:$B$515,$A93,'様式2-2(実績排出量）'!$H$16:$H$515,"特種車*",'様式2-2(実績排出量）'!$J$16:$J$515,"&lt;=1700",'様式2-2(実績排出量）'!$T$16:$T$515,"*廃止")</f>
        <v>0</v>
      </c>
      <c r="S93" s="328">
        <f>COUNTIFS('様式2-2(実績排出量）'!$B$16:$B$515,$A93,'様式2-2(実績排出量）'!$H$16:$H$515,"特種車*",'様式2-2(実績排出量）'!$J$16:$J$515,"&gt;1700",'様式2-2(実績排出量）'!$J$16:$J$515,"&lt;=2500",'様式2-2(実績排出量）'!$T$16:$T$515,"*廃止")</f>
        <v>0</v>
      </c>
      <c r="T93" s="328">
        <f>COUNTIFS('様式2-2(実績排出量）'!$B$16:$B$515,$A93,'様式2-2(実績排出量）'!$H$16:$H$515,"特種車*",'様式2-2(実績排出量）'!$J$16:$J$515,"&gt;2500",'様式2-2(実績排出量）'!$J$16:$J$515,"&lt;=3500",'様式2-2(実績排出量）'!$T$16:$T$515,"*廃止")</f>
        <v>0</v>
      </c>
      <c r="U93" s="328">
        <f>COUNTIFS('様式2-2(実績排出量）'!$B$16:$B$515,$A93,'様式2-2(実績排出量）'!$H$16:$H$515,"特種車*",'様式2-2(実績排出量）'!$J$16:$J$515,"&gt;3500",'様式2-2(実績排出量）'!$T$16:$T$515,"*廃止")</f>
        <v>0</v>
      </c>
      <c r="V93" s="328">
        <f>COUNTIFS('様式2-2(実績排出量）'!$B$16:$B$515,$A93,'様式2-2(実績排出量）'!$H$16:$H$515,"乗用車*",'様式2-2(実績排出量）'!$T$16:$T$515,"*廃止")</f>
        <v>0</v>
      </c>
      <c r="W93" s="327"/>
    </row>
    <row r="94" spans="1:23" ht="13.75" hidden="1" customHeight="1">
      <c r="A94" s="157">
        <v>24</v>
      </c>
      <c r="B94" s="327">
        <f>COUNTIFS('様式2-2(実績排出量）'!$B$16:$B$515,$A94,'様式2-2(実績排出量）'!$H$16:$H$515,"普通貨物車",'様式2-2(実績排出量）'!$J$16:$J$515,"&lt;=1700",'様式2-2(実績排出量）'!$T$16:$T$515,"*廃止")</f>
        <v>0</v>
      </c>
      <c r="C94" s="327">
        <f>COUNTIFS('様式2-2(実績排出量）'!$B$16:$B$515,$A94,'様式2-2(実績排出量）'!$H$16:$H$515,"普通貨物車",'様式2-2(実績排出量）'!$J$16:$J$515,"&gt;1700",'様式2-2(実績排出量）'!$J$16:$J$515,"&lt;=2500",'様式2-2(実績排出量）'!$T$16:$T$515,"*廃止")</f>
        <v>0</v>
      </c>
      <c r="D94" s="327">
        <f>COUNTIFS('様式2-2(実績排出量）'!$B$16:$B$515,$A94,'様式2-2(実績排出量）'!$H$16:$H$515,"普通貨物車",'様式2-2(実績排出量）'!$J$16:$J$515,"&gt;2500",'様式2-2(実績排出量）'!$J$16:$J$515,"&lt;=3500",'様式2-2(実績排出量）'!$T$16:$T$515,"*廃止")</f>
        <v>0</v>
      </c>
      <c r="E94" s="327">
        <f>COUNTIFS('様式2-2(実績排出量）'!$B$16:$B$515,$A94,'様式2-2(実績排出量）'!$H$16:$H$515,"普通貨物車",'様式2-2(実績排出量）'!$J$16:$J$515,"&gt;3500",'様式2-2(実績排出量）'!$T$16:$T$515,"*廃止")</f>
        <v>0</v>
      </c>
      <c r="F94" s="328">
        <f>COUNTIFS('様式2-2(実績排出量）'!$B$16:$B$515,$A94,'様式2-2(実績排出量）'!$H$16:$H$515,"小型貨物車",'様式2-2(実績排出量）'!$J$16:$J$515,"&lt;=1700",'様式2-2(実績排出量）'!$T$16:$T$515,"*廃止")</f>
        <v>0</v>
      </c>
      <c r="G94" s="328">
        <f>COUNTIFS('様式2-2(実績排出量）'!$B$16:$B$515,$A94,'様式2-2(実績排出量）'!$H$16:$H$515,"小型貨物車",'様式2-2(実績排出量）'!$J$16:$J$515,"&gt;1700",'様式2-2(実績排出量）'!$J$16:$J$515,"&lt;=2500",'様式2-2(実績排出量）'!$T$16:$T$515,"*廃止")</f>
        <v>0</v>
      </c>
      <c r="H94" s="328">
        <f>COUNTIFS('様式2-2(実績排出量）'!$B$16:$B$515,$A94,'様式2-2(実績排出量）'!$H$16:$H$515,"小型貨物車",'様式2-2(実績排出量）'!$J$16:$J$515,"&gt;2500",'様式2-2(実績排出量）'!$J$16:$J$515,"&lt;=3500",'様式2-2(実績排出量）'!$T$16:$T$515,"*廃止")</f>
        <v>0</v>
      </c>
      <c r="I94" s="328">
        <f>COUNTIFS('様式2-2(実績排出量）'!$B$16:$B$515,$A94,'様式2-2(実績排出量）'!$H$16:$H$515,"小型貨物車",'様式2-2(実績排出量）'!$J$16:$J$515,"&gt;3500",'様式2-2(実績排出量）'!$T$16:$T$515,"*廃止")</f>
        <v>0</v>
      </c>
      <c r="J94" s="328">
        <f>COUNTIFS('様式2-2(実績排出量）'!$B$16:$B$515,$A94,'様式2-2(実績排出量）'!$H$16:$H$515,"大型バス",'様式2-2(実績排出量）'!$J$16:$J$515,"&lt;=1700",'様式2-2(実績排出量）'!$T$16:$T$515,"*廃止")</f>
        <v>0</v>
      </c>
      <c r="K94" s="328">
        <f>COUNTIFS('様式2-2(実績排出量）'!$B$16:$B$515,$A94,'様式2-2(実績排出量）'!$H$16:$H$515,"大型バス",'様式2-2(実績排出量）'!$J$16:$J$515,"&gt;1700",'様式2-2(実績排出量）'!$J$16:$J$515,"&lt;=2500",'様式2-2(実績排出量）'!$T$16:$T$515,"*廃止")</f>
        <v>0</v>
      </c>
      <c r="L94" s="328">
        <f>COUNTIFS('様式2-2(実績排出量）'!$B$16:$B$515,$A94,'様式2-2(実績排出量）'!$H$16:$H$515,"大型バス",'様式2-2(実績排出量）'!$J$16:$J$515,"&gt;2500",'様式2-2(実績排出量）'!$J$16:$J$515,"&lt;=3500",'様式2-2(実績排出量）'!$T$16:$T$515,"*廃止")</f>
        <v>0</v>
      </c>
      <c r="M94" s="328">
        <f>COUNTIFS('様式2-2(実績排出量）'!$B$16:$B$515,$A94,'様式2-2(実績排出量）'!$H$16:$H$515,"大型バス",'様式2-2(実績排出量）'!$J$16:$J$515,"&gt;3500",'様式2-2(実績排出量）'!$T$16:$T$515,"*廃止")</f>
        <v>0</v>
      </c>
      <c r="N94" s="328">
        <f>COUNTIFS('様式2-2(実績排出量）'!$B$16:$B$515,$A94,'様式2-2(実績排出量）'!$H$16:$H$515,"マイクロバス",'様式2-2(実績排出量）'!$J$16:$J$515,"&lt;=1700",'様式2-2(実績排出量）'!$T$16:$T$515,"*廃止")</f>
        <v>0</v>
      </c>
      <c r="O94" s="328">
        <f>COUNTIFS('様式2-2(実績排出量）'!$B$16:$B$515,$A94,'様式2-2(実績排出量）'!$H$16:$H$515,"マイクロバス",'様式2-2(実績排出量）'!$J$16:$J$515,"&gt;1700",'様式2-2(実績排出量）'!$J$16:$J$515,"&lt;=2500",'様式2-2(実績排出量）'!$T$16:$T$515,"*廃止")</f>
        <v>0</v>
      </c>
      <c r="P94" s="328">
        <f>COUNTIFS('様式2-2(実績排出量）'!$B$16:$B$515,$A94,'様式2-2(実績排出量）'!$H$16:$H$515,"マイクロバス",'様式2-2(実績排出量）'!$J$16:$J$515,"&gt;2500",'様式2-2(実績排出量）'!$J$16:$J$515,"&lt;=3500",'様式2-2(実績排出量）'!$T$16:$T$515,"*廃止")</f>
        <v>0</v>
      </c>
      <c r="Q94" s="328">
        <f>COUNTIFS('様式2-2(実績排出量）'!$B$16:$B$515,$A94,'様式2-2(実績排出量）'!$H$16:$H$515,"マイクロバス",'様式2-2(実績排出量）'!$J$16:$J$515,"&gt;3500",'様式2-2(実績排出量）'!$T$16:$T$515,"*廃止")</f>
        <v>0</v>
      </c>
      <c r="R94" s="328">
        <f>COUNTIFS('様式2-2(実績排出量）'!$B$16:$B$515,$A94,'様式2-2(実績排出量）'!$H$16:$H$515,"特種車*",'様式2-2(実績排出量）'!$J$16:$J$515,"&lt;=1700",'様式2-2(実績排出量）'!$T$16:$T$515,"*廃止")</f>
        <v>0</v>
      </c>
      <c r="S94" s="328">
        <f>COUNTIFS('様式2-2(実績排出量）'!$B$16:$B$515,$A94,'様式2-2(実績排出量）'!$H$16:$H$515,"特種車*",'様式2-2(実績排出量）'!$J$16:$J$515,"&gt;1700",'様式2-2(実績排出量）'!$J$16:$J$515,"&lt;=2500",'様式2-2(実績排出量）'!$T$16:$T$515,"*廃止")</f>
        <v>0</v>
      </c>
      <c r="T94" s="328">
        <f>COUNTIFS('様式2-2(実績排出量）'!$B$16:$B$515,$A94,'様式2-2(実績排出量）'!$H$16:$H$515,"特種車*",'様式2-2(実績排出量）'!$J$16:$J$515,"&gt;2500",'様式2-2(実績排出量）'!$J$16:$J$515,"&lt;=3500",'様式2-2(実績排出量）'!$T$16:$T$515,"*廃止")</f>
        <v>0</v>
      </c>
      <c r="U94" s="328">
        <f>COUNTIFS('様式2-2(実績排出量）'!$B$16:$B$515,$A94,'様式2-2(実績排出量）'!$H$16:$H$515,"特種車*",'様式2-2(実績排出量）'!$J$16:$J$515,"&gt;3500",'様式2-2(実績排出量）'!$T$16:$T$515,"*廃止")</f>
        <v>0</v>
      </c>
      <c r="V94" s="328">
        <f>COUNTIFS('様式2-2(実績排出量）'!$B$16:$B$515,$A94,'様式2-2(実績排出量）'!$H$16:$H$515,"乗用車*",'様式2-2(実績排出量）'!$T$16:$T$515,"*廃止")</f>
        <v>0</v>
      </c>
      <c r="W94" s="327"/>
    </row>
    <row r="95" spans="1:23" ht="13.75" hidden="1" customHeight="1">
      <c r="A95" s="157">
        <v>25</v>
      </c>
      <c r="B95" s="327">
        <f>COUNTIFS('様式2-2(実績排出量）'!$B$16:$B$515,$A95,'様式2-2(実績排出量）'!$H$16:$H$515,"普通貨物車",'様式2-2(実績排出量）'!$J$16:$J$515,"&lt;=1700",'様式2-2(実績排出量）'!$T$16:$T$515,"*廃止")</f>
        <v>0</v>
      </c>
      <c r="C95" s="327">
        <f>COUNTIFS('様式2-2(実績排出量）'!$B$16:$B$515,$A95,'様式2-2(実績排出量）'!$H$16:$H$515,"普通貨物車",'様式2-2(実績排出量）'!$J$16:$J$515,"&gt;1700",'様式2-2(実績排出量）'!$J$16:$J$515,"&lt;=2500",'様式2-2(実績排出量）'!$T$16:$T$515,"*廃止")</f>
        <v>0</v>
      </c>
      <c r="D95" s="327">
        <f>COUNTIFS('様式2-2(実績排出量）'!$B$16:$B$515,$A95,'様式2-2(実績排出量）'!$H$16:$H$515,"普通貨物車",'様式2-2(実績排出量）'!$J$16:$J$515,"&gt;2500",'様式2-2(実績排出量）'!$J$16:$J$515,"&lt;=3500",'様式2-2(実績排出量）'!$T$16:$T$515,"*廃止")</f>
        <v>0</v>
      </c>
      <c r="E95" s="327">
        <f>COUNTIFS('様式2-2(実績排出量）'!$B$16:$B$515,$A95,'様式2-2(実績排出量）'!$H$16:$H$515,"普通貨物車",'様式2-2(実績排出量）'!$J$16:$J$515,"&gt;3500",'様式2-2(実績排出量）'!$T$16:$T$515,"*廃止")</f>
        <v>0</v>
      </c>
      <c r="F95" s="328">
        <f>COUNTIFS('様式2-2(実績排出量）'!$B$16:$B$515,$A95,'様式2-2(実績排出量）'!$H$16:$H$515,"小型貨物車",'様式2-2(実績排出量）'!$J$16:$J$515,"&lt;=1700",'様式2-2(実績排出量）'!$T$16:$T$515,"*廃止")</f>
        <v>0</v>
      </c>
      <c r="G95" s="328">
        <f>COUNTIFS('様式2-2(実績排出量）'!$B$16:$B$515,$A95,'様式2-2(実績排出量）'!$H$16:$H$515,"小型貨物車",'様式2-2(実績排出量）'!$J$16:$J$515,"&gt;1700",'様式2-2(実績排出量）'!$J$16:$J$515,"&lt;=2500",'様式2-2(実績排出量）'!$T$16:$T$515,"*廃止")</f>
        <v>0</v>
      </c>
      <c r="H95" s="328">
        <f>COUNTIFS('様式2-2(実績排出量）'!$B$16:$B$515,$A95,'様式2-2(実績排出量）'!$H$16:$H$515,"小型貨物車",'様式2-2(実績排出量）'!$J$16:$J$515,"&gt;2500",'様式2-2(実績排出量）'!$J$16:$J$515,"&lt;=3500",'様式2-2(実績排出量）'!$T$16:$T$515,"*廃止")</f>
        <v>0</v>
      </c>
      <c r="I95" s="328">
        <f>COUNTIFS('様式2-2(実績排出量）'!$B$16:$B$515,$A95,'様式2-2(実績排出量）'!$H$16:$H$515,"小型貨物車",'様式2-2(実績排出量）'!$J$16:$J$515,"&gt;3500",'様式2-2(実績排出量）'!$T$16:$T$515,"*廃止")</f>
        <v>0</v>
      </c>
      <c r="J95" s="328">
        <f>COUNTIFS('様式2-2(実績排出量）'!$B$16:$B$515,$A95,'様式2-2(実績排出量）'!$H$16:$H$515,"大型バス",'様式2-2(実績排出量）'!$J$16:$J$515,"&lt;=1700",'様式2-2(実績排出量）'!$T$16:$T$515,"*廃止")</f>
        <v>0</v>
      </c>
      <c r="K95" s="328">
        <f>COUNTIFS('様式2-2(実績排出量）'!$B$16:$B$515,$A95,'様式2-2(実績排出量）'!$H$16:$H$515,"大型バス",'様式2-2(実績排出量）'!$J$16:$J$515,"&gt;1700",'様式2-2(実績排出量）'!$J$16:$J$515,"&lt;=2500",'様式2-2(実績排出量）'!$T$16:$T$515,"*廃止")</f>
        <v>0</v>
      </c>
      <c r="L95" s="328">
        <f>COUNTIFS('様式2-2(実績排出量）'!$B$16:$B$515,$A95,'様式2-2(実績排出量）'!$H$16:$H$515,"大型バス",'様式2-2(実績排出量）'!$J$16:$J$515,"&gt;2500",'様式2-2(実績排出量）'!$J$16:$J$515,"&lt;=3500",'様式2-2(実績排出量）'!$T$16:$T$515,"*廃止")</f>
        <v>0</v>
      </c>
      <c r="M95" s="328">
        <f>COUNTIFS('様式2-2(実績排出量）'!$B$16:$B$515,$A95,'様式2-2(実績排出量）'!$H$16:$H$515,"大型バス",'様式2-2(実績排出量）'!$J$16:$J$515,"&gt;3500",'様式2-2(実績排出量）'!$T$16:$T$515,"*廃止")</f>
        <v>0</v>
      </c>
      <c r="N95" s="328">
        <f>COUNTIFS('様式2-2(実績排出量）'!$B$16:$B$515,$A95,'様式2-2(実績排出量）'!$H$16:$H$515,"マイクロバス",'様式2-2(実績排出量）'!$J$16:$J$515,"&lt;=1700",'様式2-2(実績排出量）'!$T$16:$T$515,"*廃止")</f>
        <v>0</v>
      </c>
      <c r="O95" s="328">
        <f>COUNTIFS('様式2-2(実績排出量）'!$B$16:$B$515,$A95,'様式2-2(実績排出量）'!$H$16:$H$515,"マイクロバス",'様式2-2(実績排出量）'!$J$16:$J$515,"&gt;1700",'様式2-2(実績排出量）'!$J$16:$J$515,"&lt;=2500",'様式2-2(実績排出量）'!$T$16:$T$515,"*廃止")</f>
        <v>0</v>
      </c>
      <c r="P95" s="328">
        <f>COUNTIFS('様式2-2(実績排出量）'!$B$16:$B$515,$A95,'様式2-2(実績排出量）'!$H$16:$H$515,"マイクロバス",'様式2-2(実績排出量）'!$J$16:$J$515,"&gt;2500",'様式2-2(実績排出量）'!$J$16:$J$515,"&lt;=3500",'様式2-2(実績排出量）'!$T$16:$T$515,"*廃止")</f>
        <v>0</v>
      </c>
      <c r="Q95" s="328">
        <f>COUNTIFS('様式2-2(実績排出量）'!$B$16:$B$515,$A95,'様式2-2(実績排出量）'!$H$16:$H$515,"マイクロバス",'様式2-2(実績排出量）'!$J$16:$J$515,"&gt;3500",'様式2-2(実績排出量）'!$T$16:$T$515,"*廃止")</f>
        <v>0</v>
      </c>
      <c r="R95" s="328">
        <f>COUNTIFS('様式2-2(実績排出量）'!$B$16:$B$515,$A95,'様式2-2(実績排出量）'!$H$16:$H$515,"特種車*",'様式2-2(実績排出量）'!$J$16:$J$515,"&lt;=1700",'様式2-2(実績排出量）'!$T$16:$T$515,"*廃止")</f>
        <v>0</v>
      </c>
      <c r="S95" s="328">
        <f>COUNTIFS('様式2-2(実績排出量）'!$B$16:$B$515,$A95,'様式2-2(実績排出量）'!$H$16:$H$515,"特種車*",'様式2-2(実績排出量）'!$J$16:$J$515,"&gt;1700",'様式2-2(実績排出量）'!$J$16:$J$515,"&lt;=2500",'様式2-2(実績排出量）'!$T$16:$T$515,"*廃止")</f>
        <v>0</v>
      </c>
      <c r="T95" s="328">
        <f>COUNTIFS('様式2-2(実績排出量）'!$B$16:$B$515,$A95,'様式2-2(実績排出量）'!$H$16:$H$515,"特種車*",'様式2-2(実績排出量）'!$J$16:$J$515,"&gt;2500",'様式2-2(実績排出量）'!$J$16:$J$515,"&lt;=3500",'様式2-2(実績排出量）'!$T$16:$T$515,"*廃止")</f>
        <v>0</v>
      </c>
      <c r="U95" s="328">
        <f>COUNTIFS('様式2-2(実績排出量）'!$B$16:$B$515,$A95,'様式2-2(実績排出量）'!$H$16:$H$515,"特種車*",'様式2-2(実績排出量）'!$J$16:$J$515,"&gt;3500",'様式2-2(実績排出量）'!$T$16:$T$515,"*廃止")</f>
        <v>0</v>
      </c>
      <c r="V95" s="328">
        <f>COUNTIFS('様式2-2(実績排出量）'!$B$16:$B$515,$A95,'様式2-2(実績排出量）'!$H$16:$H$515,"乗用車*",'様式2-2(実績排出量）'!$T$16:$T$515,"*廃止")</f>
        <v>0</v>
      </c>
      <c r="W95" s="327"/>
    </row>
    <row r="96" spans="1:23" ht="13.75" hidden="1" customHeight="1">
      <c r="A96" s="157">
        <v>26</v>
      </c>
      <c r="B96" s="327">
        <f>COUNTIFS('様式2-2(実績排出量）'!$B$16:$B$515,$A96,'様式2-2(実績排出量）'!$H$16:$H$515,"普通貨物車",'様式2-2(実績排出量）'!$J$16:$J$515,"&lt;=1700",'様式2-2(実績排出量）'!$T$16:$T$515,"*廃止")</f>
        <v>0</v>
      </c>
      <c r="C96" s="327">
        <f>COUNTIFS('様式2-2(実績排出量）'!$B$16:$B$515,$A96,'様式2-2(実績排出量）'!$H$16:$H$515,"普通貨物車",'様式2-2(実績排出量）'!$J$16:$J$515,"&gt;1700",'様式2-2(実績排出量）'!$J$16:$J$515,"&lt;=2500",'様式2-2(実績排出量）'!$T$16:$T$515,"*廃止")</f>
        <v>0</v>
      </c>
      <c r="D96" s="327">
        <f>COUNTIFS('様式2-2(実績排出量）'!$B$16:$B$515,$A96,'様式2-2(実績排出量）'!$H$16:$H$515,"普通貨物車",'様式2-2(実績排出量）'!$J$16:$J$515,"&gt;2500",'様式2-2(実績排出量）'!$J$16:$J$515,"&lt;=3500",'様式2-2(実績排出量）'!$T$16:$T$515,"*廃止")</f>
        <v>0</v>
      </c>
      <c r="E96" s="327">
        <f>COUNTIFS('様式2-2(実績排出量）'!$B$16:$B$515,$A96,'様式2-2(実績排出量）'!$H$16:$H$515,"普通貨物車",'様式2-2(実績排出量）'!$J$16:$J$515,"&gt;3500",'様式2-2(実績排出量）'!$T$16:$T$515,"*廃止")</f>
        <v>0</v>
      </c>
      <c r="F96" s="328">
        <f>COUNTIFS('様式2-2(実績排出量）'!$B$16:$B$515,$A96,'様式2-2(実績排出量）'!$H$16:$H$515,"小型貨物車",'様式2-2(実績排出量）'!$J$16:$J$515,"&lt;=1700",'様式2-2(実績排出量）'!$T$16:$T$515,"*廃止")</f>
        <v>0</v>
      </c>
      <c r="G96" s="328">
        <f>COUNTIFS('様式2-2(実績排出量）'!$B$16:$B$515,$A96,'様式2-2(実績排出量）'!$H$16:$H$515,"小型貨物車",'様式2-2(実績排出量）'!$J$16:$J$515,"&gt;1700",'様式2-2(実績排出量）'!$J$16:$J$515,"&lt;=2500",'様式2-2(実績排出量）'!$T$16:$T$515,"*廃止")</f>
        <v>0</v>
      </c>
      <c r="H96" s="328">
        <f>COUNTIFS('様式2-2(実績排出量）'!$B$16:$B$515,$A96,'様式2-2(実績排出量）'!$H$16:$H$515,"小型貨物車",'様式2-2(実績排出量）'!$J$16:$J$515,"&gt;2500",'様式2-2(実績排出量）'!$J$16:$J$515,"&lt;=3500",'様式2-2(実績排出量）'!$T$16:$T$515,"*廃止")</f>
        <v>0</v>
      </c>
      <c r="I96" s="328">
        <f>COUNTIFS('様式2-2(実績排出量）'!$B$16:$B$515,$A96,'様式2-2(実績排出量）'!$H$16:$H$515,"小型貨物車",'様式2-2(実績排出量）'!$J$16:$J$515,"&gt;3500",'様式2-2(実績排出量）'!$T$16:$T$515,"*廃止")</f>
        <v>0</v>
      </c>
      <c r="J96" s="328">
        <f>COUNTIFS('様式2-2(実績排出量）'!$B$16:$B$515,$A96,'様式2-2(実績排出量）'!$H$16:$H$515,"大型バス",'様式2-2(実績排出量）'!$J$16:$J$515,"&lt;=1700",'様式2-2(実績排出量）'!$T$16:$T$515,"*廃止")</f>
        <v>0</v>
      </c>
      <c r="K96" s="328">
        <f>COUNTIFS('様式2-2(実績排出量）'!$B$16:$B$515,$A96,'様式2-2(実績排出量）'!$H$16:$H$515,"大型バス",'様式2-2(実績排出量）'!$J$16:$J$515,"&gt;1700",'様式2-2(実績排出量）'!$J$16:$J$515,"&lt;=2500",'様式2-2(実績排出量）'!$T$16:$T$515,"*廃止")</f>
        <v>0</v>
      </c>
      <c r="L96" s="328">
        <f>COUNTIFS('様式2-2(実績排出量）'!$B$16:$B$515,$A96,'様式2-2(実績排出量）'!$H$16:$H$515,"大型バス",'様式2-2(実績排出量）'!$J$16:$J$515,"&gt;2500",'様式2-2(実績排出量）'!$J$16:$J$515,"&lt;=3500",'様式2-2(実績排出量）'!$T$16:$T$515,"*廃止")</f>
        <v>0</v>
      </c>
      <c r="M96" s="328">
        <f>COUNTIFS('様式2-2(実績排出量）'!$B$16:$B$515,$A96,'様式2-2(実績排出量）'!$H$16:$H$515,"大型バス",'様式2-2(実績排出量）'!$J$16:$J$515,"&gt;3500",'様式2-2(実績排出量）'!$T$16:$T$515,"*廃止")</f>
        <v>0</v>
      </c>
      <c r="N96" s="328">
        <f>COUNTIFS('様式2-2(実績排出量）'!$B$16:$B$515,$A96,'様式2-2(実績排出量）'!$H$16:$H$515,"マイクロバス",'様式2-2(実績排出量）'!$J$16:$J$515,"&lt;=1700",'様式2-2(実績排出量）'!$T$16:$T$515,"*廃止")</f>
        <v>0</v>
      </c>
      <c r="O96" s="328">
        <f>COUNTIFS('様式2-2(実績排出量）'!$B$16:$B$515,$A96,'様式2-2(実績排出量）'!$H$16:$H$515,"マイクロバス",'様式2-2(実績排出量）'!$J$16:$J$515,"&gt;1700",'様式2-2(実績排出量）'!$J$16:$J$515,"&lt;=2500",'様式2-2(実績排出量）'!$T$16:$T$515,"*廃止")</f>
        <v>0</v>
      </c>
      <c r="P96" s="328">
        <f>COUNTIFS('様式2-2(実績排出量）'!$B$16:$B$515,$A96,'様式2-2(実績排出量）'!$H$16:$H$515,"マイクロバス",'様式2-2(実績排出量）'!$J$16:$J$515,"&gt;2500",'様式2-2(実績排出量）'!$J$16:$J$515,"&lt;=3500",'様式2-2(実績排出量）'!$T$16:$T$515,"*廃止")</f>
        <v>0</v>
      </c>
      <c r="Q96" s="328">
        <f>COUNTIFS('様式2-2(実績排出量）'!$B$16:$B$515,$A96,'様式2-2(実績排出量）'!$H$16:$H$515,"マイクロバス",'様式2-2(実績排出量）'!$J$16:$J$515,"&gt;3500",'様式2-2(実績排出量）'!$T$16:$T$515,"*廃止")</f>
        <v>0</v>
      </c>
      <c r="R96" s="328">
        <f>COUNTIFS('様式2-2(実績排出量）'!$B$16:$B$515,$A96,'様式2-2(実績排出量）'!$H$16:$H$515,"特種車*",'様式2-2(実績排出量）'!$J$16:$J$515,"&lt;=1700",'様式2-2(実績排出量）'!$T$16:$T$515,"*廃止")</f>
        <v>0</v>
      </c>
      <c r="S96" s="328">
        <f>COUNTIFS('様式2-2(実績排出量）'!$B$16:$B$515,$A96,'様式2-2(実績排出量）'!$H$16:$H$515,"特種車*",'様式2-2(実績排出量）'!$J$16:$J$515,"&gt;1700",'様式2-2(実績排出量）'!$J$16:$J$515,"&lt;=2500",'様式2-2(実績排出量）'!$T$16:$T$515,"*廃止")</f>
        <v>0</v>
      </c>
      <c r="T96" s="328">
        <f>COUNTIFS('様式2-2(実績排出量）'!$B$16:$B$515,$A96,'様式2-2(実績排出量）'!$H$16:$H$515,"特種車*",'様式2-2(実績排出量）'!$J$16:$J$515,"&gt;2500",'様式2-2(実績排出量）'!$J$16:$J$515,"&lt;=3500",'様式2-2(実績排出量）'!$T$16:$T$515,"*廃止")</f>
        <v>0</v>
      </c>
      <c r="U96" s="328">
        <f>COUNTIFS('様式2-2(実績排出量）'!$B$16:$B$515,$A96,'様式2-2(実績排出量）'!$H$16:$H$515,"特種車*",'様式2-2(実績排出量）'!$J$16:$J$515,"&gt;3500",'様式2-2(実績排出量）'!$T$16:$T$515,"*廃止")</f>
        <v>0</v>
      </c>
      <c r="V96" s="328">
        <f>COUNTIFS('様式2-2(実績排出量）'!$B$16:$B$515,$A96,'様式2-2(実績排出量）'!$H$16:$H$515,"乗用車*",'様式2-2(実績排出量）'!$T$16:$T$515,"*廃止")</f>
        <v>0</v>
      </c>
      <c r="W96" s="327"/>
    </row>
    <row r="97" spans="1:23" ht="13.75" hidden="1" customHeight="1">
      <c r="A97" s="157">
        <v>27</v>
      </c>
      <c r="B97" s="327">
        <f>COUNTIFS('様式2-2(実績排出量）'!$B$16:$B$515,$A97,'様式2-2(実績排出量）'!$H$16:$H$515,"普通貨物車",'様式2-2(実績排出量）'!$J$16:$J$515,"&lt;=1700",'様式2-2(実績排出量）'!$T$16:$T$515,"*廃止")</f>
        <v>0</v>
      </c>
      <c r="C97" s="327">
        <f>COUNTIFS('様式2-2(実績排出量）'!$B$16:$B$515,$A97,'様式2-2(実績排出量）'!$H$16:$H$515,"普通貨物車",'様式2-2(実績排出量）'!$J$16:$J$515,"&gt;1700",'様式2-2(実績排出量）'!$J$16:$J$515,"&lt;=2500",'様式2-2(実績排出量）'!$T$16:$T$515,"*廃止")</f>
        <v>0</v>
      </c>
      <c r="D97" s="327">
        <f>COUNTIFS('様式2-2(実績排出量）'!$B$16:$B$515,$A97,'様式2-2(実績排出量）'!$H$16:$H$515,"普通貨物車",'様式2-2(実績排出量）'!$J$16:$J$515,"&gt;2500",'様式2-2(実績排出量）'!$J$16:$J$515,"&lt;=3500",'様式2-2(実績排出量）'!$T$16:$T$515,"*廃止")</f>
        <v>0</v>
      </c>
      <c r="E97" s="327">
        <f>COUNTIFS('様式2-2(実績排出量）'!$B$16:$B$515,$A97,'様式2-2(実績排出量）'!$H$16:$H$515,"普通貨物車",'様式2-2(実績排出量）'!$J$16:$J$515,"&gt;3500",'様式2-2(実績排出量）'!$T$16:$T$515,"*廃止")</f>
        <v>0</v>
      </c>
      <c r="F97" s="328">
        <f>COUNTIFS('様式2-2(実績排出量）'!$B$16:$B$515,$A97,'様式2-2(実績排出量）'!$H$16:$H$515,"小型貨物車",'様式2-2(実績排出量）'!$J$16:$J$515,"&lt;=1700",'様式2-2(実績排出量）'!$T$16:$T$515,"*廃止")</f>
        <v>0</v>
      </c>
      <c r="G97" s="328">
        <f>COUNTIFS('様式2-2(実績排出量）'!$B$16:$B$515,$A97,'様式2-2(実績排出量）'!$H$16:$H$515,"小型貨物車",'様式2-2(実績排出量）'!$J$16:$J$515,"&gt;1700",'様式2-2(実績排出量）'!$J$16:$J$515,"&lt;=2500",'様式2-2(実績排出量）'!$T$16:$T$515,"*廃止")</f>
        <v>0</v>
      </c>
      <c r="H97" s="328">
        <f>COUNTIFS('様式2-2(実績排出量）'!$B$16:$B$515,$A97,'様式2-2(実績排出量）'!$H$16:$H$515,"小型貨物車",'様式2-2(実績排出量）'!$J$16:$J$515,"&gt;2500",'様式2-2(実績排出量）'!$J$16:$J$515,"&lt;=3500",'様式2-2(実績排出量）'!$T$16:$T$515,"*廃止")</f>
        <v>0</v>
      </c>
      <c r="I97" s="328">
        <f>COUNTIFS('様式2-2(実績排出量）'!$B$16:$B$515,$A97,'様式2-2(実績排出量）'!$H$16:$H$515,"小型貨物車",'様式2-2(実績排出量）'!$J$16:$J$515,"&gt;3500",'様式2-2(実績排出量）'!$T$16:$T$515,"*廃止")</f>
        <v>0</v>
      </c>
      <c r="J97" s="328">
        <f>COUNTIFS('様式2-2(実績排出量）'!$B$16:$B$515,$A97,'様式2-2(実績排出量）'!$H$16:$H$515,"大型バス",'様式2-2(実績排出量）'!$J$16:$J$515,"&lt;=1700",'様式2-2(実績排出量）'!$T$16:$T$515,"*廃止")</f>
        <v>0</v>
      </c>
      <c r="K97" s="328">
        <f>COUNTIFS('様式2-2(実績排出量）'!$B$16:$B$515,$A97,'様式2-2(実績排出量）'!$H$16:$H$515,"大型バス",'様式2-2(実績排出量）'!$J$16:$J$515,"&gt;1700",'様式2-2(実績排出量）'!$J$16:$J$515,"&lt;=2500",'様式2-2(実績排出量）'!$T$16:$T$515,"*廃止")</f>
        <v>0</v>
      </c>
      <c r="L97" s="328">
        <f>COUNTIFS('様式2-2(実績排出量）'!$B$16:$B$515,$A97,'様式2-2(実績排出量）'!$H$16:$H$515,"大型バス",'様式2-2(実績排出量）'!$J$16:$J$515,"&gt;2500",'様式2-2(実績排出量）'!$J$16:$J$515,"&lt;=3500",'様式2-2(実績排出量）'!$T$16:$T$515,"*廃止")</f>
        <v>0</v>
      </c>
      <c r="M97" s="328">
        <f>COUNTIFS('様式2-2(実績排出量）'!$B$16:$B$515,$A97,'様式2-2(実績排出量）'!$H$16:$H$515,"大型バス",'様式2-2(実績排出量）'!$J$16:$J$515,"&gt;3500",'様式2-2(実績排出量）'!$T$16:$T$515,"*廃止")</f>
        <v>0</v>
      </c>
      <c r="N97" s="328">
        <f>COUNTIFS('様式2-2(実績排出量）'!$B$16:$B$515,$A97,'様式2-2(実績排出量）'!$H$16:$H$515,"マイクロバス",'様式2-2(実績排出量）'!$J$16:$J$515,"&lt;=1700",'様式2-2(実績排出量）'!$T$16:$T$515,"*廃止")</f>
        <v>0</v>
      </c>
      <c r="O97" s="328">
        <f>COUNTIFS('様式2-2(実績排出量）'!$B$16:$B$515,$A97,'様式2-2(実績排出量）'!$H$16:$H$515,"マイクロバス",'様式2-2(実績排出量）'!$J$16:$J$515,"&gt;1700",'様式2-2(実績排出量）'!$J$16:$J$515,"&lt;=2500",'様式2-2(実績排出量）'!$T$16:$T$515,"*廃止")</f>
        <v>0</v>
      </c>
      <c r="P97" s="328">
        <f>COUNTIFS('様式2-2(実績排出量）'!$B$16:$B$515,$A97,'様式2-2(実績排出量）'!$H$16:$H$515,"マイクロバス",'様式2-2(実績排出量）'!$J$16:$J$515,"&gt;2500",'様式2-2(実績排出量）'!$J$16:$J$515,"&lt;=3500",'様式2-2(実績排出量）'!$T$16:$T$515,"*廃止")</f>
        <v>0</v>
      </c>
      <c r="Q97" s="328">
        <f>COUNTIFS('様式2-2(実績排出量）'!$B$16:$B$515,$A97,'様式2-2(実績排出量）'!$H$16:$H$515,"マイクロバス",'様式2-2(実績排出量）'!$J$16:$J$515,"&gt;3500",'様式2-2(実績排出量）'!$T$16:$T$515,"*廃止")</f>
        <v>0</v>
      </c>
      <c r="R97" s="328">
        <f>COUNTIFS('様式2-2(実績排出量）'!$B$16:$B$515,$A97,'様式2-2(実績排出量）'!$H$16:$H$515,"特種車*",'様式2-2(実績排出量）'!$J$16:$J$515,"&lt;=1700",'様式2-2(実績排出量）'!$T$16:$T$515,"*廃止")</f>
        <v>0</v>
      </c>
      <c r="S97" s="328">
        <f>COUNTIFS('様式2-2(実績排出量）'!$B$16:$B$515,$A97,'様式2-2(実績排出量）'!$H$16:$H$515,"特種車*",'様式2-2(実績排出量）'!$J$16:$J$515,"&gt;1700",'様式2-2(実績排出量）'!$J$16:$J$515,"&lt;=2500",'様式2-2(実績排出量）'!$T$16:$T$515,"*廃止")</f>
        <v>0</v>
      </c>
      <c r="T97" s="328">
        <f>COUNTIFS('様式2-2(実績排出量）'!$B$16:$B$515,$A97,'様式2-2(実績排出量）'!$H$16:$H$515,"特種車*",'様式2-2(実績排出量）'!$J$16:$J$515,"&gt;2500",'様式2-2(実績排出量）'!$J$16:$J$515,"&lt;=3500",'様式2-2(実績排出量）'!$T$16:$T$515,"*廃止")</f>
        <v>0</v>
      </c>
      <c r="U97" s="328">
        <f>COUNTIFS('様式2-2(実績排出量）'!$B$16:$B$515,$A97,'様式2-2(実績排出量）'!$H$16:$H$515,"特種車*",'様式2-2(実績排出量）'!$J$16:$J$515,"&gt;3500",'様式2-2(実績排出量）'!$T$16:$T$515,"*廃止")</f>
        <v>0</v>
      </c>
      <c r="V97" s="328">
        <f>COUNTIFS('様式2-2(実績排出量）'!$B$16:$B$515,$A97,'様式2-2(実績排出量）'!$H$16:$H$515,"乗用車*",'様式2-2(実績排出量）'!$T$16:$T$515,"*廃止")</f>
        <v>0</v>
      </c>
      <c r="W97" s="327"/>
    </row>
    <row r="98" spans="1:23" ht="13.75" hidden="1" customHeight="1">
      <c r="A98" s="157">
        <v>28</v>
      </c>
      <c r="B98" s="327">
        <f>COUNTIFS('様式2-2(実績排出量）'!$B$16:$B$515,$A98,'様式2-2(実績排出量）'!$H$16:$H$515,"普通貨物車",'様式2-2(実績排出量）'!$J$16:$J$515,"&lt;=1700",'様式2-2(実績排出量）'!$T$16:$T$515,"*廃止")</f>
        <v>0</v>
      </c>
      <c r="C98" s="327">
        <f>COUNTIFS('様式2-2(実績排出量）'!$B$16:$B$515,$A98,'様式2-2(実績排出量）'!$H$16:$H$515,"普通貨物車",'様式2-2(実績排出量）'!$J$16:$J$515,"&gt;1700",'様式2-2(実績排出量）'!$J$16:$J$515,"&lt;=2500",'様式2-2(実績排出量）'!$T$16:$T$515,"*廃止")</f>
        <v>0</v>
      </c>
      <c r="D98" s="327">
        <f>COUNTIFS('様式2-2(実績排出量）'!$B$16:$B$515,$A98,'様式2-2(実績排出量）'!$H$16:$H$515,"普通貨物車",'様式2-2(実績排出量）'!$J$16:$J$515,"&gt;2500",'様式2-2(実績排出量）'!$J$16:$J$515,"&lt;=3500",'様式2-2(実績排出量）'!$T$16:$T$515,"*廃止")</f>
        <v>0</v>
      </c>
      <c r="E98" s="327">
        <f>COUNTIFS('様式2-2(実績排出量）'!$B$16:$B$515,$A98,'様式2-2(実績排出量）'!$H$16:$H$515,"普通貨物車",'様式2-2(実績排出量）'!$J$16:$J$515,"&gt;3500",'様式2-2(実績排出量）'!$T$16:$T$515,"*廃止")</f>
        <v>0</v>
      </c>
      <c r="F98" s="328">
        <f>COUNTIFS('様式2-2(実績排出量）'!$B$16:$B$515,$A98,'様式2-2(実績排出量）'!$H$16:$H$515,"小型貨物車",'様式2-2(実績排出量）'!$J$16:$J$515,"&lt;=1700",'様式2-2(実績排出量）'!$T$16:$T$515,"*廃止")</f>
        <v>0</v>
      </c>
      <c r="G98" s="328">
        <f>COUNTIFS('様式2-2(実績排出量）'!$B$16:$B$515,$A98,'様式2-2(実績排出量）'!$H$16:$H$515,"小型貨物車",'様式2-2(実績排出量）'!$J$16:$J$515,"&gt;1700",'様式2-2(実績排出量）'!$J$16:$J$515,"&lt;=2500",'様式2-2(実績排出量）'!$T$16:$T$515,"*廃止")</f>
        <v>0</v>
      </c>
      <c r="H98" s="328">
        <f>COUNTIFS('様式2-2(実績排出量）'!$B$16:$B$515,$A98,'様式2-2(実績排出量）'!$H$16:$H$515,"小型貨物車",'様式2-2(実績排出量）'!$J$16:$J$515,"&gt;2500",'様式2-2(実績排出量）'!$J$16:$J$515,"&lt;=3500",'様式2-2(実績排出量）'!$T$16:$T$515,"*廃止")</f>
        <v>0</v>
      </c>
      <c r="I98" s="328">
        <f>COUNTIFS('様式2-2(実績排出量）'!$B$16:$B$515,$A98,'様式2-2(実績排出量）'!$H$16:$H$515,"小型貨物車",'様式2-2(実績排出量）'!$J$16:$J$515,"&gt;3500",'様式2-2(実績排出量）'!$T$16:$T$515,"*廃止")</f>
        <v>0</v>
      </c>
      <c r="J98" s="328">
        <f>COUNTIFS('様式2-2(実績排出量）'!$B$16:$B$515,$A98,'様式2-2(実績排出量）'!$H$16:$H$515,"大型バス",'様式2-2(実績排出量）'!$J$16:$J$515,"&lt;=1700",'様式2-2(実績排出量）'!$T$16:$T$515,"*廃止")</f>
        <v>0</v>
      </c>
      <c r="K98" s="328">
        <f>COUNTIFS('様式2-2(実績排出量）'!$B$16:$B$515,$A98,'様式2-2(実績排出量）'!$H$16:$H$515,"大型バス",'様式2-2(実績排出量）'!$J$16:$J$515,"&gt;1700",'様式2-2(実績排出量）'!$J$16:$J$515,"&lt;=2500",'様式2-2(実績排出量）'!$T$16:$T$515,"*廃止")</f>
        <v>0</v>
      </c>
      <c r="L98" s="328">
        <f>COUNTIFS('様式2-2(実績排出量）'!$B$16:$B$515,$A98,'様式2-2(実績排出量）'!$H$16:$H$515,"大型バス",'様式2-2(実績排出量）'!$J$16:$J$515,"&gt;2500",'様式2-2(実績排出量）'!$J$16:$J$515,"&lt;=3500",'様式2-2(実績排出量）'!$T$16:$T$515,"*廃止")</f>
        <v>0</v>
      </c>
      <c r="M98" s="328">
        <f>COUNTIFS('様式2-2(実績排出量）'!$B$16:$B$515,$A98,'様式2-2(実績排出量）'!$H$16:$H$515,"大型バス",'様式2-2(実績排出量）'!$J$16:$J$515,"&gt;3500",'様式2-2(実績排出量）'!$T$16:$T$515,"*廃止")</f>
        <v>0</v>
      </c>
      <c r="N98" s="328">
        <f>COUNTIFS('様式2-2(実績排出量）'!$B$16:$B$515,$A98,'様式2-2(実績排出量）'!$H$16:$H$515,"マイクロバス",'様式2-2(実績排出量）'!$J$16:$J$515,"&lt;=1700",'様式2-2(実績排出量）'!$T$16:$T$515,"*廃止")</f>
        <v>0</v>
      </c>
      <c r="O98" s="328">
        <f>COUNTIFS('様式2-2(実績排出量）'!$B$16:$B$515,$A98,'様式2-2(実績排出量）'!$H$16:$H$515,"マイクロバス",'様式2-2(実績排出量）'!$J$16:$J$515,"&gt;1700",'様式2-2(実績排出量）'!$J$16:$J$515,"&lt;=2500",'様式2-2(実績排出量）'!$T$16:$T$515,"*廃止")</f>
        <v>0</v>
      </c>
      <c r="P98" s="328">
        <f>COUNTIFS('様式2-2(実績排出量）'!$B$16:$B$515,$A98,'様式2-2(実績排出量）'!$H$16:$H$515,"マイクロバス",'様式2-2(実績排出量）'!$J$16:$J$515,"&gt;2500",'様式2-2(実績排出量）'!$J$16:$J$515,"&lt;=3500",'様式2-2(実績排出量）'!$T$16:$T$515,"*廃止")</f>
        <v>0</v>
      </c>
      <c r="Q98" s="328">
        <f>COUNTIFS('様式2-2(実績排出量）'!$B$16:$B$515,$A98,'様式2-2(実績排出量）'!$H$16:$H$515,"マイクロバス",'様式2-2(実績排出量）'!$J$16:$J$515,"&gt;3500",'様式2-2(実績排出量）'!$T$16:$T$515,"*廃止")</f>
        <v>0</v>
      </c>
      <c r="R98" s="328">
        <f>COUNTIFS('様式2-2(実績排出量）'!$B$16:$B$515,$A98,'様式2-2(実績排出量）'!$H$16:$H$515,"特種車*",'様式2-2(実績排出量）'!$J$16:$J$515,"&lt;=1700",'様式2-2(実績排出量）'!$T$16:$T$515,"*廃止")</f>
        <v>0</v>
      </c>
      <c r="S98" s="328">
        <f>COUNTIFS('様式2-2(実績排出量）'!$B$16:$B$515,$A98,'様式2-2(実績排出量）'!$H$16:$H$515,"特種車*",'様式2-2(実績排出量）'!$J$16:$J$515,"&gt;1700",'様式2-2(実績排出量）'!$J$16:$J$515,"&lt;=2500",'様式2-2(実績排出量）'!$T$16:$T$515,"*廃止")</f>
        <v>0</v>
      </c>
      <c r="T98" s="328">
        <f>COUNTIFS('様式2-2(実績排出量）'!$B$16:$B$515,$A98,'様式2-2(実績排出量）'!$H$16:$H$515,"特種車*",'様式2-2(実績排出量）'!$J$16:$J$515,"&gt;2500",'様式2-2(実績排出量）'!$J$16:$J$515,"&lt;=3500",'様式2-2(実績排出量）'!$T$16:$T$515,"*廃止")</f>
        <v>0</v>
      </c>
      <c r="U98" s="328">
        <f>COUNTIFS('様式2-2(実績排出量）'!$B$16:$B$515,$A98,'様式2-2(実績排出量）'!$H$16:$H$515,"特種車*",'様式2-2(実績排出量）'!$J$16:$J$515,"&gt;3500",'様式2-2(実績排出量）'!$T$16:$T$515,"*廃止")</f>
        <v>0</v>
      </c>
      <c r="V98" s="328">
        <f>COUNTIFS('様式2-2(実績排出量）'!$B$16:$B$515,$A98,'様式2-2(実績排出量）'!$H$16:$H$515,"乗用車*",'様式2-2(実績排出量）'!$T$16:$T$515,"*廃止")</f>
        <v>0</v>
      </c>
      <c r="W98" s="327"/>
    </row>
    <row r="99" spans="1:23" ht="13.75" hidden="1" customHeight="1">
      <c r="A99" s="157">
        <v>29</v>
      </c>
      <c r="B99" s="327">
        <f>COUNTIFS('様式2-2(実績排出量）'!$B$16:$B$515,$A99,'様式2-2(実績排出量）'!$H$16:$H$515,"普通貨物車",'様式2-2(実績排出量）'!$J$16:$J$515,"&lt;=1700",'様式2-2(実績排出量）'!$T$16:$T$515,"*廃止")</f>
        <v>0</v>
      </c>
      <c r="C99" s="327">
        <f>COUNTIFS('様式2-2(実績排出量）'!$B$16:$B$515,$A99,'様式2-2(実績排出量）'!$H$16:$H$515,"普通貨物車",'様式2-2(実績排出量）'!$J$16:$J$515,"&gt;1700",'様式2-2(実績排出量）'!$J$16:$J$515,"&lt;=2500",'様式2-2(実績排出量）'!$T$16:$T$515,"*廃止")</f>
        <v>0</v>
      </c>
      <c r="D99" s="327">
        <f>COUNTIFS('様式2-2(実績排出量）'!$B$16:$B$515,$A99,'様式2-2(実績排出量）'!$H$16:$H$515,"普通貨物車",'様式2-2(実績排出量）'!$J$16:$J$515,"&gt;2500",'様式2-2(実績排出量）'!$J$16:$J$515,"&lt;=3500",'様式2-2(実績排出量）'!$T$16:$T$515,"*廃止")</f>
        <v>0</v>
      </c>
      <c r="E99" s="327">
        <f>COUNTIFS('様式2-2(実績排出量）'!$B$16:$B$515,$A99,'様式2-2(実績排出量）'!$H$16:$H$515,"普通貨物車",'様式2-2(実績排出量）'!$J$16:$J$515,"&gt;3500",'様式2-2(実績排出量）'!$T$16:$T$515,"*廃止")</f>
        <v>0</v>
      </c>
      <c r="F99" s="328">
        <f>COUNTIFS('様式2-2(実績排出量）'!$B$16:$B$515,$A99,'様式2-2(実績排出量）'!$H$16:$H$515,"小型貨物車",'様式2-2(実績排出量）'!$J$16:$J$515,"&lt;=1700",'様式2-2(実績排出量）'!$T$16:$T$515,"*廃止")</f>
        <v>0</v>
      </c>
      <c r="G99" s="328">
        <f>COUNTIFS('様式2-2(実績排出量）'!$B$16:$B$515,$A99,'様式2-2(実績排出量）'!$H$16:$H$515,"小型貨物車",'様式2-2(実績排出量）'!$J$16:$J$515,"&gt;1700",'様式2-2(実績排出量）'!$J$16:$J$515,"&lt;=2500",'様式2-2(実績排出量）'!$T$16:$T$515,"*廃止")</f>
        <v>0</v>
      </c>
      <c r="H99" s="328">
        <f>COUNTIFS('様式2-2(実績排出量）'!$B$16:$B$515,$A99,'様式2-2(実績排出量）'!$H$16:$H$515,"小型貨物車",'様式2-2(実績排出量）'!$J$16:$J$515,"&gt;2500",'様式2-2(実績排出量）'!$J$16:$J$515,"&lt;=3500",'様式2-2(実績排出量）'!$T$16:$T$515,"*廃止")</f>
        <v>0</v>
      </c>
      <c r="I99" s="328">
        <f>COUNTIFS('様式2-2(実績排出量）'!$B$16:$B$515,$A99,'様式2-2(実績排出量）'!$H$16:$H$515,"小型貨物車",'様式2-2(実績排出量）'!$J$16:$J$515,"&gt;3500",'様式2-2(実績排出量）'!$T$16:$T$515,"*廃止")</f>
        <v>0</v>
      </c>
      <c r="J99" s="328">
        <f>COUNTIFS('様式2-2(実績排出量）'!$B$16:$B$515,$A99,'様式2-2(実績排出量）'!$H$16:$H$515,"大型バス",'様式2-2(実績排出量）'!$J$16:$J$515,"&lt;=1700",'様式2-2(実績排出量）'!$T$16:$T$515,"*廃止")</f>
        <v>0</v>
      </c>
      <c r="K99" s="328">
        <f>COUNTIFS('様式2-2(実績排出量）'!$B$16:$B$515,$A99,'様式2-2(実績排出量）'!$H$16:$H$515,"大型バス",'様式2-2(実績排出量）'!$J$16:$J$515,"&gt;1700",'様式2-2(実績排出量）'!$J$16:$J$515,"&lt;=2500",'様式2-2(実績排出量）'!$T$16:$T$515,"*廃止")</f>
        <v>0</v>
      </c>
      <c r="L99" s="328">
        <f>COUNTIFS('様式2-2(実績排出量）'!$B$16:$B$515,$A99,'様式2-2(実績排出量）'!$H$16:$H$515,"大型バス",'様式2-2(実績排出量）'!$J$16:$J$515,"&gt;2500",'様式2-2(実績排出量）'!$J$16:$J$515,"&lt;=3500",'様式2-2(実績排出量）'!$T$16:$T$515,"*廃止")</f>
        <v>0</v>
      </c>
      <c r="M99" s="328">
        <f>COUNTIFS('様式2-2(実績排出量）'!$B$16:$B$515,$A99,'様式2-2(実績排出量）'!$H$16:$H$515,"大型バス",'様式2-2(実績排出量）'!$J$16:$J$515,"&gt;3500",'様式2-2(実績排出量）'!$T$16:$T$515,"*廃止")</f>
        <v>0</v>
      </c>
      <c r="N99" s="328">
        <f>COUNTIFS('様式2-2(実績排出量）'!$B$16:$B$515,$A99,'様式2-2(実績排出量）'!$H$16:$H$515,"マイクロバス",'様式2-2(実績排出量）'!$J$16:$J$515,"&lt;=1700",'様式2-2(実績排出量）'!$T$16:$T$515,"*廃止")</f>
        <v>0</v>
      </c>
      <c r="O99" s="328">
        <f>COUNTIFS('様式2-2(実績排出量）'!$B$16:$B$515,$A99,'様式2-2(実績排出量）'!$H$16:$H$515,"マイクロバス",'様式2-2(実績排出量）'!$J$16:$J$515,"&gt;1700",'様式2-2(実績排出量）'!$J$16:$J$515,"&lt;=2500",'様式2-2(実績排出量）'!$T$16:$T$515,"*廃止")</f>
        <v>0</v>
      </c>
      <c r="P99" s="328">
        <f>COUNTIFS('様式2-2(実績排出量）'!$B$16:$B$515,$A99,'様式2-2(実績排出量）'!$H$16:$H$515,"マイクロバス",'様式2-2(実績排出量）'!$J$16:$J$515,"&gt;2500",'様式2-2(実績排出量）'!$J$16:$J$515,"&lt;=3500",'様式2-2(実績排出量）'!$T$16:$T$515,"*廃止")</f>
        <v>0</v>
      </c>
      <c r="Q99" s="328">
        <f>COUNTIFS('様式2-2(実績排出量）'!$B$16:$B$515,$A99,'様式2-2(実績排出量）'!$H$16:$H$515,"マイクロバス",'様式2-2(実績排出量）'!$J$16:$J$515,"&gt;3500",'様式2-2(実績排出量）'!$T$16:$T$515,"*廃止")</f>
        <v>0</v>
      </c>
      <c r="R99" s="328">
        <f>COUNTIFS('様式2-2(実績排出量）'!$B$16:$B$515,$A99,'様式2-2(実績排出量）'!$H$16:$H$515,"特種車*",'様式2-2(実績排出量）'!$J$16:$J$515,"&lt;=1700",'様式2-2(実績排出量）'!$T$16:$T$515,"*廃止")</f>
        <v>0</v>
      </c>
      <c r="S99" s="328">
        <f>COUNTIFS('様式2-2(実績排出量）'!$B$16:$B$515,$A99,'様式2-2(実績排出量）'!$H$16:$H$515,"特種車*",'様式2-2(実績排出量）'!$J$16:$J$515,"&gt;1700",'様式2-2(実績排出量）'!$J$16:$J$515,"&lt;=2500",'様式2-2(実績排出量）'!$T$16:$T$515,"*廃止")</f>
        <v>0</v>
      </c>
      <c r="T99" s="328">
        <f>COUNTIFS('様式2-2(実績排出量）'!$B$16:$B$515,$A99,'様式2-2(実績排出量）'!$H$16:$H$515,"特種車*",'様式2-2(実績排出量）'!$J$16:$J$515,"&gt;2500",'様式2-2(実績排出量）'!$J$16:$J$515,"&lt;=3500",'様式2-2(実績排出量）'!$T$16:$T$515,"*廃止")</f>
        <v>0</v>
      </c>
      <c r="U99" s="328">
        <f>COUNTIFS('様式2-2(実績排出量）'!$B$16:$B$515,$A99,'様式2-2(実績排出量）'!$H$16:$H$515,"特種車*",'様式2-2(実績排出量）'!$J$16:$J$515,"&gt;3500",'様式2-2(実績排出量）'!$T$16:$T$515,"*廃止")</f>
        <v>0</v>
      </c>
      <c r="V99" s="328">
        <f>COUNTIFS('様式2-2(実績排出量）'!$B$16:$B$515,$A99,'様式2-2(実績排出量）'!$H$16:$H$515,"乗用車*",'様式2-2(実績排出量）'!$T$16:$T$515,"*廃止")</f>
        <v>0</v>
      </c>
      <c r="W99" s="327"/>
    </row>
    <row r="100" spans="1:23" ht="13.75" hidden="1" customHeight="1">
      <c r="A100" s="157">
        <v>30</v>
      </c>
      <c r="B100" s="327">
        <f>COUNTIFS('様式2-2(実績排出量）'!$B$16:$B$515,$A100,'様式2-2(実績排出量）'!$H$16:$H$515,"普通貨物車",'様式2-2(実績排出量）'!$J$16:$J$515,"&lt;=1700",'様式2-2(実績排出量）'!$T$16:$T$515,"*廃止")</f>
        <v>0</v>
      </c>
      <c r="C100" s="327">
        <f>COUNTIFS('様式2-2(実績排出量）'!$B$16:$B$515,$A100,'様式2-2(実績排出量）'!$H$16:$H$515,"普通貨物車",'様式2-2(実績排出量）'!$J$16:$J$515,"&gt;1700",'様式2-2(実績排出量）'!$J$16:$J$515,"&lt;=2500",'様式2-2(実績排出量）'!$T$16:$T$515,"*廃止")</f>
        <v>0</v>
      </c>
      <c r="D100" s="327">
        <f>COUNTIFS('様式2-2(実績排出量）'!$B$16:$B$515,$A100,'様式2-2(実績排出量）'!$H$16:$H$515,"普通貨物車",'様式2-2(実績排出量）'!$J$16:$J$515,"&gt;2500",'様式2-2(実績排出量）'!$J$16:$J$515,"&lt;=3500",'様式2-2(実績排出量）'!$T$16:$T$515,"*廃止")</f>
        <v>0</v>
      </c>
      <c r="E100" s="327">
        <f>COUNTIFS('様式2-2(実績排出量）'!$B$16:$B$515,$A100,'様式2-2(実績排出量）'!$H$16:$H$515,"普通貨物車",'様式2-2(実績排出量）'!$J$16:$J$515,"&gt;3500",'様式2-2(実績排出量）'!$T$16:$T$515,"*廃止")</f>
        <v>0</v>
      </c>
      <c r="F100" s="328">
        <f>COUNTIFS('様式2-2(実績排出量）'!$B$16:$B$515,$A100,'様式2-2(実績排出量）'!$H$16:$H$515,"小型貨物車",'様式2-2(実績排出量）'!$J$16:$J$515,"&lt;=1700",'様式2-2(実績排出量）'!$T$16:$T$515,"*廃止")</f>
        <v>0</v>
      </c>
      <c r="G100" s="328">
        <f>COUNTIFS('様式2-2(実績排出量）'!$B$16:$B$515,$A100,'様式2-2(実績排出量）'!$H$16:$H$515,"小型貨物車",'様式2-2(実績排出量）'!$J$16:$J$515,"&gt;1700",'様式2-2(実績排出量）'!$J$16:$J$515,"&lt;=2500",'様式2-2(実績排出量）'!$T$16:$T$515,"*廃止")</f>
        <v>0</v>
      </c>
      <c r="H100" s="328">
        <f>COUNTIFS('様式2-2(実績排出量）'!$B$16:$B$515,$A100,'様式2-2(実績排出量）'!$H$16:$H$515,"小型貨物車",'様式2-2(実績排出量）'!$J$16:$J$515,"&gt;2500",'様式2-2(実績排出量）'!$J$16:$J$515,"&lt;=3500",'様式2-2(実績排出量）'!$T$16:$T$515,"*廃止")</f>
        <v>0</v>
      </c>
      <c r="I100" s="328">
        <f>COUNTIFS('様式2-2(実績排出量）'!$B$16:$B$515,$A100,'様式2-2(実績排出量）'!$H$16:$H$515,"小型貨物車",'様式2-2(実績排出量）'!$J$16:$J$515,"&gt;3500",'様式2-2(実績排出量）'!$T$16:$T$515,"*廃止")</f>
        <v>0</v>
      </c>
      <c r="J100" s="328">
        <f>COUNTIFS('様式2-2(実績排出量）'!$B$16:$B$515,$A100,'様式2-2(実績排出量）'!$H$16:$H$515,"大型バス",'様式2-2(実績排出量）'!$J$16:$J$515,"&lt;=1700",'様式2-2(実績排出量）'!$T$16:$T$515,"*廃止")</f>
        <v>0</v>
      </c>
      <c r="K100" s="328">
        <f>COUNTIFS('様式2-2(実績排出量）'!$B$16:$B$515,$A100,'様式2-2(実績排出量）'!$H$16:$H$515,"大型バス",'様式2-2(実績排出量）'!$J$16:$J$515,"&gt;1700",'様式2-2(実績排出量）'!$J$16:$J$515,"&lt;=2500",'様式2-2(実績排出量）'!$T$16:$T$515,"*廃止")</f>
        <v>0</v>
      </c>
      <c r="L100" s="328">
        <f>COUNTIFS('様式2-2(実績排出量）'!$B$16:$B$515,$A100,'様式2-2(実績排出量）'!$H$16:$H$515,"大型バス",'様式2-2(実績排出量）'!$J$16:$J$515,"&gt;2500",'様式2-2(実績排出量）'!$J$16:$J$515,"&lt;=3500",'様式2-2(実績排出量）'!$T$16:$T$515,"*廃止")</f>
        <v>0</v>
      </c>
      <c r="M100" s="328">
        <f>COUNTIFS('様式2-2(実績排出量）'!$B$16:$B$515,$A100,'様式2-2(実績排出量）'!$H$16:$H$515,"大型バス",'様式2-2(実績排出量）'!$J$16:$J$515,"&gt;3500",'様式2-2(実績排出量）'!$T$16:$T$515,"*廃止")</f>
        <v>0</v>
      </c>
      <c r="N100" s="328">
        <f>COUNTIFS('様式2-2(実績排出量）'!$B$16:$B$515,$A100,'様式2-2(実績排出量）'!$H$16:$H$515,"マイクロバス",'様式2-2(実績排出量）'!$J$16:$J$515,"&lt;=1700",'様式2-2(実績排出量）'!$T$16:$T$515,"*廃止")</f>
        <v>0</v>
      </c>
      <c r="O100" s="328">
        <f>COUNTIFS('様式2-2(実績排出量）'!$B$16:$B$515,$A100,'様式2-2(実績排出量）'!$H$16:$H$515,"マイクロバス",'様式2-2(実績排出量）'!$J$16:$J$515,"&gt;1700",'様式2-2(実績排出量）'!$J$16:$J$515,"&lt;=2500",'様式2-2(実績排出量）'!$T$16:$T$515,"*廃止")</f>
        <v>0</v>
      </c>
      <c r="P100" s="328">
        <f>COUNTIFS('様式2-2(実績排出量）'!$B$16:$B$515,$A100,'様式2-2(実績排出量）'!$H$16:$H$515,"マイクロバス",'様式2-2(実績排出量）'!$J$16:$J$515,"&gt;2500",'様式2-2(実績排出量）'!$J$16:$J$515,"&lt;=3500",'様式2-2(実績排出量）'!$T$16:$T$515,"*廃止")</f>
        <v>0</v>
      </c>
      <c r="Q100" s="328">
        <f>COUNTIFS('様式2-2(実績排出量）'!$B$16:$B$515,$A100,'様式2-2(実績排出量）'!$H$16:$H$515,"マイクロバス",'様式2-2(実績排出量）'!$J$16:$J$515,"&gt;3500",'様式2-2(実績排出量）'!$T$16:$T$515,"*廃止")</f>
        <v>0</v>
      </c>
      <c r="R100" s="328">
        <f>COUNTIFS('様式2-2(実績排出量）'!$B$16:$B$515,$A100,'様式2-2(実績排出量）'!$H$16:$H$515,"特種車*",'様式2-2(実績排出量）'!$J$16:$J$515,"&lt;=1700",'様式2-2(実績排出量）'!$T$16:$T$515,"*廃止")</f>
        <v>0</v>
      </c>
      <c r="S100" s="328">
        <f>COUNTIFS('様式2-2(実績排出量）'!$B$16:$B$515,$A100,'様式2-2(実績排出量）'!$H$16:$H$515,"特種車*",'様式2-2(実績排出量）'!$J$16:$J$515,"&gt;1700",'様式2-2(実績排出量）'!$J$16:$J$515,"&lt;=2500",'様式2-2(実績排出量）'!$T$16:$T$515,"*廃止")</f>
        <v>0</v>
      </c>
      <c r="T100" s="328">
        <f>COUNTIFS('様式2-2(実績排出量）'!$B$16:$B$515,$A100,'様式2-2(実績排出量）'!$H$16:$H$515,"特種車*",'様式2-2(実績排出量）'!$J$16:$J$515,"&gt;2500",'様式2-2(実績排出量）'!$J$16:$J$515,"&lt;=3500",'様式2-2(実績排出量）'!$T$16:$T$515,"*廃止")</f>
        <v>0</v>
      </c>
      <c r="U100" s="328">
        <f>COUNTIFS('様式2-2(実績排出量）'!$B$16:$B$515,$A100,'様式2-2(実績排出量）'!$H$16:$H$515,"特種車*",'様式2-2(実績排出量）'!$J$16:$J$515,"&gt;3500",'様式2-2(実績排出量）'!$T$16:$T$515,"*廃止")</f>
        <v>0</v>
      </c>
      <c r="V100" s="328">
        <f>COUNTIFS('様式2-2(実績排出量）'!$B$16:$B$515,$A100,'様式2-2(実績排出量）'!$H$16:$H$515,"乗用車*",'様式2-2(実績排出量）'!$T$16:$T$515,"*廃止")</f>
        <v>0</v>
      </c>
      <c r="W100" s="327"/>
    </row>
    <row r="101" spans="1:23" ht="13.75" customHeight="1"/>
    <row r="102" spans="1:23" ht="13.75" customHeight="1"/>
    <row r="103" spans="1:23" ht="13.75" customHeight="1"/>
    <row r="104" spans="1:23" ht="13.75" customHeight="1"/>
    <row r="105" spans="1:23" ht="13.75" customHeight="1"/>
    <row r="106" spans="1:23" ht="13.75" customHeight="1"/>
    <row r="107" spans="1:23" ht="13.75" customHeight="1"/>
    <row r="108" spans="1:23" ht="13.75" customHeight="1"/>
    <row r="109" spans="1:23" ht="13.75" customHeight="1"/>
    <row r="110" spans="1:23" ht="13.75" customHeight="1"/>
    <row r="111" spans="1:23" ht="13.75" customHeight="1"/>
    <row r="112" spans="1:23"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row r="143" ht="13.75" customHeight="1"/>
    <row r="144" ht="13.75" customHeight="1"/>
    <row r="145" ht="13.75" customHeight="1"/>
    <row r="146" ht="13.75" customHeight="1"/>
    <row r="147" ht="13.75" customHeight="1"/>
    <row r="148" ht="13.75" customHeight="1"/>
    <row r="149" ht="13.75" customHeight="1"/>
    <row r="150" ht="13.75" customHeight="1"/>
    <row r="151" ht="13.75" customHeight="1"/>
    <row r="152" ht="13.75" customHeight="1"/>
    <row r="153" ht="13.75" customHeight="1"/>
    <row r="154" ht="13.75" customHeight="1"/>
    <row r="155" ht="13.75" customHeight="1"/>
    <row r="156" ht="13.75" customHeight="1"/>
    <row r="157" ht="13.75" customHeight="1"/>
    <row r="158" ht="13.75" customHeight="1"/>
    <row r="159" ht="13.75" customHeight="1"/>
    <row r="160" ht="13.75" customHeight="1"/>
    <row r="161" ht="13.75" customHeight="1"/>
    <row r="162" ht="13.75" customHeight="1"/>
    <row r="163" ht="13.75" customHeight="1"/>
    <row r="164" ht="13.75" customHeight="1"/>
    <row r="165" ht="13.75" customHeight="1"/>
    <row r="166" ht="13.75" customHeight="1"/>
    <row r="167" ht="13.75" customHeight="1"/>
    <row r="168" ht="13.75" customHeight="1"/>
    <row r="169" ht="13.75" customHeight="1"/>
    <row r="170" ht="13.75" customHeight="1"/>
    <row r="171" ht="13.75" customHeight="1"/>
    <row r="172" ht="13.75" customHeight="1"/>
    <row r="173" ht="13.75" customHeight="1"/>
    <row r="174" ht="13.75" customHeight="1"/>
    <row r="175" ht="13.75" customHeight="1"/>
    <row r="176" ht="13.75" customHeight="1"/>
    <row r="177" ht="13.75" customHeight="1"/>
    <row r="178" ht="13.75" customHeight="1"/>
    <row r="179" ht="13.75" customHeight="1"/>
    <row r="180" ht="13.75" customHeight="1"/>
    <row r="181" ht="13.75" customHeight="1"/>
    <row r="182" ht="13.75" customHeight="1"/>
    <row r="183" ht="13.75" customHeight="1"/>
    <row r="184" ht="13.75" customHeight="1"/>
    <row r="185" ht="13.75" customHeight="1"/>
    <row r="186" ht="13.75" customHeight="1"/>
    <row r="187" ht="13.75" customHeight="1"/>
    <row r="188" ht="13.75" customHeight="1"/>
    <row r="189" ht="13.75" customHeight="1"/>
    <row r="190" ht="13.75" customHeight="1"/>
    <row r="191" ht="13.75" customHeight="1"/>
    <row r="192" ht="13.75" customHeight="1"/>
    <row r="193" ht="13.75" customHeight="1"/>
    <row r="194" ht="13.75" customHeight="1"/>
    <row r="195" ht="13.75" customHeight="1"/>
    <row r="196" ht="13.75" customHeight="1"/>
    <row r="197" ht="13.75" customHeight="1"/>
    <row r="198" ht="13.75" customHeight="1"/>
    <row r="199" ht="13.75" customHeight="1"/>
    <row r="200" ht="13.75" customHeight="1"/>
    <row r="201" ht="13.75" customHeight="1"/>
    <row r="202" ht="13.75" customHeight="1"/>
    <row r="203" ht="13.75" customHeight="1"/>
    <row r="204" ht="13.75" customHeight="1"/>
    <row r="205" ht="13.75" customHeight="1"/>
    <row r="206" ht="13.75" customHeight="1"/>
    <row r="207" ht="13.75" customHeight="1"/>
    <row r="208" ht="13.75" customHeight="1"/>
    <row r="209" ht="13.75" customHeight="1"/>
    <row r="210" ht="13.75" customHeight="1"/>
    <row r="211" ht="13.75" customHeight="1"/>
    <row r="212" ht="13.75" customHeight="1"/>
    <row r="213" ht="13.75" customHeight="1"/>
    <row r="214" ht="13.75" customHeight="1"/>
    <row r="215" ht="13.75" customHeight="1"/>
    <row r="216" ht="13.75" customHeight="1"/>
    <row r="217" ht="13.75" customHeight="1"/>
    <row r="218" ht="13.75" customHeight="1"/>
    <row r="219" ht="13.75" customHeight="1"/>
    <row r="220" ht="13.75" customHeight="1"/>
    <row r="221" ht="13.75" customHeight="1"/>
    <row r="222" ht="13.75" customHeight="1"/>
    <row r="223" ht="13.75" customHeight="1"/>
    <row r="224" ht="13.75" customHeight="1"/>
    <row r="225" ht="13.75" customHeight="1"/>
    <row r="226" ht="13.75" customHeight="1"/>
    <row r="227" ht="13.75" customHeight="1"/>
    <row r="228" ht="13.75" customHeight="1"/>
    <row r="229" ht="13.75" customHeight="1"/>
    <row r="230" ht="13.75" customHeight="1"/>
    <row r="231" ht="13.75" customHeight="1"/>
    <row r="232" ht="13.75" customHeight="1"/>
    <row r="233" ht="13.75" customHeight="1"/>
    <row r="234" ht="13.75" customHeight="1"/>
    <row r="235" ht="13.75" customHeight="1"/>
    <row r="236" ht="13.75" customHeight="1"/>
    <row r="237" ht="13.75" customHeight="1"/>
    <row r="238" ht="13.75" customHeight="1"/>
    <row r="239" ht="13.75" customHeight="1"/>
    <row r="240" ht="13.75" customHeight="1"/>
    <row r="241" ht="13.75" customHeight="1"/>
    <row r="242" ht="13.75" customHeight="1"/>
    <row r="243" ht="13.75" customHeight="1"/>
    <row r="244" ht="13.75" customHeight="1"/>
    <row r="245" ht="13.75" customHeight="1"/>
    <row r="246" ht="13.75" customHeight="1"/>
    <row r="247" ht="13.75" customHeight="1"/>
    <row r="248" ht="13.75" customHeight="1"/>
    <row r="249" ht="13.75" customHeight="1"/>
    <row r="250" ht="13.75" customHeight="1"/>
    <row r="251" ht="13.75" customHeight="1"/>
    <row r="252" ht="13.75" customHeight="1"/>
    <row r="253" ht="13.75" customHeight="1"/>
    <row r="254" ht="13.75" customHeight="1"/>
    <row r="255" ht="13.75" customHeight="1"/>
    <row r="256" ht="13.75" customHeight="1"/>
    <row r="257" ht="13.75" customHeight="1"/>
    <row r="258" ht="13.75" customHeight="1"/>
    <row r="259" ht="13.75" customHeight="1"/>
    <row r="260" ht="13.75" customHeight="1"/>
    <row r="261" ht="13.75" customHeight="1"/>
    <row r="262" ht="13.75" customHeight="1"/>
    <row r="263" ht="13.75" customHeight="1"/>
    <row r="264" ht="13.75" customHeight="1"/>
    <row r="265" ht="13.75" customHeight="1"/>
    <row r="266" ht="13.75" customHeight="1"/>
    <row r="267" ht="13.75" customHeight="1"/>
    <row r="268" ht="13.75" customHeight="1"/>
    <row r="269" ht="13.75" customHeight="1"/>
    <row r="270" ht="13.75" customHeight="1"/>
    <row r="271" ht="13.75" customHeight="1"/>
    <row r="272" ht="13.75" customHeight="1"/>
    <row r="273" ht="13.75" customHeight="1"/>
    <row r="274" ht="13.75" customHeight="1"/>
    <row r="275" ht="13.75" customHeight="1"/>
    <row r="276" ht="13.75" customHeight="1"/>
    <row r="277" ht="13.75" customHeight="1"/>
    <row r="278" ht="13.75" customHeight="1"/>
    <row r="279" ht="13.75" customHeight="1"/>
    <row r="280" ht="13.75" customHeight="1"/>
    <row r="281" ht="13.75" customHeight="1"/>
    <row r="282" ht="13.75" customHeight="1"/>
    <row r="283" ht="13.75" customHeight="1"/>
    <row r="284" ht="13.75" customHeight="1"/>
    <row r="285" ht="13.75" customHeight="1"/>
    <row r="286" ht="13.75" customHeight="1"/>
    <row r="287" ht="13.75" customHeight="1"/>
    <row r="288" ht="13.75" customHeight="1"/>
    <row r="289" ht="13.75" customHeight="1"/>
    <row r="290" ht="13.75" customHeight="1"/>
    <row r="291" ht="13.75" customHeight="1"/>
    <row r="292" ht="13.75" customHeight="1"/>
    <row r="293" ht="13.75" customHeight="1"/>
    <row r="294" ht="13.75" customHeight="1"/>
    <row r="295" ht="13.75" customHeight="1"/>
    <row r="296" ht="13.75" customHeight="1"/>
    <row r="297" ht="13.75" customHeight="1"/>
    <row r="298" ht="13.75" customHeight="1"/>
    <row r="299" ht="13.75" customHeight="1"/>
    <row r="300" ht="13.75" customHeight="1"/>
    <row r="301" ht="13.75" customHeight="1"/>
    <row r="302" ht="13.75" customHeight="1"/>
    <row r="303" ht="13.75" customHeight="1"/>
    <row r="304" ht="13.75" customHeight="1"/>
    <row r="305" ht="13.75" customHeight="1"/>
    <row r="306" ht="13.75" customHeight="1"/>
    <row r="307" ht="13.75" customHeight="1"/>
    <row r="308" ht="13.75" customHeight="1"/>
    <row r="309" ht="13.75" customHeight="1"/>
    <row r="310" ht="13.75" customHeight="1"/>
    <row r="311" ht="13.75" customHeight="1"/>
    <row r="312" ht="13.75" customHeight="1"/>
    <row r="313" ht="13.75" customHeight="1"/>
    <row r="314" ht="13.75" customHeight="1"/>
    <row r="315" ht="13.75" customHeight="1"/>
    <row r="316" ht="13.75" customHeight="1"/>
    <row r="317" ht="13.75" customHeight="1"/>
    <row r="318" ht="13.75" customHeight="1"/>
    <row r="319" ht="13.75" customHeight="1"/>
    <row r="320" ht="13.75" customHeight="1"/>
    <row r="321" ht="13.75" customHeight="1"/>
    <row r="322" ht="13.75" customHeight="1"/>
    <row r="323" ht="13.75" customHeight="1"/>
    <row r="324" ht="13.75" customHeight="1"/>
    <row r="325" ht="13.75" customHeight="1"/>
    <row r="326" ht="13.75" customHeight="1"/>
    <row r="327" ht="13.75" customHeight="1"/>
    <row r="328" ht="13.75" customHeight="1"/>
    <row r="329" ht="13.75" customHeight="1"/>
    <row r="330" ht="13.75" customHeight="1"/>
    <row r="331" ht="13.75" customHeight="1"/>
    <row r="332" ht="13.75" customHeight="1"/>
    <row r="333" ht="13.75" customHeight="1"/>
    <row r="334" ht="13.75" customHeight="1"/>
    <row r="335" ht="13.75" customHeight="1"/>
    <row r="336" ht="13.75" customHeight="1"/>
    <row r="337" ht="13.75" customHeight="1"/>
    <row r="338" ht="13.75" customHeight="1"/>
    <row r="339" ht="13.75" customHeight="1"/>
    <row r="340" ht="13.75" customHeight="1"/>
    <row r="341" ht="13.75" customHeight="1"/>
    <row r="342" ht="13.75" customHeight="1"/>
    <row r="343" ht="13.75" customHeight="1"/>
    <row r="344" ht="13.75" customHeight="1"/>
    <row r="345" ht="13.75" customHeight="1"/>
    <row r="346" ht="13.75" customHeight="1"/>
    <row r="347" ht="13.75" customHeight="1"/>
    <row r="348" ht="13.75" customHeight="1"/>
    <row r="349" ht="13.75" customHeight="1"/>
    <row r="350" ht="13.75" customHeight="1"/>
    <row r="351" ht="13.75" customHeight="1"/>
    <row r="352" ht="13.75" customHeight="1"/>
    <row r="353" ht="13.75" customHeight="1"/>
    <row r="354" ht="13.75" customHeight="1"/>
    <row r="355" ht="13.75" customHeight="1"/>
    <row r="356" ht="13.75" customHeight="1"/>
    <row r="357" ht="13.75" customHeight="1"/>
    <row r="358" ht="13.75" customHeight="1"/>
    <row r="359" ht="13.75" customHeight="1"/>
    <row r="360" ht="13.75" customHeight="1"/>
    <row r="361" ht="13.75" customHeight="1"/>
    <row r="362" ht="13.75" customHeight="1"/>
    <row r="363" ht="13.75" customHeight="1"/>
    <row r="364" ht="13.75" customHeight="1"/>
    <row r="365" ht="13.75" customHeight="1"/>
    <row r="366" ht="13.75" customHeight="1"/>
    <row r="367" ht="13.75" customHeight="1"/>
    <row r="368" ht="13.75" customHeight="1"/>
    <row r="369" ht="13.75" customHeight="1"/>
    <row r="370" ht="13.75" customHeight="1"/>
    <row r="371" ht="13.75" customHeight="1"/>
    <row r="372" ht="13.75" customHeight="1"/>
    <row r="373" ht="13.75" customHeight="1"/>
    <row r="374" ht="13.75" customHeight="1"/>
    <row r="375" ht="13.75" customHeight="1"/>
    <row r="376" ht="13.75" customHeight="1"/>
    <row r="377" ht="13.75" customHeight="1"/>
    <row r="378" ht="13.75" customHeight="1"/>
    <row r="379" ht="13.75" customHeight="1"/>
    <row r="380" ht="13.75" customHeight="1"/>
    <row r="381" ht="13.75" customHeight="1"/>
    <row r="382" ht="13.75" customHeight="1"/>
    <row r="383" ht="13.75" customHeight="1"/>
    <row r="384" ht="13.75" customHeight="1"/>
    <row r="385" ht="13.75" customHeight="1"/>
    <row r="386" ht="13.75" customHeight="1"/>
    <row r="387" ht="13.75" customHeight="1"/>
    <row r="388" ht="13.75" customHeight="1"/>
    <row r="389" ht="13.75" customHeight="1"/>
    <row r="390" ht="13.75" customHeight="1"/>
    <row r="391" ht="13.75" customHeight="1"/>
    <row r="392" ht="13.75" customHeight="1"/>
    <row r="393" ht="13.75" customHeight="1"/>
    <row r="394" ht="13.75" customHeight="1"/>
    <row r="395" ht="13.75" customHeight="1"/>
    <row r="396" ht="13.75" customHeight="1"/>
    <row r="397" ht="13.75" customHeight="1"/>
    <row r="398" ht="13.75" customHeight="1"/>
    <row r="399" ht="13.75" customHeight="1"/>
    <row r="400" ht="13.75" customHeight="1"/>
    <row r="401" ht="13.75" customHeight="1"/>
    <row r="402" ht="13.75" customHeight="1"/>
    <row r="403" ht="13.75" customHeight="1"/>
    <row r="404" ht="13.75" customHeight="1"/>
    <row r="405" ht="13.75" customHeight="1"/>
    <row r="406" ht="13.75" customHeight="1"/>
    <row r="407" ht="13.75" customHeight="1"/>
    <row r="408" ht="13.75" customHeight="1"/>
    <row r="409" ht="13.75" customHeight="1"/>
    <row r="410" ht="13.75" customHeight="1"/>
    <row r="411" ht="13.75" customHeight="1"/>
    <row r="412" ht="13.75" customHeight="1"/>
    <row r="413" ht="13.75" customHeight="1"/>
    <row r="414" ht="13.75" customHeight="1"/>
    <row r="415" ht="13.75" customHeight="1"/>
    <row r="416" ht="13.75" customHeight="1"/>
    <row r="417" ht="13.75" customHeight="1"/>
    <row r="418" ht="13.75" customHeight="1"/>
    <row r="419" ht="13.75" customHeight="1"/>
    <row r="420" ht="13.75" customHeight="1"/>
    <row r="421" ht="13.75" customHeight="1"/>
    <row r="422" ht="13.75" customHeight="1"/>
    <row r="423" ht="13.75" customHeight="1"/>
    <row r="424" ht="13.75" customHeight="1"/>
    <row r="425" ht="13.75" customHeight="1"/>
    <row r="426" ht="13.75" customHeight="1"/>
    <row r="427" ht="13.75" customHeight="1"/>
    <row r="428" ht="13.75" customHeight="1"/>
    <row r="429" ht="13.75" customHeight="1"/>
    <row r="430" ht="13.75" customHeight="1"/>
    <row r="431" ht="13.75" customHeight="1"/>
    <row r="432" ht="13.75" customHeight="1"/>
    <row r="433" ht="13.75" customHeight="1"/>
    <row r="434" ht="13.75" customHeight="1"/>
    <row r="435" ht="13.75" customHeight="1"/>
    <row r="436" ht="13.75" customHeight="1"/>
    <row r="437" ht="13.75" customHeight="1"/>
    <row r="438" ht="13.75" customHeight="1"/>
    <row r="439" ht="13.75" customHeight="1"/>
    <row r="440" ht="13.75" customHeight="1"/>
    <row r="441" ht="13.75" customHeight="1"/>
    <row r="442" ht="13.75" customHeight="1"/>
    <row r="443" ht="13.75" customHeight="1"/>
    <row r="444" ht="13.75" customHeight="1"/>
    <row r="445" ht="13.75" customHeight="1"/>
    <row r="446" ht="13.75" customHeight="1"/>
    <row r="447" ht="13.75" customHeight="1"/>
    <row r="448" ht="13.75" customHeight="1"/>
    <row r="449" ht="13.75" customHeight="1"/>
    <row r="450" ht="13.75" customHeight="1"/>
    <row r="451" ht="13.75" customHeight="1"/>
    <row r="452" ht="13.75" customHeight="1"/>
    <row r="453" ht="13.75" customHeight="1"/>
    <row r="454" ht="13.75" customHeight="1"/>
    <row r="455" ht="13.75" customHeight="1"/>
    <row r="456" ht="13.75" customHeight="1"/>
    <row r="457" ht="13.75" customHeight="1"/>
    <row r="458" ht="13.75" customHeight="1"/>
    <row r="459" ht="13.75" customHeight="1"/>
    <row r="460" ht="13.75" customHeight="1"/>
    <row r="461" ht="13.75" customHeight="1"/>
    <row r="462" ht="13.75" customHeight="1"/>
    <row r="463" ht="13.75" customHeight="1"/>
    <row r="464" ht="13.75" customHeight="1"/>
    <row r="465" ht="13.75" customHeight="1"/>
    <row r="466" ht="13.75" customHeight="1"/>
    <row r="467" ht="13.75" customHeight="1"/>
    <row r="468" ht="13.75" customHeight="1"/>
    <row r="469" ht="13.75" customHeight="1"/>
    <row r="470" ht="13.75" customHeight="1"/>
    <row r="471" ht="13.75" customHeight="1"/>
    <row r="472" ht="13.75" customHeight="1"/>
    <row r="473" ht="13.75" customHeight="1"/>
    <row r="474" ht="13.75" customHeight="1"/>
    <row r="475" ht="13.75" customHeight="1"/>
    <row r="476" ht="13.75" customHeight="1"/>
    <row r="477" ht="13.75" customHeight="1"/>
    <row r="478" ht="13.75" customHeight="1"/>
    <row r="479" ht="13.75" customHeight="1"/>
    <row r="480" ht="13.75" customHeight="1"/>
    <row r="481" ht="13.75" customHeight="1"/>
    <row r="482" ht="13.75" customHeight="1"/>
    <row r="483" ht="13.75" customHeight="1"/>
    <row r="484" ht="13.75" customHeight="1"/>
    <row r="485" ht="13.75" customHeight="1"/>
    <row r="486" ht="13.75" customHeight="1"/>
    <row r="487" ht="13.75" customHeight="1"/>
    <row r="488" ht="13.75" customHeight="1"/>
    <row r="489" ht="13.75" customHeight="1"/>
    <row r="490" ht="13.75" customHeight="1"/>
    <row r="491" ht="13.75" customHeight="1"/>
    <row r="492" ht="13.75" customHeight="1"/>
    <row r="493" ht="13.75" customHeight="1"/>
    <row r="494" ht="13.75" customHeight="1"/>
    <row r="495" ht="13.75" customHeight="1"/>
    <row r="496" ht="13.75" customHeight="1"/>
    <row r="497" ht="13.75" customHeight="1"/>
    <row r="498" ht="13.75" customHeight="1"/>
    <row r="499" ht="13.75" customHeight="1"/>
    <row r="500" ht="13.75" customHeight="1"/>
    <row r="501" ht="13.75" customHeight="1"/>
    <row r="502" ht="13.75" customHeight="1"/>
    <row r="503" ht="13.75" customHeight="1"/>
    <row r="504" ht="13.75" customHeight="1"/>
    <row r="505" ht="13.75" customHeight="1"/>
    <row r="506" ht="13.75" customHeight="1"/>
    <row r="507" ht="13.75" customHeight="1"/>
    <row r="508" ht="13.75" customHeight="1"/>
    <row r="509" ht="13.75" customHeight="1"/>
    <row r="510" ht="13.75" customHeight="1"/>
    <row r="511" ht="13.75" customHeight="1"/>
    <row r="512" ht="13.75" customHeight="1"/>
    <row r="513" ht="13.75" customHeight="1"/>
    <row r="514" ht="13.75" customHeight="1"/>
    <row r="515" ht="13.75" customHeight="1"/>
    <row r="516" ht="13.75" customHeight="1"/>
    <row r="517" ht="13.75" customHeight="1"/>
    <row r="518" ht="13.75" customHeight="1"/>
    <row r="519" ht="13.75" customHeight="1"/>
    <row r="520" ht="13.75" customHeight="1"/>
    <row r="521" ht="13.75" customHeight="1"/>
    <row r="522" ht="13.75" customHeight="1"/>
    <row r="523" ht="13.75" customHeight="1"/>
    <row r="524" ht="13.75" customHeight="1"/>
    <row r="525" ht="13.75" customHeight="1"/>
    <row r="526" ht="13.75" customHeight="1"/>
    <row r="527" ht="13.75" customHeight="1"/>
    <row r="528" ht="13.75" customHeight="1"/>
    <row r="529" ht="13.75" customHeight="1"/>
    <row r="530" ht="13.75" customHeight="1"/>
    <row r="531" ht="13.75" customHeight="1"/>
    <row r="532" ht="13.75" customHeight="1"/>
    <row r="533" ht="13.75" customHeight="1"/>
    <row r="534" ht="13.75" customHeight="1"/>
    <row r="535" ht="13.75" customHeight="1"/>
    <row r="536" ht="13.75" customHeight="1"/>
    <row r="537" ht="13.75" customHeight="1"/>
    <row r="538" ht="13.75" customHeight="1"/>
    <row r="539" ht="13.75" customHeight="1"/>
    <row r="540" ht="13.75" customHeight="1"/>
    <row r="541" ht="13.75" customHeight="1"/>
    <row r="542" ht="13.75" customHeight="1"/>
    <row r="543" ht="13.75" customHeight="1"/>
    <row r="544" ht="13.75" customHeight="1"/>
    <row r="545" ht="13.75" customHeight="1"/>
    <row r="546" ht="13.75" customHeight="1"/>
    <row r="547" ht="13.75" customHeight="1"/>
    <row r="548" ht="13.75" customHeight="1"/>
    <row r="549" ht="13.75" customHeight="1"/>
    <row r="550" ht="13.75" customHeight="1"/>
    <row r="551" ht="13.75" customHeight="1"/>
    <row r="552" ht="13.75" customHeight="1"/>
    <row r="553" ht="13.75" customHeight="1"/>
    <row r="554" ht="13.75" customHeight="1"/>
    <row r="555" ht="13.75" customHeight="1"/>
    <row r="556" ht="13.75" customHeight="1"/>
    <row r="557" ht="13.75" customHeight="1"/>
    <row r="558" ht="13.75" customHeight="1"/>
    <row r="559" ht="13.75" customHeight="1"/>
    <row r="560" ht="13.75" customHeight="1"/>
    <row r="561" ht="13.75" customHeight="1"/>
    <row r="562" ht="13.75" customHeight="1"/>
    <row r="563" ht="13.75" customHeight="1"/>
    <row r="564" ht="13.75" customHeight="1"/>
    <row r="565" ht="13.75" customHeight="1"/>
    <row r="566" ht="13.75" customHeight="1"/>
    <row r="567" ht="13.75" customHeight="1"/>
    <row r="568" ht="13.75" customHeight="1"/>
    <row r="569" ht="13.75" customHeight="1"/>
    <row r="570" ht="13.75" customHeight="1"/>
    <row r="571" ht="13.75" customHeight="1"/>
    <row r="572" ht="13.75" customHeight="1"/>
    <row r="573" ht="13.75" customHeight="1"/>
    <row r="574" ht="13.75" customHeight="1"/>
    <row r="575" ht="13.75" customHeight="1"/>
    <row r="576" ht="13.75" customHeight="1"/>
    <row r="577" ht="13.75" customHeight="1"/>
    <row r="578" ht="13.75" customHeight="1"/>
    <row r="579" ht="13.75" customHeight="1"/>
    <row r="580" ht="13.75" customHeight="1"/>
    <row r="581" ht="13.75" customHeight="1"/>
    <row r="582" ht="13.75" customHeight="1"/>
    <row r="583" ht="13.75" customHeight="1"/>
    <row r="584" ht="13.75" customHeight="1"/>
    <row r="585" ht="13.75" customHeight="1"/>
    <row r="586" ht="13.75" customHeight="1"/>
    <row r="587" ht="13.75" customHeight="1"/>
    <row r="588" ht="13.75" customHeight="1"/>
    <row r="589" ht="13.75" customHeight="1"/>
    <row r="590" ht="13.75" customHeight="1"/>
    <row r="591" ht="13.75" customHeight="1"/>
    <row r="592" ht="13.75" customHeight="1"/>
    <row r="593" ht="13.75" customHeight="1"/>
    <row r="594" ht="13.75" customHeight="1"/>
    <row r="595" ht="13.75" customHeight="1"/>
    <row r="596" ht="13.75" customHeight="1"/>
    <row r="597" ht="13.75" customHeight="1"/>
    <row r="598" ht="13.75" customHeight="1"/>
    <row r="599" ht="13.75" customHeight="1"/>
    <row r="600" ht="13.75" customHeight="1"/>
    <row r="601" ht="13.75" customHeight="1"/>
    <row r="602" ht="13.75" customHeight="1"/>
    <row r="603" ht="13.75" customHeight="1"/>
    <row r="604" ht="13.75" customHeight="1"/>
    <row r="605" ht="13.75" customHeight="1"/>
    <row r="606" ht="13.75" customHeight="1"/>
    <row r="607" ht="13.75" customHeight="1"/>
    <row r="608" ht="13.75" customHeight="1"/>
    <row r="609" ht="13.75" customHeight="1"/>
    <row r="610" ht="13.75" customHeight="1"/>
    <row r="611" ht="13.75" customHeight="1"/>
    <row r="612" ht="13.75" customHeight="1"/>
    <row r="613" ht="13.75" customHeight="1"/>
    <row r="614" ht="13.75" customHeight="1"/>
    <row r="615" ht="13.75" customHeight="1"/>
    <row r="616" ht="13.75" customHeight="1"/>
    <row r="617" ht="13.75" customHeight="1"/>
    <row r="618" ht="13.75" customHeight="1"/>
    <row r="619" ht="13.75" customHeight="1"/>
    <row r="620" ht="13.75" customHeight="1"/>
    <row r="621" ht="13.75" customHeight="1"/>
    <row r="622" ht="13.75" customHeight="1"/>
    <row r="623" ht="13.75" customHeight="1"/>
    <row r="624" ht="13.75" customHeight="1"/>
    <row r="625" ht="13.75" customHeight="1"/>
    <row r="626" ht="13.75" customHeight="1"/>
    <row r="627" ht="13.75" customHeight="1"/>
    <row r="628" ht="13.75" customHeight="1"/>
    <row r="629" ht="13.75" customHeight="1"/>
    <row r="630" ht="13.75" customHeight="1"/>
    <row r="631" ht="13.75" customHeight="1"/>
    <row r="632" ht="13.75" customHeight="1"/>
    <row r="633" ht="13.75" customHeight="1"/>
    <row r="634" ht="13.75" customHeight="1"/>
    <row r="635" ht="13.75" customHeight="1"/>
    <row r="636" ht="13.75" customHeight="1"/>
    <row r="637" ht="13.75" customHeight="1"/>
    <row r="638" ht="13.75" customHeight="1"/>
    <row r="639" ht="13.75" customHeight="1"/>
    <row r="640" ht="13.75" customHeight="1"/>
    <row r="641" ht="13.75" customHeight="1"/>
    <row r="642" ht="13.75" customHeight="1"/>
    <row r="643" ht="13.75" customHeight="1"/>
    <row r="644" ht="13.75" customHeight="1"/>
    <row r="645" ht="13.75" customHeight="1"/>
    <row r="646" ht="13.75" customHeight="1"/>
    <row r="647" ht="13.75" customHeight="1"/>
    <row r="648" ht="13.75" customHeight="1"/>
    <row r="649" ht="13.75" customHeight="1"/>
    <row r="650" ht="13.75" customHeight="1"/>
    <row r="651" ht="13.75" customHeight="1"/>
    <row r="652" ht="13.75" customHeight="1"/>
    <row r="653" ht="13.75" customHeight="1"/>
    <row r="654" ht="13.75" customHeight="1"/>
    <row r="655" ht="13.75" customHeight="1"/>
    <row r="656" ht="13.75" customHeight="1"/>
    <row r="657" ht="13.75" customHeight="1"/>
    <row r="658" ht="13.75" customHeight="1"/>
    <row r="659" ht="13.75" customHeight="1"/>
    <row r="660" ht="13.75" customHeight="1"/>
    <row r="661" ht="13.75" customHeight="1"/>
    <row r="662" ht="13.75" customHeight="1"/>
    <row r="663" ht="13.75" customHeight="1"/>
    <row r="664" ht="13.75" customHeight="1"/>
    <row r="665" ht="13.75" customHeight="1"/>
    <row r="666" ht="13.75" customHeight="1"/>
    <row r="667" ht="13.75" customHeight="1"/>
    <row r="668" ht="13.75" customHeight="1"/>
    <row r="669" ht="13.75" customHeight="1"/>
    <row r="670" ht="13.75" customHeight="1"/>
    <row r="671" ht="13.75" customHeight="1"/>
    <row r="672" ht="13.75" customHeight="1"/>
    <row r="673" ht="13.75" customHeight="1"/>
    <row r="674" ht="13.75" customHeight="1"/>
    <row r="675" ht="13.75" customHeight="1"/>
    <row r="676" ht="13.75" customHeight="1"/>
    <row r="677" ht="13.75" customHeight="1"/>
    <row r="678" ht="13.75" customHeight="1"/>
    <row r="679" ht="13.75" customHeight="1"/>
    <row r="680" ht="13.75" customHeight="1"/>
    <row r="681" ht="13.75" customHeight="1"/>
    <row r="682" ht="13.75" customHeight="1"/>
    <row r="683" ht="13.75" customHeight="1"/>
    <row r="684" ht="13.75" customHeight="1"/>
    <row r="685" ht="13.75" customHeight="1"/>
    <row r="686" ht="13.75" customHeight="1"/>
    <row r="687" ht="13.75" customHeight="1"/>
    <row r="688" ht="13.75" customHeight="1"/>
    <row r="689" ht="13.75" customHeight="1"/>
    <row r="690" ht="13.75" customHeight="1"/>
    <row r="691" ht="13.75" customHeight="1"/>
    <row r="692" ht="13.75" customHeight="1"/>
    <row r="693" ht="13.75" customHeight="1"/>
    <row r="694" ht="13.75" customHeight="1"/>
    <row r="695" ht="13.75" customHeight="1"/>
    <row r="696" ht="13.75" customHeight="1"/>
    <row r="697" ht="13.75" customHeight="1"/>
    <row r="698" ht="13.75" customHeight="1"/>
    <row r="699" ht="13.75" customHeight="1"/>
    <row r="700" ht="13.75" customHeight="1"/>
    <row r="701" ht="13.75" customHeight="1"/>
    <row r="702" ht="13.75" customHeight="1"/>
    <row r="703" ht="13.75" customHeight="1"/>
    <row r="704" ht="13.75" customHeight="1"/>
    <row r="705" ht="13.75" customHeight="1"/>
    <row r="706" ht="13.75" customHeight="1"/>
    <row r="707" ht="13.75" customHeight="1"/>
    <row r="708" ht="13.75" customHeight="1"/>
    <row r="709" ht="13.75" customHeight="1"/>
    <row r="710" ht="13.75" customHeight="1"/>
    <row r="711" ht="13.75" customHeight="1"/>
    <row r="712" ht="13.75" customHeight="1"/>
    <row r="713" ht="13.75" customHeight="1"/>
    <row r="714" ht="13.75" customHeight="1"/>
    <row r="715" ht="13.75" customHeight="1"/>
    <row r="716" ht="13.75" customHeight="1"/>
    <row r="717" ht="13.75" customHeight="1"/>
    <row r="718" ht="13.75" customHeight="1"/>
    <row r="719" ht="13.75" customHeight="1"/>
    <row r="720" ht="13.75" customHeight="1"/>
    <row r="721" ht="13.75" customHeight="1"/>
    <row r="722" ht="13.75" customHeight="1"/>
    <row r="723" ht="13.75" customHeight="1"/>
    <row r="724" ht="13.75" customHeight="1"/>
    <row r="725" ht="13.75" customHeight="1"/>
    <row r="726" ht="13.75" customHeight="1"/>
    <row r="727" ht="13.75" customHeight="1"/>
    <row r="728" ht="13.75" customHeight="1"/>
    <row r="729" ht="13.75" customHeight="1"/>
    <row r="730" ht="13.75" customHeight="1"/>
    <row r="731" ht="13.75" customHeight="1"/>
    <row r="732" ht="13.75" customHeight="1"/>
    <row r="733" ht="13.75" customHeight="1"/>
    <row r="734" ht="13.75" customHeight="1"/>
    <row r="735" ht="13.75" customHeight="1"/>
    <row r="736" ht="13.75" customHeight="1"/>
    <row r="737" ht="13.75" customHeight="1"/>
    <row r="738" ht="13.75" customHeight="1"/>
    <row r="739" ht="13.75" customHeight="1"/>
    <row r="740" ht="13.75" customHeight="1"/>
    <row r="741" ht="13.75" customHeight="1"/>
    <row r="742" ht="13.75" customHeight="1"/>
    <row r="743" ht="13.75" customHeight="1"/>
    <row r="744" ht="13.75" customHeight="1"/>
    <row r="745" ht="13.75" customHeight="1"/>
    <row r="746" ht="13.75" customHeight="1"/>
    <row r="747" ht="13.75" customHeight="1"/>
    <row r="748" ht="13.75" customHeight="1"/>
    <row r="749" ht="13.75" customHeight="1"/>
    <row r="750" ht="13.75" customHeight="1"/>
    <row r="751" ht="13.75" customHeight="1"/>
    <row r="752" ht="13.75" customHeight="1"/>
    <row r="753" ht="13.75" customHeight="1"/>
    <row r="754" ht="13.75" customHeight="1"/>
    <row r="755" ht="13.75" customHeight="1"/>
    <row r="756" ht="13.75" customHeight="1"/>
    <row r="757" ht="13.75" customHeight="1"/>
    <row r="758" ht="13.75" customHeight="1"/>
    <row r="759" ht="13.75" customHeight="1"/>
    <row r="760" ht="13.75" customHeight="1"/>
    <row r="761" ht="13.75" customHeight="1"/>
    <row r="762" ht="13.75" customHeight="1"/>
    <row r="763" ht="13.75" customHeight="1"/>
    <row r="764" ht="13.75" customHeight="1"/>
    <row r="765" ht="13.75" customHeight="1"/>
    <row r="766" ht="13.75" customHeight="1"/>
    <row r="767" ht="13.75" customHeight="1"/>
    <row r="768" ht="13.75" customHeight="1"/>
    <row r="769" ht="13.75" customHeight="1"/>
    <row r="770" ht="13.75" customHeight="1"/>
    <row r="771" ht="13.75" customHeight="1"/>
    <row r="772" ht="13.75" customHeight="1"/>
    <row r="773" ht="13.75" customHeight="1"/>
    <row r="774" ht="13.75" customHeight="1"/>
    <row r="775" ht="13.75" customHeight="1"/>
    <row r="776" ht="13.75" customHeight="1"/>
    <row r="777" ht="13.75" customHeight="1"/>
    <row r="778" ht="13.75" customHeight="1"/>
    <row r="779" ht="13.75" customHeight="1"/>
    <row r="780" ht="13.75" customHeight="1"/>
    <row r="781" ht="13.75" customHeight="1"/>
    <row r="782" ht="13.75" customHeight="1"/>
    <row r="783" ht="13.75" customHeight="1"/>
    <row r="784" ht="13.75" customHeight="1"/>
    <row r="785" ht="13.75" customHeight="1"/>
    <row r="786" ht="13.75" customHeight="1"/>
    <row r="787" ht="13.75" customHeight="1"/>
    <row r="788" ht="13.75" customHeight="1"/>
    <row r="789" ht="13.75" customHeight="1"/>
    <row r="790" ht="13.75" customHeight="1"/>
    <row r="791" ht="13.75" customHeight="1"/>
    <row r="792" ht="13.75" customHeight="1"/>
    <row r="793" ht="13.75" customHeight="1"/>
    <row r="794" ht="13.75" customHeight="1"/>
    <row r="795" ht="13.75" customHeight="1"/>
    <row r="796" ht="13.75" customHeight="1"/>
    <row r="797" ht="13.75" customHeight="1"/>
    <row r="798" ht="13.75" customHeight="1"/>
    <row r="799" ht="13.75" customHeight="1"/>
    <row r="800" ht="13.75" customHeight="1"/>
    <row r="801" ht="13.75" customHeight="1"/>
    <row r="802" ht="13.75" customHeight="1"/>
    <row r="803" ht="13.75" customHeight="1"/>
    <row r="804" ht="13.75" customHeight="1"/>
    <row r="805" ht="13.75" customHeight="1"/>
    <row r="806" ht="13.75" customHeight="1"/>
    <row r="807" ht="13.75" customHeight="1"/>
    <row r="808" ht="13.75" customHeight="1"/>
    <row r="809" ht="13.75" customHeight="1"/>
    <row r="810" ht="13.75" customHeight="1"/>
    <row r="811" ht="13.75" customHeight="1"/>
    <row r="812" ht="13.75" customHeight="1"/>
    <row r="813" ht="13.75" customHeight="1"/>
    <row r="814" ht="13.75" customHeight="1"/>
    <row r="815" ht="13.75" customHeight="1"/>
    <row r="816" ht="13.75" customHeight="1"/>
    <row r="817" ht="13.75" customHeight="1"/>
    <row r="818" ht="13.75" customHeight="1"/>
    <row r="819" ht="13.75" customHeight="1"/>
    <row r="820" ht="13.75" customHeight="1"/>
    <row r="821" ht="13.75" customHeight="1"/>
    <row r="822" ht="13.75" customHeight="1"/>
    <row r="823" ht="13.75" customHeight="1"/>
    <row r="824" ht="13.75" customHeight="1"/>
    <row r="825" ht="13.75" customHeight="1"/>
    <row r="826" ht="13.75" customHeight="1"/>
    <row r="827" ht="13.75" customHeight="1"/>
    <row r="828" ht="13.75" customHeight="1"/>
    <row r="829" ht="13.75" customHeight="1"/>
    <row r="830" ht="13.75" customHeight="1"/>
    <row r="831" ht="13.75" customHeight="1"/>
    <row r="832" ht="13.75" customHeight="1"/>
    <row r="833" ht="13.75" customHeight="1"/>
    <row r="834" ht="13.75" customHeight="1"/>
    <row r="835" ht="13.75" customHeight="1"/>
    <row r="836" ht="13.75" customHeight="1"/>
    <row r="837" ht="13.75" customHeight="1"/>
    <row r="838" ht="13.75" customHeight="1"/>
    <row r="839" ht="13.75" customHeight="1"/>
    <row r="840" ht="13.75" customHeight="1"/>
    <row r="841" ht="13.75" customHeight="1"/>
    <row r="842" ht="13.75" customHeight="1"/>
    <row r="843" ht="13.75" customHeight="1"/>
    <row r="844" ht="13.75" customHeight="1"/>
    <row r="845" ht="13.75" customHeight="1"/>
    <row r="846" ht="13.75" customHeight="1"/>
    <row r="847" ht="13.75" customHeight="1"/>
    <row r="848" ht="13.75" customHeight="1"/>
    <row r="849" ht="13.75" customHeight="1"/>
    <row r="850" ht="13.75" customHeight="1"/>
    <row r="851" ht="13.75" customHeight="1"/>
    <row r="852" ht="13.75" customHeight="1"/>
    <row r="853" ht="13.75" customHeight="1"/>
    <row r="854" ht="13.75" customHeight="1"/>
    <row r="855" ht="13.75" customHeight="1"/>
    <row r="856" ht="13.75" customHeight="1"/>
    <row r="857" ht="13.75" customHeight="1"/>
    <row r="858" ht="13.75" customHeight="1"/>
    <row r="859" ht="13.75" customHeight="1"/>
    <row r="860" ht="13.75" customHeight="1"/>
    <row r="861" ht="13.75" customHeight="1"/>
    <row r="862" ht="13.75" customHeight="1"/>
    <row r="863" ht="13.75" customHeight="1"/>
    <row r="864" ht="13.75" customHeight="1"/>
    <row r="865" ht="13.75" customHeight="1"/>
    <row r="866" ht="13.75" customHeight="1"/>
    <row r="867" ht="13.75" customHeight="1"/>
    <row r="868" ht="13.75" customHeight="1"/>
    <row r="869" ht="13.75" customHeight="1"/>
    <row r="870" ht="13.75" customHeight="1"/>
    <row r="871" ht="13.75" customHeight="1"/>
    <row r="872" ht="13.75" customHeight="1"/>
    <row r="873" ht="13.75" customHeight="1"/>
    <row r="874" ht="13.75" customHeight="1"/>
    <row r="875" ht="13.75" customHeight="1"/>
    <row r="876" ht="13.75" customHeight="1"/>
    <row r="877" ht="13.75" customHeight="1"/>
    <row r="878" ht="13.75" customHeight="1"/>
    <row r="879" ht="13.75" customHeight="1"/>
    <row r="880" ht="13.75" customHeight="1"/>
    <row r="881" ht="13.75" customHeight="1"/>
    <row r="882" ht="13.75" customHeight="1"/>
    <row r="883" ht="13.75" customHeight="1"/>
    <row r="884" ht="13.75" customHeight="1"/>
    <row r="885" ht="13.75" customHeight="1"/>
    <row r="886" ht="13.75" customHeight="1"/>
    <row r="887" ht="13.75" customHeight="1"/>
    <row r="888" ht="13.75" customHeight="1"/>
    <row r="889" ht="13.75" customHeight="1"/>
    <row r="890" ht="13.75" customHeight="1"/>
    <row r="891" ht="13.75" customHeight="1"/>
    <row r="892" ht="13.75" customHeight="1"/>
    <row r="893" ht="13.75" customHeight="1"/>
    <row r="894" ht="13.75" customHeight="1"/>
    <row r="895" ht="13.75" customHeight="1"/>
    <row r="896" ht="13.75" customHeight="1"/>
    <row r="897" ht="13.75" customHeight="1"/>
    <row r="898" ht="13.75" customHeight="1"/>
    <row r="899" ht="13.75" customHeight="1"/>
    <row r="900" ht="13.75" customHeight="1"/>
    <row r="901" ht="13.75" customHeight="1"/>
    <row r="902" ht="13.75" customHeight="1"/>
    <row r="903" ht="13.75" customHeight="1"/>
    <row r="904" ht="13.75" customHeight="1"/>
    <row r="905" ht="13.75" customHeight="1"/>
    <row r="906" ht="13.75" customHeight="1"/>
    <row r="907" ht="13.75" customHeight="1"/>
    <row r="908" ht="13.75" customHeight="1"/>
    <row r="909" ht="13.75" customHeight="1"/>
    <row r="910" ht="13.75" customHeight="1"/>
    <row r="911" ht="13.75" customHeight="1"/>
    <row r="912" ht="13.75" customHeight="1"/>
    <row r="913" ht="13.75" customHeight="1"/>
    <row r="914" ht="13.75" customHeight="1"/>
    <row r="915" ht="13.75" customHeight="1"/>
    <row r="916" ht="13.75" customHeight="1"/>
    <row r="917" ht="13.75" customHeight="1"/>
    <row r="918" ht="13.75" customHeight="1"/>
    <row r="919" ht="13.75" customHeight="1"/>
    <row r="920" ht="13.75" customHeight="1"/>
    <row r="921" ht="13.75" customHeight="1"/>
    <row r="922" ht="13.75" customHeight="1"/>
    <row r="923" ht="13.75" customHeight="1"/>
    <row r="924" ht="13.75" customHeight="1"/>
    <row r="925" ht="13.75" customHeight="1"/>
    <row r="926" ht="13.75" customHeight="1"/>
    <row r="927" ht="13.75" customHeight="1"/>
    <row r="928" ht="13.75" customHeight="1"/>
    <row r="929" ht="13.75" customHeight="1"/>
    <row r="930" ht="13.75" customHeight="1"/>
    <row r="931" ht="13.75" customHeight="1"/>
    <row r="932" ht="13.75" customHeight="1"/>
    <row r="933" ht="13.75" customHeight="1"/>
    <row r="934" ht="13.75" customHeight="1"/>
    <row r="935" ht="13.75" customHeight="1"/>
    <row r="936" ht="13.75" customHeight="1"/>
    <row r="937" ht="13.75" customHeight="1"/>
    <row r="938" ht="13.75" customHeight="1"/>
    <row r="939" ht="13.75" customHeight="1"/>
    <row r="940" ht="13.75" customHeight="1"/>
    <row r="941" ht="13.75" customHeight="1"/>
    <row r="942" ht="13.75" customHeight="1"/>
    <row r="943" ht="13.75" customHeight="1"/>
    <row r="944" ht="13.75" customHeight="1"/>
    <row r="945" ht="13.75" customHeight="1"/>
    <row r="946" ht="13.75" customHeight="1"/>
    <row r="947" ht="13.75" customHeight="1"/>
    <row r="948" ht="13.75" customHeight="1"/>
    <row r="949" ht="13.75" customHeight="1"/>
    <row r="950" ht="13.75" customHeight="1"/>
    <row r="951" ht="13.75" customHeight="1"/>
    <row r="952" ht="13.75" customHeight="1"/>
    <row r="953" ht="13.75" customHeight="1"/>
    <row r="954" ht="13.75" customHeight="1"/>
    <row r="955" ht="13.75" customHeight="1"/>
    <row r="956" ht="13.75" customHeight="1"/>
    <row r="957" ht="13.75" customHeight="1"/>
    <row r="958" ht="13.75" customHeight="1"/>
    <row r="959" ht="13.75" customHeight="1"/>
    <row r="960" ht="13.75" customHeight="1"/>
    <row r="961" ht="13.75" customHeight="1"/>
    <row r="962" ht="13.75" customHeight="1"/>
    <row r="963" ht="13.75" customHeight="1"/>
    <row r="964" ht="13.75" customHeight="1"/>
    <row r="965" ht="13.75" customHeight="1"/>
    <row r="966" ht="13.75" customHeight="1"/>
    <row r="967" ht="13.75" customHeight="1"/>
    <row r="968" ht="13.75" customHeight="1"/>
    <row r="969" ht="13.75" customHeight="1"/>
    <row r="970" ht="13.75" customHeight="1"/>
    <row r="971" ht="13.75" customHeight="1"/>
    <row r="972" ht="13.75" customHeight="1"/>
    <row r="973" ht="13.75" customHeight="1"/>
    <row r="974" ht="13.75" customHeight="1"/>
    <row r="975" ht="13.75" customHeight="1"/>
    <row r="976" ht="13.75" customHeight="1"/>
    <row r="977" ht="13.75" customHeight="1"/>
    <row r="978" ht="13.75" customHeight="1"/>
    <row r="979" ht="13.75" customHeight="1"/>
    <row r="980" ht="13.75" customHeight="1"/>
    <row r="981" ht="13.75" customHeight="1"/>
    <row r="982" ht="13.75" customHeight="1"/>
    <row r="983" ht="13.75" customHeight="1"/>
    <row r="984" ht="13.75" customHeight="1"/>
    <row r="985" ht="13.75" customHeight="1"/>
    <row r="986" ht="13.75" customHeight="1"/>
    <row r="987" ht="13.75" customHeight="1"/>
    <row r="988" ht="13.75" customHeight="1"/>
    <row r="989" ht="13.75" customHeight="1"/>
    <row r="990" ht="13.75" customHeight="1"/>
    <row r="991" ht="13.75" customHeight="1"/>
    <row r="992" ht="13.75" customHeight="1"/>
    <row r="993" ht="13.75" customHeight="1"/>
    <row r="994" ht="13.75" customHeight="1"/>
    <row r="995" ht="13.75" customHeight="1"/>
    <row r="996" ht="13.75" customHeight="1"/>
    <row r="997" ht="13.75" customHeight="1"/>
    <row r="998" ht="13.75" customHeight="1"/>
    <row r="999" ht="13.75" customHeight="1"/>
    <row r="1000" ht="13.75" customHeight="1"/>
    <row r="1001" ht="13.75" customHeight="1"/>
    <row r="1002" ht="13.75" customHeight="1"/>
    <row r="1003" ht="13.75" customHeight="1"/>
    <row r="1004" ht="13.75" customHeight="1"/>
    <row r="1005" ht="13.75" customHeight="1"/>
    <row r="1006" ht="13.75" customHeight="1"/>
    <row r="1007" ht="13.75" customHeight="1"/>
    <row r="1008" ht="13.75" customHeight="1"/>
    <row r="1009" ht="13.75" customHeight="1"/>
    <row r="1010" ht="13.75" customHeight="1"/>
    <row r="1011" ht="13.75" customHeight="1"/>
    <row r="1012" ht="13.75" customHeight="1"/>
    <row r="1013" ht="13.75" customHeight="1"/>
    <row r="1014" ht="13.75" customHeight="1"/>
    <row r="1015" ht="13.75" customHeight="1"/>
    <row r="1016" ht="13.75" customHeight="1"/>
    <row r="1017" ht="13.75" customHeight="1"/>
    <row r="1018" ht="13.75" customHeight="1"/>
    <row r="1019" ht="13.75" customHeight="1"/>
    <row r="1020" ht="13.75" customHeight="1"/>
    <row r="1021" ht="13.75" customHeight="1"/>
    <row r="1022" ht="13.75" customHeight="1"/>
    <row r="1023" ht="13.75" customHeight="1"/>
    <row r="1024" ht="13.75" customHeight="1"/>
    <row r="1025" ht="13.75" customHeight="1"/>
    <row r="1026" ht="13.75" customHeight="1"/>
    <row r="1027" ht="13.75" customHeight="1"/>
    <row r="1028" ht="13.75" customHeight="1"/>
    <row r="1029" ht="13.75" customHeight="1"/>
    <row r="1030" ht="13.75" customHeight="1"/>
    <row r="1031" ht="13.75" customHeight="1"/>
    <row r="1032" ht="13.75" customHeight="1"/>
    <row r="1033" ht="13.75" customHeight="1"/>
    <row r="1034" ht="13.75" customHeight="1"/>
    <row r="1035" ht="13.75" customHeight="1"/>
    <row r="1036" ht="13.75" customHeight="1"/>
    <row r="1037" ht="13.75" customHeight="1"/>
    <row r="1038" ht="13.75" customHeight="1"/>
    <row r="1039" ht="13.75" customHeight="1"/>
    <row r="1040" ht="13.75" customHeight="1"/>
    <row r="1041" ht="13.75" customHeight="1"/>
    <row r="1042" ht="13.75" customHeight="1"/>
    <row r="1043" ht="13.75" customHeight="1"/>
    <row r="1044" ht="13.75" customHeight="1"/>
    <row r="1045" ht="13.75" customHeight="1"/>
    <row r="1046" ht="13.75" customHeight="1"/>
    <row r="1047" ht="13.75" customHeight="1"/>
    <row r="1048" ht="13.75" customHeight="1"/>
    <row r="1049" ht="13.75" customHeight="1"/>
    <row r="1050" ht="13.75" customHeight="1"/>
    <row r="1051" ht="13.75" customHeight="1"/>
    <row r="1052" ht="13.75" customHeight="1"/>
    <row r="1053" ht="13.75" customHeight="1"/>
    <row r="1054" ht="13.75" customHeight="1"/>
    <row r="1055" ht="13.75" customHeight="1"/>
    <row r="1056" ht="13.75" customHeight="1"/>
    <row r="1057" ht="13.75" customHeight="1"/>
    <row r="1058" ht="13.75" customHeight="1"/>
    <row r="1059" ht="13.75" customHeight="1"/>
    <row r="1060" ht="13.75" customHeight="1"/>
    <row r="1061" ht="13.75" customHeight="1"/>
    <row r="1062" ht="13.75" customHeight="1"/>
    <row r="1063" ht="13.75" customHeight="1"/>
    <row r="1064" ht="13.75" customHeight="1"/>
    <row r="1065" ht="13.75" customHeight="1"/>
    <row r="1066" ht="13.75" customHeight="1"/>
    <row r="1067" ht="13.75" customHeight="1"/>
    <row r="1068" ht="13.75" customHeight="1"/>
    <row r="1069" ht="13.75" customHeight="1"/>
    <row r="1070" ht="13.75" customHeight="1"/>
    <row r="1071" ht="13.75" customHeight="1"/>
    <row r="1072" ht="13.75" customHeight="1"/>
    <row r="1073" ht="13.75" customHeight="1"/>
  </sheetData>
  <sheetProtection algorithmName="SHA-512" hashValue="SSmf0dCNX9Rogb6nZOZXNV2p0eyLI+LnDNu7YnKedkE5cdFNx/DSeGM3lZ2aP/vV83Y0qX5RrK8qImU+ShOMuA==" saltValue="25lHe2SjJmkHPHI/wLBytQ==" spinCount="100000" sheet="1" objects="1" scenarios="1"/>
  <mergeCells count="31">
    <mergeCell ref="B31:W31"/>
    <mergeCell ref="A31:A33"/>
    <mergeCell ref="A20:B23"/>
    <mergeCell ref="A2:C2"/>
    <mergeCell ref="A3:C3"/>
    <mergeCell ref="A4:C4"/>
    <mergeCell ref="A5:C5"/>
    <mergeCell ref="A6:C6"/>
    <mergeCell ref="A12:B15"/>
    <mergeCell ref="A7:B7"/>
    <mergeCell ref="A8:B11"/>
    <mergeCell ref="A28:C28"/>
    <mergeCell ref="A16:B19"/>
    <mergeCell ref="A24:B27"/>
    <mergeCell ref="A29:C29"/>
    <mergeCell ref="A68:A70"/>
    <mergeCell ref="J69:M69"/>
    <mergeCell ref="R69:U69"/>
    <mergeCell ref="B68:W68"/>
    <mergeCell ref="N32:Q32"/>
    <mergeCell ref="W69:W70"/>
    <mergeCell ref="W32:W33"/>
    <mergeCell ref="R32:U32"/>
    <mergeCell ref="V32:V33"/>
    <mergeCell ref="B32:E32"/>
    <mergeCell ref="V69:V70"/>
    <mergeCell ref="F69:I69"/>
    <mergeCell ref="J32:M32"/>
    <mergeCell ref="B69:E69"/>
    <mergeCell ref="N69:Q69"/>
    <mergeCell ref="F32:I32"/>
  </mergeCells>
  <phoneticPr fontId="3"/>
  <dataValidations count="3">
    <dataValidation imeMode="hiragana" allowBlank="1" showInputMessage="1" showErrorMessage="1" sqref="E3:AH4" xr:uid="{00000000-0002-0000-0A00-000000000000}"/>
    <dataValidation imeMode="off" allowBlank="1" showInputMessage="1" showErrorMessage="1" sqref="I1 E5:AH5" xr:uid="{00000000-0002-0000-0A00-000001000000}"/>
    <dataValidation type="whole" imeMode="off" operator="greaterThan" allowBlank="1" showInputMessage="1" showErrorMessage="1" sqref="E6:AH6" xr:uid="{00000000-0002-0000-0A00-000002000000}">
      <formula1>0</formula1>
    </dataValidation>
  </dataValidations>
  <printOptions gridLines="1"/>
  <pageMargins left="0.70866141732283472" right="0.70866141732283472" top="0.74803149606299213" bottom="0.74803149606299213" header="0.31496062992125984" footer="0.31496062992125984"/>
  <pageSetup paperSize="9" scale="62" fitToWidth="0" orientation="landscape"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2:AO1151"/>
  <sheetViews>
    <sheetView zoomScale="85" zoomScaleNormal="85" zoomScaleSheetLayoutView="100" workbookViewId="0">
      <pane xSplit="5" ySplit="3" topLeftCell="F4" activePane="bottomRight" state="frozen"/>
      <selection pane="topRight" activeCell="F1" sqref="F1"/>
      <selection pane="bottomLeft" activeCell="A4" sqref="A4"/>
      <selection pane="bottomRight" activeCell="T2" sqref="T2:AB2"/>
    </sheetView>
  </sheetViews>
  <sheetFormatPr defaultColWidth="9" defaultRowHeight="13"/>
  <cols>
    <col min="1" max="1" width="10" style="47" hidden="1" customWidth="1"/>
    <col min="2" max="2" width="31.453125" style="47" hidden="1" customWidth="1"/>
    <col min="3" max="3" width="8.90625" style="47" hidden="1" customWidth="1"/>
    <col min="4" max="4" width="7.453125" style="47" hidden="1" customWidth="1"/>
    <col min="5" max="5" width="5.7265625" style="47" hidden="1" customWidth="1"/>
    <col min="6" max="6" width="8.26953125" style="47" hidden="1" customWidth="1"/>
    <col min="7" max="7" width="8" style="47" hidden="1" customWidth="1"/>
    <col min="8" max="8" width="12.453125" style="47" hidden="1" customWidth="1"/>
    <col min="9" max="10" width="5.7265625" style="47" hidden="1" customWidth="1"/>
    <col min="11" max="11" width="8.984375E-2" style="47" customWidth="1"/>
    <col min="12" max="18" width="5.7265625" style="47" hidden="1" customWidth="1"/>
    <col min="19" max="19" width="5.7265625" style="47" customWidth="1"/>
    <col min="20" max="20" width="11.453125" style="47" customWidth="1"/>
    <col min="21" max="21" width="10.453125" style="47" customWidth="1"/>
    <col min="22" max="22" width="12" style="47" customWidth="1"/>
    <col min="23" max="23" width="9" style="469"/>
    <col min="24" max="24" width="5.26953125" style="47" bestFit="1" customWidth="1"/>
    <col min="25" max="25" width="12.08984375" style="47" hidden="1" customWidth="1"/>
    <col min="26" max="28" width="9.08984375" style="47" customWidth="1"/>
    <col min="29" max="31" width="9" style="47"/>
    <col min="32" max="32" width="24.26953125" style="47" customWidth="1"/>
    <col min="33" max="33" width="25.08984375" style="47" customWidth="1"/>
    <col min="34" max="36" width="9" style="47"/>
    <col min="37" max="37" width="7.90625" style="47" customWidth="1"/>
    <col min="38" max="38" width="3.453125" style="47" hidden="1" customWidth="1"/>
    <col min="39" max="39" width="10.26953125" style="47" hidden="1" customWidth="1"/>
    <col min="40" max="40" width="0" style="47" hidden="1" customWidth="1"/>
    <col min="41" max="16384" width="9" style="47"/>
  </cols>
  <sheetData>
    <row r="2" spans="1:40" ht="39.5" thickBot="1">
      <c r="A2" s="47" t="s">
        <v>39</v>
      </c>
      <c r="F2" s="422" t="s">
        <v>2711</v>
      </c>
      <c r="G2" s="422" t="s">
        <v>2711</v>
      </c>
      <c r="H2" s="422" t="s">
        <v>2712</v>
      </c>
      <c r="T2" s="914" t="s">
        <v>2421</v>
      </c>
      <c r="U2" s="914"/>
      <c r="V2" s="914"/>
      <c r="W2" s="914"/>
      <c r="X2" s="914"/>
      <c r="Y2" s="914"/>
      <c r="Z2" s="914"/>
      <c r="AA2" s="914"/>
      <c r="AB2" s="914"/>
      <c r="AN2" s="275"/>
    </row>
    <row r="3" spans="1:40" ht="39.5" thickBot="1">
      <c r="A3" s="423" t="s">
        <v>1</v>
      </c>
      <c r="B3" s="423" t="s">
        <v>1997</v>
      </c>
      <c r="C3" s="423" t="s">
        <v>2007</v>
      </c>
      <c r="D3" s="423" t="s">
        <v>1988</v>
      </c>
      <c r="E3" s="423" t="s">
        <v>2442</v>
      </c>
      <c r="F3" s="424" t="s">
        <v>40</v>
      </c>
      <c r="G3" s="424" t="s">
        <v>41</v>
      </c>
      <c r="H3" s="424" t="s">
        <v>199</v>
      </c>
      <c r="I3" s="424" t="s">
        <v>67</v>
      </c>
      <c r="T3" s="425" t="s">
        <v>1790</v>
      </c>
      <c r="U3" s="395" t="s">
        <v>2245</v>
      </c>
      <c r="V3" s="395" t="s">
        <v>2419</v>
      </c>
      <c r="W3" s="426" t="s">
        <v>2</v>
      </c>
      <c r="X3" s="427" t="s">
        <v>3</v>
      </c>
      <c r="Y3" s="428" t="s">
        <v>2254</v>
      </c>
      <c r="Z3" s="429" t="s">
        <v>4</v>
      </c>
      <c r="AA3" s="429" t="s">
        <v>5</v>
      </c>
      <c r="AB3" s="430" t="s">
        <v>2713</v>
      </c>
      <c r="AD3" s="47" t="s">
        <v>2264</v>
      </c>
      <c r="AN3" s="275" t="s">
        <v>2714</v>
      </c>
    </row>
    <row r="4" spans="1:40" ht="13.75" customHeight="1">
      <c r="A4" t="s">
        <v>231</v>
      </c>
      <c r="B4" t="s">
        <v>2008</v>
      </c>
      <c r="C4" t="s">
        <v>1980</v>
      </c>
      <c r="D4" t="s">
        <v>2456</v>
      </c>
      <c r="E4" t="s">
        <v>2457</v>
      </c>
      <c r="F4">
        <v>2.1800000000000002</v>
      </c>
      <c r="G4">
        <v>0</v>
      </c>
      <c r="H4">
        <v>2.3199999999999998</v>
      </c>
      <c r="I4" t="s">
        <v>232</v>
      </c>
      <c r="J4"/>
      <c r="T4" s="288" t="str">
        <f>IF(LEFT(C4,1)="貨","トラック・バス","乗用車")</f>
        <v>トラック・バス</v>
      </c>
      <c r="U4" s="289" t="str">
        <f>VLOOKUP(RIGHT(C4,1),$AL$4:$AM$8,2,FALSE)</f>
        <v>ガソリン</v>
      </c>
      <c r="V4" s="289" t="str">
        <f>VLOOKUP(VALUE(MID(C4,2,1)),$AL$10:$AM$15,2,FALSE)</f>
        <v>～1.7 t</v>
      </c>
      <c r="W4" s="289" t="str">
        <f>D4</f>
        <v>S50前</v>
      </c>
      <c r="X4" s="291" t="str">
        <f>E4</f>
        <v>-</v>
      </c>
      <c r="Y4" s="282"/>
      <c r="Z4" s="289">
        <f>F4</f>
        <v>2.1800000000000002</v>
      </c>
      <c r="AA4" s="289">
        <f>G4</f>
        <v>0</v>
      </c>
      <c r="AB4" s="339">
        <f>H4</f>
        <v>2.3199999999999998</v>
      </c>
      <c r="AD4" s="47" t="s">
        <v>2263</v>
      </c>
      <c r="AH4" s="296"/>
      <c r="AL4" s="275" t="s">
        <v>2346</v>
      </c>
      <c r="AM4" s="275" t="s">
        <v>2715</v>
      </c>
      <c r="AN4" s="47" t="s">
        <v>2457</v>
      </c>
    </row>
    <row r="5" spans="1:40">
      <c r="A5" t="s">
        <v>233</v>
      </c>
      <c r="B5" t="s">
        <v>2008</v>
      </c>
      <c r="C5" t="s">
        <v>1980</v>
      </c>
      <c r="D5" t="s">
        <v>2459</v>
      </c>
      <c r="E5" t="s">
        <v>2460</v>
      </c>
      <c r="F5">
        <v>2.1800000000000002</v>
      </c>
      <c r="G5">
        <v>0</v>
      </c>
      <c r="H5">
        <v>2.3199999999999998</v>
      </c>
      <c r="I5" t="s">
        <v>232</v>
      </c>
      <c r="J5"/>
      <c r="T5" s="292" t="str">
        <f t="shared" ref="T5:T68" si="0">IF(LEFT(C5,1)="貨","トラック・バス","乗用車")</f>
        <v>トラック・バス</v>
      </c>
      <c r="U5" s="283" t="str">
        <f t="shared" ref="U5:U68" si="1">VLOOKUP(RIGHT(C5,1),$AL$4:$AM$8,2,FALSE)</f>
        <v>ガソリン</v>
      </c>
      <c r="V5" s="283" t="str">
        <f t="shared" ref="V5:V68" si="2">VLOOKUP(VALUE(MID(C5,2,1)),$AL$10:$AM$15,2,FALSE)</f>
        <v>～1.7 t</v>
      </c>
      <c r="W5" s="283" t="str">
        <f t="shared" ref="W5:X68" si="3">D5</f>
        <v>S50</v>
      </c>
      <c r="X5" s="284" t="str">
        <f t="shared" si="3"/>
        <v>H</v>
      </c>
      <c r="Y5" s="271"/>
      <c r="Z5" s="283">
        <f t="shared" ref="Z5:AB68" si="4">F5</f>
        <v>2.1800000000000002</v>
      </c>
      <c r="AA5" s="283">
        <f t="shared" si="4"/>
        <v>0</v>
      </c>
      <c r="AB5" s="340">
        <f t="shared" si="4"/>
        <v>2.3199999999999998</v>
      </c>
      <c r="AD5" s="47" t="s">
        <v>2265</v>
      </c>
      <c r="AH5" s="296"/>
      <c r="AL5" s="275" t="s">
        <v>1833</v>
      </c>
      <c r="AM5" s="275" t="s">
        <v>2716</v>
      </c>
      <c r="AN5" s="47" t="s">
        <v>35</v>
      </c>
    </row>
    <row r="6" spans="1:40">
      <c r="A6" t="s">
        <v>234</v>
      </c>
      <c r="B6" t="s">
        <v>2008</v>
      </c>
      <c r="C6" t="s">
        <v>1980</v>
      </c>
      <c r="D6" t="s">
        <v>0</v>
      </c>
      <c r="E6" t="s">
        <v>7</v>
      </c>
      <c r="F6">
        <v>1</v>
      </c>
      <c r="G6">
        <v>0</v>
      </c>
      <c r="H6">
        <v>2.3199999999999998</v>
      </c>
      <c r="I6" t="s">
        <v>232</v>
      </c>
      <c r="J6"/>
      <c r="T6" s="292" t="str">
        <f t="shared" si="0"/>
        <v>トラック・バス</v>
      </c>
      <c r="U6" s="283" t="str">
        <f t="shared" si="1"/>
        <v>ガソリン</v>
      </c>
      <c r="V6" s="283" t="str">
        <f t="shared" si="2"/>
        <v>～1.7 t</v>
      </c>
      <c r="W6" s="283" t="str">
        <f t="shared" si="3"/>
        <v>S54</v>
      </c>
      <c r="X6" s="284" t="str">
        <f t="shared" si="3"/>
        <v>J</v>
      </c>
      <c r="Y6" s="271"/>
      <c r="Z6" s="283">
        <f t="shared" si="4"/>
        <v>1</v>
      </c>
      <c r="AA6" s="283">
        <f t="shared" si="4"/>
        <v>0</v>
      </c>
      <c r="AB6" s="340">
        <f t="shared" si="4"/>
        <v>2.3199999999999998</v>
      </c>
      <c r="AH6" s="296"/>
      <c r="AL6" s="275" t="s">
        <v>1797</v>
      </c>
      <c r="AM6" s="275" t="s">
        <v>1757</v>
      </c>
      <c r="AN6" s="47" t="s">
        <v>1402</v>
      </c>
    </row>
    <row r="7" spans="1:40">
      <c r="A7" t="s">
        <v>235</v>
      </c>
      <c r="B7" t="s">
        <v>2008</v>
      </c>
      <c r="C7" t="s">
        <v>1980</v>
      </c>
      <c r="D7" t="s">
        <v>9</v>
      </c>
      <c r="E7" t="s">
        <v>10</v>
      </c>
      <c r="F7">
        <v>0.6</v>
      </c>
      <c r="G7">
        <v>0</v>
      </c>
      <c r="H7">
        <v>2.3199999999999998</v>
      </c>
      <c r="I7" t="s">
        <v>232</v>
      </c>
      <c r="J7"/>
      <c r="T7" s="292" t="str">
        <f t="shared" si="0"/>
        <v>トラック・バス</v>
      </c>
      <c r="U7" s="283" t="str">
        <f t="shared" si="1"/>
        <v>ガソリン</v>
      </c>
      <c r="V7" s="283" t="str">
        <f t="shared" si="2"/>
        <v>～1.7 t</v>
      </c>
      <c r="W7" s="283" t="str">
        <f t="shared" si="3"/>
        <v>S56</v>
      </c>
      <c r="X7" s="284" t="str">
        <f t="shared" si="3"/>
        <v>L</v>
      </c>
      <c r="Y7" s="271"/>
      <c r="Z7" s="283">
        <f t="shared" si="4"/>
        <v>0.6</v>
      </c>
      <c r="AA7" s="283">
        <f t="shared" si="4"/>
        <v>0</v>
      </c>
      <c r="AB7" s="340">
        <f t="shared" si="4"/>
        <v>2.3199999999999998</v>
      </c>
      <c r="AD7" s="915" t="s">
        <v>2266</v>
      </c>
      <c r="AE7" s="633"/>
      <c r="AF7" s="301" t="s">
        <v>1809</v>
      </c>
      <c r="AH7" s="296"/>
      <c r="AL7" s="275" t="s">
        <v>2452</v>
      </c>
      <c r="AM7" s="275" t="s">
        <v>2454</v>
      </c>
      <c r="AN7" s="47" t="s">
        <v>255</v>
      </c>
    </row>
    <row r="8" spans="1:40">
      <c r="A8" t="s">
        <v>236</v>
      </c>
      <c r="B8" t="s">
        <v>2008</v>
      </c>
      <c r="C8" t="s">
        <v>1980</v>
      </c>
      <c r="D8" t="s">
        <v>13</v>
      </c>
      <c r="E8" t="s">
        <v>78</v>
      </c>
      <c r="F8">
        <v>0.25</v>
      </c>
      <c r="G8">
        <v>0</v>
      </c>
      <c r="H8">
        <v>2.3199999999999998</v>
      </c>
      <c r="I8" t="s">
        <v>232</v>
      </c>
      <c r="J8"/>
      <c r="T8" s="292" t="str">
        <f t="shared" si="0"/>
        <v>トラック・バス</v>
      </c>
      <c r="U8" s="283" t="str">
        <f t="shared" si="1"/>
        <v>ガソリン</v>
      </c>
      <c r="V8" s="283" t="str">
        <f t="shared" si="2"/>
        <v>～1.7 t</v>
      </c>
      <c r="W8" s="283" t="str">
        <f t="shared" si="3"/>
        <v>S63,H10</v>
      </c>
      <c r="X8" s="284" t="str">
        <f t="shared" si="3"/>
        <v>R</v>
      </c>
      <c r="Y8" s="271"/>
      <c r="Z8" s="283">
        <f t="shared" si="4"/>
        <v>0.25</v>
      </c>
      <c r="AA8" s="283">
        <f t="shared" si="4"/>
        <v>0</v>
      </c>
      <c r="AB8" s="340">
        <f t="shared" si="4"/>
        <v>2.3199999999999998</v>
      </c>
      <c r="AD8" s="916"/>
      <c r="AE8" s="917"/>
      <c r="AF8" s="302" t="s">
        <v>1810</v>
      </c>
      <c r="AH8" s="296"/>
      <c r="AL8" s="275" t="s">
        <v>1805</v>
      </c>
      <c r="AM8" s="275" t="s">
        <v>1791</v>
      </c>
      <c r="AN8" s="47" t="s">
        <v>303</v>
      </c>
    </row>
    <row r="9" spans="1:40">
      <c r="A9" t="s">
        <v>237</v>
      </c>
      <c r="B9" t="s">
        <v>2008</v>
      </c>
      <c r="C9" t="s">
        <v>1980</v>
      </c>
      <c r="D9" t="s">
        <v>13</v>
      </c>
      <c r="E9" t="s">
        <v>54</v>
      </c>
      <c r="F9">
        <v>0.25</v>
      </c>
      <c r="G9">
        <v>0</v>
      </c>
      <c r="H9">
        <v>2.3199999999999998</v>
      </c>
      <c r="I9" t="s">
        <v>232</v>
      </c>
      <c r="J9"/>
      <c r="T9" s="292" t="str">
        <f t="shared" si="0"/>
        <v>トラック・バス</v>
      </c>
      <c r="U9" s="283" t="str">
        <f t="shared" si="1"/>
        <v>ガソリン</v>
      </c>
      <c r="V9" s="283" t="str">
        <f t="shared" si="2"/>
        <v>～1.7 t</v>
      </c>
      <c r="W9" s="283" t="str">
        <f t="shared" si="3"/>
        <v>S63,H10</v>
      </c>
      <c r="X9" s="284" t="str">
        <f t="shared" si="3"/>
        <v>GG</v>
      </c>
      <c r="Y9" s="271"/>
      <c r="Z9" s="283">
        <f t="shared" si="4"/>
        <v>0.25</v>
      </c>
      <c r="AA9" s="283">
        <f t="shared" si="4"/>
        <v>0</v>
      </c>
      <c r="AB9" s="340">
        <f t="shared" si="4"/>
        <v>2.3199999999999998</v>
      </c>
      <c r="AD9" s="918" t="s">
        <v>2267</v>
      </c>
      <c r="AE9" s="919"/>
      <c r="AF9" s="920"/>
      <c r="AH9" s="296"/>
      <c r="AN9" s="47" t="s">
        <v>383</v>
      </c>
    </row>
    <row r="10" spans="1:40">
      <c r="A10" t="str">
        <f t="shared" ref="A10:A27" si="5">CONCATENATE(C10,E10)</f>
        <v>貨1ガHL</v>
      </c>
      <c r="B10" t="s">
        <v>2008</v>
      </c>
      <c r="C10" t="s">
        <v>1980</v>
      </c>
      <c r="D10" t="s">
        <v>13</v>
      </c>
      <c r="E10" t="s">
        <v>62</v>
      </c>
      <c r="F10">
        <v>0.125</v>
      </c>
      <c r="G10">
        <v>0</v>
      </c>
      <c r="H10">
        <v>2.3199999999999998</v>
      </c>
      <c r="I10" t="s">
        <v>239</v>
      </c>
      <c r="J10"/>
      <c r="T10" s="292" t="str">
        <f t="shared" si="0"/>
        <v>トラック・バス</v>
      </c>
      <c r="U10" s="283" t="str">
        <f t="shared" si="1"/>
        <v>ガソリン</v>
      </c>
      <c r="V10" s="283" t="str">
        <f t="shared" si="2"/>
        <v>～1.7 t</v>
      </c>
      <c r="W10" s="283" t="str">
        <f t="shared" si="3"/>
        <v>S63,H10</v>
      </c>
      <c r="X10" s="284" t="str">
        <f t="shared" si="3"/>
        <v>HL</v>
      </c>
      <c r="Y10" s="271"/>
      <c r="Z10" s="283">
        <f t="shared" si="4"/>
        <v>0.125</v>
      </c>
      <c r="AA10" s="283">
        <f t="shared" si="4"/>
        <v>0</v>
      </c>
      <c r="AB10" s="340">
        <f t="shared" si="4"/>
        <v>2.3199999999999998</v>
      </c>
      <c r="AD10" s="915" t="s">
        <v>2717</v>
      </c>
      <c r="AE10" s="633"/>
      <c r="AF10" s="301" t="s">
        <v>1809</v>
      </c>
      <c r="AH10" s="296"/>
      <c r="AL10" s="13">
        <v>0</v>
      </c>
      <c r="AM10" s="13" t="s">
        <v>2420</v>
      </c>
      <c r="AN10" s="47" t="s">
        <v>1400</v>
      </c>
    </row>
    <row r="11" spans="1:40">
      <c r="A11" t="str">
        <f t="shared" si="5"/>
        <v>貨1ガGJ</v>
      </c>
      <c r="B11" t="s">
        <v>2008</v>
      </c>
      <c r="C11" t="s">
        <v>1980</v>
      </c>
      <c r="D11" t="s">
        <v>15</v>
      </c>
      <c r="E11" t="s">
        <v>56</v>
      </c>
      <c r="F11">
        <v>0.08</v>
      </c>
      <c r="G11">
        <v>0</v>
      </c>
      <c r="H11">
        <v>2.3199999999999998</v>
      </c>
      <c r="I11" t="s">
        <v>232</v>
      </c>
      <c r="J11"/>
      <c r="T11" s="292" t="str">
        <f t="shared" si="0"/>
        <v>トラック・バス</v>
      </c>
      <c r="U11" s="283" t="str">
        <f t="shared" si="1"/>
        <v>ガソリン</v>
      </c>
      <c r="V11" s="283" t="str">
        <f t="shared" si="2"/>
        <v>～1.7 t</v>
      </c>
      <c r="W11" s="283" t="str">
        <f t="shared" si="3"/>
        <v>H12</v>
      </c>
      <c r="X11" s="284" t="str">
        <f t="shared" si="3"/>
        <v>GJ</v>
      </c>
      <c r="Y11" s="271"/>
      <c r="Z11" s="283">
        <f t="shared" si="4"/>
        <v>0.08</v>
      </c>
      <c r="AA11" s="283">
        <f t="shared" si="4"/>
        <v>0</v>
      </c>
      <c r="AB11" s="340">
        <f t="shared" si="4"/>
        <v>2.3199999999999998</v>
      </c>
      <c r="AD11" s="916"/>
      <c r="AE11" s="917"/>
      <c r="AF11" s="302" t="s">
        <v>1810</v>
      </c>
      <c r="AH11" s="296"/>
      <c r="AL11" s="13">
        <v>1</v>
      </c>
      <c r="AM11" s="13" t="s">
        <v>2718</v>
      </c>
      <c r="AN11" s="47" t="s">
        <v>253</v>
      </c>
    </row>
    <row r="12" spans="1:40">
      <c r="A12" t="str">
        <f t="shared" si="5"/>
        <v>貨1ガHP</v>
      </c>
      <c r="B12" t="s">
        <v>2008</v>
      </c>
      <c r="C12" t="s">
        <v>1980</v>
      </c>
      <c r="D12" t="s">
        <v>15</v>
      </c>
      <c r="E12" t="s">
        <v>64</v>
      </c>
      <c r="F12">
        <v>0.04</v>
      </c>
      <c r="G12">
        <v>0</v>
      </c>
      <c r="H12">
        <v>2.3199999999999998</v>
      </c>
      <c r="I12" t="s">
        <v>239</v>
      </c>
      <c r="J12"/>
      <c r="T12" s="292" t="str">
        <f t="shared" si="0"/>
        <v>トラック・バス</v>
      </c>
      <c r="U12" s="283" t="str">
        <f t="shared" si="1"/>
        <v>ガソリン</v>
      </c>
      <c r="V12" s="283" t="str">
        <f t="shared" si="2"/>
        <v>～1.7 t</v>
      </c>
      <c r="W12" s="283" t="str">
        <f t="shared" si="3"/>
        <v>H12</v>
      </c>
      <c r="X12" s="284" t="str">
        <f t="shared" si="3"/>
        <v>HP</v>
      </c>
      <c r="Y12" s="271"/>
      <c r="Z12" s="283">
        <f t="shared" si="4"/>
        <v>0.04</v>
      </c>
      <c r="AA12" s="283">
        <f t="shared" si="4"/>
        <v>0</v>
      </c>
      <c r="AB12" s="340">
        <f t="shared" si="4"/>
        <v>2.3199999999999998</v>
      </c>
      <c r="AD12" s="915" t="s">
        <v>2719</v>
      </c>
      <c r="AE12" s="633"/>
      <c r="AF12" s="301" t="s">
        <v>1813</v>
      </c>
      <c r="AH12" s="296"/>
      <c r="AL12" s="13">
        <v>2</v>
      </c>
      <c r="AM12" s="13" t="s">
        <v>2720</v>
      </c>
      <c r="AN12" s="47" t="s">
        <v>301</v>
      </c>
    </row>
    <row r="13" spans="1:40">
      <c r="A13" t="str">
        <f t="shared" si="5"/>
        <v>貨1ガTB</v>
      </c>
      <c r="B13" t="s">
        <v>2008</v>
      </c>
      <c r="C13" t="s">
        <v>1980</v>
      </c>
      <c r="D13" t="s">
        <v>15</v>
      </c>
      <c r="E13" t="s">
        <v>80</v>
      </c>
      <c r="F13">
        <v>0.06</v>
      </c>
      <c r="G13">
        <v>0</v>
      </c>
      <c r="H13">
        <v>2.3199999999999998</v>
      </c>
      <c r="I13" t="s">
        <v>232</v>
      </c>
      <c r="J13"/>
      <c r="T13" s="292" t="str">
        <f t="shared" si="0"/>
        <v>トラック・バス</v>
      </c>
      <c r="U13" s="283" t="str">
        <f t="shared" si="1"/>
        <v>ガソリン</v>
      </c>
      <c r="V13" s="283" t="str">
        <f t="shared" si="2"/>
        <v>～1.7 t</v>
      </c>
      <c r="W13" s="283" t="str">
        <f t="shared" si="3"/>
        <v>H12</v>
      </c>
      <c r="X13" s="284" t="str">
        <f t="shared" si="3"/>
        <v>TB</v>
      </c>
      <c r="Y13" s="271" t="s">
        <v>244</v>
      </c>
      <c r="Z13" s="283">
        <f t="shared" si="4"/>
        <v>0.06</v>
      </c>
      <c r="AA13" s="283">
        <f t="shared" si="4"/>
        <v>0</v>
      </c>
      <c r="AB13" s="340">
        <f t="shared" si="4"/>
        <v>2.3199999999999998</v>
      </c>
      <c r="AD13" s="916"/>
      <c r="AE13" s="917"/>
      <c r="AF13" s="302" t="s">
        <v>1814</v>
      </c>
      <c r="AH13" s="296"/>
      <c r="AL13" s="13">
        <v>3</v>
      </c>
      <c r="AM13" s="13" t="s">
        <v>2721</v>
      </c>
      <c r="AN13" s="47" t="s">
        <v>381</v>
      </c>
    </row>
    <row r="14" spans="1:40">
      <c r="A14" t="str">
        <f t="shared" si="5"/>
        <v>貨1ガXB</v>
      </c>
      <c r="B14" t="s">
        <v>2008</v>
      </c>
      <c r="C14" t="s">
        <v>1980</v>
      </c>
      <c r="D14" t="s">
        <v>15</v>
      </c>
      <c r="E14" t="s">
        <v>94</v>
      </c>
      <c r="F14">
        <v>0.06</v>
      </c>
      <c r="G14">
        <v>0</v>
      </c>
      <c r="H14">
        <v>2.3199999999999998</v>
      </c>
      <c r="I14" t="s">
        <v>239</v>
      </c>
      <c r="J14"/>
      <c r="T14" s="292" t="str">
        <f t="shared" si="0"/>
        <v>トラック・バス</v>
      </c>
      <c r="U14" s="283" t="str">
        <f t="shared" si="1"/>
        <v>ガソリン</v>
      </c>
      <c r="V14" s="283" t="str">
        <f t="shared" si="2"/>
        <v>～1.7 t</v>
      </c>
      <c r="W14" s="283" t="str">
        <f t="shared" si="3"/>
        <v>H12</v>
      </c>
      <c r="X14" s="284" t="str">
        <f t="shared" si="3"/>
        <v>XB</v>
      </c>
      <c r="Y14" s="271" t="s">
        <v>244</v>
      </c>
      <c r="Z14" s="283">
        <f t="shared" si="4"/>
        <v>0.06</v>
      </c>
      <c r="AA14" s="283">
        <f t="shared" si="4"/>
        <v>0</v>
      </c>
      <c r="AB14" s="340">
        <f t="shared" si="4"/>
        <v>2.3199999999999998</v>
      </c>
      <c r="AD14" s="915" t="s">
        <v>2722</v>
      </c>
      <c r="AE14" s="633"/>
      <c r="AF14" s="301" t="s">
        <v>1816</v>
      </c>
      <c r="AH14" s="296"/>
      <c r="AL14" s="13">
        <v>4</v>
      </c>
      <c r="AM14" s="13" t="s">
        <v>2723</v>
      </c>
      <c r="AN14" s="47" t="s">
        <v>1546</v>
      </c>
    </row>
    <row r="15" spans="1:40">
      <c r="A15" t="str">
        <f t="shared" si="5"/>
        <v>貨1ガLB</v>
      </c>
      <c r="B15" t="s">
        <v>2008</v>
      </c>
      <c r="C15" t="s">
        <v>1980</v>
      </c>
      <c r="D15" t="s">
        <v>15</v>
      </c>
      <c r="E15" t="s">
        <v>71</v>
      </c>
      <c r="F15">
        <v>0.04</v>
      </c>
      <c r="G15">
        <v>0</v>
      </c>
      <c r="H15">
        <v>2.3199999999999998</v>
      </c>
      <c r="I15" t="s">
        <v>232</v>
      </c>
      <c r="J15"/>
      <c r="T15" s="292" t="str">
        <f t="shared" si="0"/>
        <v>トラック・バス</v>
      </c>
      <c r="U15" s="283" t="str">
        <f t="shared" si="1"/>
        <v>ガソリン</v>
      </c>
      <c r="V15" s="283" t="str">
        <f t="shared" si="2"/>
        <v>～1.7 t</v>
      </c>
      <c r="W15" s="283" t="str">
        <f t="shared" si="3"/>
        <v>H12</v>
      </c>
      <c r="X15" s="284" t="str">
        <f t="shared" si="3"/>
        <v>LB</v>
      </c>
      <c r="Y15" s="271" t="s">
        <v>247</v>
      </c>
      <c r="Z15" s="283">
        <f t="shared" si="4"/>
        <v>0.04</v>
      </c>
      <c r="AA15" s="283">
        <f t="shared" si="4"/>
        <v>0</v>
      </c>
      <c r="AB15" s="340">
        <f t="shared" si="4"/>
        <v>2.3199999999999998</v>
      </c>
      <c r="AD15" s="916"/>
      <c r="AE15" s="917"/>
      <c r="AF15" s="302" t="s">
        <v>1817</v>
      </c>
      <c r="AH15" s="296"/>
      <c r="AL15" s="13">
        <v>5</v>
      </c>
      <c r="AM15" s="275" t="s">
        <v>2724</v>
      </c>
      <c r="AN15" s="47" t="s">
        <v>1548</v>
      </c>
    </row>
    <row r="16" spans="1:40">
      <c r="A16" t="str">
        <f t="shared" si="5"/>
        <v>貨1ガYB</v>
      </c>
      <c r="B16" t="s">
        <v>2008</v>
      </c>
      <c r="C16" t="s">
        <v>1980</v>
      </c>
      <c r="D16" t="s">
        <v>15</v>
      </c>
      <c r="E16" t="s">
        <v>98</v>
      </c>
      <c r="F16">
        <v>0.04</v>
      </c>
      <c r="G16">
        <v>0</v>
      </c>
      <c r="H16">
        <v>2.3199999999999998</v>
      </c>
      <c r="I16" t="s">
        <v>239</v>
      </c>
      <c r="J16"/>
      <c r="T16" s="292" t="str">
        <f t="shared" si="0"/>
        <v>トラック・バス</v>
      </c>
      <c r="U16" s="283" t="str">
        <f t="shared" si="1"/>
        <v>ガソリン</v>
      </c>
      <c r="V16" s="283" t="str">
        <f t="shared" si="2"/>
        <v>～1.7 t</v>
      </c>
      <c r="W16" s="283" t="str">
        <f t="shared" si="3"/>
        <v>H12</v>
      </c>
      <c r="X16" s="284" t="str">
        <f t="shared" si="3"/>
        <v>YB</v>
      </c>
      <c r="Y16" s="271" t="s">
        <v>247</v>
      </c>
      <c r="Z16" s="283">
        <f t="shared" si="4"/>
        <v>0.04</v>
      </c>
      <c r="AA16" s="283">
        <f t="shared" si="4"/>
        <v>0</v>
      </c>
      <c r="AB16" s="340">
        <f t="shared" si="4"/>
        <v>2.3199999999999998</v>
      </c>
      <c r="AD16" s="915" t="s">
        <v>2725</v>
      </c>
      <c r="AE16" s="633"/>
      <c r="AF16" s="301" t="s">
        <v>1819</v>
      </c>
      <c r="AH16" s="296"/>
      <c r="AN16" s="47" t="s">
        <v>566</v>
      </c>
    </row>
    <row r="17" spans="1:41">
      <c r="A17" t="str">
        <f t="shared" si="5"/>
        <v>貨1ガUB</v>
      </c>
      <c r="B17" t="s">
        <v>2008</v>
      </c>
      <c r="C17" t="s">
        <v>1980</v>
      </c>
      <c r="D17" t="s">
        <v>15</v>
      </c>
      <c r="E17" t="s">
        <v>87</v>
      </c>
      <c r="F17">
        <v>0.02</v>
      </c>
      <c r="G17">
        <v>0</v>
      </c>
      <c r="H17">
        <v>2.3199999999999998</v>
      </c>
      <c r="I17" t="s">
        <v>232</v>
      </c>
      <c r="J17"/>
      <c r="T17" s="292" t="str">
        <f t="shared" si="0"/>
        <v>トラック・バス</v>
      </c>
      <c r="U17" s="283" t="str">
        <f t="shared" si="1"/>
        <v>ガソリン</v>
      </c>
      <c r="V17" s="283" t="str">
        <f t="shared" si="2"/>
        <v>～1.7 t</v>
      </c>
      <c r="W17" s="283" t="str">
        <f t="shared" si="3"/>
        <v>H12</v>
      </c>
      <c r="X17" s="284" t="str">
        <f t="shared" si="3"/>
        <v>UB</v>
      </c>
      <c r="Y17" s="271" t="s">
        <v>250</v>
      </c>
      <c r="Z17" s="283">
        <f t="shared" si="4"/>
        <v>0.02</v>
      </c>
      <c r="AA17" s="283">
        <f t="shared" si="4"/>
        <v>0</v>
      </c>
      <c r="AB17" s="340">
        <f t="shared" si="4"/>
        <v>2.3199999999999998</v>
      </c>
      <c r="AD17" s="916"/>
      <c r="AE17" s="917"/>
      <c r="AF17" s="302" t="s">
        <v>1820</v>
      </c>
      <c r="AH17" s="296"/>
      <c r="AN17" s="47" t="s">
        <v>717</v>
      </c>
    </row>
    <row r="18" spans="1:41">
      <c r="A18" t="str">
        <f t="shared" si="5"/>
        <v>貨1ガZB</v>
      </c>
      <c r="B18" t="s">
        <v>2008</v>
      </c>
      <c r="C18" t="s">
        <v>1980</v>
      </c>
      <c r="D18" t="s">
        <v>15</v>
      </c>
      <c r="E18" t="s">
        <v>102</v>
      </c>
      <c r="F18">
        <v>0.02</v>
      </c>
      <c r="G18">
        <v>0</v>
      </c>
      <c r="H18">
        <v>2.3199999999999998</v>
      </c>
      <c r="I18" t="s">
        <v>239</v>
      </c>
      <c r="J18"/>
      <c r="T18" s="292" t="str">
        <f t="shared" si="0"/>
        <v>トラック・バス</v>
      </c>
      <c r="U18" s="283" t="str">
        <f t="shared" si="1"/>
        <v>ガソリン</v>
      </c>
      <c r="V18" s="283" t="str">
        <f t="shared" si="2"/>
        <v>～1.7 t</v>
      </c>
      <c r="W18" s="283" t="str">
        <f t="shared" si="3"/>
        <v>H12</v>
      </c>
      <c r="X18" s="284" t="str">
        <f t="shared" si="3"/>
        <v>ZB</v>
      </c>
      <c r="Y18" s="271" t="s">
        <v>250</v>
      </c>
      <c r="Z18" s="283">
        <f t="shared" si="4"/>
        <v>0.02</v>
      </c>
      <c r="AA18" s="283">
        <f t="shared" si="4"/>
        <v>0</v>
      </c>
      <c r="AB18" s="340">
        <f t="shared" si="4"/>
        <v>2.3199999999999998</v>
      </c>
      <c r="AH18" s="296"/>
      <c r="AN18" s="266" t="s">
        <v>1009</v>
      </c>
    </row>
    <row r="19" spans="1:41">
      <c r="A19" t="str">
        <f t="shared" si="5"/>
        <v>貨1ガABE</v>
      </c>
      <c r="B19" t="s">
        <v>2008</v>
      </c>
      <c r="C19" t="s">
        <v>1980</v>
      </c>
      <c r="D19" t="s">
        <v>1979</v>
      </c>
      <c r="E19" t="s">
        <v>253</v>
      </c>
      <c r="F19">
        <v>0.05</v>
      </c>
      <c r="G19">
        <v>0</v>
      </c>
      <c r="H19">
        <v>2.3199999999999998</v>
      </c>
      <c r="I19" t="s">
        <v>232</v>
      </c>
      <c r="J19"/>
      <c r="T19" s="292" t="str">
        <f t="shared" si="0"/>
        <v>トラック・バス</v>
      </c>
      <c r="U19" s="283" t="str">
        <f t="shared" si="1"/>
        <v>ガソリン</v>
      </c>
      <c r="V19" s="283" t="str">
        <f t="shared" si="2"/>
        <v>～1.7 t</v>
      </c>
      <c r="W19" s="283" t="str">
        <f t="shared" si="3"/>
        <v>H17</v>
      </c>
      <c r="X19" s="284" t="str">
        <f t="shared" si="3"/>
        <v>ABE</v>
      </c>
      <c r="Y19" s="271"/>
      <c r="Z19" s="283">
        <f t="shared" si="4"/>
        <v>0.05</v>
      </c>
      <c r="AA19" s="283">
        <f t="shared" si="4"/>
        <v>0</v>
      </c>
      <c r="AB19" s="340">
        <f t="shared" si="4"/>
        <v>2.3199999999999998</v>
      </c>
      <c r="AD19" s="296" t="s">
        <v>2268</v>
      </c>
      <c r="AE19" s="296"/>
      <c r="AF19" s="296"/>
      <c r="AG19" s="296"/>
      <c r="AH19" s="296"/>
      <c r="AI19" s="296"/>
      <c r="AJ19" s="296"/>
      <c r="AK19" s="296"/>
      <c r="AL19" s="296"/>
      <c r="AM19" s="296"/>
      <c r="AN19" s="47" t="s">
        <v>1542</v>
      </c>
    </row>
    <row r="20" spans="1:41">
      <c r="A20" t="str">
        <f t="shared" si="5"/>
        <v>貨1ガAAE</v>
      </c>
      <c r="B20" t="s">
        <v>2008</v>
      </c>
      <c r="C20" t="s">
        <v>1980</v>
      </c>
      <c r="D20" t="s">
        <v>1979</v>
      </c>
      <c r="E20" t="s">
        <v>255</v>
      </c>
      <c r="F20">
        <v>2.5000000000000001E-2</v>
      </c>
      <c r="G20">
        <v>0</v>
      </c>
      <c r="H20">
        <v>2.3199999999999998</v>
      </c>
      <c r="I20" t="s">
        <v>239</v>
      </c>
      <c r="J20"/>
      <c r="T20" s="292" t="str">
        <f t="shared" si="0"/>
        <v>トラック・バス</v>
      </c>
      <c r="U20" s="283" t="str">
        <f t="shared" si="1"/>
        <v>ガソリン</v>
      </c>
      <c r="V20" s="283" t="str">
        <f t="shared" si="2"/>
        <v>～1.7 t</v>
      </c>
      <c r="W20" s="283" t="str">
        <f t="shared" si="3"/>
        <v>H17</v>
      </c>
      <c r="X20" s="284" t="str">
        <f t="shared" si="3"/>
        <v>AAE</v>
      </c>
      <c r="Y20" s="271"/>
      <c r="Z20" s="283">
        <f t="shared" si="4"/>
        <v>2.5000000000000001E-2</v>
      </c>
      <c r="AA20" s="283">
        <f t="shared" si="4"/>
        <v>0</v>
      </c>
      <c r="AB20" s="340">
        <f t="shared" si="4"/>
        <v>2.3199999999999998</v>
      </c>
      <c r="AD20" s="296" t="s">
        <v>2269</v>
      </c>
      <c r="AE20" s="296"/>
      <c r="AF20" s="296"/>
      <c r="AG20" s="296"/>
      <c r="AH20" s="296"/>
      <c r="AI20" s="296"/>
      <c r="AJ20" s="296"/>
      <c r="AK20" s="296"/>
      <c r="AL20" s="296"/>
      <c r="AM20" s="296"/>
      <c r="AN20" s="47" t="s">
        <v>1544</v>
      </c>
    </row>
    <row r="21" spans="1:41">
      <c r="A21" t="str">
        <f t="shared" si="5"/>
        <v>貨1ガALE</v>
      </c>
      <c r="B21" t="s">
        <v>2008</v>
      </c>
      <c r="C21" t="s">
        <v>1980</v>
      </c>
      <c r="D21" t="s">
        <v>1979</v>
      </c>
      <c r="E21" t="s">
        <v>2726</v>
      </c>
      <c r="F21">
        <v>1.2500000000000001E-2</v>
      </c>
      <c r="G21">
        <v>0</v>
      </c>
      <c r="H21">
        <v>2.3199999999999998</v>
      </c>
      <c r="I21" t="s">
        <v>2490</v>
      </c>
      <c r="J21"/>
      <c r="T21" s="292" t="str">
        <f t="shared" si="0"/>
        <v>トラック・バス</v>
      </c>
      <c r="U21" s="283" t="str">
        <f t="shared" si="1"/>
        <v>ガソリン</v>
      </c>
      <c r="V21" s="283" t="str">
        <f t="shared" si="2"/>
        <v>～1.7 t</v>
      </c>
      <c r="W21" s="283" t="str">
        <f t="shared" si="3"/>
        <v>H17</v>
      </c>
      <c r="X21" s="284" t="str">
        <f t="shared" si="3"/>
        <v>ALE</v>
      </c>
      <c r="Y21" s="271"/>
      <c r="Z21" s="283">
        <f t="shared" si="4"/>
        <v>1.2500000000000001E-2</v>
      </c>
      <c r="AA21" s="283">
        <f t="shared" si="4"/>
        <v>0</v>
      </c>
      <c r="AB21" s="340">
        <f t="shared" si="4"/>
        <v>2.3199999999999998</v>
      </c>
      <c r="AD21" s="296"/>
      <c r="AE21" s="296"/>
      <c r="AF21" s="296"/>
      <c r="AG21" s="296"/>
      <c r="AH21" s="296"/>
      <c r="AI21" s="296"/>
      <c r="AJ21" s="296"/>
      <c r="AK21" s="296"/>
      <c r="AL21" s="296"/>
      <c r="AM21" s="296"/>
      <c r="AN21" s="47" t="s">
        <v>562</v>
      </c>
    </row>
    <row r="22" spans="1:41">
      <c r="A22" t="str">
        <f t="shared" si="5"/>
        <v>貨1ガCAE</v>
      </c>
      <c r="B22" t="s">
        <v>2008</v>
      </c>
      <c r="C22" t="s">
        <v>1980</v>
      </c>
      <c r="D22" t="s">
        <v>1979</v>
      </c>
      <c r="E22" t="s">
        <v>1983</v>
      </c>
      <c r="F22">
        <v>2.5000000000000001E-2</v>
      </c>
      <c r="G22">
        <v>0</v>
      </c>
      <c r="H22">
        <v>2.3199999999999998</v>
      </c>
      <c r="I22" t="s">
        <v>239</v>
      </c>
      <c r="J22"/>
      <c r="T22" s="292" t="str">
        <f t="shared" si="0"/>
        <v>トラック・バス</v>
      </c>
      <c r="U22" s="283" t="str">
        <f t="shared" si="1"/>
        <v>ガソリン</v>
      </c>
      <c r="V22" s="283" t="str">
        <f t="shared" si="2"/>
        <v>～1.7 t</v>
      </c>
      <c r="W22" s="283" t="str">
        <f t="shared" si="3"/>
        <v>H17</v>
      </c>
      <c r="X22" s="284" t="str">
        <f t="shared" si="3"/>
        <v>CAE</v>
      </c>
      <c r="Y22" s="271" t="s">
        <v>2727</v>
      </c>
      <c r="Z22" s="283">
        <f t="shared" si="4"/>
        <v>2.5000000000000001E-2</v>
      </c>
      <c r="AA22" s="283">
        <f t="shared" si="4"/>
        <v>0</v>
      </c>
      <c r="AB22" s="340">
        <f t="shared" si="4"/>
        <v>2.3199999999999998</v>
      </c>
      <c r="AD22" s="303" t="s">
        <v>2270</v>
      </c>
      <c r="AE22" s="303"/>
      <c r="AF22" s="303"/>
      <c r="AG22" s="303"/>
      <c r="AH22" s="431"/>
      <c r="AI22" s="431"/>
      <c r="AJ22" s="431"/>
      <c r="AK22" s="431"/>
      <c r="AL22" s="431"/>
      <c r="AM22" s="431"/>
      <c r="AN22" s="47" t="s">
        <v>713</v>
      </c>
    </row>
    <row r="23" spans="1:41">
      <c r="A23" t="str">
        <f t="shared" si="5"/>
        <v>貨1ガCBE</v>
      </c>
      <c r="B23" t="s">
        <v>2008</v>
      </c>
      <c r="C23" t="s">
        <v>1980</v>
      </c>
      <c r="D23" t="s">
        <v>1979</v>
      </c>
      <c r="E23" t="s">
        <v>1984</v>
      </c>
      <c r="F23">
        <v>2.5000000000000001E-2</v>
      </c>
      <c r="G23">
        <v>0</v>
      </c>
      <c r="H23">
        <v>2.3199999999999998</v>
      </c>
      <c r="I23" t="s">
        <v>260</v>
      </c>
      <c r="J23"/>
      <c r="T23" s="292" t="str">
        <f t="shared" si="0"/>
        <v>トラック・バス</v>
      </c>
      <c r="U23" s="283" t="str">
        <f t="shared" si="1"/>
        <v>ガソリン</v>
      </c>
      <c r="V23" s="283" t="str">
        <f t="shared" si="2"/>
        <v>～1.7 t</v>
      </c>
      <c r="W23" s="283" t="str">
        <f t="shared" si="3"/>
        <v>H17</v>
      </c>
      <c r="X23" s="284" t="str">
        <f t="shared" si="3"/>
        <v>CBE</v>
      </c>
      <c r="Y23" s="271" t="s">
        <v>2727</v>
      </c>
      <c r="Z23" s="283">
        <f t="shared" si="4"/>
        <v>2.5000000000000001E-2</v>
      </c>
      <c r="AA23" s="283">
        <f t="shared" si="4"/>
        <v>0</v>
      </c>
      <c r="AB23" s="340">
        <f t="shared" si="4"/>
        <v>2.3199999999999998</v>
      </c>
      <c r="AD23" s="304"/>
      <c r="AE23" s="305"/>
      <c r="AF23" s="306" t="s">
        <v>1821</v>
      </c>
      <c r="AG23" s="306" t="s">
        <v>2728</v>
      </c>
      <c r="AH23" s="432"/>
      <c r="AI23" s="433"/>
      <c r="AJ23" s="433"/>
      <c r="AK23" s="433"/>
      <c r="AL23" s="433"/>
      <c r="AM23" s="433"/>
      <c r="AN23" s="266" t="s">
        <v>1005</v>
      </c>
    </row>
    <row r="24" spans="1:41">
      <c r="A24" t="str">
        <f t="shared" si="5"/>
        <v>貨1ガCLE</v>
      </c>
      <c r="B24" t="s">
        <v>2008</v>
      </c>
      <c r="C24" t="s">
        <v>1980</v>
      </c>
      <c r="D24" t="s">
        <v>1979</v>
      </c>
      <c r="E24" t="s">
        <v>2729</v>
      </c>
      <c r="F24">
        <v>2.5000000000000001E-2</v>
      </c>
      <c r="G24">
        <v>0</v>
      </c>
      <c r="H24">
        <v>2.3199999999999998</v>
      </c>
      <c r="I24" t="s">
        <v>1405</v>
      </c>
      <c r="J24"/>
      <c r="T24" s="292" t="str">
        <f t="shared" si="0"/>
        <v>トラック・バス</v>
      </c>
      <c r="U24" s="283" t="str">
        <f t="shared" si="1"/>
        <v>ガソリン</v>
      </c>
      <c r="V24" s="283" t="str">
        <f t="shared" si="2"/>
        <v>～1.7 t</v>
      </c>
      <c r="W24" s="283" t="str">
        <f t="shared" si="3"/>
        <v>H17</v>
      </c>
      <c r="X24" s="284" t="str">
        <f t="shared" si="3"/>
        <v>CLE</v>
      </c>
      <c r="Y24" s="271" t="s">
        <v>2727</v>
      </c>
      <c r="Z24" s="283">
        <f t="shared" si="4"/>
        <v>2.5000000000000001E-2</v>
      </c>
      <c r="AA24" s="283">
        <f t="shared" si="4"/>
        <v>0</v>
      </c>
      <c r="AB24" s="340">
        <f t="shared" si="4"/>
        <v>2.3199999999999998</v>
      </c>
      <c r="AD24" s="307"/>
      <c r="AE24" s="308"/>
      <c r="AF24" s="271" t="s">
        <v>2412</v>
      </c>
      <c r="AG24" s="274" t="s">
        <v>2413</v>
      </c>
      <c r="AH24" s="432"/>
      <c r="AN24" s="47" t="s">
        <v>1667</v>
      </c>
    </row>
    <row r="25" spans="1:41">
      <c r="A25" t="str">
        <f t="shared" si="5"/>
        <v>貨1ガDAE</v>
      </c>
      <c r="B25" t="s">
        <v>2008</v>
      </c>
      <c r="C25" t="s">
        <v>1980</v>
      </c>
      <c r="D25" t="s">
        <v>1979</v>
      </c>
      <c r="E25" t="s">
        <v>1985</v>
      </c>
      <c r="F25">
        <v>1.2500000000000001E-2</v>
      </c>
      <c r="G25">
        <v>0</v>
      </c>
      <c r="H25">
        <v>2.3199999999999998</v>
      </c>
      <c r="I25" t="s">
        <v>239</v>
      </c>
      <c r="J25"/>
      <c r="T25" s="292" t="str">
        <f t="shared" si="0"/>
        <v>トラック・バス</v>
      </c>
      <c r="U25" s="283" t="str">
        <f t="shared" si="1"/>
        <v>ガソリン</v>
      </c>
      <c r="V25" s="283" t="str">
        <f t="shared" si="2"/>
        <v>～1.7 t</v>
      </c>
      <c r="W25" s="283" t="str">
        <f t="shared" si="3"/>
        <v>H17</v>
      </c>
      <c r="X25" s="284" t="str">
        <f t="shared" si="3"/>
        <v>DAE</v>
      </c>
      <c r="Y25" s="271" t="s">
        <v>2262</v>
      </c>
      <c r="Z25" s="283">
        <f t="shared" si="4"/>
        <v>1.2500000000000001E-2</v>
      </c>
      <c r="AA25" s="283">
        <f t="shared" si="4"/>
        <v>0</v>
      </c>
      <c r="AB25" s="340">
        <f t="shared" si="4"/>
        <v>2.3199999999999998</v>
      </c>
      <c r="AD25" s="915" t="s">
        <v>2717</v>
      </c>
      <c r="AE25" s="633"/>
      <c r="AF25" s="241" t="s">
        <v>1823</v>
      </c>
      <c r="AG25" s="309" t="s">
        <v>1824</v>
      </c>
      <c r="AH25" s="432"/>
      <c r="AN25" s="47" t="s">
        <v>1669</v>
      </c>
    </row>
    <row r="26" spans="1:41">
      <c r="A26" t="str">
        <f t="shared" si="5"/>
        <v>貨1ガDBE</v>
      </c>
      <c r="B26" t="s">
        <v>2008</v>
      </c>
      <c r="C26" t="s">
        <v>1980</v>
      </c>
      <c r="D26" t="s">
        <v>1979</v>
      </c>
      <c r="E26" t="s">
        <v>1986</v>
      </c>
      <c r="F26">
        <v>1.2500000000000001E-2</v>
      </c>
      <c r="G26">
        <v>0</v>
      </c>
      <c r="H26">
        <v>2.3199999999999998</v>
      </c>
      <c r="I26" t="s">
        <v>263</v>
      </c>
      <c r="J26"/>
      <c r="T26" s="292" t="str">
        <f t="shared" si="0"/>
        <v>トラック・バス</v>
      </c>
      <c r="U26" s="283" t="str">
        <f t="shared" si="1"/>
        <v>ガソリン</v>
      </c>
      <c r="V26" s="283" t="str">
        <f t="shared" si="2"/>
        <v>～1.7 t</v>
      </c>
      <c r="W26" s="283" t="str">
        <f t="shared" si="3"/>
        <v>H17</v>
      </c>
      <c r="X26" s="284" t="str">
        <f t="shared" si="3"/>
        <v>DBE</v>
      </c>
      <c r="Y26" s="271" t="s">
        <v>2262</v>
      </c>
      <c r="Z26" s="283">
        <f t="shared" si="4"/>
        <v>1.2500000000000001E-2</v>
      </c>
      <c r="AA26" s="283">
        <f t="shared" si="4"/>
        <v>0</v>
      </c>
      <c r="AB26" s="340">
        <f t="shared" si="4"/>
        <v>2.3199999999999998</v>
      </c>
      <c r="AD26" s="921" t="s">
        <v>2719</v>
      </c>
      <c r="AE26" s="922"/>
      <c r="AF26" s="242" t="s">
        <v>1825</v>
      </c>
      <c r="AG26" s="310" t="s">
        <v>1826</v>
      </c>
      <c r="AH26" s="432"/>
      <c r="AN26" s="47" t="s">
        <v>1136</v>
      </c>
    </row>
    <row r="27" spans="1:41" s="266" customFormat="1">
      <c r="A27" t="str">
        <f t="shared" si="5"/>
        <v>貨1ガDLE</v>
      </c>
      <c r="B27" t="s">
        <v>2008</v>
      </c>
      <c r="C27" t="s">
        <v>1980</v>
      </c>
      <c r="D27" t="s">
        <v>1979</v>
      </c>
      <c r="E27" t="s">
        <v>2730</v>
      </c>
      <c r="F27">
        <v>1.2500000000000001E-2</v>
      </c>
      <c r="G27">
        <v>0</v>
      </c>
      <c r="H27">
        <v>2.3199999999999998</v>
      </c>
      <c r="I27" t="s">
        <v>1405</v>
      </c>
      <c r="J27"/>
      <c r="T27" s="292" t="str">
        <f t="shared" si="0"/>
        <v>トラック・バス</v>
      </c>
      <c r="U27" s="283" t="str">
        <f t="shared" si="1"/>
        <v>ガソリン</v>
      </c>
      <c r="V27" s="283" t="str">
        <f t="shared" si="2"/>
        <v>～1.7 t</v>
      </c>
      <c r="W27" s="283" t="str">
        <f t="shared" si="3"/>
        <v>H17</v>
      </c>
      <c r="X27" s="284" t="str">
        <f t="shared" si="3"/>
        <v>DLE</v>
      </c>
      <c r="Y27" s="271" t="s">
        <v>2262</v>
      </c>
      <c r="Z27" s="283">
        <f t="shared" si="4"/>
        <v>1.2500000000000001E-2</v>
      </c>
      <c r="AA27" s="283">
        <f t="shared" si="4"/>
        <v>0</v>
      </c>
      <c r="AB27" s="340">
        <f t="shared" si="4"/>
        <v>2.3199999999999998</v>
      </c>
      <c r="AD27" s="921" t="s">
        <v>2722</v>
      </c>
      <c r="AE27" s="922"/>
      <c r="AF27" s="310" t="s">
        <v>2731</v>
      </c>
      <c r="AG27" s="310" t="s">
        <v>1828</v>
      </c>
      <c r="AH27" s="434"/>
      <c r="AI27" s="435"/>
      <c r="AN27" s="47" t="s">
        <v>1166</v>
      </c>
      <c r="AO27" s="47"/>
    </row>
    <row r="28" spans="1:41" s="266" customFormat="1">
      <c r="A28" t="str">
        <f>CONCATENATE(C28,E28)</f>
        <v>貨1ガLBE</v>
      </c>
      <c r="B28" t="s">
        <v>2008</v>
      </c>
      <c r="C28" t="s">
        <v>1980</v>
      </c>
      <c r="D28" t="s">
        <v>2382</v>
      </c>
      <c r="E28" t="s">
        <v>269</v>
      </c>
      <c r="F28">
        <v>0.05</v>
      </c>
      <c r="G28">
        <v>0</v>
      </c>
      <c r="H28">
        <v>2.3199999999999998</v>
      </c>
      <c r="I28" t="s">
        <v>232</v>
      </c>
      <c r="J28"/>
      <c r="T28" s="292" t="str">
        <f t="shared" si="0"/>
        <v>トラック・バス</v>
      </c>
      <c r="U28" s="283" t="str">
        <f t="shared" si="1"/>
        <v>ガソリン</v>
      </c>
      <c r="V28" s="283" t="str">
        <f t="shared" si="2"/>
        <v>～1.7 t</v>
      </c>
      <c r="W28" s="283" t="str">
        <f t="shared" si="3"/>
        <v>H21</v>
      </c>
      <c r="X28" s="284" t="str">
        <f t="shared" si="3"/>
        <v>LBE</v>
      </c>
      <c r="Y28" s="271"/>
      <c r="Z28" s="283">
        <f t="shared" si="4"/>
        <v>0.05</v>
      </c>
      <c r="AA28" s="283">
        <f t="shared" si="4"/>
        <v>0</v>
      </c>
      <c r="AB28" s="340">
        <f t="shared" si="4"/>
        <v>2.3199999999999998</v>
      </c>
      <c r="AD28" s="923" t="s">
        <v>2725</v>
      </c>
      <c r="AE28" s="917"/>
      <c r="AF28" s="243" t="s">
        <v>1829</v>
      </c>
      <c r="AG28" s="311" t="s">
        <v>1830</v>
      </c>
      <c r="AH28" s="434"/>
      <c r="AI28" s="435"/>
      <c r="AN28" s="47" t="s">
        <v>1223</v>
      </c>
      <c r="AO28" s="47"/>
    </row>
    <row r="29" spans="1:41" s="435" customFormat="1">
      <c r="A29" t="str">
        <f>CONCATENATE(C29,E29)</f>
        <v>貨1ガLAE</v>
      </c>
      <c r="B29" t="s">
        <v>2008</v>
      </c>
      <c r="C29" t="s">
        <v>1980</v>
      </c>
      <c r="D29" t="s">
        <v>2382</v>
      </c>
      <c r="E29" t="s">
        <v>271</v>
      </c>
      <c r="F29">
        <v>2.5000000000000001E-2</v>
      </c>
      <c r="G29">
        <v>0</v>
      </c>
      <c r="H29">
        <v>2.3199999999999998</v>
      </c>
      <c r="I29" t="s">
        <v>239</v>
      </c>
      <c r="J29"/>
      <c r="K29" s="436"/>
      <c r="L29" s="436"/>
      <c r="M29" s="436"/>
      <c r="N29" s="436"/>
      <c r="O29" s="436"/>
      <c r="P29" s="436"/>
      <c r="Q29" s="436"/>
      <c r="R29" s="436"/>
      <c r="S29" s="436"/>
      <c r="T29" s="292" t="str">
        <f t="shared" si="0"/>
        <v>トラック・バス</v>
      </c>
      <c r="U29" s="283" t="str">
        <f t="shared" si="1"/>
        <v>ガソリン</v>
      </c>
      <c r="V29" s="283" t="str">
        <f t="shared" si="2"/>
        <v>～1.7 t</v>
      </c>
      <c r="W29" s="283" t="str">
        <f t="shared" si="3"/>
        <v>H21</v>
      </c>
      <c r="X29" s="284" t="str">
        <f t="shared" si="3"/>
        <v>LAE</v>
      </c>
      <c r="Y29" s="271"/>
      <c r="Z29" s="283">
        <f t="shared" si="4"/>
        <v>2.5000000000000001E-2</v>
      </c>
      <c r="AA29" s="283">
        <f t="shared" si="4"/>
        <v>0</v>
      </c>
      <c r="AB29" s="340">
        <f t="shared" si="4"/>
        <v>2.3199999999999998</v>
      </c>
      <c r="AD29" s="921" t="s">
        <v>2722</v>
      </c>
      <c r="AE29" s="922"/>
      <c r="AF29" s="310" t="s">
        <v>2731</v>
      </c>
      <c r="AG29" s="310" t="s">
        <v>1828</v>
      </c>
      <c r="AH29" s="434"/>
      <c r="AN29" s="47" t="s">
        <v>1663</v>
      </c>
      <c r="AO29" s="47"/>
    </row>
    <row r="30" spans="1:41" s="435" customFormat="1">
      <c r="A30" t="str">
        <f t="shared" ref="A30:A39" si="6">CONCATENATE(C30,E30)</f>
        <v>貨1ガLLE</v>
      </c>
      <c r="B30" t="s">
        <v>2008</v>
      </c>
      <c r="C30" t="s">
        <v>1980</v>
      </c>
      <c r="D30" t="s">
        <v>2382</v>
      </c>
      <c r="E30" t="s">
        <v>2732</v>
      </c>
      <c r="F30">
        <v>1.2500000000000001E-2</v>
      </c>
      <c r="G30">
        <v>0</v>
      </c>
      <c r="H30">
        <v>2.3199999999999998</v>
      </c>
      <c r="I30" t="s">
        <v>2490</v>
      </c>
      <c r="J30"/>
      <c r="K30" s="436"/>
      <c r="L30" s="436"/>
      <c r="M30" s="436"/>
      <c r="N30" s="436"/>
      <c r="O30" s="436"/>
      <c r="P30" s="436"/>
      <c r="Q30" s="436"/>
      <c r="R30" s="436"/>
      <c r="S30" s="436"/>
      <c r="T30" s="292" t="str">
        <f t="shared" si="0"/>
        <v>トラック・バス</v>
      </c>
      <c r="U30" s="283" t="str">
        <f t="shared" si="1"/>
        <v>ガソリン</v>
      </c>
      <c r="V30" s="283" t="str">
        <f t="shared" si="2"/>
        <v>～1.7 t</v>
      </c>
      <c r="W30" s="283" t="str">
        <f t="shared" si="3"/>
        <v>H21</v>
      </c>
      <c r="X30" s="284" t="str">
        <f t="shared" si="3"/>
        <v>LLE</v>
      </c>
      <c r="Y30" s="271"/>
      <c r="Z30" s="283">
        <f t="shared" si="4"/>
        <v>1.2500000000000001E-2</v>
      </c>
      <c r="AA30" s="283">
        <f t="shared" si="4"/>
        <v>0</v>
      </c>
      <c r="AB30" s="340">
        <f t="shared" si="4"/>
        <v>2.3199999999999998</v>
      </c>
      <c r="AD30" s="923" t="s">
        <v>2725</v>
      </c>
      <c r="AE30" s="917"/>
      <c r="AF30" s="243" t="s">
        <v>1829</v>
      </c>
      <c r="AG30" s="311" t="s">
        <v>1830</v>
      </c>
      <c r="AH30" s="434"/>
      <c r="AN30" s="47" t="s">
        <v>1665</v>
      </c>
      <c r="AO30" s="47"/>
    </row>
    <row r="31" spans="1:41" s="435" customFormat="1">
      <c r="A31" t="str">
        <f t="shared" si="6"/>
        <v>貨1ガMBE</v>
      </c>
      <c r="B31" t="s">
        <v>2008</v>
      </c>
      <c r="C31" t="s">
        <v>1980</v>
      </c>
      <c r="D31" t="s">
        <v>2382</v>
      </c>
      <c r="E31" t="s">
        <v>273</v>
      </c>
      <c r="F31">
        <v>2.5000000000000001E-2</v>
      </c>
      <c r="G31">
        <v>0</v>
      </c>
      <c r="H31">
        <v>2.3199999999999998</v>
      </c>
      <c r="I31" t="s">
        <v>260</v>
      </c>
      <c r="J31"/>
      <c r="K31" s="436"/>
      <c r="L31" s="436"/>
      <c r="M31" s="436"/>
      <c r="N31" s="436"/>
      <c r="O31" s="436"/>
      <c r="P31" s="436"/>
      <c r="Q31" s="436"/>
      <c r="R31" s="436"/>
      <c r="S31" s="436"/>
      <c r="T31" s="292" t="str">
        <f t="shared" si="0"/>
        <v>トラック・バス</v>
      </c>
      <c r="U31" s="283" t="str">
        <f t="shared" si="1"/>
        <v>ガソリン</v>
      </c>
      <c r="V31" s="283" t="str">
        <f t="shared" si="2"/>
        <v>～1.7 t</v>
      </c>
      <c r="W31" s="283" t="str">
        <f t="shared" si="3"/>
        <v>H21</v>
      </c>
      <c r="X31" s="284" t="str">
        <f t="shared" si="3"/>
        <v>MBE</v>
      </c>
      <c r="Y31" s="271" t="s">
        <v>1769</v>
      </c>
      <c r="Z31" s="283">
        <f t="shared" si="4"/>
        <v>2.5000000000000001E-2</v>
      </c>
      <c r="AA31" s="283">
        <f t="shared" si="4"/>
        <v>0</v>
      </c>
      <c r="AB31" s="340">
        <f t="shared" si="4"/>
        <v>2.3199999999999998</v>
      </c>
      <c r="AD31" s="437"/>
      <c r="AE31" s="438"/>
      <c r="AF31" s="439"/>
      <c r="AG31" s="440"/>
      <c r="AH31" s="434"/>
      <c r="AN31" s="47" t="s">
        <v>1133</v>
      </c>
      <c r="AO31" s="47"/>
    </row>
    <row r="32" spans="1:41" s="435" customFormat="1" ht="17.5" thickBot="1">
      <c r="A32" t="str">
        <f t="shared" si="6"/>
        <v>貨1ガMAE</v>
      </c>
      <c r="B32" t="s">
        <v>2008</v>
      </c>
      <c r="C32" t="s">
        <v>1980</v>
      </c>
      <c r="D32" t="s">
        <v>2382</v>
      </c>
      <c r="E32" t="s">
        <v>275</v>
      </c>
      <c r="F32">
        <v>2.5000000000000001E-2</v>
      </c>
      <c r="G32">
        <v>0</v>
      </c>
      <c r="H32">
        <v>2.3199999999999998</v>
      </c>
      <c r="I32" t="s">
        <v>239</v>
      </c>
      <c r="J32"/>
      <c r="K32" s="436"/>
      <c r="L32" s="436"/>
      <c r="M32" s="436"/>
      <c r="N32" s="436"/>
      <c r="O32" s="436"/>
      <c r="P32" s="436"/>
      <c r="Q32" s="436"/>
      <c r="R32" s="436"/>
      <c r="S32" s="436"/>
      <c r="T32" s="292" t="str">
        <f t="shared" si="0"/>
        <v>トラック・バス</v>
      </c>
      <c r="U32" s="283" t="str">
        <f t="shared" si="1"/>
        <v>ガソリン</v>
      </c>
      <c r="V32" s="283" t="str">
        <f t="shared" si="2"/>
        <v>～1.7 t</v>
      </c>
      <c r="W32" s="283" t="str">
        <f t="shared" si="3"/>
        <v>H21</v>
      </c>
      <c r="X32" s="284" t="str">
        <f t="shared" si="3"/>
        <v>MAE</v>
      </c>
      <c r="Y32" s="271" t="s">
        <v>1769</v>
      </c>
      <c r="Z32" s="283">
        <f t="shared" si="4"/>
        <v>2.5000000000000001E-2</v>
      </c>
      <c r="AA32" s="283">
        <f t="shared" si="4"/>
        <v>0</v>
      </c>
      <c r="AB32" s="340">
        <f t="shared" si="4"/>
        <v>2.3199999999999998</v>
      </c>
      <c r="AD32" s="924" t="s">
        <v>2733</v>
      </c>
      <c r="AE32" s="924"/>
      <c r="AF32" s="924"/>
      <c r="AG32" s="925"/>
      <c r="AH32" s="434"/>
      <c r="AN32" s="47" t="s">
        <v>1164</v>
      </c>
      <c r="AO32" s="47"/>
    </row>
    <row r="33" spans="1:41" s="435" customFormat="1" ht="16.5" thickBot="1">
      <c r="A33" t="str">
        <f t="shared" si="6"/>
        <v>貨1ガMLE</v>
      </c>
      <c r="B33" t="s">
        <v>2008</v>
      </c>
      <c r="C33" t="s">
        <v>1980</v>
      </c>
      <c r="D33" t="s">
        <v>2382</v>
      </c>
      <c r="E33" t="s">
        <v>2734</v>
      </c>
      <c r="F33">
        <v>2.5000000000000001E-2</v>
      </c>
      <c r="G33">
        <v>0</v>
      </c>
      <c r="H33">
        <v>2.3199999999999998</v>
      </c>
      <c r="I33" t="s">
        <v>2490</v>
      </c>
      <c r="J33"/>
      <c r="K33" s="436"/>
      <c r="L33" s="436"/>
      <c r="M33" s="436"/>
      <c r="N33" s="436"/>
      <c r="O33" s="436"/>
      <c r="P33" s="436"/>
      <c r="Q33" s="436"/>
      <c r="R33" s="436"/>
      <c r="S33" s="436"/>
      <c r="T33" s="292" t="str">
        <f t="shared" si="0"/>
        <v>トラック・バス</v>
      </c>
      <c r="U33" s="283" t="str">
        <f t="shared" si="1"/>
        <v>ガソリン</v>
      </c>
      <c r="V33" s="283" t="str">
        <f t="shared" si="2"/>
        <v>～1.7 t</v>
      </c>
      <c r="W33" s="283" t="str">
        <f t="shared" si="3"/>
        <v>H21</v>
      </c>
      <c r="X33" s="284" t="str">
        <f t="shared" si="3"/>
        <v>MLE</v>
      </c>
      <c r="Y33" s="271" t="s">
        <v>1769</v>
      </c>
      <c r="Z33" s="283">
        <f t="shared" si="4"/>
        <v>2.5000000000000001E-2</v>
      </c>
      <c r="AA33" s="283">
        <f t="shared" si="4"/>
        <v>0</v>
      </c>
      <c r="AB33" s="340">
        <f t="shared" si="4"/>
        <v>2.3199999999999998</v>
      </c>
      <c r="AD33" s="926" t="s">
        <v>2245</v>
      </c>
      <c r="AE33" s="711"/>
      <c r="AF33" s="399" t="s">
        <v>2735</v>
      </c>
      <c r="AG33" s="441" t="s">
        <v>2736</v>
      </c>
      <c r="AH33" s="432"/>
      <c r="AI33" s="47"/>
      <c r="AN33" s="47" t="s">
        <v>1221</v>
      </c>
      <c r="AO33" s="47"/>
    </row>
    <row r="34" spans="1:41" s="435" customFormat="1" ht="16">
      <c r="A34" t="str">
        <f t="shared" si="6"/>
        <v>貨1ガRBE</v>
      </c>
      <c r="B34" t="s">
        <v>2008</v>
      </c>
      <c r="C34" t="s">
        <v>1980</v>
      </c>
      <c r="D34" t="s">
        <v>2382</v>
      </c>
      <c r="E34" t="s">
        <v>277</v>
      </c>
      <c r="F34">
        <v>1.2500000000000001E-2</v>
      </c>
      <c r="G34">
        <v>0</v>
      </c>
      <c r="H34">
        <v>2.3199999999999998</v>
      </c>
      <c r="I34" t="s">
        <v>263</v>
      </c>
      <c r="J34"/>
      <c r="K34" s="436"/>
      <c r="L34" s="436"/>
      <c r="M34" s="436"/>
      <c r="N34" s="436"/>
      <c r="O34" s="436"/>
      <c r="P34" s="436"/>
      <c r="Q34" s="436"/>
      <c r="R34" s="436"/>
      <c r="S34" s="436"/>
      <c r="T34" s="292" t="str">
        <f t="shared" si="0"/>
        <v>トラック・バス</v>
      </c>
      <c r="U34" s="283" t="str">
        <f t="shared" si="1"/>
        <v>ガソリン</v>
      </c>
      <c r="V34" s="283" t="str">
        <f t="shared" si="2"/>
        <v>～1.7 t</v>
      </c>
      <c r="W34" s="283" t="str">
        <f t="shared" si="3"/>
        <v>H21</v>
      </c>
      <c r="X34" s="284" t="str">
        <f t="shared" si="3"/>
        <v>RBE</v>
      </c>
      <c r="Y34" s="271" t="s">
        <v>2262</v>
      </c>
      <c r="Z34" s="283">
        <f t="shared" si="4"/>
        <v>1.2500000000000001E-2</v>
      </c>
      <c r="AA34" s="283">
        <f t="shared" si="4"/>
        <v>0</v>
      </c>
      <c r="AB34" s="340">
        <f t="shared" si="4"/>
        <v>2.3199999999999998</v>
      </c>
      <c r="AD34" s="927" t="s">
        <v>1757</v>
      </c>
      <c r="AE34" s="928"/>
      <c r="AF34" s="393" t="s">
        <v>2737</v>
      </c>
      <c r="AG34" s="442">
        <v>2.3199999999999998</v>
      </c>
      <c r="AH34" s="432"/>
      <c r="AI34" s="47"/>
      <c r="AN34" s="47" t="s">
        <v>1698</v>
      </c>
      <c r="AO34" s="47"/>
    </row>
    <row r="35" spans="1:41" ht="16">
      <c r="A35" t="str">
        <f t="shared" si="6"/>
        <v>貨1ガRAE</v>
      </c>
      <c r="B35" t="s">
        <v>2008</v>
      </c>
      <c r="C35" t="s">
        <v>1980</v>
      </c>
      <c r="D35" t="s">
        <v>2382</v>
      </c>
      <c r="E35" t="s">
        <v>279</v>
      </c>
      <c r="F35">
        <v>1.2500000000000001E-2</v>
      </c>
      <c r="G35">
        <v>0</v>
      </c>
      <c r="H35">
        <v>2.3199999999999998</v>
      </c>
      <c r="I35" t="s">
        <v>239</v>
      </c>
      <c r="J35"/>
      <c r="T35" s="292" t="str">
        <f t="shared" si="0"/>
        <v>トラック・バス</v>
      </c>
      <c r="U35" s="283" t="str">
        <f t="shared" si="1"/>
        <v>ガソリン</v>
      </c>
      <c r="V35" s="283" t="str">
        <f t="shared" si="2"/>
        <v>～1.7 t</v>
      </c>
      <c r="W35" s="283" t="str">
        <f t="shared" si="3"/>
        <v>H21</v>
      </c>
      <c r="X35" s="284" t="str">
        <f t="shared" si="3"/>
        <v>RAE</v>
      </c>
      <c r="Y35" s="271" t="s">
        <v>2262</v>
      </c>
      <c r="Z35" s="283">
        <f t="shared" si="4"/>
        <v>1.2500000000000001E-2</v>
      </c>
      <c r="AA35" s="283">
        <f t="shared" si="4"/>
        <v>0</v>
      </c>
      <c r="AB35" s="340">
        <f t="shared" si="4"/>
        <v>2.3199999999999998</v>
      </c>
      <c r="AD35" s="929" t="s">
        <v>2454</v>
      </c>
      <c r="AE35" s="920"/>
      <c r="AF35" s="420" t="s">
        <v>2737</v>
      </c>
      <c r="AG35" s="443">
        <v>2.58</v>
      </c>
      <c r="AH35" s="431"/>
      <c r="AI35" s="296"/>
      <c r="AN35" s="47" t="s">
        <v>1269</v>
      </c>
    </row>
    <row r="36" spans="1:41" ht="16">
      <c r="A36" t="str">
        <f t="shared" si="6"/>
        <v>貨1ガRLE</v>
      </c>
      <c r="B36" t="s">
        <v>2008</v>
      </c>
      <c r="C36" t="s">
        <v>1980</v>
      </c>
      <c r="D36" t="s">
        <v>2382</v>
      </c>
      <c r="E36" t="s">
        <v>2738</v>
      </c>
      <c r="F36">
        <v>1.2500000000000001E-2</v>
      </c>
      <c r="G36">
        <v>0</v>
      </c>
      <c r="H36">
        <v>2.3199999999999998</v>
      </c>
      <c r="I36" t="s">
        <v>2490</v>
      </c>
      <c r="J36"/>
      <c r="T36" s="292" t="str">
        <f t="shared" si="0"/>
        <v>トラック・バス</v>
      </c>
      <c r="U36" s="283" t="str">
        <f t="shared" si="1"/>
        <v>ガソリン</v>
      </c>
      <c r="V36" s="283" t="str">
        <f t="shared" si="2"/>
        <v>～1.7 t</v>
      </c>
      <c r="W36" s="283" t="str">
        <f t="shared" si="3"/>
        <v>H21</v>
      </c>
      <c r="X36" s="284" t="str">
        <f t="shared" si="3"/>
        <v>RLE</v>
      </c>
      <c r="Y36" s="271" t="s">
        <v>2262</v>
      </c>
      <c r="Z36" s="283">
        <f t="shared" si="4"/>
        <v>1.2500000000000001E-2</v>
      </c>
      <c r="AA36" s="283">
        <f t="shared" si="4"/>
        <v>0</v>
      </c>
      <c r="AB36" s="340">
        <f t="shared" si="4"/>
        <v>2.3199999999999998</v>
      </c>
      <c r="AD36" s="929" t="s">
        <v>2355</v>
      </c>
      <c r="AE36" s="920"/>
      <c r="AF36" s="444" t="s">
        <v>2739</v>
      </c>
      <c r="AG36" s="443">
        <v>3</v>
      </c>
      <c r="AH36" s="431"/>
      <c r="AI36" s="296"/>
      <c r="AN36" s="266" t="s">
        <v>1301</v>
      </c>
    </row>
    <row r="37" spans="1:41" ht="18" customHeight="1">
      <c r="A37" t="str">
        <f t="shared" si="6"/>
        <v>貨1ガQBE</v>
      </c>
      <c r="B37" t="s">
        <v>2008</v>
      </c>
      <c r="C37" t="s">
        <v>1980</v>
      </c>
      <c r="D37" t="s">
        <v>2382</v>
      </c>
      <c r="E37" t="s">
        <v>281</v>
      </c>
      <c r="F37">
        <v>4.4999999999999998E-2</v>
      </c>
      <c r="G37">
        <v>0</v>
      </c>
      <c r="H37">
        <v>2.3199999999999998</v>
      </c>
      <c r="I37" t="s">
        <v>232</v>
      </c>
      <c r="J37"/>
      <c r="T37" s="292" t="str">
        <f t="shared" si="0"/>
        <v>トラック・バス</v>
      </c>
      <c r="U37" s="283" t="str">
        <f t="shared" si="1"/>
        <v>ガソリン</v>
      </c>
      <c r="V37" s="283" t="str">
        <f t="shared" si="2"/>
        <v>～1.7 t</v>
      </c>
      <c r="W37" s="283" t="str">
        <f t="shared" si="3"/>
        <v>H21</v>
      </c>
      <c r="X37" s="284" t="str">
        <f t="shared" si="3"/>
        <v>QBE</v>
      </c>
      <c r="Y37" s="271" t="s">
        <v>1762</v>
      </c>
      <c r="Z37" s="283">
        <f t="shared" si="4"/>
        <v>4.4999999999999998E-2</v>
      </c>
      <c r="AA37" s="283">
        <f t="shared" si="4"/>
        <v>0</v>
      </c>
      <c r="AB37" s="340">
        <f t="shared" si="4"/>
        <v>2.3199999999999998</v>
      </c>
      <c r="AD37" s="929" t="s">
        <v>2367</v>
      </c>
      <c r="AE37" s="920"/>
      <c r="AF37" s="444" t="s">
        <v>2740</v>
      </c>
      <c r="AG37" s="443">
        <v>2.23</v>
      </c>
      <c r="AH37" s="208"/>
      <c r="AI37" s="296"/>
      <c r="AJ37" s="296"/>
      <c r="AN37" s="47" t="s">
        <v>1351</v>
      </c>
    </row>
    <row r="38" spans="1:41" ht="16">
      <c r="A38" t="str">
        <f t="shared" si="6"/>
        <v>貨1ガQAE</v>
      </c>
      <c r="B38" t="s">
        <v>2008</v>
      </c>
      <c r="C38" t="s">
        <v>1980</v>
      </c>
      <c r="D38" t="s">
        <v>2382</v>
      </c>
      <c r="E38" t="s">
        <v>283</v>
      </c>
      <c r="F38">
        <v>4.4999999999999998E-2</v>
      </c>
      <c r="G38">
        <v>0</v>
      </c>
      <c r="H38">
        <v>2.3199999999999998</v>
      </c>
      <c r="I38" t="s">
        <v>239</v>
      </c>
      <c r="J38"/>
      <c r="T38" s="292" t="str">
        <f t="shared" si="0"/>
        <v>トラック・バス</v>
      </c>
      <c r="U38" s="283" t="str">
        <f t="shared" si="1"/>
        <v>ガソリン</v>
      </c>
      <c r="V38" s="283" t="str">
        <f t="shared" si="2"/>
        <v>～1.7 t</v>
      </c>
      <c r="W38" s="283" t="str">
        <f t="shared" si="3"/>
        <v>H21</v>
      </c>
      <c r="X38" s="284" t="str">
        <f t="shared" si="3"/>
        <v>QAE</v>
      </c>
      <c r="Y38" s="271" t="s">
        <v>1762</v>
      </c>
      <c r="Z38" s="283">
        <f t="shared" si="4"/>
        <v>4.4999999999999998E-2</v>
      </c>
      <c r="AA38" s="283">
        <f t="shared" si="4"/>
        <v>0</v>
      </c>
      <c r="AB38" s="340">
        <f t="shared" si="4"/>
        <v>2.3199999999999998</v>
      </c>
      <c r="AD38" s="929" t="s">
        <v>2741</v>
      </c>
      <c r="AE38" s="920"/>
      <c r="AF38" s="444" t="s">
        <v>2742</v>
      </c>
      <c r="AG38" s="443">
        <v>0</v>
      </c>
      <c r="AH38" s="445"/>
      <c r="AI38" s="296"/>
      <c r="AJ38" s="296"/>
      <c r="AN38" s="47" t="s">
        <v>1696</v>
      </c>
    </row>
    <row r="39" spans="1:41" ht="13.75" customHeight="1" thickBot="1">
      <c r="A39" t="str">
        <f t="shared" si="6"/>
        <v>貨1ガQLE</v>
      </c>
      <c r="B39" t="s">
        <v>2008</v>
      </c>
      <c r="C39" t="s">
        <v>1980</v>
      </c>
      <c r="D39" t="s">
        <v>2382</v>
      </c>
      <c r="E39" t="s">
        <v>2743</v>
      </c>
      <c r="F39">
        <v>4.4999999999999998E-2</v>
      </c>
      <c r="G39">
        <v>0</v>
      </c>
      <c r="H39">
        <v>2.3199999999999998</v>
      </c>
      <c r="I39" t="s">
        <v>2490</v>
      </c>
      <c r="J39"/>
      <c r="T39" s="292" t="str">
        <f t="shared" si="0"/>
        <v>トラック・バス</v>
      </c>
      <c r="U39" s="283" t="str">
        <f t="shared" si="1"/>
        <v>ガソリン</v>
      </c>
      <c r="V39" s="283" t="str">
        <f t="shared" si="2"/>
        <v>～1.7 t</v>
      </c>
      <c r="W39" s="283" t="str">
        <f t="shared" si="3"/>
        <v>H21</v>
      </c>
      <c r="X39" s="284" t="str">
        <f t="shared" si="3"/>
        <v>QLE</v>
      </c>
      <c r="Y39" s="271" t="s">
        <v>1762</v>
      </c>
      <c r="Z39" s="283">
        <f t="shared" si="4"/>
        <v>4.4999999999999998E-2</v>
      </c>
      <c r="AA39" s="283">
        <f t="shared" si="4"/>
        <v>0</v>
      </c>
      <c r="AB39" s="340">
        <f t="shared" si="4"/>
        <v>2.3199999999999998</v>
      </c>
      <c r="AD39" s="930" t="s">
        <v>1791</v>
      </c>
      <c r="AE39" s="931"/>
      <c r="AF39" s="446" t="s">
        <v>2739</v>
      </c>
      <c r="AG39" s="447">
        <v>1.37</v>
      </c>
      <c r="AH39" s="296"/>
      <c r="AJ39" s="296"/>
      <c r="AN39" s="47" t="s">
        <v>1266</v>
      </c>
    </row>
    <row r="40" spans="1:41" ht="16.5" customHeight="1">
      <c r="A40" t="str">
        <f>CONCATENATE(C40,E40)</f>
        <v>貨1ガ3BE</v>
      </c>
      <c r="B40" t="s">
        <v>2008</v>
      </c>
      <c r="C40" t="s">
        <v>1980</v>
      </c>
      <c r="D40" t="s">
        <v>2744</v>
      </c>
      <c r="E40" t="s">
        <v>2745</v>
      </c>
      <c r="F40">
        <v>0.05</v>
      </c>
      <c r="G40">
        <v>0</v>
      </c>
      <c r="H40">
        <v>2.3199999999999998</v>
      </c>
      <c r="I40" t="s">
        <v>232</v>
      </c>
      <c r="J40"/>
      <c r="T40" s="292" t="str">
        <f t="shared" si="0"/>
        <v>トラック・バス</v>
      </c>
      <c r="U40" s="283" t="str">
        <f t="shared" si="1"/>
        <v>ガソリン</v>
      </c>
      <c r="V40" s="283" t="str">
        <f t="shared" si="2"/>
        <v>～1.7 t</v>
      </c>
      <c r="W40" s="283" t="str">
        <f t="shared" si="3"/>
        <v>H30</v>
      </c>
      <c r="X40" s="284" t="str">
        <f t="shared" si="3"/>
        <v>3BE</v>
      </c>
      <c r="Y40" s="271"/>
      <c r="Z40" s="283">
        <f t="shared" si="4"/>
        <v>0.05</v>
      </c>
      <c r="AA40" s="283">
        <f t="shared" si="4"/>
        <v>0</v>
      </c>
      <c r="AB40" s="340">
        <f t="shared" si="4"/>
        <v>2.3199999999999998</v>
      </c>
      <c r="AD40" s="448"/>
      <c r="AE40" s="131"/>
      <c r="AF40" s="448"/>
      <c r="AG40" s="449"/>
      <c r="AH40" s="296"/>
      <c r="AJ40" s="296"/>
      <c r="AN40" s="266" t="s">
        <v>1299</v>
      </c>
    </row>
    <row r="41" spans="1:41" ht="13.75" customHeight="1">
      <c r="A41" t="str">
        <f>CONCATENATE(C41,E41)</f>
        <v>貨1ガ3AE</v>
      </c>
      <c r="B41" t="s">
        <v>2008</v>
      </c>
      <c r="C41" t="s">
        <v>1980</v>
      </c>
      <c r="D41" t="s">
        <v>2746</v>
      </c>
      <c r="E41" t="s">
        <v>2747</v>
      </c>
      <c r="F41">
        <v>2.5000000000000001E-2</v>
      </c>
      <c r="G41">
        <v>0</v>
      </c>
      <c r="H41">
        <v>2.3199999999999998</v>
      </c>
      <c r="I41" t="s">
        <v>239</v>
      </c>
      <c r="J41"/>
      <c r="T41" s="292" t="str">
        <f t="shared" si="0"/>
        <v>トラック・バス</v>
      </c>
      <c r="U41" s="283" t="str">
        <f t="shared" si="1"/>
        <v>ガソリン</v>
      </c>
      <c r="V41" s="283" t="str">
        <f t="shared" si="2"/>
        <v>～1.7 t</v>
      </c>
      <c r="W41" s="283" t="str">
        <f t="shared" si="3"/>
        <v>H30</v>
      </c>
      <c r="X41" s="284" t="str">
        <f t="shared" si="3"/>
        <v>3AE</v>
      </c>
      <c r="Y41" s="271"/>
      <c r="Z41" s="283">
        <f t="shared" si="4"/>
        <v>2.5000000000000001E-2</v>
      </c>
      <c r="AA41" s="283">
        <f t="shared" si="4"/>
        <v>0</v>
      </c>
      <c r="AB41" s="340">
        <f t="shared" si="4"/>
        <v>2.3199999999999998</v>
      </c>
      <c r="AD41" s="246"/>
      <c r="AE41" s="297"/>
      <c r="AF41" s="246"/>
      <c r="AG41" s="98"/>
      <c r="AH41" s="296"/>
      <c r="AN41" s="47" t="s">
        <v>1349</v>
      </c>
    </row>
    <row r="42" spans="1:41" ht="13.75" customHeight="1">
      <c r="A42" t="str">
        <f t="shared" ref="A42:A76" si="7">CONCATENATE(C42,E42)</f>
        <v>貨1ガ3LE</v>
      </c>
      <c r="B42" t="s">
        <v>2008</v>
      </c>
      <c r="C42" t="s">
        <v>1980</v>
      </c>
      <c r="D42" t="s">
        <v>2748</v>
      </c>
      <c r="E42" t="s">
        <v>2749</v>
      </c>
      <c r="F42">
        <v>1.2500000000000001E-2</v>
      </c>
      <c r="G42">
        <v>0</v>
      </c>
      <c r="H42">
        <v>2.3199999999999998</v>
      </c>
      <c r="I42" t="s">
        <v>2490</v>
      </c>
      <c r="J42"/>
      <c r="T42" s="292" t="str">
        <f t="shared" si="0"/>
        <v>トラック・バス</v>
      </c>
      <c r="U42" s="283" t="str">
        <f t="shared" si="1"/>
        <v>ガソリン</v>
      </c>
      <c r="V42" s="283" t="str">
        <f t="shared" si="2"/>
        <v>～1.7 t</v>
      </c>
      <c r="W42" s="283" t="str">
        <f t="shared" si="3"/>
        <v>H30</v>
      </c>
      <c r="X42" s="284" t="str">
        <f t="shared" si="3"/>
        <v>3LE</v>
      </c>
      <c r="Y42" s="271"/>
      <c r="Z42" s="283">
        <f t="shared" si="4"/>
        <v>1.2500000000000001E-2</v>
      </c>
      <c r="AA42" s="283">
        <f t="shared" si="4"/>
        <v>0</v>
      </c>
      <c r="AB42" s="340">
        <f t="shared" si="4"/>
        <v>2.3199999999999998</v>
      </c>
      <c r="AD42" s="246"/>
      <c r="AE42" s="297"/>
      <c r="AF42" s="246"/>
      <c r="AG42" s="98"/>
      <c r="AH42" s="296"/>
      <c r="AN42" s="266" t="s">
        <v>1011</v>
      </c>
    </row>
    <row r="43" spans="1:41" ht="13.75" customHeight="1">
      <c r="A43" t="str">
        <f t="shared" si="7"/>
        <v>貨1ガ4BE</v>
      </c>
      <c r="B43" t="s">
        <v>2008</v>
      </c>
      <c r="C43" t="s">
        <v>1980</v>
      </c>
      <c r="D43" t="s">
        <v>2750</v>
      </c>
      <c r="E43" t="s">
        <v>2751</v>
      </c>
      <c r="F43">
        <v>3.7499999999999999E-2</v>
      </c>
      <c r="G43">
        <v>0</v>
      </c>
      <c r="H43">
        <v>2.3199999999999998</v>
      </c>
      <c r="I43" t="s">
        <v>232</v>
      </c>
      <c r="J43"/>
      <c r="T43" s="292" t="str">
        <f t="shared" si="0"/>
        <v>トラック・バス</v>
      </c>
      <c r="U43" s="283" t="str">
        <f t="shared" si="1"/>
        <v>ガソリン</v>
      </c>
      <c r="V43" s="283" t="str">
        <f t="shared" si="2"/>
        <v>～1.7 t</v>
      </c>
      <c r="W43" s="283" t="str">
        <f t="shared" si="3"/>
        <v>H30</v>
      </c>
      <c r="X43" s="284" t="str">
        <f t="shared" si="3"/>
        <v>4BE</v>
      </c>
      <c r="Y43" s="271" t="s">
        <v>1769</v>
      </c>
      <c r="Z43" s="283">
        <f t="shared" si="4"/>
        <v>3.7499999999999999E-2</v>
      </c>
      <c r="AA43" s="283">
        <f t="shared" si="4"/>
        <v>0</v>
      </c>
      <c r="AB43" s="340">
        <f t="shared" si="4"/>
        <v>2.3199999999999998</v>
      </c>
      <c r="AD43" s="246"/>
      <c r="AE43" s="297"/>
      <c r="AF43" s="246"/>
      <c r="AG43" s="98"/>
      <c r="AH43" s="296"/>
      <c r="AI43" s="208"/>
      <c r="AN43" s="266" t="s">
        <v>1007</v>
      </c>
    </row>
    <row r="44" spans="1:41" ht="13.75" customHeight="1">
      <c r="A44" t="str">
        <f t="shared" si="7"/>
        <v>貨1ガ4AE</v>
      </c>
      <c r="B44" t="s">
        <v>2008</v>
      </c>
      <c r="C44" t="s">
        <v>1980</v>
      </c>
      <c r="D44" t="s">
        <v>2748</v>
      </c>
      <c r="E44" t="s">
        <v>2752</v>
      </c>
      <c r="F44">
        <v>3.7499999999999999E-2</v>
      </c>
      <c r="G44">
        <v>0</v>
      </c>
      <c r="H44">
        <v>2.3199999999999998</v>
      </c>
      <c r="I44" t="s">
        <v>239</v>
      </c>
      <c r="J44"/>
      <c r="T44" s="292" t="str">
        <f t="shared" si="0"/>
        <v>トラック・バス</v>
      </c>
      <c r="U44" s="283" t="str">
        <f t="shared" si="1"/>
        <v>ガソリン</v>
      </c>
      <c r="V44" s="283" t="str">
        <f t="shared" si="2"/>
        <v>～1.7 t</v>
      </c>
      <c r="W44" s="283" t="str">
        <f t="shared" si="3"/>
        <v>H30</v>
      </c>
      <c r="X44" s="284" t="str">
        <f t="shared" si="3"/>
        <v>4AE</v>
      </c>
      <c r="Y44" s="271" t="s">
        <v>1769</v>
      </c>
      <c r="Z44" s="283">
        <f t="shared" si="4"/>
        <v>3.7499999999999999E-2</v>
      </c>
      <c r="AA44" s="283">
        <f t="shared" si="4"/>
        <v>0</v>
      </c>
      <c r="AB44" s="340">
        <f t="shared" si="4"/>
        <v>2.3199999999999998</v>
      </c>
      <c r="AD44" s="246"/>
      <c r="AE44" s="297"/>
      <c r="AF44" s="246"/>
      <c r="AG44" s="98"/>
      <c r="AH44" s="296"/>
      <c r="AN44" s="47" t="s">
        <v>1404</v>
      </c>
    </row>
    <row r="45" spans="1:41" ht="13.75" customHeight="1">
      <c r="A45" t="str">
        <f t="shared" si="7"/>
        <v>貨1ガ4LE</v>
      </c>
      <c r="B45" t="s">
        <v>2008</v>
      </c>
      <c r="C45" t="s">
        <v>1980</v>
      </c>
      <c r="D45" t="s">
        <v>2750</v>
      </c>
      <c r="E45" t="s">
        <v>2753</v>
      </c>
      <c r="F45">
        <v>3.7499999999999999E-2</v>
      </c>
      <c r="G45">
        <v>0</v>
      </c>
      <c r="H45">
        <v>2.3199999999999998</v>
      </c>
      <c r="I45" t="s">
        <v>1405</v>
      </c>
      <c r="J45"/>
      <c r="T45" s="292" t="str">
        <f t="shared" si="0"/>
        <v>トラック・バス</v>
      </c>
      <c r="U45" s="283" t="str">
        <f t="shared" si="1"/>
        <v>ガソリン</v>
      </c>
      <c r="V45" s="283" t="str">
        <f t="shared" si="2"/>
        <v>～1.7 t</v>
      </c>
      <c r="W45" s="283" t="str">
        <f t="shared" si="3"/>
        <v>H30</v>
      </c>
      <c r="X45" s="284" t="str">
        <f t="shared" si="3"/>
        <v>4LE</v>
      </c>
      <c r="Y45" s="271" t="s">
        <v>1769</v>
      </c>
      <c r="Z45" s="283">
        <f t="shared" si="4"/>
        <v>3.7499999999999999E-2</v>
      </c>
      <c r="AA45" s="283">
        <f t="shared" si="4"/>
        <v>0</v>
      </c>
      <c r="AB45" s="340">
        <f t="shared" si="4"/>
        <v>2.3199999999999998</v>
      </c>
      <c r="AN45" s="47" t="s">
        <v>2507</v>
      </c>
    </row>
    <row r="46" spans="1:41" ht="13.75" customHeight="1">
      <c r="A46" t="str">
        <f t="shared" si="7"/>
        <v>貨1ガ5BE</v>
      </c>
      <c r="B46" t="s">
        <v>2008</v>
      </c>
      <c r="C46" t="s">
        <v>1980</v>
      </c>
      <c r="D46" t="s">
        <v>2748</v>
      </c>
      <c r="E46" t="s">
        <v>2754</v>
      </c>
      <c r="F46">
        <v>2.5000000000000001E-2</v>
      </c>
      <c r="G46">
        <v>0</v>
      </c>
      <c r="H46">
        <v>2.3199999999999998</v>
      </c>
      <c r="I46" t="s">
        <v>2200</v>
      </c>
      <c r="J46"/>
      <c r="T46" s="292" t="str">
        <f t="shared" si="0"/>
        <v>トラック・バス</v>
      </c>
      <c r="U46" s="283" t="str">
        <f t="shared" si="1"/>
        <v>ガソリン</v>
      </c>
      <c r="V46" s="283" t="str">
        <f t="shared" si="2"/>
        <v>～1.7 t</v>
      </c>
      <c r="W46" s="283" t="str">
        <f t="shared" si="3"/>
        <v>H30</v>
      </c>
      <c r="X46" s="284" t="str">
        <f t="shared" si="3"/>
        <v>5BE</v>
      </c>
      <c r="Y46" s="271" t="s">
        <v>2262</v>
      </c>
      <c r="Z46" s="283">
        <f t="shared" si="4"/>
        <v>2.5000000000000001E-2</v>
      </c>
      <c r="AA46" s="283">
        <f t="shared" si="4"/>
        <v>0</v>
      </c>
      <c r="AB46" s="340">
        <f t="shared" si="4"/>
        <v>2.3199999999999998</v>
      </c>
      <c r="AN46" s="47" t="s">
        <v>2508</v>
      </c>
    </row>
    <row r="47" spans="1:41">
      <c r="A47" t="str">
        <f t="shared" si="7"/>
        <v>貨1ガ5AE</v>
      </c>
      <c r="B47" t="s">
        <v>2008</v>
      </c>
      <c r="C47" t="s">
        <v>1980</v>
      </c>
      <c r="D47" t="s">
        <v>2750</v>
      </c>
      <c r="E47" t="s">
        <v>2755</v>
      </c>
      <c r="F47">
        <v>2.5000000000000001E-2</v>
      </c>
      <c r="G47">
        <v>0</v>
      </c>
      <c r="H47">
        <v>2.3199999999999998</v>
      </c>
      <c r="I47" t="s">
        <v>239</v>
      </c>
      <c r="J47"/>
      <c r="T47" s="292" t="str">
        <f t="shared" si="0"/>
        <v>トラック・バス</v>
      </c>
      <c r="U47" s="283" t="str">
        <f t="shared" si="1"/>
        <v>ガソリン</v>
      </c>
      <c r="V47" s="283" t="str">
        <f t="shared" si="2"/>
        <v>～1.7 t</v>
      </c>
      <c r="W47" s="283" t="str">
        <f t="shared" si="3"/>
        <v>H30</v>
      </c>
      <c r="X47" s="284" t="str">
        <f t="shared" si="3"/>
        <v>5AE</v>
      </c>
      <c r="Y47" s="271" t="s">
        <v>2262</v>
      </c>
      <c r="Z47" s="283">
        <f t="shared" si="4"/>
        <v>2.5000000000000001E-2</v>
      </c>
      <c r="AA47" s="283">
        <f t="shared" si="4"/>
        <v>0</v>
      </c>
      <c r="AB47" s="340">
        <f t="shared" si="4"/>
        <v>2.3199999999999998</v>
      </c>
      <c r="AN47" s="47" t="s">
        <v>2509</v>
      </c>
    </row>
    <row r="48" spans="1:41">
      <c r="A48" t="str">
        <f t="shared" si="7"/>
        <v>貨1ガ5LE</v>
      </c>
      <c r="B48" t="s">
        <v>2008</v>
      </c>
      <c r="C48" t="s">
        <v>1980</v>
      </c>
      <c r="D48" t="s">
        <v>2748</v>
      </c>
      <c r="E48" t="s">
        <v>2756</v>
      </c>
      <c r="F48">
        <v>2.5000000000000001E-2</v>
      </c>
      <c r="G48">
        <v>0</v>
      </c>
      <c r="H48">
        <v>2.3199999999999998</v>
      </c>
      <c r="I48" t="s">
        <v>1405</v>
      </c>
      <c r="J48"/>
      <c r="T48" s="292" t="str">
        <f t="shared" si="0"/>
        <v>トラック・バス</v>
      </c>
      <c r="U48" s="283" t="str">
        <f t="shared" si="1"/>
        <v>ガソリン</v>
      </c>
      <c r="V48" s="283" t="str">
        <f t="shared" si="2"/>
        <v>～1.7 t</v>
      </c>
      <c r="W48" s="283" t="str">
        <f t="shared" si="3"/>
        <v>H30</v>
      </c>
      <c r="X48" s="284" t="str">
        <f t="shared" si="3"/>
        <v>5LE</v>
      </c>
      <c r="Y48" s="271" t="s">
        <v>2262</v>
      </c>
      <c r="Z48" s="283">
        <f t="shared" si="4"/>
        <v>2.5000000000000001E-2</v>
      </c>
      <c r="AA48" s="283">
        <f t="shared" si="4"/>
        <v>0</v>
      </c>
      <c r="AB48" s="340">
        <f t="shared" si="4"/>
        <v>2.3199999999999998</v>
      </c>
      <c r="AN48" s="47" t="s">
        <v>1550</v>
      </c>
    </row>
    <row r="49" spans="1:41">
      <c r="A49" t="str">
        <f t="shared" si="7"/>
        <v>貨1ガ6BE</v>
      </c>
      <c r="B49" t="s">
        <v>2008</v>
      </c>
      <c r="C49" t="s">
        <v>1980</v>
      </c>
      <c r="D49" t="s">
        <v>2750</v>
      </c>
      <c r="E49" t="s">
        <v>2757</v>
      </c>
      <c r="F49">
        <v>1.2500000000000001E-2</v>
      </c>
      <c r="G49">
        <v>0</v>
      </c>
      <c r="H49">
        <v>2.3199999999999998</v>
      </c>
      <c r="I49" t="s">
        <v>2202</v>
      </c>
      <c r="J49"/>
      <c r="T49" s="292" t="str">
        <f t="shared" si="0"/>
        <v>トラック・バス</v>
      </c>
      <c r="U49" s="283" t="str">
        <f t="shared" si="1"/>
        <v>ガソリン</v>
      </c>
      <c r="V49" s="283" t="str">
        <f t="shared" si="2"/>
        <v>～1.7 t</v>
      </c>
      <c r="W49" s="283" t="str">
        <f t="shared" si="3"/>
        <v>H30</v>
      </c>
      <c r="X49" s="284" t="str">
        <f t="shared" si="3"/>
        <v>6BE</v>
      </c>
      <c r="Y49" s="271" t="s">
        <v>2758</v>
      </c>
      <c r="Z49" s="283">
        <f t="shared" si="4"/>
        <v>1.2500000000000001E-2</v>
      </c>
      <c r="AA49" s="283">
        <f t="shared" si="4"/>
        <v>0</v>
      </c>
      <c r="AB49" s="340">
        <f t="shared" si="4"/>
        <v>2.3199999999999998</v>
      </c>
      <c r="AN49" s="47" t="s">
        <v>1552</v>
      </c>
    </row>
    <row r="50" spans="1:41">
      <c r="A50" t="str">
        <f t="shared" si="7"/>
        <v>貨1ガ6AE</v>
      </c>
      <c r="B50" t="s">
        <v>2008</v>
      </c>
      <c r="C50" t="s">
        <v>1980</v>
      </c>
      <c r="D50" t="s">
        <v>2748</v>
      </c>
      <c r="E50" t="s">
        <v>2759</v>
      </c>
      <c r="F50">
        <v>1.2500000000000001E-2</v>
      </c>
      <c r="G50">
        <v>0</v>
      </c>
      <c r="H50">
        <v>2.3199999999999998</v>
      </c>
      <c r="I50" t="s">
        <v>239</v>
      </c>
      <c r="J50"/>
      <c r="T50" s="292" t="str">
        <f t="shared" si="0"/>
        <v>トラック・バス</v>
      </c>
      <c r="U50" s="283" t="str">
        <f t="shared" si="1"/>
        <v>ガソリン</v>
      </c>
      <c r="V50" s="283" t="str">
        <f t="shared" si="2"/>
        <v>～1.7 t</v>
      </c>
      <c r="W50" s="283" t="str">
        <f t="shared" si="3"/>
        <v>H30</v>
      </c>
      <c r="X50" s="284" t="str">
        <f t="shared" si="3"/>
        <v>6AE</v>
      </c>
      <c r="Y50" s="271" t="s">
        <v>2758</v>
      </c>
      <c r="Z50" s="283">
        <f t="shared" si="4"/>
        <v>1.2500000000000001E-2</v>
      </c>
      <c r="AA50" s="283">
        <f t="shared" si="4"/>
        <v>0</v>
      </c>
      <c r="AB50" s="340">
        <f t="shared" si="4"/>
        <v>2.3199999999999998</v>
      </c>
      <c r="AN50" s="47" t="s">
        <v>2510</v>
      </c>
    </row>
    <row r="51" spans="1:41">
      <c r="A51" t="str">
        <f t="shared" si="7"/>
        <v>貨1ガ6LE</v>
      </c>
      <c r="B51" t="s">
        <v>2008</v>
      </c>
      <c r="C51" t="s">
        <v>1980</v>
      </c>
      <c r="D51" t="s">
        <v>2750</v>
      </c>
      <c r="E51" t="s">
        <v>2760</v>
      </c>
      <c r="F51">
        <v>1.2500000000000001E-2</v>
      </c>
      <c r="G51">
        <v>0</v>
      </c>
      <c r="H51">
        <v>2.3199999999999998</v>
      </c>
      <c r="I51" t="s">
        <v>1405</v>
      </c>
      <c r="J51"/>
      <c r="T51" s="292" t="str">
        <f t="shared" si="0"/>
        <v>トラック・バス</v>
      </c>
      <c r="U51" s="283" t="str">
        <f t="shared" si="1"/>
        <v>ガソリン</v>
      </c>
      <c r="V51" s="283" t="str">
        <f t="shared" si="2"/>
        <v>～1.7 t</v>
      </c>
      <c r="W51" s="283" t="str">
        <f t="shared" si="3"/>
        <v>H30</v>
      </c>
      <c r="X51" s="284" t="str">
        <f t="shared" si="3"/>
        <v>6LE</v>
      </c>
      <c r="Y51" s="271" t="s">
        <v>2758</v>
      </c>
      <c r="Z51" s="283">
        <f t="shared" si="4"/>
        <v>1.2500000000000001E-2</v>
      </c>
      <c r="AA51" s="283">
        <f t="shared" si="4"/>
        <v>0</v>
      </c>
      <c r="AB51" s="340">
        <f t="shared" si="4"/>
        <v>2.3199999999999998</v>
      </c>
      <c r="AN51" s="47" t="s">
        <v>2511</v>
      </c>
    </row>
    <row r="52" spans="1:41">
      <c r="A52" t="str">
        <f t="shared" si="7"/>
        <v>貨2ガ-</v>
      </c>
      <c r="B52" t="s">
        <v>2009</v>
      </c>
      <c r="C52" t="s">
        <v>1987</v>
      </c>
      <c r="D52" t="s">
        <v>2456</v>
      </c>
      <c r="E52" t="s">
        <v>2457</v>
      </c>
      <c r="F52">
        <v>2.1800000000000002</v>
      </c>
      <c r="G52">
        <v>0</v>
      </c>
      <c r="H52">
        <v>2.3199999999999998</v>
      </c>
      <c r="I52" t="s">
        <v>232</v>
      </c>
      <c r="J52"/>
      <c r="T52" s="292" t="str">
        <f t="shared" si="0"/>
        <v>トラック・バス</v>
      </c>
      <c r="U52" s="283" t="str">
        <f t="shared" si="1"/>
        <v>ガソリン</v>
      </c>
      <c r="V52" s="283" t="str">
        <f t="shared" si="2"/>
        <v>1.7～2.5 t</v>
      </c>
      <c r="W52" s="283" t="str">
        <f t="shared" si="3"/>
        <v>S50前</v>
      </c>
      <c r="X52" s="284" t="str">
        <f t="shared" si="3"/>
        <v>-</v>
      </c>
      <c r="Y52" s="271"/>
      <c r="Z52" s="283">
        <f t="shared" si="4"/>
        <v>2.1800000000000002</v>
      </c>
      <c r="AA52" s="283">
        <f t="shared" si="4"/>
        <v>0</v>
      </c>
      <c r="AB52" s="340">
        <f t="shared" si="4"/>
        <v>2.3199999999999998</v>
      </c>
      <c r="AN52" s="436" t="s">
        <v>2512</v>
      </c>
    </row>
    <row r="53" spans="1:41">
      <c r="A53" t="str">
        <f t="shared" si="7"/>
        <v>貨2ガH</v>
      </c>
      <c r="B53" t="s">
        <v>2009</v>
      </c>
      <c r="C53" t="s">
        <v>1987</v>
      </c>
      <c r="D53" t="s">
        <v>2459</v>
      </c>
      <c r="E53" t="s">
        <v>2460</v>
      </c>
      <c r="F53">
        <v>1.8</v>
      </c>
      <c r="G53">
        <v>0</v>
      </c>
      <c r="H53">
        <v>2.3199999999999998</v>
      </c>
      <c r="I53" t="s">
        <v>232</v>
      </c>
      <c r="J53"/>
      <c r="T53" s="292" t="str">
        <f t="shared" si="0"/>
        <v>トラック・バス</v>
      </c>
      <c r="U53" s="283" t="str">
        <f t="shared" si="1"/>
        <v>ガソリン</v>
      </c>
      <c r="V53" s="283" t="str">
        <f t="shared" si="2"/>
        <v>1.7～2.5 t</v>
      </c>
      <c r="W53" s="283" t="str">
        <f t="shared" si="3"/>
        <v>S50</v>
      </c>
      <c r="X53" s="284" t="str">
        <f t="shared" si="3"/>
        <v>H</v>
      </c>
      <c r="Y53" s="271"/>
      <c r="Z53" s="283">
        <f t="shared" si="4"/>
        <v>1.8</v>
      </c>
      <c r="AA53" s="283">
        <f t="shared" si="4"/>
        <v>0</v>
      </c>
      <c r="AB53" s="340">
        <f t="shared" si="4"/>
        <v>2.3199999999999998</v>
      </c>
      <c r="AN53" s="47" t="s">
        <v>46</v>
      </c>
    </row>
    <row r="54" spans="1:41">
      <c r="A54" t="str">
        <f t="shared" si="7"/>
        <v>貨2ガJ</v>
      </c>
      <c r="B54" t="s">
        <v>2009</v>
      </c>
      <c r="C54" t="s">
        <v>1987</v>
      </c>
      <c r="D54" t="s">
        <v>0</v>
      </c>
      <c r="E54" t="s">
        <v>7</v>
      </c>
      <c r="F54">
        <v>1.2</v>
      </c>
      <c r="G54">
        <v>0</v>
      </c>
      <c r="H54">
        <v>2.3199999999999998</v>
      </c>
      <c r="I54" t="s">
        <v>232</v>
      </c>
      <c r="J54"/>
      <c r="T54" s="292" t="str">
        <f t="shared" si="0"/>
        <v>トラック・バス</v>
      </c>
      <c r="U54" s="283" t="str">
        <f t="shared" si="1"/>
        <v>ガソリン</v>
      </c>
      <c r="V54" s="283" t="str">
        <f t="shared" si="2"/>
        <v>1.7～2.5 t</v>
      </c>
      <c r="W54" s="283" t="str">
        <f t="shared" si="3"/>
        <v>S54</v>
      </c>
      <c r="X54" s="284" t="str">
        <f t="shared" si="3"/>
        <v>J</v>
      </c>
      <c r="Y54" s="271"/>
      <c r="Z54" s="283">
        <f t="shared" si="4"/>
        <v>1.2</v>
      </c>
      <c r="AA54" s="283">
        <f t="shared" si="4"/>
        <v>0</v>
      </c>
      <c r="AB54" s="340">
        <f t="shared" si="4"/>
        <v>2.3199999999999998</v>
      </c>
      <c r="AN54" s="47" t="s">
        <v>1981</v>
      </c>
    </row>
    <row r="55" spans="1:41">
      <c r="A55" t="str">
        <f t="shared" si="7"/>
        <v>貨2ガL</v>
      </c>
      <c r="B55" t="s">
        <v>2009</v>
      </c>
      <c r="C55" t="s">
        <v>1987</v>
      </c>
      <c r="D55" t="s">
        <v>9</v>
      </c>
      <c r="E55" t="s">
        <v>10</v>
      </c>
      <c r="F55">
        <v>0.9</v>
      </c>
      <c r="G55">
        <v>0</v>
      </c>
      <c r="H55">
        <v>2.3199999999999998</v>
      </c>
      <c r="I55" t="s">
        <v>232</v>
      </c>
      <c r="J55"/>
      <c r="T55" s="292" t="str">
        <f t="shared" si="0"/>
        <v>トラック・バス</v>
      </c>
      <c r="U55" s="283" t="str">
        <f t="shared" si="1"/>
        <v>ガソリン</v>
      </c>
      <c r="V55" s="283" t="str">
        <f t="shared" si="2"/>
        <v>1.7～2.5 t</v>
      </c>
      <c r="W55" s="283" t="str">
        <f t="shared" si="3"/>
        <v>S56</v>
      </c>
      <c r="X55" s="284" t="str">
        <f t="shared" si="3"/>
        <v>L</v>
      </c>
      <c r="Y55" s="271"/>
      <c r="Z55" s="283">
        <f t="shared" si="4"/>
        <v>0.9</v>
      </c>
      <c r="AA55" s="283">
        <f t="shared" si="4"/>
        <v>0</v>
      </c>
      <c r="AB55" s="340">
        <f t="shared" si="4"/>
        <v>2.3199999999999998</v>
      </c>
      <c r="AN55" s="47" t="s">
        <v>1982</v>
      </c>
    </row>
    <row r="56" spans="1:41">
      <c r="A56" t="str">
        <f t="shared" si="7"/>
        <v>貨2ガT</v>
      </c>
      <c r="B56" t="s">
        <v>2009</v>
      </c>
      <c r="C56" t="s">
        <v>1987</v>
      </c>
      <c r="D56" t="s">
        <v>18</v>
      </c>
      <c r="E56" t="s">
        <v>19</v>
      </c>
      <c r="F56">
        <v>0.7</v>
      </c>
      <c r="G56">
        <v>0</v>
      </c>
      <c r="H56">
        <v>2.3199999999999998</v>
      </c>
      <c r="I56" t="s">
        <v>232</v>
      </c>
      <c r="J56"/>
      <c r="T56" s="292" t="str">
        <f t="shared" si="0"/>
        <v>トラック・バス</v>
      </c>
      <c r="U56" s="283" t="str">
        <f t="shared" si="1"/>
        <v>ガソリン</v>
      </c>
      <c r="V56" s="283" t="str">
        <f t="shared" si="2"/>
        <v>1.7～2.5 t</v>
      </c>
      <c r="W56" s="283" t="str">
        <f t="shared" si="3"/>
        <v>H元</v>
      </c>
      <c r="X56" s="284" t="str">
        <f t="shared" si="3"/>
        <v>T</v>
      </c>
      <c r="Y56" s="271"/>
      <c r="Z56" s="283">
        <f t="shared" si="4"/>
        <v>0.7</v>
      </c>
      <c r="AA56" s="283">
        <f t="shared" si="4"/>
        <v>0</v>
      </c>
      <c r="AB56" s="340">
        <f t="shared" si="4"/>
        <v>2.3199999999999998</v>
      </c>
      <c r="AN56" s="47" t="s">
        <v>2001</v>
      </c>
    </row>
    <row r="57" spans="1:41">
      <c r="A57" t="str">
        <f t="shared" si="7"/>
        <v>貨2ガGA</v>
      </c>
      <c r="B57" t="s">
        <v>2009</v>
      </c>
      <c r="C57" t="s">
        <v>1987</v>
      </c>
      <c r="D57" t="s">
        <v>1995</v>
      </c>
      <c r="E57" t="s">
        <v>49</v>
      </c>
      <c r="F57">
        <v>0.4</v>
      </c>
      <c r="G57">
        <v>0</v>
      </c>
      <c r="H57">
        <v>2.3199999999999998</v>
      </c>
      <c r="I57" t="s">
        <v>232</v>
      </c>
      <c r="J57"/>
      <c r="T57" s="292" t="str">
        <f t="shared" si="0"/>
        <v>トラック・バス</v>
      </c>
      <c r="U57" s="283" t="str">
        <f t="shared" si="1"/>
        <v>ガソリン</v>
      </c>
      <c r="V57" s="283" t="str">
        <f t="shared" si="2"/>
        <v>1.7～2.5 t</v>
      </c>
      <c r="W57" s="283" t="str">
        <f t="shared" si="3"/>
        <v>H6,H10</v>
      </c>
      <c r="X57" s="284" t="str">
        <f t="shared" si="3"/>
        <v>GA</v>
      </c>
      <c r="Y57" s="271"/>
      <c r="Z57" s="283">
        <f t="shared" si="4"/>
        <v>0.4</v>
      </c>
      <c r="AA57" s="283">
        <f t="shared" si="4"/>
        <v>0</v>
      </c>
      <c r="AB57" s="340">
        <f t="shared" si="4"/>
        <v>2.3199999999999998</v>
      </c>
      <c r="AD57" s="266"/>
      <c r="AE57" s="266"/>
      <c r="AF57" s="266"/>
      <c r="AG57" s="266"/>
      <c r="AH57" s="266"/>
      <c r="AI57" s="266"/>
      <c r="AN57" s="47" t="s">
        <v>2002</v>
      </c>
    </row>
    <row r="58" spans="1:41">
      <c r="A58" t="str">
        <f t="shared" si="7"/>
        <v>貨2ガGC</v>
      </c>
      <c r="B58" t="s">
        <v>2009</v>
      </c>
      <c r="C58" t="s">
        <v>1987</v>
      </c>
      <c r="D58" t="s">
        <v>1995</v>
      </c>
      <c r="E58" t="s">
        <v>51</v>
      </c>
      <c r="F58">
        <v>0.4</v>
      </c>
      <c r="G58">
        <v>0</v>
      </c>
      <c r="H58">
        <v>2.3199999999999998</v>
      </c>
      <c r="I58" t="s">
        <v>232</v>
      </c>
      <c r="J58"/>
      <c r="T58" s="292" t="str">
        <f t="shared" si="0"/>
        <v>トラック・バス</v>
      </c>
      <c r="U58" s="283" t="str">
        <f t="shared" si="1"/>
        <v>ガソリン</v>
      </c>
      <c r="V58" s="283" t="str">
        <f t="shared" si="2"/>
        <v>1.7～2.5 t</v>
      </c>
      <c r="W58" s="283" t="str">
        <f t="shared" si="3"/>
        <v>H6,H10</v>
      </c>
      <c r="X58" s="284" t="str">
        <f t="shared" si="3"/>
        <v>GC</v>
      </c>
      <c r="Y58" s="271"/>
      <c r="Z58" s="283">
        <f t="shared" si="4"/>
        <v>0.4</v>
      </c>
      <c r="AA58" s="283">
        <f t="shared" si="4"/>
        <v>0</v>
      </c>
      <c r="AB58" s="340">
        <f t="shared" si="4"/>
        <v>2.3199999999999998</v>
      </c>
      <c r="AD58" s="266"/>
      <c r="AE58" s="266"/>
      <c r="AF58" s="266"/>
      <c r="AG58" s="266"/>
      <c r="AH58" s="266"/>
      <c r="AI58" s="266"/>
      <c r="AN58" s="436" t="s">
        <v>2069</v>
      </c>
    </row>
    <row r="59" spans="1:41" s="266" customFormat="1">
      <c r="A59" t="str">
        <f t="shared" si="7"/>
        <v>貨2ガHG</v>
      </c>
      <c r="B59" t="s">
        <v>2009</v>
      </c>
      <c r="C59" t="s">
        <v>1987</v>
      </c>
      <c r="D59" t="s">
        <v>1995</v>
      </c>
      <c r="E59" t="s">
        <v>59</v>
      </c>
      <c r="F59">
        <v>0.2</v>
      </c>
      <c r="G59">
        <v>0</v>
      </c>
      <c r="H59">
        <v>2.3199999999999998</v>
      </c>
      <c r="I59" t="s">
        <v>239</v>
      </c>
      <c r="J59"/>
      <c r="K59" s="47"/>
      <c r="L59" s="47"/>
      <c r="M59" s="47"/>
      <c r="N59" s="47"/>
      <c r="O59" s="47"/>
      <c r="P59" s="47"/>
      <c r="Q59" s="47"/>
      <c r="R59" s="47"/>
      <c r="S59" s="47"/>
      <c r="T59" s="292" t="str">
        <f t="shared" si="0"/>
        <v>トラック・バス</v>
      </c>
      <c r="U59" s="283" t="str">
        <f t="shared" si="1"/>
        <v>ガソリン</v>
      </c>
      <c r="V59" s="283" t="str">
        <f t="shared" si="2"/>
        <v>1.7～2.5 t</v>
      </c>
      <c r="W59" s="283" t="str">
        <f t="shared" si="3"/>
        <v>H6,H10</v>
      </c>
      <c r="X59" s="284" t="str">
        <f t="shared" si="3"/>
        <v>HG</v>
      </c>
      <c r="Y59" s="271"/>
      <c r="Z59" s="283">
        <f t="shared" si="4"/>
        <v>0.2</v>
      </c>
      <c r="AA59" s="283">
        <f t="shared" si="4"/>
        <v>0</v>
      </c>
      <c r="AB59" s="340">
        <f t="shared" si="4"/>
        <v>2.3199999999999998</v>
      </c>
      <c r="AD59" s="436"/>
      <c r="AE59" s="436"/>
      <c r="AF59" s="436"/>
      <c r="AG59" s="436"/>
      <c r="AH59" s="436"/>
      <c r="AI59" s="436"/>
      <c r="AN59" s="436" t="s">
        <v>2070</v>
      </c>
      <c r="AO59" s="47"/>
    </row>
    <row r="60" spans="1:41" s="266" customFormat="1">
      <c r="A60" t="str">
        <f t="shared" si="7"/>
        <v>貨2ガGK</v>
      </c>
      <c r="B60" t="s">
        <v>2009</v>
      </c>
      <c r="C60" t="s">
        <v>1987</v>
      </c>
      <c r="D60" t="s">
        <v>21</v>
      </c>
      <c r="E60" t="s">
        <v>57</v>
      </c>
      <c r="F60">
        <v>0.13</v>
      </c>
      <c r="G60">
        <v>0</v>
      </c>
      <c r="H60">
        <v>2.3199999999999998</v>
      </c>
      <c r="I60" t="s">
        <v>232</v>
      </c>
      <c r="J60"/>
      <c r="K60" s="47"/>
      <c r="L60" s="47"/>
      <c r="M60" s="47"/>
      <c r="N60" s="47"/>
      <c r="O60" s="47"/>
      <c r="P60" s="47"/>
      <c r="Q60" s="47"/>
      <c r="R60" s="47"/>
      <c r="S60" s="47"/>
      <c r="T60" s="292" t="str">
        <f t="shared" si="0"/>
        <v>トラック・バス</v>
      </c>
      <c r="U60" s="283" t="str">
        <f t="shared" si="1"/>
        <v>ガソリン</v>
      </c>
      <c r="V60" s="283" t="str">
        <f t="shared" si="2"/>
        <v>1.7～2.5 t</v>
      </c>
      <c r="W60" s="283" t="str">
        <f t="shared" si="3"/>
        <v>H13</v>
      </c>
      <c r="X60" s="284" t="str">
        <f t="shared" si="3"/>
        <v>GK</v>
      </c>
      <c r="Y60" s="271"/>
      <c r="Z60" s="283">
        <f t="shared" si="4"/>
        <v>0.13</v>
      </c>
      <c r="AA60" s="283">
        <f t="shared" si="4"/>
        <v>0</v>
      </c>
      <c r="AB60" s="340">
        <f t="shared" si="4"/>
        <v>2.3199999999999998</v>
      </c>
      <c r="AD60" s="436"/>
      <c r="AE60" s="436"/>
      <c r="AF60" s="436"/>
      <c r="AG60" s="436"/>
      <c r="AH60" s="436"/>
      <c r="AI60" s="436"/>
      <c r="AN60" s="47" t="s">
        <v>2093</v>
      </c>
      <c r="AO60" s="47"/>
    </row>
    <row r="61" spans="1:41" s="436" customFormat="1">
      <c r="A61" t="str">
        <f t="shared" si="7"/>
        <v>貨2ガHQ</v>
      </c>
      <c r="B61" t="s">
        <v>2009</v>
      </c>
      <c r="C61" t="s">
        <v>1987</v>
      </c>
      <c r="D61" t="s">
        <v>21</v>
      </c>
      <c r="E61" t="s">
        <v>68</v>
      </c>
      <c r="F61">
        <v>6.5000000000000002E-2</v>
      </c>
      <c r="G61">
        <v>0</v>
      </c>
      <c r="H61">
        <v>2.3199999999999998</v>
      </c>
      <c r="I61" t="s">
        <v>239</v>
      </c>
      <c r="J61"/>
      <c r="K61" s="47"/>
      <c r="L61" s="47"/>
      <c r="M61" s="47"/>
      <c r="N61" s="47"/>
      <c r="O61" s="47"/>
      <c r="P61" s="47"/>
      <c r="Q61" s="47"/>
      <c r="R61" s="47"/>
      <c r="S61" s="47"/>
      <c r="T61" s="292" t="str">
        <f t="shared" si="0"/>
        <v>トラック・バス</v>
      </c>
      <c r="U61" s="283" t="str">
        <f t="shared" si="1"/>
        <v>ガソリン</v>
      </c>
      <c r="V61" s="283" t="str">
        <f t="shared" si="2"/>
        <v>1.7～2.5 t</v>
      </c>
      <c r="W61" s="283" t="str">
        <f t="shared" si="3"/>
        <v>H13</v>
      </c>
      <c r="X61" s="284" t="str">
        <f t="shared" si="3"/>
        <v>HQ</v>
      </c>
      <c r="Y61" s="271"/>
      <c r="Z61" s="283">
        <f t="shared" si="4"/>
        <v>6.5000000000000002E-2</v>
      </c>
      <c r="AA61" s="283">
        <f t="shared" si="4"/>
        <v>0</v>
      </c>
      <c r="AB61" s="340">
        <f t="shared" si="4"/>
        <v>2.3199999999999998</v>
      </c>
      <c r="AN61" s="47" t="s">
        <v>2094</v>
      </c>
      <c r="AO61" s="47"/>
    </row>
    <row r="62" spans="1:41" s="436" customFormat="1">
      <c r="A62" t="str">
        <f t="shared" si="7"/>
        <v>貨2ガTC</v>
      </c>
      <c r="B62" t="s">
        <v>2009</v>
      </c>
      <c r="C62" t="s">
        <v>1987</v>
      </c>
      <c r="D62" t="s">
        <v>21</v>
      </c>
      <c r="E62" t="s">
        <v>81</v>
      </c>
      <c r="F62">
        <v>9.7500000000000003E-2</v>
      </c>
      <c r="G62">
        <v>0</v>
      </c>
      <c r="H62">
        <v>2.3199999999999998</v>
      </c>
      <c r="I62" t="s">
        <v>232</v>
      </c>
      <c r="J62"/>
      <c r="K62" s="47"/>
      <c r="L62" s="47"/>
      <c r="M62" s="47"/>
      <c r="N62" s="47"/>
      <c r="O62" s="47"/>
      <c r="P62" s="47"/>
      <c r="Q62" s="47"/>
      <c r="R62" s="47"/>
      <c r="S62" s="47"/>
      <c r="T62" s="292" t="str">
        <f t="shared" si="0"/>
        <v>トラック・バス</v>
      </c>
      <c r="U62" s="283" t="str">
        <f t="shared" si="1"/>
        <v>ガソリン</v>
      </c>
      <c r="V62" s="283" t="str">
        <f t="shared" si="2"/>
        <v>1.7～2.5 t</v>
      </c>
      <c r="W62" s="283" t="str">
        <f t="shared" si="3"/>
        <v>H13</v>
      </c>
      <c r="X62" s="284" t="str">
        <f t="shared" si="3"/>
        <v>TC</v>
      </c>
      <c r="Y62" s="271" t="s">
        <v>1765</v>
      </c>
      <c r="Z62" s="283">
        <f t="shared" si="4"/>
        <v>9.7500000000000003E-2</v>
      </c>
      <c r="AA62" s="283">
        <f t="shared" si="4"/>
        <v>0</v>
      </c>
      <c r="AB62" s="340">
        <f t="shared" si="4"/>
        <v>2.3199999999999998</v>
      </c>
      <c r="AN62" s="47" t="s">
        <v>1353</v>
      </c>
      <c r="AO62" s="47"/>
    </row>
    <row r="63" spans="1:41" s="436" customFormat="1">
      <c r="A63" t="str">
        <f t="shared" si="7"/>
        <v>貨2ガXC</v>
      </c>
      <c r="B63" t="s">
        <v>2009</v>
      </c>
      <c r="C63" t="s">
        <v>1987</v>
      </c>
      <c r="D63" t="s">
        <v>21</v>
      </c>
      <c r="E63" t="s">
        <v>95</v>
      </c>
      <c r="F63">
        <v>9.7500000000000003E-2</v>
      </c>
      <c r="G63">
        <v>0</v>
      </c>
      <c r="H63">
        <v>2.3199999999999998</v>
      </c>
      <c r="I63" t="s">
        <v>239</v>
      </c>
      <c r="J63"/>
      <c r="K63" s="47"/>
      <c r="L63" s="47"/>
      <c r="M63" s="47"/>
      <c r="N63" s="47"/>
      <c r="O63" s="47"/>
      <c r="P63" s="47"/>
      <c r="Q63" s="47"/>
      <c r="R63" s="47"/>
      <c r="S63" s="47"/>
      <c r="T63" s="292" t="str">
        <f t="shared" si="0"/>
        <v>トラック・バス</v>
      </c>
      <c r="U63" s="283" t="str">
        <f t="shared" si="1"/>
        <v>ガソリン</v>
      </c>
      <c r="V63" s="283" t="str">
        <f t="shared" si="2"/>
        <v>1.7～2.5 t</v>
      </c>
      <c r="W63" s="283" t="str">
        <f t="shared" si="3"/>
        <v>H13</v>
      </c>
      <c r="X63" s="284" t="str">
        <f t="shared" si="3"/>
        <v>XC</v>
      </c>
      <c r="Y63" s="271" t="s">
        <v>1765</v>
      </c>
      <c r="Z63" s="283">
        <f t="shared" si="4"/>
        <v>9.7500000000000003E-2</v>
      </c>
      <c r="AA63" s="283">
        <f t="shared" si="4"/>
        <v>0</v>
      </c>
      <c r="AB63" s="340">
        <f t="shared" si="4"/>
        <v>2.3199999999999998</v>
      </c>
      <c r="AN63" s="47" t="s">
        <v>1355</v>
      </c>
      <c r="AO63" s="47"/>
    </row>
    <row r="64" spans="1:41" s="436" customFormat="1">
      <c r="A64" t="str">
        <f t="shared" si="7"/>
        <v>貨2ガLC</v>
      </c>
      <c r="B64" t="s">
        <v>2009</v>
      </c>
      <c r="C64" t="s">
        <v>1987</v>
      </c>
      <c r="D64" t="s">
        <v>21</v>
      </c>
      <c r="E64" t="s">
        <v>72</v>
      </c>
      <c r="F64">
        <v>6.5000000000000002E-2</v>
      </c>
      <c r="G64">
        <v>0</v>
      </c>
      <c r="H64">
        <v>2.3199999999999998</v>
      </c>
      <c r="I64" t="s">
        <v>232</v>
      </c>
      <c r="J64"/>
      <c r="K64" s="47"/>
      <c r="L64" s="47"/>
      <c r="M64" s="47"/>
      <c r="N64" s="47"/>
      <c r="O64" s="47"/>
      <c r="P64" s="47"/>
      <c r="Q64" s="47"/>
      <c r="R64" s="47"/>
      <c r="S64" s="47"/>
      <c r="T64" s="292" t="str">
        <f t="shared" si="0"/>
        <v>トラック・バス</v>
      </c>
      <c r="U64" s="283" t="str">
        <f t="shared" si="1"/>
        <v>ガソリン</v>
      </c>
      <c r="V64" s="283" t="str">
        <f t="shared" si="2"/>
        <v>1.7～2.5 t</v>
      </c>
      <c r="W64" s="283" t="str">
        <f t="shared" si="3"/>
        <v>H13</v>
      </c>
      <c r="X64" s="284" t="str">
        <f t="shared" si="3"/>
        <v>LC</v>
      </c>
      <c r="Y64" s="271" t="s">
        <v>1766</v>
      </c>
      <c r="Z64" s="283">
        <f t="shared" si="4"/>
        <v>6.5000000000000002E-2</v>
      </c>
      <c r="AA64" s="283">
        <f t="shared" si="4"/>
        <v>0</v>
      </c>
      <c r="AB64" s="340">
        <f t="shared" si="4"/>
        <v>2.3199999999999998</v>
      </c>
      <c r="AN64" s="436" t="s">
        <v>1014</v>
      </c>
      <c r="AO64" s="47"/>
    </row>
    <row r="65" spans="1:41" s="436" customFormat="1">
      <c r="A65" t="str">
        <f t="shared" si="7"/>
        <v>貨2ガYC</v>
      </c>
      <c r="B65" t="s">
        <v>2009</v>
      </c>
      <c r="C65" t="s">
        <v>1987</v>
      </c>
      <c r="D65" t="s">
        <v>21</v>
      </c>
      <c r="E65" t="s">
        <v>99</v>
      </c>
      <c r="F65">
        <v>6.5000000000000002E-2</v>
      </c>
      <c r="G65">
        <v>0</v>
      </c>
      <c r="H65">
        <v>2.3199999999999998</v>
      </c>
      <c r="I65" t="s">
        <v>239</v>
      </c>
      <c r="J65"/>
      <c r="K65" s="266"/>
      <c r="L65" s="266"/>
      <c r="M65" s="266"/>
      <c r="N65" s="266"/>
      <c r="O65" s="266"/>
      <c r="P65" s="266"/>
      <c r="Q65" s="266"/>
      <c r="R65" s="266"/>
      <c r="S65" s="266"/>
      <c r="T65" s="292" t="str">
        <f t="shared" si="0"/>
        <v>トラック・バス</v>
      </c>
      <c r="U65" s="283" t="str">
        <f t="shared" si="1"/>
        <v>ガソリン</v>
      </c>
      <c r="V65" s="283" t="str">
        <f t="shared" si="2"/>
        <v>1.7～2.5 t</v>
      </c>
      <c r="W65" s="283" t="str">
        <f t="shared" si="3"/>
        <v>H13</v>
      </c>
      <c r="X65" s="284" t="str">
        <f t="shared" si="3"/>
        <v>YC</v>
      </c>
      <c r="Y65" s="271" t="s">
        <v>1766</v>
      </c>
      <c r="Z65" s="283">
        <f t="shared" si="4"/>
        <v>6.5000000000000002E-2</v>
      </c>
      <c r="AA65" s="283">
        <f t="shared" si="4"/>
        <v>0</v>
      </c>
      <c r="AB65" s="340">
        <f t="shared" si="4"/>
        <v>2.3199999999999998</v>
      </c>
      <c r="AD65" s="47"/>
      <c r="AE65" s="47"/>
      <c r="AF65" s="47"/>
      <c r="AG65" s="47"/>
      <c r="AH65" s="47"/>
      <c r="AI65" s="47"/>
      <c r="AN65" s="436" t="s">
        <v>1017</v>
      </c>
      <c r="AO65" s="47"/>
    </row>
    <row r="66" spans="1:41" s="436" customFormat="1">
      <c r="A66" t="str">
        <f t="shared" si="7"/>
        <v>貨2ガUC</v>
      </c>
      <c r="B66" t="s">
        <v>2009</v>
      </c>
      <c r="C66" t="s">
        <v>1987</v>
      </c>
      <c r="D66" t="s">
        <v>21</v>
      </c>
      <c r="E66" t="s">
        <v>88</v>
      </c>
      <c r="F66">
        <v>3.2500000000000001E-2</v>
      </c>
      <c r="G66">
        <v>0</v>
      </c>
      <c r="H66">
        <v>2.3199999999999998</v>
      </c>
      <c r="I66" t="s">
        <v>232</v>
      </c>
      <c r="J66"/>
      <c r="K66" s="266"/>
      <c r="L66" s="266"/>
      <c r="M66" s="266"/>
      <c r="N66" s="266"/>
      <c r="O66" s="266"/>
      <c r="P66" s="266"/>
      <c r="Q66" s="266"/>
      <c r="R66" s="266"/>
      <c r="S66" s="266"/>
      <c r="T66" s="292" t="str">
        <f t="shared" si="0"/>
        <v>トラック・バス</v>
      </c>
      <c r="U66" s="283" t="str">
        <f t="shared" si="1"/>
        <v>ガソリン</v>
      </c>
      <c r="V66" s="283" t="str">
        <f t="shared" si="2"/>
        <v>1.7～2.5 t</v>
      </c>
      <c r="W66" s="283" t="str">
        <f t="shared" si="3"/>
        <v>H13</v>
      </c>
      <c r="X66" s="284" t="str">
        <f t="shared" si="3"/>
        <v>UC</v>
      </c>
      <c r="Y66" s="271" t="s">
        <v>1767</v>
      </c>
      <c r="Z66" s="283">
        <f t="shared" si="4"/>
        <v>3.2500000000000001E-2</v>
      </c>
      <c r="AA66" s="283">
        <f t="shared" si="4"/>
        <v>0</v>
      </c>
      <c r="AB66" s="340">
        <f t="shared" si="4"/>
        <v>2.3199999999999998</v>
      </c>
      <c r="AD66" s="47"/>
      <c r="AE66" s="47"/>
      <c r="AF66" s="47"/>
      <c r="AG66" s="47"/>
      <c r="AH66" s="47"/>
      <c r="AI66" s="47"/>
      <c r="AN66" s="47" t="s">
        <v>2513</v>
      </c>
      <c r="AO66" s="47"/>
    </row>
    <row r="67" spans="1:41">
      <c r="A67" t="str">
        <f t="shared" si="7"/>
        <v>貨2ガZC</v>
      </c>
      <c r="B67" t="s">
        <v>2009</v>
      </c>
      <c r="C67" t="s">
        <v>1987</v>
      </c>
      <c r="D67" t="s">
        <v>21</v>
      </c>
      <c r="E67" t="s">
        <v>103</v>
      </c>
      <c r="F67">
        <v>3.2500000000000001E-2</v>
      </c>
      <c r="G67">
        <v>0</v>
      </c>
      <c r="H67">
        <v>2.3199999999999998</v>
      </c>
      <c r="I67" t="s">
        <v>239</v>
      </c>
      <c r="J67"/>
      <c r="K67" s="436"/>
      <c r="L67" s="436"/>
      <c r="M67" s="436"/>
      <c r="N67" s="436"/>
      <c r="O67" s="436"/>
      <c r="P67" s="436"/>
      <c r="Q67" s="436"/>
      <c r="R67" s="436"/>
      <c r="S67" s="436"/>
      <c r="T67" s="292" t="str">
        <f t="shared" si="0"/>
        <v>トラック・バス</v>
      </c>
      <c r="U67" s="283" t="str">
        <f t="shared" si="1"/>
        <v>ガソリン</v>
      </c>
      <c r="V67" s="283" t="str">
        <f t="shared" si="2"/>
        <v>1.7～2.5 t</v>
      </c>
      <c r="W67" s="283" t="str">
        <f t="shared" si="3"/>
        <v>H13</v>
      </c>
      <c r="X67" s="284" t="str">
        <f t="shared" si="3"/>
        <v>ZC</v>
      </c>
      <c r="Y67" s="271" t="s">
        <v>1767</v>
      </c>
      <c r="Z67" s="283">
        <f t="shared" si="4"/>
        <v>3.2500000000000001E-2</v>
      </c>
      <c r="AA67" s="283">
        <f t="shared" si="4"/>
        <v>0</v>
      </c>
      <c r="AB67" s="340">
        <f t="shared" si="4"/>
        <v>2.3199999999999998</v>
      </c>
      <c r="AN67" s="436" t="s">
        <v>2514</v>
      </c>
    </row>
    <row r="68" spans="1:41">
      <c r="A68" t="str">
        <f t="shared" si="7"/>
        <v>貨2ガABF</v>
      </c>
      <c r="B68" t="s">
        <v>2009</v>
      </c>
      <c r="C68" t="s">
        <v>1987</v>
      </c>
      <c r="D68" t="s">
        <v>1979</v>
      </c>
      <c r="E68" t="s">
        <v>301</v>
      </c>
      <c r="F68">
        <v>7.0000000000000007E-2</v>
      </c>
      <c r="G68">
        <v>0</v>
      </c>
      <c r="H68">
        <v>2.3199999999999998</v>
      </c>
      <c r="I68" t="s">
        <v>232</v>
      </c>
      <c r="J68"/>
      <c r="K68" s="436"/>
      <c r="L68" s="436"/>
      <c r="M68" s="436"/>
      <c r="N68" s="436"/>
      <c r="O68" s="436"/>
      <c r="P68" s="436"/>
      <c r="Q68" s="436"/>
      <c r="R68" s="436"/>
      <c r="S68" s="436"/>
      <c r="T68" s="292" t="str">
        <f t="shared" si="0"/>
        <v>トラック・バス</v>
      </c>
      <c r="U68" s="283" t="str">
        <f t="shared" si="1"/>
        <v>ガソリン</v>
      </c>
      <c r="V68" s="283" t="str">
        <f t="shared" si="2"/>
        <v>1.7～2.5 t</v>
      </c>
      <c r="W68" s="283" t="str">
        <f t="shared" si="3"/>
        <v>H17</v>
      </c>
      <c r="X68" s="284" t="str">
        <f t="shared" si="3"/>
        <v>ABF</v>
      </c>
      <c r="Y68" s="271"/>
      <c r="Z68" s="283">
        <f t="shared" si="4"/>
        <v>7.0000000000000007E-2</v>
      </c>
      <c r="AA68" s="283">
        <f t="shared" si="4"/>
        <v>0</v>
      </c>
      <c r="AB68" s="340">
        <f t="shared" si="4"/>
        <v>2.3199999999999998</v>
      </c>
      <c r="AN68" s="47" t="s">
        <v>47</v>
      </c>
    </row>
    <row r="69" spans="1:41">
      <c r="A69" t="str">
        <f t="shared" si="7"/>
        <v>貨2ガAAF</v>
      </c>
      <c r="B69" t="s">
        <v>2009</v>
      </c>
      <c r="C69" t="s">
        <v>1987</v>
      </c>
      <c r="D69" t="s">
        <v>1979</v>
      </c>
      <c r="E69" t="s">
        <v>303</v>
      </c>
      <c r="F69">
        <v>3.5000000000000003E-2</v>
      </c>
      <c r="G69">
        <v>0</v>
      </c>
      <c r="H69">
        <v>2.3199999999999998</v>
      </c>
      <c r="I69" t="s">
        <v>239</v>
      </c>
      <c r="J69"/>
      <c r="K69" s="436"/>
      <c r="L69" s="436"/>
      <c r="M69" s="436"/>
      <c r="N69" s="436"/>
      <c r="O69" s="436"/>
      <c r="P69" s="436"/>
      <c r="Q69" s="436"/>
      <c r="R69" s="436"/>
      <c r="S69" s="436"/>
      <c r="T69" s="292" t="str">
        <f t="shared" ref="T69:T132" si="8">IF(LEFT(C69,1)="貨","トラック・バス","乗用車")</f>
        <v>トラック・バス</v>
      </c>
      <c r="U69" s="283" t="str">
        <f t="shared" ref="U69:U132" si="9">VLOOKUP(RIGHT(C69,1),$AL$4:$AM$8,2,FALSE)</f>
        <v>ガソリン</v>
      </c>
      <c r="V69" s="283" t="str">
        <f t="shared" ref="V69:V132" si="10">VLOOKUP(VALUE(MID(C69,2,1)),$AL$10:$AM$15,2,FALSE)</f>
        <v>1.7～2.5 t</v>
      </c>
      <c r="W69" s="283" t="str">
        <f t="shared" ref="W69:X132" si="11">D69</f>
        <v>H17</v>
      </c>
      <c r="X69" s="284" t="str">
        <f t="shared" si="11"/>
        <v>AAF</v>
      </c>
      <c r="Y69" s="271"/>
      <c r="Z69" s="283">
        <f t="shared" ref="Z69:AB132" si="12">F69</f>
        <v>3.5000000000000003E-2</v>
      </c>
      <c r="AA69" s="283">
        <f t="shared" si="12"/>
        <v>0</v>
      </c>
      <c r="AB69" s="340">
        <f t="shared" si="12"/>
        <v>2.3199999999999998</v>
      </c>
      <c r="AN69" s="47" t="s">
        <v>2109</v>
      </c>
    </row>
    <row r="70" spans="1:41">
      <c r="A70" t="str">
        <f t="shared" si="7"/>
        <v>貨2ガALF</v>
      </c>
      <c r="B70" t="s">
        <v>2009</v>
      </c>
      <c r="C70" t="s">
        <v>1987</v>
      </c>
      <c r="D70" t="s">
        <v>1979</v>
      </c>
      <c r="E70" t="s">
        <v>2761</v>
      </c>
      <c r="F70">
        <v>1.7500000000000002E-2</v>
      </c>
      <c r="G70">
        <v>0</v>
      </c>
      <c r="H70">
        <v>2.3199999999999998</v>
      </c>
      <c r="I70" t="s">
        <v>2490</v>
      </c>
      <c r="J70"/>
      <c r="K70" s="436"/>
      <c r="L70" s="436"/>
      <c r="M70" s="436"/>
      <c r="N70" s="436"/>
      <c r="O70" s="436"/>
      <c r="P70" s="436"/>
      <c r="Q70" s="436"/>
      <c r="R70" s="436"/>
      <c r="S70" s="436"/>
      <c r="T70" s="292" t="str">
        <f t="shared" si="8"/>
        <v>トラック・バス</v>
      </c>
      <c r="U70" s="283" t="str">
        <f t="shared" si="9"/>
        <v>ガソリン</v>
      </c>
      <c r="V70" s="283" t="str">
        <f t="shared" si="10"/>
        <v>1.7～2.5 t</v>
      </c>
      <c r="W70" s="283" t="str">
        <f t="shared" si="11"/>
        <v>H17</v>
      </c>
      <c r="X70" s="284" t="str">
        <f t="shared" si="11"/>
        <v>ALF</v>
      </c>
      <c r="Y70" s="271"/>
      <c r="Z70" s="283">
        <f t="shared" si="12"/>
        <v>1.7500000000000002E-2</v>
      </c>
      <c r="AA70" s="283">
        <f t="shared" si="12"/>
        <v>0</v>
      </c>
      <c r="AB70" s="340">
        <f t="shared" si="12"/>
        <v>2.3199999999999998</v>
      </c>
      <c r="AN70" s="47" t="s">
        <v>1983</v>
      </c>
    </row>
    <row r="71" spans="1:41">
      <c r="A71" t="str">
        <f t="shared" si="7"/>
        <v>貨2ガCAF</v>
      </c>
      <c r="B71" t="s">
        <v>2009</v>
      </c>
      <c r="C71" t="s">
        <v>1987</v>
      </c>
      <c r="D71" t="s">
        <v>1979</v>
      </c>
      <c r="E71" t="s">
        <v>1991</v>
      </c>
      <c r="F71">
        <v>3.5000000000000003E-2</v>
      </c>
      <c r="G71">
        <v>0</v>
      </c>
      <c r="H71">
        <v>2.3199999999999998</v>
      </c>
      <c r="I71" t="s">
        <v>239</v>
      </c>
      <c r="J71"/>
      <c r="K71" s="436"/>
      <c r="L71" s="436"/>
      <c r="M71" s="436"/>
      <c r="N71" s="436"/>
      <c r="O71" s="436"/>
      <c r="P71" s="436"/>
      <c r="Q71" s="436"/>
      <c r="R71" s="436"/>
      <c r="S71" s="436"/>
      <c r="T71" s="292" t="str">
        <f t="shared" si="8"/>
        <v>トラック・バス</v>
      </c>
      <c r="U71" s="283" t="str">
        <f t="shared" si="9"/>
        <v>ガソリン</v>
      </c>
      <c r="V71" s="283" t="str">
        <f t="shared" si="10"/>
        <v>1.7～2.5 t</v>
      </c>
      <c r="W71" s="283" t="str">
        <f t="shared" si="11"/>
        <v>H17</v>
      </c>
      <c r="X71" s="284" t="str">
        <f t="shared" si="11"/>
        <v>CAF</v>
      </c>
      <c r="Y71" s="271" t="s">
        <v>2261</v>
      </c>
      <c r="Z71" s="283">
        <f t="shared" si="12"/>
        <v>3.5000000000000003E-2</v>
      </c>
      <c r="AA71" s="283">
        <f t="shared" si="12"/>
        <v>0</v>
      </c>
      <c r="AB71" s="340">
        <f t="shared" si="12"/>
        <v>2.3199999999999998</v>
      </c>
      <c r="AN71" s="47" t="s">
        <v>1991</v>
      </c>
    </row>
    <row r="72" spans="1:41">
      <c r="A72" t="str">
        <f t="shared" si="7"/>
        <v>貨2ガCBF</v>
      </c>
      <c r="B72" t="s">
        <v>2009</v>
      </c>
      <c r="C72" t="s">
        <v>1987</v>
      </c>
      <c r="D72" t="s">
        <v>1979</v>
      </c>
      <c r="E72" t="s">
        <v>1992</v>
      </c>
      <c r="F72">
        <v>3.5000000000000003E-2</v>
      </c>
      <c r="G72">
        <v>0</v>
      </c>
      <c r="H72">
        <v>2.3199999999999998</v>
      </c>
      <c r="I72" t="s">
        <v>260</v>
      </c>
      <c r="J72"/>
      <c r="K72" s="436"/>
      <c r="L72" s="436"/>
      <c r="M72" s="436"/>
      <c r="N72" s="436"/>
      <c r="O72" s="436"/>
      <c r="P72" s="436"/>
      <c r="Q72" s="436"/>
      <c r="R72" s="436"/>
      <c r="S72" s="436"/>
      <c r="T72" s="292" t="str">
        <f t="shared" si="8"/>
        <v>トラック・バス</v>
      </c>
      <c r="U72" s="283" t="str">
        <f t="shared" si="9"/>
        <v>ガソリン</v>
      </c>
      <c r="V72" s="283" t="str">
        <f t="shared" si="10"/>
        <v>1.7～2.5 t</v>
      </c>
      <c r="W72" s="283" t="str">
        <f t="shared" si="11"/>
        <v>H17</v>
      </c>
      <c r="X72" s="284" t="str">
        <f t="shared" si="11"/>
        <v>CBF</v>
      </c>
      <c r="Y72" s="271" t="s">
        <v>2261</v>
      </c>
      <c r="Z72" s="283">
        <f t="shared" si="12"/>
        <v>3.5000000000000003E-2</v>
      </c>
      <c r="AA72" s="283">
        <f t="shared" si="12"/>
        <v>0</v>
      </c>
      <c r="AB72" s="340">
        <f t="shared" si="12"/>
        <v>2.3199999999999998</v>
      </c>
      <c r="AN72" s="47" t="s">
        <v>2110</v>
      </c>
    </row>
    <row r="73" spans="1:41">
      <c r="A73" t="str">
        <f t="shared" si="7"/>
        <v>貨2ガCLF</v>
      </c>
      <c r="B73" t="s">
        <v>2009</v>
      </c>
      <c r="C73" t="s">
        <v>1987</v>
      </c>
      <c r="D73" t="s">
        <v>1979</v>
      </c>
      <c r="E73" t="s">
        <v>2762</v>
      </c>
      <c r="F73">
        <v>3.5000000000000003E-2</v>
      </c>
      <c r="G73">
        <v>0</v>
      </c>
      <c r="H73">
        <v>2.3199999999999998</v>
      </c>
      <c r="I73" t="s">
        <v>1405</v>
      </c>
      <c r="J73"/>
      <c r="T73" s="292" t="str">
        <f t="shared" si="8"/>
        <v>トラック・バス</v>
      </c>
      <c r="U73" s="283" t="str">
        <f t="shared" si="9"/>
        <v>ガソリン</v>
      </c>
      <c r="V73" s="283" t="str">
        <f t="shared" si="10"/>
        <v>1.7～2.5 t</v>
      </c>
      <c r="W73" s="283" t="str">
        <f t="shared" si="11"/>
        <v>H17</v>
      </c>
      <c r="X73" s="284" t="str">
        <f t="shared" si="11"/>
        <v>CLF</v>
      </c>
      <c r="Y73" s="271" t="s">
        <v>2261</v>
      </c>
      <c r="Z73" s="283">
        <f t="shared" si="12"/>
        <v>3.5000000000000003E-2</v>
      </c>
      <c r="AA73" s="283">
        <f t="shared" si="12"/>
        <v>0</v>
      </c>
      <c r="AB73" s="340">
        <f t="shared" si="12"/>
        <v>2.3199999999999998</v>
      </c>
      <c r="AN73" s="47" t="s">
        <v>1984</v>
      </c>
    </row>
    <row r="74" spans="1:41">
      <c r="A74" t="str">
        <f t="shared" si="7"/>
        <v>貨2ガDAF</v>
      </c>
      <c r="B74" t="s">
        <v>2009</v>
      </c>
      <c r="C74" t="s">
        <v>1987</v>
      </c>
      <c r="D74" t="s">
        <v>1979</v>
      </c>
      <c r="E74" t="s">
        <v>1993</v>
      </c>
      <c r="F74">
        <v>1.7500000000000002E-2</v>
      </c>
      <c r="G74">
        <v>0</v>
      </c>
      <c r="H74">
        <v>2.3199999999999998</v>
      </c>
      <c r="I74" t="s">
        <v>239</v>
      </c>
      <c r="J74"/>
      <c r="T74" s="292" t="str">
        <f t="shared" si="8"/>
        <v>トラック・バス</v>
      </c>
      <c r="U74" s="283" t="str">
        <f t="shared" si="9"/>
        <v>ガソリン</v>
      </c>
      <c r="V74" s="283" t="str">
        <f t="shared" si="10"/>
        <v>1.7～2.5 t</v>
      </c>
      <c r="W74" s="283" t="str">
        <f t="shared" si="11"/>
        <v>H17</v>
      </c>
      <c r="X74" s="284" t="str">
        <f t="shared" si="11"/>
        <v>DAF</v>
      </c>
      <c r="Y74" s="271" t="s">
        <v>1770</v>
      </c>
      <c r="Z74" s="283">
        <f t="shared" si="12"/>
        <v>1.7500000000000002E-2</v>
      </c>
      <c r="AA74" s="283">
        <f t="shared" si="12"/>
        <v>0</v>
      </c>
      <c r="AB74" s="340">
        <f t="shared" si="12"/>
        <v>2.3199999999999998</v>
      </c>
      <c r="AN74" s="47" t="s">
        <v>1992</v>
      </c>
    </row>
    <row r="75" spans="1:41">
      <c r="A75" t="str">
        <f t="shared" si="7"/>
        <v>貨2ガDBF</v>
      </c>
      <c r="B75" t="s">
        <v>2009</v>
      </c>
      <c r="C75" t="s">
        <v>1987</v>
      </c>
      <c r="D75" t="s">
        <v>1979</v>
      </c>
      <c r="E75" t="s">
        <v>1994</v>
      </c>
      <c r="F75">
        <v>1.7500000000000002E-2</v>
      </c>
      <c r="G75">
        <v>0</v>
      </c>
      <c r="H75">
        <v>2.3199999999999998</v>
      </c>
      <c r="I75" t="s">
        <v>263</v>
      </c>
      <c r="J75"/>
      <c r="T75" s="292" t="str">
        <f t="shared" si="8"/>
        <v>トラック・バス</v>
      </c>
      <c r="U75" s="283" t="str">
        <f t="shared" si="9"/>
        <v>ガソリン</v>
      </c>
      <c r="V75" s="283" t="str">
        <f t="shared" si="10"/>
        <v>1.7～2.5 t</v>
      </c>
      <c r="W75" s="283" t="str">
        <f t="shared" si="11"/>
        <v>H17</v>
      </c>
      <c r="X75" s="284" t="str">
        <f t="shared" si="11"/>
        <v>DBF</v>
      </c>
      <c r="Y75" s="271" t="s">
        <v>1770</v>
      </c>
      <c r="Z75" s="283">
        <f t="shared" si="12"/>
        <v>1.7500000000000002E-2</v>
      </c>
      <c r="AA75" s="283">
        <f t="shared" si="12"/>
        <v>0</v>
      </c>
      <c r="AB75" s="340">
        <f t="shared" si="12"/>
        <v>2.3199999999999998</v>
      </c>
      <c r="AN75" s="47" t="s">
        <v>2117</v>
      </c>
    </row>
    <row r="76" spans="1:41">
      <c r="A76" t="str">
        <f t="shared" si="7"/>
        <v>貨2ガDLF</v>
      </c>
      <c r="B76" t="s">
        <v>2009</v>
      </c>
      <c r="C76" t="s">
        <v>1987</v>
      </c>
      <c r="D76" t="s">
        <v>1979</v>
      </c>
      <c r="E76" t="s">
        <v>2763</v>
      </c>
      <c r="F76">
        <v>1.7500000000000002E-2</v>
      </c>
      <c r="G76">
        <v>0</v>
      </c>
      <c r="H76">
        <v>2.3199999999999998</v>
      </c>
      <c r="I76" t="s">
        <v>1405</v>
      </c>
      <c r="J76"/>
      <c r="T76" s="292" t="str">
        <f t="shared" si="8"/>
        <v>トラック・バス</v>
      </c>
      <c r="U76" s="283" t="str">
        <f t="shared" si="9"/>
        <v>ガソリン</v>
      </c>
      <c r="V76" s="283" t="str">
        <f t="shared" si="10"/>
        <v>1.7～2.5 t</v>
      </c>
      <c r="W76" s="283" t="str">
        <f t="shared" si="11"/>
        <v>H17</v>
      </c>
      <c r="X76" s="284" t="str">
        <f t="shared" si="11"/>
        <v>DLF</v>
      </c>
      <c r="Y76" s="271" t="s">
        <v>1770</v>
      </c>
      <c r="Z76" s="283">
        <f t="shared" si="12"/>
        <v>1.7500000000000002E-2</v>
      </c>
      <c r="AA76" s="283">
        <f t="shared" si="12"/>
        <v>0</v>
      </c>
      <c r="AB76" s="340">
        <f t="shared" si="12"/>
        <v>2.3199999999999998</v>
      </c>
      <c r="AN76" s="47" t="s">
        <v>2118</v>
      </c>
    </row>
    <row r="77" spans="1:41">
      <c r="A77" t="str">
        <f>CONCATENATE(C77,E77)</f>
        <v>貨2ガLBF</v>
      </c>
      <c r="B77" t="s">
        <v>2009</v>
      </c>
      <c r="C77" t="s">
        <v>1987</v>
      </c>
      <c r="D77" t="s">
        <v>2382</v>
      </c>
      <c r="E77" t="s">
        <v>315</v>
      </c>
      <c r="F77">
        <v>7.0000000000000007E-2</v>
      </c>
      <c r="G77">
        <v>0</v>
      </c>
      <c r="H77">
        <v>2.3199999999999998</v>
      </c>
      <c r="I77" t="s">
        <v>232</v>
      </c>
      <c r="J77"/>
      <c r="T77" s="292" t="str">
        <f t="shared" si="8"/>
        <v>トラック・バス</v>
      </c>
      <c r="U77" s="283" t="str">
        <f t="shared" si="9"/>
        <v>ガソリン</v>
      </c>
      <c r="V77" s="283" t="str">
        <f t="shared" si="10"/>
        <v>1.7～2.5 t</v>
      </c>
      <c r="W77" s="283" t="str">
        <f t="shared" si="11"/>
        <v>H21</v>
      </c>
      <c r="X77" s="284" t="str">
        <f t="shared" si="11"/>
        <v>LBF</v>
      </c>
      <c r="Y77" s="271"/>
      <c r="Z77" s="283">
        <f t="shared" si="12"/>
        <v>7.0000000000000007E-2</v>
      </c>
      <c r="AA77" s="283">
        <f t="shared" si="12"/>
        <v>0</v>
      </c>
      <c r="AB77" s="340">
        <f t="shared" si="12"/>
        <v>2.3199999999999998</v>
      </c>
      <c r="AN77" s="47" t="s">
        <v>2039</v>
      </c>
    </row>
    <row r="78" spans="1:41">
      <c r="A78" t="str">
        <f>CONCATENATE(C78,E78)</f>
        <v>貨2ガLAF</v>
      </c>
      <c r="B78" t="s">
        <v>2009</v>
      </c>
      <c r="C78" t="s">
        <v>1987</v>
      </c>
      <c r="D78" t="s">
        <v>2382</v>
      </c>
      <c r="E78" t="s">
        <v>317</v>
      </c>
      <c r="F78">
        <v>3.5000000000000003E-2</v>
      </c>
      <c r="G78">
        <v>0</v>
      </c>
      <c r="H78">
        <v>2.3199999999999998</v>
      </c>
      <c r="I78" t="s">
        <v>239</v>
      </c>
      <c r="J78"/>
      <c r="T78" s="292" t="str">
        <f t="shared" si="8"/>
        <v>トラック・バス</v>
      </c>
      <c r="U78" s="283" t="str">
        <f t="shared" si="9"/>
        <v>ガソリン</v>
      </c>
      <c r="V78" s="283" t="str">
        <f t="shared" si="10"/>
        <v>1.7～2.5 t</v>
      </c>
      <c r="W78" s="283" t="str">
        <f t="shared" si="11"/>
        <v>H21</v>
      </c>
      <c r="X78" s="284" t="str">
        <f t="shared" si="11"/>
        <v>LAF</v>
      </c>
      <c r="Y78" s="271"/>
      <c r="Z78" s="283">
        <f t="shared" si="12"/>
        <v>3.5000000000000003E-2</v>
      </c>
      <c r="AA78" s="283">
        <f t="shared" si="12"/>
        <v>0</v>
      </c>
      <c r="AB78" s="340">
        <f t="shared" si="12"/>
        <v>2.3199999999999998</v>
      </c>
      <c r="AN78" s="47" t="s">
        <v>2049</v>
      </c>
    </row>
    <row r="79" spans="1:41">
      <c r="A79" t="str">
        <f t="shared" ref="A79:A88" si="13">CONCATENATE(C79,E79)</f>
        <v>貨2ガLLF</v>
      </c>
      <c r="B79" t="s">
        <v>2009</v>
      </c>
      <c r="C79" t="s">
        <v>1987</v>
      </c>
      <c r="D79" t="s">
        <v>2382</v>
      </c>
      <c r="E79" t="s">
        <v>2764</v>
      </c>
      <c r="F79">
        <v>1.7500000000000002E-2</v>
      </c>
      <c r="G79">
        <v>0</v>
      </c>
      <c r="H79">
        <v>2.3199999999999998</v>
      </c>
      <c r="I79" t="s">
        <v>2490</v>
      </c>
      <c r="J79"/>
      <c r="K79" s="275"/>
      <c r="T79" s="292" t="str">
        <f t="shared" si="8"/>
        <v>トラック・バス</v>
      </c>
      <c r="U79" s="283" t="str">
        <f t="shared" si="9"/>
        <v>ガソリン</v>
      </c>
      <c r="V79" s="283" t="str">
        <f t="shared" si="10"/>
        <v>1.7～2.5 t</v>
      </c>
      <c r="W79" s="283" t="str">
        <f t="shared" si="11"/>
        <v>H21</v>
      </c>
      <c r="X79" s="284" t="str">
        <f t="shared" si="11"/>
        <v>LLF</v>
      </c>
      <c r="Y79" s="271"/>
      <c r="Z79" s="283">
        <f t="shared" si="12"/>
        <v>1.7500000000000002E-2</v>
      </c>
      <c r="AA79" s="283">
        <f t="shared" si="12"/>
        <v>0</v>
      </c>
      <c r="AB79" s="340">
        <f t="shared" si="12"/>
        <v>2.3199999999999998</v>
      </c>
      <c r="AN79" s="47" t="s">
        <v>2119</v>
      </c>
    </row>
    <row r="80" spans="1:41">
      <c r="A80" t="str">
        <f t="shared" si="13"/>
        <v>貨2ガMBF</v>
      </c>
      <c r="B80" t="s">
        <v>2009</v>
      </c>
      <c r="C80" t="s">
        <v>1987</v>
      </c>
      <c r="D80" t="s">
        <v>2382</v>
      </c>
      <c r="E80" t="s">
        <v>319</v>
      </c>
      <c r="F80">
        <v>3.5000000000000003E-2</v>
      </c>
      <c r="G80">
        <v>0</v>
      </c>
      <c r="H80">
        <v>2.3199999999999998</v>
      </c>
      <c r="I80" t="s">
        <v>260</v>
      </c>
      <c r="J80"/>
      <c r="T80" s="292" t="str">
        <f t="shared" si="8"/>
        <v>トラック・バス</v>
      </c>
      <c r="U80" s="283" t="str">
        <f t="shared" si="9"/>
        <v>ガソリン</v>
      </c>
      <c r="V80" s="283" t="str">
        <f t="shared" si="10"/>
        <v>1.7～2.5 t</v>
      </c>
      <c r="W80" s="283" t="str">
        <f t="shared" si="11"/>
        <v>H21</v>
      </c>
      <c r="X80" s="284" t="str">
        <f t="shared" si="11"/>
        <v>MBF</v>
      </c>
      <c r="Y80" s="271" t="s">
        <v>1769</v>
      </c>
      <c r="Z80" s="283">
        <f t="shared" si="12"/>
        <v>3.5000000000000003E-2</v>
      </c>
      <c r="AA80" s="283">
        <f t="shared" si="12"/>
        <v>0</v>
      </c>
      <c r="AB80" s="340">
        <f t="shared" si="12"/>
        <v>2.3199999999999998</v>
      </c>
      <c r="AN80" s="47" t="s">
        <v>2120</v>
      </c>
    </row>
    <row r="81" spans="1:41">
      <c r="A81" t="str">
        <f t="shared" si="13"/>
        <v>貨2ガMAF</v>
      </c>
      <c r="B81" t="s">
        <v>2009</v>
      </c>
      <c r="C81" t="s">
        <v>1987</v>
      </c>
      <c r="D81" t="s">
        <v>2382</v>
      </c>
      <c r="E81" t="s">
        <v>321</v>
      </c>
      <c r="F81">
        <v>3.5000000000000003E-2</v>
      </c>
      <c r="G81">
        <v>0</v>
      </c>
      <c r="H81">
        <v>2.3199999999999998</v>
      </c>
      <c r="I81" t="s">
        <v>239</v>
      </c>
      <c r="J81"/>
      <c r="T81" s="292" t="str">
        <f t="shared" si="8"/>
        <v>トラック・バス</v>
      </c>
      <c r="U81" s="283" t="str">
        <f t="shared" si="9"/>
        <v>ガソリン</v>
      </c>
      <c r="V81" s="283" t="str">
        <f t="shared" si="10"/>
        <v>1.7～2.5 t</v>
      </c>
      <c r="W81" s="283" t="str">
        <f t="shared" si="11"/>
        <v>H21</v>
      </c>
      <c r="X81" s="284" t="str">
        <f t="shared" si="11"/>
        <v>MAF</v>
      </c>
      <c r="Y81" s="271" t="s">
        <v>1769</v>
      </c>
      <c r="Z81" s="283">
        <f t="shared" si="12"/>
        <v>3.5000000000000003E-2</v>
      </c>
      <c r="AA81" s="283">
        <f t="shared" si="12"/>
        <v>0</v>
      </c>
      <c r="AB81" s="340">
        <f t="shared" si="12"/>
        <v>2.3199999999999998</v>
      </c>
      <c r="AN81" s="47" t="s">
        <v>2040</v>
      </c>
    </row>
    <row r="82" spans="1:41">
      <c r="A82" t="str">
        <f t="shared" si="13"/>
        <v>貨2ガMLF</v>
      </c>
      <c r="B82" t="s">
        <v>2009</v>
      </c>
      <c r="C82" t="s">
        <v>1987</v>
      </c>
      <c r="D82" t="s">
        <v>2382</v>
      </c>
      <c r="E82" t="s">
        <v>2765</v>
      </c>
      <c r="F82">
        <v>3.5000000000000003E-2</v>
      </c>
      <c r="G82">
        <v>0</v>
      </c>
      <c r="H82">
        <v>2.3199999999999998</v>
      </c>
      <c r="I82" t="s">
        <v>2490</v>
      </c>
      <c r="J82"/>
      <c r="T82" s="292" t="str">
        <f t="shared" si="8"/>
        <v>トラック・バス</v>
      </c>
      <c r="U82" s="283" t="str">
        <f t="shared" si="9"/>
        <v>ガソリン</v>
      </c>
      <c r="V82" s="283" t="str">
        <f t="shared" si="10"/>
        <v>1.7～2.5 t</v>
      </c>
      <c r="W82" s="283" t="str">
        <f t="shared" si="11"/>
        <v>H21</v>
      </c>
      <c r="X82" s="284" t="str">
        <f t="shared" si="11"/>
        <v>MLF</v>
      </c>
      <c r="Y82" s="271" t="s">
        <v>1769</v>
      </c>
      <c r="Z82" s="283">
        <f t="shared" si="12"/>
        <v>3.5000000000000003E-2</v>
      </c>
      <c r="AA82" s="283">
        <f t="shared" si="12"/>
        <v>0</v>
      </c>
      <c r="AB82" s="340">
        <f t="shared" si="12"/>
        <v>2.3199999999999998</v>
      </c>
      <c r="AN82" s="47" t="s">
        <v>2050</v>
      </c>
    </row>
    <row r="83" spans="1:41">
      <c r="A83" t="str">
        <f t="shared" si="13"/>
        <v>貨2ガRBF</v>
      </c>
      <c r="B83" t="s">
        <v>2009</v>
      </c>
      <c r="C83" t="s">
        <v>1987</v>
      </c>
      <c r="D83" t="s">
        <v>2382</v>
      </c>
      <c r="E83" t="s">
        <v>323</v>
      </c>
      <c r="F83">
        <v>1.7500000000000002E-2</v>
      </c>
      <c r="G83">
        <v>0</v>
      </c>
      <c r="H83">
        <v>2.3199999999999998</v>
      </c>
      <c r="I83" t="s">
        <v>263</v>
      </c>
      <c r="J83"/>
      <c r="T83" s="292" t="str">
        <f t="shared" si="8"/>
        <v>トラック・バス</v>
      </c>
      <c r="U83" s="283" t="str">
        <f t="shared" si="9"/>
        <v>ガソリン</v>
      </c>
      <c r="V83" s="283" t="str">
        <f t="shared" si="10"/>
        <v>1.7～2.5 t</v>
      </c>
      <c r="W83" s="283" t="str">
        <f t="shared" si="11"/>
        <v>H21</v>
      </c>
      <c r="X83" s="284" t="str">
        <f t="shared" si="11"/>
        <v>RBF</v>
      </c>
      <c r="Y83" s="271" t="s">
        <v>2262</v>
      </c>
      <c r="Z83" s="283">
        <f t="shared" si="12"/>
        <v>1.7500000000000002E-2</v>
      </c>
      <c r="AA83" s="283">
        <f t="shared" si="12"/>
        <v>0</v>
      </c>
      <c r="AB83" s="340">
        <f t="shared" si="12"/>
        <v>2.3199999999999998</v>
      </c>
      <c r="AN83" s="47" t="s">
        <v>2126</v>
      </c>
    </row>
    <row r="84" spans="1:41">
      <c r="A84" t="str">
        <f t="shared" si="13"/>
        <v>貨2ガRAF</v>
      </c>
      <c r="B84" t="s">
        <v>2009</v>
      </c>
      <c r="C84" t="s">
        <v>1987</v>
      </c>
      <c r="D84" t="s">
        <v>2382</v>
      </c>
      <c r="E84" t="s">
        <v>325</v>
      </c>
      <c r="F84">
        <v>1.7500000000000002E-2</v>
      </c>
      <c r="G84">
        <v>0</v>
      </c>
      <c r="H84">
        <v>2.3199999999999998</v>
      </c>
      <c r="I84" t="s">
        <v>239</v>
      </c>
      <c r="J84"/>
      <c r="T84" s="292" t="str">
        <f t="shared" si="8"/>
        <v>トラック・バス</v>
      </c>
      <c r="U84" s="283" t="str">
        <f t="shared" si="9"/>
        <v>ガソリン</v>
      </c>
      <c r="V84" s="283" t="str">
        <f t="shared" si="10"/>
        <v>1.7～2.5 t</v>
      </c>
      <c r="W84" s="283" t="str">
        <f t="shared" si="11"/>
        <v>H21</v>
      </c>
      <c r="X84" s="284" t="str">
        <f t="shared" si="11"/>
        <v>RAF</v>
      </c>
      <c r="Y84" s="271" t="s">
        <v>2262</v>
      </c>
      <c r="Z84" s="283">
        <f t="shared" si="12"/>
        <v>1.7500000000000002E-2</v>
      </c>
      <c r="AA84" s="283">
        <f t="shared" si="12"/>
        <v>0</v>
      </c>
      <c r="AB84" s="340">
        <f t="shared" si="12"/>
        <v>2.3199999999999998</v>
      </c>
      <c r="AN84" s="47" t="s">
        <v>2077</v>
      </c>
    </row>
    <row r="85" spans="1:41">
      <c r="A85" t="str">
        <f t="shared" si="13"/>
        <v>貨2ガRLF</v>
      </c>
      <c r="B85" t="s">
        <v>2009</v>
      </c>
      <c r="C85" t="s">
        <v>1987</v>
      </c>
      <c r="D85" t="s">
        <v>2382</v>
      </c>
      <c r="E85" t="s">
        <v>2766</v>
      </c>
      <c r="F85">
        <v>1.7500000000000002E-2</v>
      </c>
      <c r="G85">
        <v>0</v>
      </c>
      <c r="H85">
        <v>2.3199999999999998</v>
      </c>
      <c r="I85" t="s">
        <v>2490</v>
      </c>
      <c r="J85"/>
      <c r="T85" s="292" t="str">
        <f t="shared" si="8"/>
        <v>トラック・バス</v>
      </c>
      <c r="U85" s="283" t="str">
        <f t="shared" si="9"/>
        <v>ガソリン</v>
      </c>
      <c r="V85" s="283" t="str">
        <f t="shared" si="10"/>
        <v>1.7～2.5 t</v>
      </c>
      <c r="W85" s="283" t="str">
        <f t="shared" si="11"/>
        <v>H21</v>
      </c>
      <c r="X85" s="284" t="str">
        <f t="shared" si="11"/>
        <v>RLF</v>
      </c>
      <c r="Y85" s="271" t="s">
        <v>2262</v>
      </c>
      <c r="Z85" s="283">
        <f t="shared" si="12"/>
        <v>1.7500000000000002E-2</v>
      </c>
      <c r="AA85" s="283">
        <f t="shared" si="12"/>
        <v>0</v>
      </c>
      <c r="AB85" s="340">
        <f t="shared" si="12"/>
        <v>2.3199999999999998</v>
      </c>
      <c r="AN85" s="47" t="s">
        <v>2086</v>
      </c>
    </row>
    <row r="86" spans="1:41">
      <c r="A86" t="str">
        <f t="shared" si="13"/>
        <v>貨2ガQBF</v>
      </c>
      <c r="B86" t="s">
        <v>2009</v>
      </c>
      <c r="C86" t="s">
        <v>1987</v>
      </c>
      <c r="D86" t="s">
        <v>2382</v>
      </c>
      <c r="E86" t="s">
        <v>327</v>
      </c>
      <c r="F86">
        <v>6.3E-2</v>
      </c>
      <c r="G86">
        <v>0</v>
      </c>
      <c r="H86">
        <v>2.3199999999999998</v>
      </c>
      <c r="I86" t="s">
        <v>232</v>
      </c>
      <c r="J86"/>
      <c r="T86" s="292" t="str">
        <f t="shared" si="8"/>
        <v>トラック・バス</v>
      </c>
      <c r="U86" s="283" t="str">
        <f t="shared" si="9"/>
        <v>ガソリン</v>
      </c>
      <c r="V86" s="283" t="str">
        <f t="shared" si="10"/>
        <v>1.7～2.5 t</v>
      </c>
      <c r="W86" s="283" t="str">
        <f t="shared" si="11"/>
        <v>H21</v>
      </c>
      <c r="X86" s="284" t="str">
        <f t="shared" si="11"/>
        <v>QBF</v>
      </c>
      <c r="Y86" s="271" t="s">
        <v>1762</v>
      </c>
      <c r="Z86" s="283">
        <f t="shared" si="12"/>
        <v>6.3E-2</v>
      </c>
      <c r="AA86" s="283">
        <f t="shared" si="12"/>
        <v>0</v>
      </c>
      <c r="AB86" s="340">
        <f t="shared" si="12"/>
        <v>2.3199999999999998</v>
      </c>
      <c r="AN86" s="47" t="s">
        <v>2127</v>
      </c>
    </row>
    <row r="87" spans="1:41">
      <c r="A87" t="str">
        <f t="shared" si="13"/>
        <v>貨2ガQAF</v>
      </c>
      <c r="B87" t="s">
        <v>2009</v>
      </c>
      <c r="C87" t="s">
        <v>1987</v>
      </c>
      <c r="D87" t="s">
        <v>2382</v>
      </c>
      <c r="E87" t="s">
        <v>329</v>
      </c>
      <c r="F87">
        <v>6.3E-2</v>
      </c>
      <c r="G87">
        <v>0</v>
      </c>
      <c r="H87">
        <v>2.3199999999999998</v>
      </c>
      <c r="I87" t="s">
        <v>239</v>
      </c>
      <c r="J87"/>
      <c r="T87" s="292" t="str">
        <f t="shared" si="8"/>
        <v>トラック・バス</v>
      </c>
      <c r="U87" s="283" t="str">
        <f t="shared" si="9"/>
        <v>ガソリン</v>
      </c>
      <c r="V87" s="283" t="str">
        <f t="shared" si="10"/>
        <v>1.7～2.5 t</v>
      </c>
      <c r="W87" s="283" t="str">
        <f t="shared" si="11"/>
        <v>H21</v>
      </c>
      <c r="X87" s="284" t="str">
        <f t="shared" si="11"/>
        <v>QAF</v>
      </c>
      <c r="Y87" s="271" t="s">
        <v>1762</v>
      </c>
      <c r="Z87" s="283">
        <f t="shared" si="12"/>
        <v>6.3E-2</v>
      </c>
      <c r="AA87" s="283">
        <f t="shared" si="12"/>
        <v>0</v>
      </c>
      <c r="AB87" s="340">
        <f t="shared" si="12"/>
        <v>2.3199999999999998</v>
      </c>
      <c r="AN87" s="266" t="s">
        <v>2078</v>
      </c>
    </row>
    <row r="88" spans="1:41">
      <c r="A88" t="str">
        <f t="shared" si="13"/>
        <v>貨2ガQLF</v>
      </c>
      <c r="B88" t="s">
        <v>2009</v>
      </c>
      <c r="C88" t="s">
        <v>1987</v>
      </c>
      <c r="D88" t="s">
        <v>2382</v>
      </c>
      <c r="E88" t="s">
        <v>2767</v>
      </c>
      <c r="F88">
        <v>6.3E-2</v>
      </c>
      <c r="G88">
        <v>0</v>
      </c>
      <c r="H88">
        <v>2.3199999999999998</v>
      </c>
      <c r="I88" t="s">
        <v>2490</v>
      </c>
      <c r="J88"/>
      <c r="T88" s="292" t="str">
        <f t="shared" si="8"/>
        <v>トラック・バス</v>
      </c>
      <c r="U88" s="283" t="str">
        <f t="shared" si="9"/>
        <v>ガソリン</v>
      </c>
      <c r="V88" s="283" t="str">
        <f t="shared" si="10"/>
        <v>1.7～2.5 t</v>
      </c>
      <c r="W88" s="283" t="str">
        <f t="shared" si="11"/>
        <v>H21</v>
      </c>
      <c r="X88" s="284" t="str">
        <f t="shared" si="11"/>
        <v>QLF</v>
      </c>
      <c r="Y88" s="271" t="s">
        <v>1762</v>
      </c>
      <c r="Z88" s="283">
        <f t="shared" si="12"/>
        <v>6.3E-2</v>
      </c>
      <c r="AA88" s="283">
        <f t="shared" si="12"/>
        <v>0</v>
      </c>
      <c r="AB88" s="340">
        <f t="shared" si="12"/>
        <v>2.3199999999999998</v>
      </c>
      <c r="AN88" s="47" t="s">
        <v>2087</v>
      </c>
    </row>
    <row r="89" spans="1:41">
      <c r="A89" t="str">
        <f>CONCATENATE(C89,E89)</f>
        <v>貨2ガ3BF</v>
      </c>
      <c r="B89" t="s">
        <v>2009</v>
      </c>
      <c r="C89" t="s">
        <v>1987</v>
      </c>
      <c r="D89" t="s">
        <v>2744</v>
      </c>
      <c r="E89" t="s">
        <v>2768</v>
      </c>
      <c r="F89">
        <v>7.0000000000000007E-2</v>
      </c>
      <c r="G89">
        <v>0</v>
      </c>
      <c r="H89">
        <v>2.3199999999999998</v>
      </c>
      <c r="I89" t="s">
        <v>232</v>
      </c>
      <c r="J89"/>
      <c r="T89" s="292" t="str">
        <f t="shared" si="8"/>
        <v>トラック・バス</v>
      </c>
      <c r="U89" s="283" t="str">
        <f t="shared" si="9"/>
        <v>ガソリン</v>
      </c>
      <c r="V89" s="283" t="str">
        <f t="shared" si="10"/>
        <v>1.7～2.5 t</v>
      </c>
      <c r="W89" s="283" t="str">
        <f t="shared" si="11"/>
        <v>H30</v>
      </c>
      <c r="X89" s="284" t="str">
        <f t="shared" si="11"/>
        <v>3BF</v>
      </c>
      <c r="Y89" s="271"/>
      <c r="Z89" s="283">
        <f t="shared" si="12"/>
        <v>7.0000000000000007E-2</v>
      </c>
      <c r="AA89" s="283">
        <f t="shared" si="12"/>
        <v>0</v>
      </c>
      <c r="AB89" s="340">
        <f t="shared" si="12"/>
        <v>2.3199999999999998</v>
      </c>
      <c r="AD89" s="266"/>
      <c r="AE89" s="266"/>
      <c r="AF89" s="266"/>
      <c r="AG89" s="266"/>
      <c r="AH89" s="266"/>
      <c r="AI89" s="266"/>
      <c r="AN89" s="47" t="s">
        <v>1914</v>
      </c>
    </row>
    <row r="90" spans="1:41">
      <c r="A90" t="str">
        <f>CONCATENATE(C90,E90)</f>
        <v>貨2ガ3AF</v>
      </c>
      <c r="B90" t="s">
        <v>2009</v>
      </c>
      <c r="C90" t="s">
        <v>1987</v>
      </c>
      <c r="D90" t="s">
        <v>2744</v>
      </c>
      <c r="E90" t="s">
        <v>2769</v>
      </c>
      <c r="F90">
        <v>3.5000000000000003E-2</v>
      </c>
      <c r="G90">
        <v>0</v>
      </c>
      <c r="H90">
        <v>2.3199999999999998</v>
      </c>
      <c r="I90" t="s">
        <v>239</v>
      </c>
      <c r="J90"/>
      <c r="T90" s="292" t="str">
        <f t="shared" si="8"/>
        <v>トラック・バス</v>
      </c>
      <c r="U90" s="283" t="str">
        <f t="shared" si="9"/>
        <v>ガソリン</v>
      </c>
      <c r="V90" s="283" t="str">
        <f t="shared" si="10"/>
        <v>1.7～2.5 t</v>
      </c>
      <c r="W90" s="283" t="str">
        <f t="shared" si="11"/>
        <v>H30</v>
      </c>
      <c r="X90" s="284" t="str">
        <f t="shared" si="11"/>
        <v>3AF</v>
      </c>
      <c r="Y90" s="271"/>
      <c r="Z90" s="283">
        <f t="shared" si="12"/>
        <v>3.5000000000000003E-2</v>
      </c>
      <c r="AA90" s="283">
        <f t="shared" si="12"/>
        <v>0</v>
      </c>
      <c r="AB90" s="340">
        <f t="shared" si="12"/>
        <v>2.3199999999999998</v>
      </c>
      <c r="AD90" s="266"/>
      <c r="AE90" s="266"/>
      <c r="AF90" s="266"/>
      <c r="AG90" s="266"/>
      <c r="AH90" s="266"/>
      <c r="AI90" s="266"/>
      <c r="AN90" s="266" t="s">
        <v>1915</v>
      </c>
    </row>
    <row r="91" spans="1:41" s="266" customFormat="1">
      <c r="A91" t="str">
        <f t="shared" ref="A91:A154" si="14">CONCATENATE(C91,E91)</f>
        <v>貨2ガ3LF</v>
      </c>
      <c r="B91" t="s">
        <v>2009</v>
      </c>
      <c r="C91" t="s">
        <v>1987</v>
      </c>
      <c r="D91" t="s">
        <v>2748</v>
      </c>
      <c r="E91" t="s">
        <v>2770</v>
      </c>
      <c r="F91">
        <v>1.7500000000000002E-2</v>
      </c>
      <c r="G91">
        <v>0</v>
      </c>
      <c r="H91">
        <v>2.3199999999999998</v>
      </c>
      <c r="I91" t="s">
        <v>2490</v>
      </c>
      <c r="J91"/>
      <c r="K91" s="47"/>
      <c r="L91" s="47"/>
      <c r="M91" s="47"/>
      <c r="N91" s="47"/>
      <c r="O91" s="47"/>
      <c r="P91" s="47"/>
      <c r="Q91" s="47"/>
      <c r="R91" s="47"/>
      <c r="S91" s="47"/>
      <c r="T91" s="292" t="str">
        <f t="shared" si="8"/>
        <v>トラック・バス</v>
      </c>
      <c r="U91" s="283" t="str">
        <f t="shared" si="9"/>
        <v>ガソリン</v>
      </c>
      <c r="V91" s="283" t="str">
        <f t="shared" si="10"/>
        <v>1.7～2.5 t</v>
      </c>
      <c r="W91" s="283" t="str">
        <f t="shared" si="11"/>
        <v>H30</v>
      </c>
      <c r="X91" s="284" t="str">
        <f t="shared" si="11"/>
        <v>3LF</v>
      </c>
      <c r="Y91" s="271"/>
      <c r="Z91" s="283">
        <f t="shared" si="12"/>
        <v>1.7500000000000002E-2</v>
      </c>
      <c r="AA91" s="283">
        <f t="shared" si="12"/>
        <v>0</v>
      </c>
      <c r="AB91" s="340">
        <f t="shared" si="12"/>
        <v>2.3199999999999998</v>
      </c>
      <c r="AD91" s="436"/>
      <c r="AE91" s="436"/>
      <c r="AF91" s="436"/>
      <c r="AG91" s="436"/>
      <c r="AH91" s="436"/>
      <c r="AI91" s="436"/>
      <c r="AN91" s="266" t="s">
        <v>1916</v>
      </c>
      <c r="AO91" s="47"/>
    </row>
    <row r="92" spans="1:41" s="266" customFormat="1">
      <c r="A92" t="str">
        <f t="shared" si="14"/>
        <v>貨2ガ4BF</v>
      </c>
      <c r="B92" t="s">
        <v>2009</v>
      </c>
      <c r="C92" t="s">
        <v>1987</v>
      </c>
      <c r="D92" t="s">
        <v>2748</v>
      </c>
      <c r="E92" t="s">
        <v>2771</v>
      </c>
      <c r="F92">
        <v>5.2500000000000005E-2</v>
      </c>
      <c r="G92">
        <v>0</v>
      </c>
      <c r="H92">
        <v>2.3199999999999998</v>
      </c>
      <c r="I92" t="s">
        <v>232</v>
      </c>
      <c r="J92"/>
      <c r="K92" s="47"/>
      <c r="L92" s="47"/>
      <c r="M92" s="47"/>
      <c r="N92" s="47"/>
      <c r="O92" s="47"/>
      <c r="P92" s="47"/>
      <c r="Q92" s="47"/>
      <c r="R92" s="47"/>
      <c r="S92" s="47"/>
      <c r="T92" s="292" t="str">
        <f t="shared" si="8"/>
        <v>トラック・バス</v>
      </c>
      <c r="U92" s="283" t="str">
        <f t="shared" si="9"/>
        <v>ガソリン</v>
      </c>
      <c r="V92" s="283" t="str">
        <f t="shared" si="10"/>
        <v>1.7～2.5 t</v>
      </c>
      <c r="W92" s="283" t="str">
        <f t="shared" si="11"/>
        <v>H30</v>
      </c>
      <c r="X92" s="284" t="str">
        <f t="shared" si="11"/>
        <v>4BF</v>
      </c>
      <c r="Y92" s="271" t="s">
        <v>1769</v>
      </c>
      <c r="Z92" s="283">
        <f t="shared" si="12"/>
        <v>5.2500000000000005E-2</v>
      </c>
      <c r="AA92" s="283">
        <f t="shared" si="12"/>
        <v>0</v>
      </c>
      <c r="AB92" s="340">
        <f t="shared" si="12"/>
        <v>2.3199999999999998</v>
      </c>
      <c r="AD92" s="436"/>
      <c r="AE92" s="436"/>
      <c r="AF92" s="436"/>
      <c r="AG92" s="436"/>
      <c r="AH92" s="436"/>
      <c r="AI92" s="436"/>
      <c r="AN92" s="47" t="s">
        <v>1918</v>
      </c>
      <c r="AO92" s="47"/>
    </row>
    <row r="93" spans="1:41" s="436" customFormat="1">
      <c r="A93" t="str">
        <f t="shared" si="14"/>
        <v>貨2ガ4AF</v>
      </c>
      <c r="B93" t="s">
        <v>2009</v>
      </c>
      <c r="C93" t="s">
        <v>1987</v>
      </c>
      <c r="D93" t="s">
        <v>2748</v>
      </c>
      <c r="E93" t="s">
        <v>2772</v>
      </c>
      <c r="F93">
        <v>5.2499999999999998E-2</v>
      </c>
      <c r="G93">
        <v>0</v>
      </c>
      <c r="H93">
        <v>2.3199999999999998</v>
      </c>
      <c r="I93" t="s">
        <v>239</v>
      </c>
      <c r="J93"/>
      <c r="K93" s="47"/>
      <c r="L93" s="47"/>
      <c r="M93" s="47"/>
      <c r="N93" s="47"/>
      <c r="O93" s="47"/>
      <c r="P93" s="47"/>
      <c r="Q93" s="47"/>
      <c r="R93" s="47"/>
      <c r="S93" s="47"/>
      <c r="T93" s="292" t="str">
        <f t="shared" si="8"/>
        <v>トラック・バス</v>
      </c>
      <c r="U93" s="283" t="str">
        <f t="shared" si="9"/>
        <v>ガソリン</v>
      </c>
      <c r="V93" s="283" t="str">
        <f t="shared" si="10"/>
        <v>1.7～2.5 t</v>
      </c>
      <c r="W93" s="283" t="str">
        <f t="shared" si="11"/>
        <v>H30</v>
      </c>
      <c r="X93" s="284" t="str">
        <f t="shared" si="11"/>
        <v>4AF</v>
      </c>
      <c r="Y93" s="271" t="s">
        <v>1769</v>
      </c>
      <c r="Z93" s="283">
        <f t="shared" si="12"/>
        <v>5.2499999999999998E-2</v>
      </c>
      <c r="AA93" s="283">
        <f t="shared" si="12"/>
        <v>0</v>
      </c>
      <c r="AB93" s="340">
        <f t="shared" si="12"/>
        <v>2.3199999999999998</v>
      </c>
      <c r="AN93" s="266" t="s">
        <v>1919</v>
      </c>
      <c r="AO93" s="47"/>
    </row>
    <row r="94" spans="1:41" s="436" customFormat="1">
      <c r="A94" t="str">
        <f t="shared" si="14"/>
        <v>貨2ガ4LF</v>
      </c>
      <c r="B94" t="s">
        <v>2009</v>
      </c>
      <c r="C94" t="s">
        <v>1987</v>
      </c>
      <c r="D94" t="s">
        <v>2748</v>
      </c>
      <c r="E94" t="s">
        <v>2773</v>
      </c>
      <c r="F94">
        <v>5.2499999999999998E-2</v>
      </c>
      <c r="G94">
        <v>0</v>
      </c>
      <c r="H94">
        <v>2.3199999999999998</v>
      </c>
      <c r="I94" t="s">
        <v>1405</v>
      </c>
      <c r="J94"/>
      <c r="K94" s="47"/>
      <c r="L94" s="47"/>
      <c r="M94" s="47"/>
      <c r="N94" s="47"/>
      <c r="O94" s="47"/>
      <c r="P94" s="47"/>
      <c r="Q94" s="47"/>
      <c r="R94" s="47"/>
      <c r="S94" s="47"/>
      <c r="T94" s="292" t="str">
        <f t="shared" si="8"/>
        <v>トラック・バス</v>
      </c>
      <c r="U94" s="283" t="str">
        <f t="shared" si="9"/>
        <v>ガソリン</v>
      </c>
      <c r="V94" s="283" t="str">
        <f t="shared" si="10"/>
        <v>1.7～2.5 t</v>
      </c>
      <c r="W94" s="283" t="str">
        <f t="shared" si="11"/>
        <v>H30</v>
      </c>
      <c r="X94" s="284" t="str">
        <f t="shared" si="11"/>
        <v>4LF</v>
      </c>
      <c r="Y94" s="271" t="s">
        <v>1769</v>
      </c>
      <c r="Z94" s="283">
        <f t="shared" si="12"/>
        <v>5.2499999999999998E-2</v>
      </c>
      <c r="AA94" s="283">
        <f t="shared" si="12"/>
        <v>0</v>
      </c>
      <c r="AB94" s="340">
        <f t="shared" si="12"/>
        <v>2.3199999999999998</v>
      </c>
      <c r="AN94" s="47" t="s">
        <v>1920</v>
      </c>
      <c r="AO94" s="47"/>
    </row>
    <row r="95" spans="1:41" s="436" customFormat="1">
      <c r="A95" t="str">
        <f t="shared" si="14"/>
        <v>貨2ガ5BF</v>
      </c>
      <c r="B95" t="s">
        <v>2009</v>
      </c>
      <c r="C95" t="s">
        <v>1987</v>
      </c>
      <c r="D95" t="s">
        <v>2748</v>
      </c>
      <c r="E95" t="s">
        <v>2774</v>
      </c>
      <c r="F95">
        <v>3.5000000000000003E-2</v>
      </c>
      <c r="G95">
        <v>0</v>
      </c>
      <c r="H95">
        <v>2.3199999999999998</v>
      </c>
      <c r="I95" t="s">
        <v>2200</v>
      </c>
      <c r="J95"/>
      <c r="K95" s="47"/>
      <c r="L95" s="47"/>
      <c r="M95" s="47"/>
      <c r="N95" s="47"/>
      <c r="O95" s="47"/>
      <c r="P95" s="47"/>
      <c r="Q95" s="47"/>
      <c r="R95" s="47"/>
      <c r="S95" s="47"/>
      <c r="T95" s="292" t="str">
        <f t="shared" si="8"/>
        <v>トラック・バス</v>
      </c>
      <c r="U95" s="283" t="str">
        <f t="shared" si="9"/>
        <v>ガソリン</v>
      </c>
      <c r="V95" s="283" t="str">
        <f t="shared" si="10"/>
        <v>1.7～2.5 t</v>
      </c>
      <c r="W95" s="283" t="str">
        <f t="shared" si="11"/>
        <v>H30</v>
      </c>
      <c r="X95" s="284" t="str">
        <f t="shared" si="11"/>
        <v>5BF</v>
      </c>
      <c r="Y95" s="271" t="s">
        <v>2262</v>
      </c>
      <c r="Z95" s="283">
        <f t="shared" si="12"/>
        <v>3.5000000000000003E-2</v>
      </c>
      <c r="AA95" s="283">
        <f t="shared" si="12"/>
        <v>0</v>
      </c>
      <c r="AB95" s="340">
        <f t="shared" si="12"/>
        <v>2.3199999999999998</v>
      </c>
      <c r="AN95" s="47" t="s">
        <v>1410</v>
      </c>
      <c r="AO95" s="47"/>
    </row>
    <row r="96" spans="1:41" s="436" customFormat="1">
      <c r="A96" t="str">
        <f t="shared" si="14"/>
        <v>貨2ガ5AF</v>
      </c>
      <c r="B96" t="s">
        <v>2009</v>
      </c>
      <c r="C96" t="s">
        <v>1987</v>
      </c>
      <c r="D96" t="s">
        <v>2748</v>
      </c>
      <c r="E96" t="s">
        <v>2775</v>
      </c>
      <c r="F96">
        <v>3.5000000000000003E-2</v>
      </c>
      <c r="G96">
        <v>0</v>
      </c>
      <c r="H96">
        <v>2.3199999999999998</v>
      </c>
      <c r="I96" t="s">
        <v>239</v>
      </c>
      <c r="J96"/>
      <c r="K96" s="47"/>
      <c r="L96" s="47"/>
      <c r="M96" s="47"/>
      <c r="N96" s="47"/>
      <c r="O96" s="47"/>
      <c r="P96" s="47"/>
      <c r="Q96" s="47"/>
      <c r="R96" s="47"/>
      <c r="S96" s="47"/>
      <c r="T96" s="292" t="str">
        <f t="shared" si="8"/>
        <v>トラック・バス</v>
      </c>
      <c r="U96" s="283" t="str">
        <f t="shared" si="9"/>
        <v>ガソリン</v>
      </c>
      <c r="V96" s="283" t="str">
        <f t="shared" si="10"/>
        <v>1.7～2.5 t</v>
      </c>
      <c r="W96" s="283" t="str">
        <f t="shared" si="11"/>
        <v>H30</v>
      </c>
      <c r="X96" s="284" t="str">
        <f t="shared" si="11"/>
        <v>5AF</v>
      </c>
      <c r="Y96" s="271" t="s">
        <v>2262</v>
      </c>
      <c r="Z96" s="283">
        <f t="shared" si="12"/>
        <v>3.5000000000000003E-2</v>
      </c>
      <c r="AA96" s="283">
        <f t="shared" si="12"/>
        <v>0</v>
      </c>
      <c r="AB96" s="340">
        <f t="shared" si="12"/>
        <v>2.3199999999999998</v>
      </c>
      <c r="AN96" s="47" t="s">
        <v>2515</v>
      </c>
      <c r="AO96" s="47"/>
    </row>
    <row r="97" spans="1:41" s="436" customFormat="1">
      <c r="A97" t="str">
        <f t="shared" si="14"/>
        <v>貨2ガ5LF</v>
      </c>
      <c r="B97" t="s">
        <v>2009</v>
      </c>
      <c r="C97" t="s">
        <v>1987</v>
      </c>
      <c r="D97" t="s">
        <v>2748</v>
      </c>
      <c r="E97" t="s">
        <v>2776</v>
      </c>
      <c r="F97">
        <v>3.5000000000000003E-2</v>
      </c>
      <c r="G97">
        <v>0</v>
      </c>
      <c r="H97">
        <v>2.3199999999999998</v>
      </c>
      <c r="I97" t="s">
        <v>1405</v>
      </c>
      <c r="J97"/>
      <c r="K97" s="47"/>
      <c r="L97" s="47"/>
      <c r="M97" s="47"/>
      <c r="N97" s="47"/>
      <c r="O97" s="47"/>
      <c r="P97" s="47"/>
      <c r="Q97" s="47"/>
      <c r="R97" s="47"/>
      <c r="S97" s="47"/>
      <c r="T97" s="292" t="str">
        <f t="shared" si="8"/>
        <v>トラック・バス</v>
      </c>
      <c r="U97" s="283" t="str">
        <f t="shared" si="9"/>
        <v>ガソリン</v>
      </c>
      <c r="V97" s="283" t="str">
        <f t="shared" si="10"/>
        <v>1.7～2.5 t</v>
      </c>
      <c r="W97" s="283" t="str">
        <f t="shared" si="11"/>
        <v>H30</v>
      </c>
      <c r="X97" s="284" t="str">
        <f t="shared" si="11"/>
        <v>5LF</v>
      </c>
      <c r="Y97" s="271" t="s">
        <v>2262</v>
      </c>
      <c r="Z97" s="283">
        <f t="shared" si="12"/>
        <v>3.5000000000000003E-2</v>
      </c>
      <c r="AA97" s="283">
        <f t="shared" si="12"/>
        <v>0</v>
      </c>
      <c r="AB97" s="340">
        <f t="shared" si="12"/>
        <v>2.3199999999999998</v>
      </c>
      <c r="AD97" s="47"/>
      <c r="AE97" s="47"/>
      <c r="AF97" s="47"/>
      <c r="AG97" s="47"/>
      <c r="AH97" s="47"/>
      <c r="AI97" s="47"/>
      <c r="AN97" s="47" t="s">
        <v>2516</v>
      </c>
      <c r="AO97" s="47"/>
    </row>
    <row r="98" spans="1:41" s="436" customFormat="1">
      <c r="A98" t="str">
        <f t="shared" si="14"/>
        <v>貨2ガ6BF</v>
      </c>
      <c r="B98" t="s">
        <v>2009</v>
      </c>
      <c r="C98" t="s">
        <v>1987</v>
      </c>
      <c r="D98" t="s">
        <v>2748</v>
      </c>
      <c r="E98" t="s">
        <v>2777</v>
      </c>
      <c r="F98">
        <v>1.7500000000000002E-2</v>
      </c>
      <c r="G98">
        <v>0</v>
      </c>
      <c r="H98">
        <v>2.3199999999999998</v>
      </c>
      <c r="I98" t="s">
        <v>2202</v>
      </c>
      <c r="J98"/>
      <c r="K98" s="47"/>
      <c r="L98" s="47"/>
      <c r="M98" s="47"/>
      <c r="N98" s="47"/>
      <c r="O98" s="47"/>
      <c r="P98" s="47"/>
      <c r="Q98" s="47"/>
      <c r="R98" s="47"/>
      <c r="S98" s="47"/>
      <c r="T98" s="292" t="str">
        <f t="shared" si="8"/>
        <v>トラック・バス</v>
      </c>
      <c r="U98" s="283" t="str">
        <f t="shared" si="9"/>
        <v>ガソリン</v>
      </c>
      <c r="V98" s="283" t="str">
        <f t="shared" si="10"/>
        <v>1.7～2.5 t</v>
      </c>
      <c r="W98" s="283" t="str">
        <f t="shared" si="11"/>
        <v>H30</v>
      </c>
      <c r="X98" s="284" t="str">
        <f t="shared" si="11"/>
        <v>6BF</v>
      </c>
      <c r="Y98" s="271" t="s">
        <v>2758</v>
      </c>
      <c r="Z98" s="283">
        <f t="shared" si="12"/>
        <v>1.7500000000000002E-2</v>
      </c>
      <c r="AA98" s="283">
        <f t="shared" si="12"/>
        <v>0</v>
      </c>
      <c r="AB98" s="340">
        <f t="shared" si="12"/>
        <v>2.3199999999999998</v>
      </c>
      <c r="AD98" s="47"/>
      <c r="AE98" s="47"/>
      <c r="AF98" s="47"/>
      <c r="AG98" s="47"/>
      <c r="AH98" s="47"/>
      <c r="AI98" s="47"/>
      <c r="AN98" s="47" t="s">
        <v>1558</v>
      </c>
      <c r="AO98" s="47"/>
    </row>
    <row r="99" spans="1:41">
      <c r="A99" t="str">
        <f t="shared" si="14"/>
        <v>貨2ガ6AF</v>
      </c>
      <c r="B99" t="s">
        <v>2009</v>
      </c>
      <c r="C99" t="s">
        <v>1987</v>
      </c>
      <c r="D99" t="s">
        <v>2748</v>
      </c>
      <c r="E99" t="s">
        <v>2778</v>
      </c>
      <c r="F99">
        <v>1.7500000000000002E-2</v>
      </c>
      <c r="G99">
        <v>0</v>
      </c>
      <c r="H99">
        <v>2.3199999999999998</v>
      </c>
      <c r="I99" t="s">
        <v>239</v>
      </c>
      <c r="J99"/>
      <c r="K99" s="266"/>
      <c r="L99" s="266"/>
      <c r="M99" s="266"/>
      <c r="N99" s="266"/>
      <c r="O99" s="266"/>
      <c r="P99" s="266"/>
      <c r="Q99" s="266"/>
      <c r="R99" s="266"/>
      <c r="S99" s="266"/>
      <c r="T99" s="292" t="str">
        <f t="shared" si="8"/>
        <v>トラック・バス</v>
      </c>
      <c r="U99" s="283" t="str">
        <f t="shared" si="9"/>
        <v>ガソリン</v>
      </c>
      <c r="V99" s="283" t="str">
        <f t="shared" si="10"/>
        <v>1.7～2.5 t</v>
      </c>
      <c r="W99" s="283" t="str">
        <f t="shared" si="11"/>
        <v>H30</v>
      </c>
      <c r="X99" s="284" t="str">
        <f t="shared" si="11"/>
        <v>6AF</v>
      </c>
      <c r="Y99" s="271" t="s">
        <v>2758</v>
      </c>
      <c r="Z99" s="283">
        <f t="shared" si="12"/>
        <v>1.7500000000000002E-2</v>
      </c>
      <c r="AA99" s="283">
        <f t="shared" si="12"/>
        <v>0</v>
      </c>
      <c r="AB99" s="340">
        <f t="shared" si="12"/>
        <v>2.3199999999999998</v>
      </c>
      <c r="AN99" s="47" t="s">
        <v>1560</v>
      </c>
    </row>
    <row r="100" spans="1:41">
      <c r="A100" t="str">
        <f t="shared" si="14"/>
        <v>貨2ガ6LF</v>
      </c>
      <c r="B100" t="s">
        <v>2009</v>
      </c>
      <c r="C100" t="s">
        <v>1987</v>
      </c>
      <c r="D100" t="s">
        <v>2748</v>
      </c>
      <c r="E100" t="s">
        <v>2779</v>
      </c>
      <c r="F100">
        <v>1.7500000000000002E-2</v>
      </c>
      <c r="G100">
        <v>0</v>
      </c>
      <c r="H100">
        <v>2.3199999999999998</v>
      </c>
      <c r="I100" t="s">
        <v>1405</v>
      </c>
      <c r="J100"/>
      <c r="K100" s="266"/>
      <c r="L100" s="266"/>
      <c r="M100" s="266"/>
      <c r="N100" s="266"/>
      <c r="O100" s="266"/>
      <c r="P100" s="266"/>
      <c r="Q100" s="266"/>
      <c r="R100" s="266"/>
      <c r="S100" s="266"/>
      <c r="T100" s="292" t="str">
        <f t="shared" si="8"/>
        <v>トラック・バス</v>
      </c>
      <c r="U100" s="283" t="str">
        <f t="shared" si="9"/>
        <v>ガソリン</v>
      </c>
      <c r="V100" s="283" t="str">
        <f t="shared" si="10"/>
        <v>1.7～2.5 t</v>
      </c>
      <c r="W100" s="283" t="str">
        <f t="shared" si="11"/>
        <v>H30</v>
      </c>
      <c r="X100" s="284" t="str">
        <f t="shared" si="11"/>
        <v>6LF</v>
      </c>
      <c r="Y100" s="271" t="s">
        <v>2758</v>
      </c>
      <c r="Z100" s="283">
        <f t="shared" si="12"/>
        <v>1.7500000000000002E-2</v>
      </c>
      <c r="AA100" s="283">
        <f t="shared" si="12"/>
        <v>0</v>
      </c>
      <c r="AB100" s="340">
        <f t="shared" si="12"/>
        <v>2.3199999999999998</v>
      </c>
      <c r="AN100" s="266" t="s">
        <v>2517</v>
      </c>
    </row>
    <row r="101" spans="1:41">
      <c r="A101" t="str">
        <f t="shared" si="14"/>
        <v>貨3ガ-</v>
      </c>
      <c r="B101" t="s">
        <v>2030</v>
      </c>
      <c r="C101" t="s">
        <v>1996</v>
      </c>
      <c r="D101" t="s">
        <v>2458</v>
      </c>
      <c r="E101" t="s">
        <v>2457</v>
      </c>
      <c r="F101">
        <v>1.8</v>
      </c>
      <c r="G101">
        <v>0</v>
      </c>
      <c r="H101">
        <v>2.3199999999999998</v>
      </c>
      <c r="I101" t="s">
        <v>232</v>
      </c>
      <c r="J101"/>
      <c r="K101" s="436"/>
      <c r="L101" s="436"/>
      <c r="M101" s="436"/>
      <c r="N101" s="436"/>
      <c r="O101" s="436"/>
      <c r="P101" s="436"/>
      <c r="Q101" s="436"/>
      <c r="R101" s="436"/>
      <c r="S101" s="436"/>
      <c r="T101" s="292" t="str">
        <f t="shared" si="8"/>
        <v>トラック・バス</v>
      </c>
      <c r="U101" s="283" t="str">
        <f t="shared" si="9"/>
        <v>ガソリン</v>
      </c>
      <c r="V101" s="283" t="str">
        <f t="shared" si="10"/>
        <v>2.5～3.5 t</v>
      </c>
      <c r="W101" s="283" t="str">
        <f t="shared" si="11"/>
        <v>S54前</v>
      </c>
      <c r="X101" s="284" t="str">
        <f t="shared" si="11"/>
        <v>-</v>
      </c>
      <c r="Y101" s="271"/>
      <c r="Z101" s="283">
        <f t="shared" si="12"/>
        <v>1.8</v>
      </c>
      <c r="AA101" s="283">
        <f t="shared" si="12"/>
        <v>0</v>
      </c>
      <c r="AB101" s="340">
        <f t="shared" si="12"/>
        <v>2.3199999999999998</v>
      </c>
      <c r="AN101" s="47" t="s">
        <v>2518</v>
      </c>
    </row>
    <row r="102" spans="1:41">
      <c r="A102" t="str">
        <f t="shared" si="14"/>
        <v>貨3ガJ</v>
      </c>
      <c r="B102" t="s">
        <v>2030</v>
      </c>
      <c r="C102" t="s">
        <v>1996</v>
      </c>
      <c r="D102" t="s">
        <v>0</v>
      </c>
      <c r="E102" t="s">
        <v>7</v>
      </c>
      <c r="F102">
        <v>1.2</v>
      </c>
      <c r="G102">
        <v>0</v>
      </c>
      <c r="H102">
        <v>2.3199999999999998</v>
      </c>
      <c r="I102" t="s">
        <v>232</v>
      </c>
      <c r="J102"/>
      <c r="K102" s="436"/>
      <c r="L102" s="436"/>
      <c r="M102" s="436"/>
      <c r="N102" s="436"/>
      <c r="O102" s="436"/>
      <c r="P102" s="436"/>
      <c r="Q102" s="436"/>
      <c r="R102" s="436"/>
      <c r="S102" s="436"/>
      <c r="T102" s="292" t="str">
        <f t="shared" si="8"/>
        <v>トラック・バス</v>
      </c>
      <c r="U102" s="283" t="str">
        <f t="shared" si="9"/>
        <v>ガソリン</v>
      </c>
      <c r="V102" s="283" t="str">
        <f t="shared" si="10"/>
        <v>2.5～3.5 t</v>
      </c>
      <c r="W102" s="283" t="str">
        <f t="shared" si="11"/>
        <v>S54</v>
      </c>
      <c r="X102" s="284" t="str">
        <f t="shared" si="11"/>
        <v>J</v>
      </c>
      <c r="Y102" s="271"/>
      <c r="Z102" s="283">
        <f t="shared" si="12"/>
        <v>1.2</v>
      </c>
      <c r="AA102" s="283">
        <f t="shared" si="12"/>
        <v>0</v>
      </c>
      <c r="AB102" s="340">
        <f t="shared" si="12"/>
        <v>2.3199999999999998</v>
      </c>
      <c r="AN102" s="47" t="s">
        <v>1490</v>
      </c>
    </row>
    <row r="103" spans="1:41">
      <c r="A103" t="str">
        <f t="shared" si="14"/>
        <v>貨3ガM</v>
      </c>
      <c r="B103" t="s">
        <v>2030</v>
      </c>
      <c r="C103" t="s">
        <v>1996</v>
      </c>
      <c r="D103" t="s">
        <v>24</v>
      </c>
      <c r="E103" t="s">
        <v>25</v>
      </c>
      <c r="F103">
        <v>0.9</v>
      </c>
      <c r="G103">
        <v>0</v>
      </c>
      <c r="H103">
        <v>2.3199999999999998</v>
      </c>
      <c r="I103" t="s">
        <v>232</v>
      </c>
      <c r="J103"/>
      <c r="K103" s="436"/>
      <c r="L103" s="436"/>
      <c r="M103" s="436"/>
      <c r="N103" s="436"/>
      <c r="O103" s="436"/>
      <c r="P103" s="436"/>
      <c r="Q103" s="436"/>
      <c r="R103" s="436"/>
      <c r="S103" s="436"/>
      <c r="T103" s="292" t="str">
        <f t="shared" si="8"/>
        <v>トラック・バス</v>
      </c>
      <c r="U103" s="283" t="str">
        <f t="shared" si="9"/>
        <v>ガソリン</v>
      </c>
      <c r="V103" s="283" t="str">
        <f t="shared" si="10"/>
        <v>2.5～3.5 t</v>
      </c>
      <c r="W103" s="283" t="str">
        <f t="shared" si="11"/>
        <v>S57</v>
      </c>
      <c r="X103" s="284" t="str">
        <f t="shared" si="11"/>
        <v>M</v>
      </c>
      <c r="Y103" s="271"/>
      <c r="Z103" s="283">
        <f t="shared" si="12"/>
        <v>0.9</v>
      </c>
      <c r="AA103" s="283">
        <f t="shared" si="12"/>
        <v>0</v>
      </c>
      <c r="AB103" s="340">
        <f t="shared" si="12"/>
        <v>2.3199999999999998</v>
      </c>
      <c r="AN103" s="47" t="s">
        <v>2111</v>
      </c>
    </row>
    <row r="104" spans="1:41">
      <c r="A104" t="str">
        <f t="shared" si="14"/>
        <v>貨3ガT</v>
      </c>
      <c r="B104" t="s">
        <v>2030</v>
      </c>
      <c r="C104" t="s">
        <v>1996</v>
      </c>
      <c r="D104" t="s">
        <v>18</v>
      </c>
      <c r="E104" t="s">
        <v>19</v>
      </c>
      <c r="F104">
        <v>0.7</v>
      </c>
      <c r="G104">
        <v>0</v>
      </c>
      <c r="H104">
        <v>2.3199999999999998</v>
      </c>
      <c r="I104" t="s">
        <v>232</v>
      </c>
      <c r="J104"/>
      <c r="K104" s="436"/>
      <c r="L104" s="436"/>
      <c r="M104" s="436"/>
      <c r="N104" s="436"/>
      <c r="O104" s="436"/>
      <c r="P104" s="436"/>
      <c r="Q104" s="436"/>
      <c r="R104" s="436"/>
      <c r="S104" s="436"/>
      <c r="T104" s="292" t="str">
        <f t="shared" si="8"/>
        <v>トラック・バス</v>
      </c>
      <c r="U104" s="283" t="str">
        <f t="shared" si="9"/>
        <v>ガソリン</v>
      </c>
      <c r="V104" s="283" t="str">
        <f t="shared" si="10"/>
        <v>2.5～3.5 t</v>
      </c>
      <c r="W104" s="283" t="str">
        <f t="shared" si="11"/>
        <v>H元</v>
      </c>
      <c r="X104" s="284" t="str">
        <f t="shared" si="11"/>
        <v>T</v>
      </c>
      <c r="Y104" s="271"/>
      <c r="Z104" s="283">
        <f t="shared" si="12"/>
        <v>0.7</v>
      </c>
      <c r="AA104" s="283">
        <f t="shared" si="12"/>
        <v>0</v>
      </c>
      <c r="AB104" s="340">
        <f t="shared" si="12"/>
        <v>2.3199999999999998</v>
      </c>
      <c r="AN104" s="47" t="s">
        <v>1985</v>
      </c>
    </row>
    <row r="105" spans="1:41">
      <c r="A105" t="str">
        <f t="shared" si="14"/>
        <v>貨3ガZ</v>
      </c>
      <c r="B105" t="s">
        <v>2030</v>
      </c>
      <c r="C105" t="s">
        <v>1996</v>
      </c>
      <c r="D105" t="s">
        <v>1998</v>
      </c>
      <c r="E105" t="s">
        <v>26</v>
      </c>
      <c r="F105">
        <v>0.49</v>
      </c>
      <c r="G105">
        <v>0</v>
      </c>
      <c r="H105">
        <v>2.3199999999999998</v>
      </c>
      <c r="I105" t="s">
        <v>232</v>
      </c>
      <c r="J105"/>
      <c r="K105" s="436"/>
      <c r="L105" s="436"/>
      <c r="M105" s="436"/>
      <c r="N105" s="436"/>
      <c r="O105" s="436"/>
      <c r="P105" s="436"/>
      <c r="Q105" s="436"/>
      <c r="R105" s="436"/>
      <c r="S105" s="436"/>
      <c r="T105" s="292" t="str">
        <f t="shared" si="8"/>
        <v>トラック・バス</v>
      </c>
      <c r="U105" s="283" t="str">
        <f t="shared" si="9"/>
        <v>ガソリン</v>
      </c>
      <c r="V105" s="283" t="str">
        <f t="shared" si="10"/>
        <v>2.5～3.5 t</v>
      </c>
      <c r="W105" s="283" t="str">
        <f t="shared" si="11"/>
        <v>H4</v>
      </c>
      <c r="X105" s="284" t="str">
        <f t="shared" si="11"/>
        <v>Z</v>
      </c>
      <c r="Y105" s="271"/>
      <c r="Z105" s="283">
        <f t="shared" si="12"/>
        <v>0.49</v>
      </c>
      <c r="AA105" s="283">
        <f t="shared" si="12"/>
        <v>0</v>
      </c>
      <c r="AB105" s="340">
        <f t="shared" si="12"/>
        <v>2.3199999999999998</v>
      </c>
      <c r="AN105" s="47" t="s">
        <v>1993</v>
      </c>
    </row>
    <row r="106" spans="1:41">
      <c r="A106" t="str">
        <f t="shared" si="14"/>
        <v>貨3ガGB</v>
      </c>
      <c r="B106" t="s">
        <v>2030</v>
      </c>
      <c r="C106" t="s">
        <v>1996</v>
      </c>
      <c r="D106" t="s">
        <v>1999</v>
      </c>
      <c r="E106" t="s">
        <v>50</v>
      </c>
      <c r="F106">
        <v>0.4</v>
      </c>
      <c r="G106">
        <v>0</v>
      </c>
      <c r="H106">
        <v>2.3199999999999998</v>
      </c>
      <c r="I106" t="s">
        <v>232</v>
      </c>
      <c r="J106"/>
      <c r="K106" s="436"/>
      <c r="L106" s="436"/>
      <c r="M106" s="436"/>
      <c r="N106" s="436"/>
      <c r="O106" s="436"/>
      <c r="P106" s="436"/>
      <c r="Q106" s="436"/>
      <c r="R106" s="436"/>
      <c r="S106" s="436"/>
      <c r="T106" s="292" t="str">
        <f t="shared" si="8"/>
        <v>トラック・バス</v>
      </c>
      <c r="U106" s="283" t="str">
        <f t="shared" si="9"/>
        <v>ガソリン</v>
      </c>
      <c r="V106" s="283" t="str">
        <f t="shared" si="10"/>
        <v>2.5～3.5 t</v>
      </c>
      <c r="W106" s="283" t="str">
        <f t="shared" si="11"/>
        <v>H7,H10</v>
      </c>
      <c r="X106" s="284" t="str">
        <f t="shared" si="11"/>
        <v>GB</v>
      </c>
      <c r="Y106" s="271"/>
      <c r="Z106" s="283">
        <f t="shared" si="12"/>
        <v>0.4</v>
      </c>
      <c r="AA106" s="283">
        <f t="shared" si="12"/>
        <v>0</v>
      </c>
      <c r="AB106" s="340">
        <f t="shared" si="12"/>
        <v>2.3199999999999998</v>
      </c>
      <c r="AN106" s="47" t="s">
        <v>1494</v>
      </c>
    </row>
    <row r="107" spans="1:41">
      <c r="A107" t="str">
        <f t="shared" si="14"/>
        <v>貨3ガGE</v>
      </c>
      <c r="B107" t="s">
        <v>2030</v>
      </c>
      <c r="C107" t="s">
        <v>1996</v>
      </c>
      <c r="D107" t="s">
        <v>1999</v>
      </c>
      <c r="E107" t="s">
        <v>52</v>
      </c>
      <c r="F107">
        <v>0.4</v>
      </c>
      <c r="G107">
        <v>0</v>
      </c>
      <c r="H107">
        <v>2.3199999999999998</v>
      </c>
      <c r="I107" t="s">
        <v>232</v>
      </c>
      <c r="J107"/>
      <c r="T107" s="292" t="str">
        <f t="shared" si="8"/>
        <v>トラック・バス</v>
      </c>
      <c r="U107" s="283" t="str">
        <f t="shared" si="9"/>
        <v>ガソリン</v>
      </c>
      <c r="V107" s="283" t="str">
        <f t="shared" si="10"/>
        <v>2.5～3.5 t</v>
      </c>
      <c r="W107" s="283" t="str">
        <f t="shared" si="11"/>
        <v>H7,H10</v>
      </c>
      <c r="X107" s="284" t="str">
        <f t="shared" si="11"/>
        <v>GE</v>
      </c>
      <c r="Y107" s="271"/>
      <c r="Z107" s="283">
        <f t="shared" si="12"/>
        <v>0.4</v>
      </c>
      <c r="AA107" s="283">
        <f t="shared" si="12"/>
        <v>0</v>
      </c>
      <c r="AB107" s="340">
        <f t="shared" si="12"/>
        <v>2.3199999999999998</v>
      </c>
      <c r="AN107" s="47" t="s">
        <v>2112</v>
      </c>
    </row>
    <row r="108" spans="1:41">
      <c r="A108" t="str">
        <f t="shared" si="14"/>
        <v>貨3ガHJ</v>
      </c>
      <c r="B108" t="s">
        <v>2030</v>
      </c>
      <c r="C108" t="s">
        <v>1996</v>
      </c>
      <c r="D108" t="s">
        <v>1999</v>
      </c>
      <c r="E108" t="s">
        <v>60</v>
      </c>
      <c r="F108">
        <v>0.2</v>
      </c>
      <c r="G108">
        <v>0</v>
      </c>
      <c r="H108">
        <v>2.3199999999999998</v>
      </c>
      <c r="I108" t="s">
        <v>239</v>
      </c>
      <c r="J108"/>
      <c r="T108" s="292" t="str">
        <f t="shared" si="8"/>
        <v>トラック・バス</v>
      </c>
      <c r="U108" s="283" t="str">
        <f t="shared" si="9"/>
        <v>ガソリン</v>
      </c>
      <c r="V108" s="283" t="str">
        <f t="shared" si="10"/>
        <v>2.5～3.5 t</v>
      </c>
      <c r="W108" s="283" t="str">
        <f t="shared" si="11"/>
        <v>H7,H10</v>
      </c>
      <c r="X108" s="284" t="str">
        <f t="shared" si="11"/>
        <v>HJ</v>
      </c>
      <c r="Y108" s="271"/>
      <c r="Z108" s="283">
        <f t="shared" si="12"/>
        <v>0.2</v>
      </c>
      <c r="AA108" s="283">
        <f t="shared" si="12"/>
        <v>0</v>
      </c>
      <c r="AB108" s="340">
        <f t="shared" si="12"/>
        <v>2.3199999999999998</v>
      </c>
      <c r="AN108" s="47" t="s">
        <v>1986</v>
      </c>
    </row>
    <row r="109" spans="1:41">
      <c r="A109" t="str">
        <f t="shared" si="14"/>
        <v>貨3ガGK</v>
      </c>
      <c r="B109" t="s">
        <v>2030</v>
      </c>
      <c r="C109" t="s">
        <v>1996</v>
      </c>
      <c r="D109" t="s">
        <v>21</v>
      </c>
      <c r="E109" t="s">
        <v>57</v>
      </c>
      <c r="F109">
        <v>0.13</v>
      </c>
      <c r="G109">
        <v>0</v>
      </c>
      <c r="H109">
        <v>2.3199999999999998</v>
      </c>
      <c r="I109" t="s">
        <v>232</v>
      </c>
      <c r="J109"/>
      <c r="T109" s="292" t="str">
        <f t="shared" si="8"/>
        <v>トラック・バス</v>
      </c>
      <c r="U109" s="283" t="str">
        <f t="shared" si="9"/>
        <v>ガソリン</v>
      </c>
      <c r="V109" s="283" t="str">
        <f t="shared" si="10"/>
        <v>2.5～3.5 t</v>
      </c>
      <c r="W109" s="283" t="str">
        <f t="shared" si="11"/>
        <v>H13</v>
      </c>
      <c r="X109" s="284" t="str">
        <f t="shared" si="11"/>
        <v>GK</v>
      </c>
      <c r="Y109" s="271"/>
      <c r="Z109" s="283">
        <f t="shared" si="12"/>
        <v>0.13</v>
      </c>
      <c r="AA109" s="283">
        <f t="shared" si="12"/>
        <v>0</v>
      </c>
      <c r="AB109" s="340">
        <f t="shared" si="12"/>
        <v>2.3199999999999998</v>
      </c>
      <c r="AN109" s="47" t="s">
        <v>1994</v>
      </c>
    </row>
    <row r="110" spans="1:41">
      <c r="A110" t="str">
        <f t="shared" si="14"/>
        <v>貨3ガHQ</v>
      </c>
      <c r="B110" t="s">
        <v>2030</v>
      </c>
      <c r="C110" t="s">
        <v>1996</v>
      </c>
      <c r="D110" t="s">
        <v>21</v>
      </c>
      <c r="E110" t="s">
        <v>68</v>
      </c>
      <c r="F110">
        <v>6.5000000000000002E-2</v>
      </c>
      <c r="G110">
        <v>0</v>
      </c>
      <c r="H110">
        <v>2.3199999999999998</v>
      </c>
      <c r="I110" t="s">
        <v>239</v>
      </c>
      <c r="J110"/>
      <c r="T110" s="292" t="str">
        <f t="shared" si="8"/>
        <v>トラック・バス</v>
      </c>
      <c r="U110" s="283" t="str">
        <f t="shared" si="9"/>
        <v>ガソリン</v>
      </c>
      <c r="V110" s="283" t="str">
        <f t="shared" si="10"/>
        <v>2.5～3.5 t</v>
      </c>
      <c r="W110" s="283" t="str">
        <f t="shared" si="11"/>
        <v>H13</v>
      </c>
      <c r="X110" s="284" t="str">
        <f t="shared" si="11"/>
        <v>HQ</v>
      </c>
      <c r="Y110" s="271"/>
      <c r="Z110" s="283">
        <f t="shared" si="12"/>
        <v>6.5000000000000002E-2</v>
      </c>
      <c r="AA110" s="283">
        <f t="shared" si="12"/>
        <v>0</v>
      </c>
      <c r="AB110" s="340">
        <f t="shared" si="12"/>
        <v>2.3199999999999998</v>
      </c>
      <c r="AN110" s="47" t="s">
        <v>1498</v>
      </c>
    </row>
    <row r="111" spans="1:41">
      <c r="A111" t="str">
        <f t="shared" si="14"/>
        <v>貨3ガTC</v>
      </c>
      <c r="B111" t="s">
        <v>2030</v>
      </c>
      <c r="C111" t="s">
        <v>1996</v>
      </c>
      <c r="D111" t="s">
        <v>21</v>
      </c>
      <c r="E111" t="s">
        <v>81</v>
      </c>
      <c r="F111">
        <v>9.7500000000000003E-2</v>
      </c>
      <c r="G111">
        <v>0</v>
      </c>
      <c r="H111">
        <v>2.3199999999999998</v>
      </c>
      <c r="I111" t="s">
        <v>232</v>
      </c>
      <c r="J111"/>
      <c r="T111" s="292" t="str">
        <f t="shared" si="8"/>
        <v>トラック・バス</v>
      </c>
      <c r="U111" s="283" t="str">
        <f t="shared" si="9"/>
        <v>ガソリン</v>
      </c>
      <c r="V111" s="283" t="str">
        <f t="shared" si="10"/>
        <v>2.5～3.5 t</v>
      </c>
      <c r="W111" s="283" t="str">
        <f t="shared" si="11"/>
        <v>H13</v>
      </c>
      <c r="X111" s="284" t="str">
        <f t="shared" si="11"/>
        <v>TC</v>
      </c>
      <c r="Y111" s="271" t="s">
        <v>244</v>
      </c>
      <c r="Z111" s="283">
        <f t="shared" si="12"/>
        <v>9.7500000000000003E-2</v>
      </c>
      <c r="AA111" s="283">
        <f t="shared" si="12"/>
        <v>0</v>
      </c>
      <c r="AB111" s="340">
        <f t="shared" si="12"/>
        <v>2.3199999999999998</v>
      </c>
      <c r="AN111" s="47" t="s">
        <v>2121</v>
      </c>
    </row>
    <row r="112" spans="1:41">
      <c r="A112" t="str">
        <f t="shared" si="14"/>
        <v>貨3ガXC</v>
      </c>
      <c r="B112" t="s">
        <v>2030</v>
      </c>
      <c r="C112" t="s">
        <v>1996</v>
      </c>
      <c r="D112" t="s">
        <v>21</v>
      </c>
      <c r="E112" t="s">
        <v>95</v>
      </c>
      <c r="F112">
        <v>9.7500000000000003E-2</v>
      </c>
      <c r="G112">
        <v>0</v>
      </c>
      <c r="H112">
        <v>2.3199999999999998</v>
      </c>
      <c r="I112" t="s">
        <v>239</v>
      </c>
      <c r="J112"/>
      <c r="T112" s="292" t="str">
        <f t="shared" si="8"/>
        <v>トラック・バス</v>
      </c>
      <c r="U112" s="283" t="str">
        <f t="shared" si="9"/>
        <v>ガソリン</v>
      </c>
      <c r="V112" s="283" t="str">
        <f t="shared" si="10"/>
        <v>2.5～3.5 t</v>
      </c>
      <c r="W112" s="283" t="str">
        <f t="shared" si="11"/>
        <v>H13</v>
      </c>
      <c r="X112" s="284" t="str">
        <f t="shared" si="11"/>
        <v>XC</v>
      </c>
      <c r="Y112" s="271" t="s">
        <v>244</v>
      </c>
      <c r="Z112" s="283">
        <f t="shared" si="12"/>
        <v>9.7500000000000003E-2</v>
      </c>
      <c r="AA112" s="283">
        <f t="shared" si="12"/>
        <v>0</v>
      </c>
      <c r="AB112" s="340">
        <f t="shared" si="12"/>
        <v>2.3199999999999998</v>
      </c>
      <c r="AN112" s="47" t="s">
        <v>2122</v>
      </c>
    </row>
    <row r="113" spans="1:41">
      <c r="A113" t="str">
        <f t="shared" si="14"/>
        <v>貨3ガLC</v>
      </c>
      <c r="B113" t="s">
        <v>2030</v>
      </c>
      <c r="C113" t="s">
        <v>1996</v>
      </c>
      <c r="D113" t="s">
        <v>21</v>
      </c>
      <c r="E113" t="s">
        <v>72</v>
      </c>
      <c r="F113">
        <v>6.5000000000000002E-2</v>
      </c>
      <c r="G113">
        <v>0</v>
      </c>
      <c r="H113">
        <v>2.3199999999999998</v>
      </c>
      <c r="I113" t="s">
        <v>232</v>
      </c>
      <c r="J113"/>
      <c r="T113" s="292" t="str">
        <f t="shared" si="8"/>
        <v>トラック・バス</v>
      </c>
      <c r="U113" s="283" t="str">
        <f t="shared" si="9"/>
        <v>ガソリン</v>
      </c>
      <c r="V113" s="283" t="str">
        <f t="shared" si="10"/>
        <v>2.5～3.5 t</v>
      </c>
      <c r="W113" s="283" t="str">
        <f t="shared" si="11"/>
        <v>H13</v>
      </c>
      <c r="X113" s="284" t="str">
        <f t="shared" si="11"/>
        <v>LC</v>
      </c>
      <c r="Y113" s="271" t="s">
        <v>247</v>
      </c>
      <c r="Z113" s="283">
        <f t="shared" si="12"/>
        <v>6.5000000000000002E-2</v>
      </c>
      <c r="AA113" s="283">
        <f t="shared" si="12"/>
        <v>0</v>
      </c>
      <c r="AB113" s="340">
        <f t="shared" si="12"/>
        <v>2.3199999999999998</v>
      </c>
      <c r="AN113" s="47" t="s">
        <v>2041</v>
      </c>
    </row>
    <row r="114" spans="1:41">
      <c r="A114" t="str">
        <f t="shared" si="14"/>
        <v>貨3ガYC</v>
      </c>
      <c r="B114" t="s">
        <v>2030</v>
      </c>
      <c r="C114" t="s">
        <v>1996</v>
      </c>
      <c r="D114" t="s">
        <v>21</v>
      </c>
      <c r="E114" t="s">
        <v>99</v>
      </c>
      <c r="F114">
        <v>6.5000000000000002E-2</v>
      </c>
      <c r="G114">
        <v>0</v>
      </c>
      <c r="H114">
        <v>2.3199999999999998</v>
      </c>
      <c r="I114" t="s">
        <v>239</v>
      </c>
      <c r="J114"/>
      <c r="T114" s="292" t="str">
        <f t="shared" si="8"/>
        <v>トラック・バス</v>
      </c>
      <c r="U114" s="283" t="str">
        <f t="shared" si="9"/>
        <v>ガソリン</v>
      </c>
      <c r="V114" s="283" t="str">
        <f t="shared" si="10"/>
        <v>2.5～3.5 t</v>
      </c>
      <c r="W114" s="283" t="str">
        <f t="shared" si="11"/>
        <v>H13</v>
      </c>
      <c r="X114" s="284" t="str">
        <f t="shared" si="11"/>
        <v>YC</v>
      </c>
      <c r="Y114" s="271" t="s">
        <v>247</v>
      </c>
      <c r="Z114" s="283">
        <f t="shared" si="12"/>
        <v>6.5000000000000002E-2</v>
      </c>
      <c r="AA114" s="283">
        <f t="shared" si="12"/>
        <v>0</v>
      </c>
      <c r="AB114" s="340">
        <f t="shared" si="12"/>
        <v>2.3199999999999998</v>
      </c>
      <c r="AN114" s="47" t="s">
        <v>2051</v>
      </c>
    </row>
    <row r="115" spans="1:41">
      <c r="A115" t="str">
        <f t="shared" si="14"/>
        <v>貨3ガUC</v>
      </c>
      <c r="B115" t="s">
        <v>2030</v>
      </c>
      <c r="C115" t="s">
        <v>1996</v>
      </c>
      <c r="D115" t="s">
        <v>21</v>
      </c>
      <c r="E115" t="s">
        <v>88</v>
      </c>
      <c r="F115">
        <v>3.2500000000000001E-2</v>
      </c>
      <c r="G115">
        <v>0</v>
      </c>
      <c r="H115">
        <v>2.3199999999999998</v>
      </c>
      <c r="I115" t="s">
        <v>232</v>
      </c>
      <c r="J115"/>
      <c r="T115" s="292" t="str">
        <f t="shared" si="8"/>
        <v>トラック・バス</v>
      </c>
      <c r="U115" s="283" t="str">
        <f t="shared" si="9"/>
        <v>ガソリン</v>
      </c>
      <c r="V115" s="283" t="str">
        <f t="shared" si="10"/>
        <v>2.5～3.5 t</v>
      </c>
      <c r="W115" s="283" t="str">
        <f t="shared" si="11"/>
        <v>H13</v>
      </c>
      <c r="X115" s="284" t="str">
        <f t="shared" si="11"/>
        <v>UC</v>
      </c>
      <c r="Y115" s="271" t="s">
        <v>250</v>
      </c>
      <c r="Z115" s="283">
        <f t="shared" si="12"/>
        <v>3.2500000000000001E-2</v>
      </c>
      <c r="AA115" s="283">
        <f t="shared" si="12"/>
        <v>0</v>
      </c>
      <c r="AB115" s="340">
        <f t="shared" si="12"/>
        <v>2.3199999999999998</v>
      </c>
      <c r="AN115" s="47" t="s">
        <v>681</v>
      </c>
    </row>
    <row r="116" spans="1:41">
      <c r="A116" t="str">
        <f t="shared" si="14"/>
        <v>貨3ガZC</v>
      </c>
      <c r="B116" t="s">
        <v>2030</v>
      </c>
      <c r="C116" t="s">
        <v>1996</v>
      </c>
      <c r="D116" t="s">
        <v>21</v>
      </c>
      <c r="E116" t="s">
        <v>103</v>
      </c>
      <c r="F116">
        <v>3.2500000000000001E-2</v>
      </c>
      <c r="G116">
        <v>0</v>
      </c>
      <c r="H116">
        <v>2.3199999999999998</v>
      </c>
      <c r="I116" t="s">
        <v>239</v>
      </c>
      <c r="J116"/>
      <c r="T116" s="292" t="str">
        <f t="shared" si="8"/>
        <v>トラック・バス</v>
      </c>
      <c r="U116" s="283" t="str">
        <f t="shared" si="9"/>
        <v>ガソリン</v>
      </c>
      <c r="V116" s="283" t="str">
        <f t="shared" si="10"/>
        <v>2.5～3.5 t</v>
      </c>
      <c r="W116" s="283" t="str">
        <f t="shared" si="11"/>
        <v>H13</v>
      </c>
      <c r="X116" s="284" t="str">
        <f t="shared" si="11"/>
        <v>ZC</v>
      </c>
      <c r="Y116" s="271" t="s">
        <v>250</v>
      </c>
      <c r="Z116" s="283">
        <f t="shared" si="12"/>
        <v>3.2500000000000001E-2</v>
      </c>
      <c r="AA116" s="283">
        <f t="shared" si="12"/>
        <v>0</v>
      </c>
      <c r="AB116" s="340">
        <f t="shared" si="12"/>
        <v>2.3199999999999998</v>
      </c>
      <c r="AN116" s="47" t="s">
        <v>2123</v>
      </c>
    </row>
    <row r="117" spans="1:41">
      <c r="A117" t="str">
        <f t="shared" si="14"/>
        <v>貨3ガABF</v>
      </c>
      <c r="B117" t="s">
        <v>2030</v>
      </c>
      <c r="C117" t="s">
        <v>1996</v>
      </c>
      <c r="D117" t="s">
        <v>1979</v>
      </c>
      <c r="E117" t="s">
        <v>301</v>
      </c>
      <c r="F117">
        <v>7.0000000000000007E-2</v>
      </c>
      <c r="G117">
        <v>0</v>
      </c>
      <c r="H117">
        <v>2.3199999999999998</v>
      </c>
      <c r="I117" t="s">
        <v>232</v>
      </c>
      <c r="J117"/>
      <c r="T117" s="292" t="str">
        <f t="shared" si="8"/>
        <v>トラック・バス</v>
      </c>
      <c r="U117" s="283" t="str">
        <f t="shared" si="9"/>
        <v>ガソリン</v>
      </c>
      <c r="V117" s="283" t="str">
        <f t="shared" si="10"/>
        <v>2.5～3.5 t</v>
      </c>
      <c r="W117" s="283" t="str">
        <f t="shared" si="11"/>
        <v>H17</v>
      </c>
      <c r="X117" s="284" t="str">
        <f t="shared" si="11"/>
        <v>ABF</v>
      </c>
      <c r="Y117" s="271"/>
      <c r="Z117" s="283">
        <f t="shared" si="12"/>
        <v>7.0000000000000007E-2</v>
      </c>
      <c r="AA117" s="283">
        <f t="shared" si="12"/>
        <v>0</v>
      </c>
      <c r="AB117" s="340">
        <f t="shared" si="12"/>
        <v>2.3199999999999998</v>
      </c>
      <c r="AN117" s="47" t="s">
        <v>2124</v>
      </c>
    </row>
    <row r="118" spans="1:41">
      <c r="A118" t="str">
        <f t="shared" si="14"/>
        <v>貨3ガAAF</v>
      </c>
      <c r="B118" t="s">
        <v>2030</v>
      </c>
      <c r="C118" t="s">
        <v>1996</v>
      </c>
      <c r="D118" t="s">
        <v>1979</v>
      </c>
      <c r="E118" t="s">
        <v>303</v>
      </c>
      <c r="F118">
        <v>3.5000000000000003E-2</v>
      </c>
      <c r="G118">
        <v>0</v>
      </c>
      <c r="H118">
        <v>2.3199999999999998</v>
      </c>
      <c r="I118" t="s">
        <v>239</v>
      </c>
      <c r="J118"/>
      <c r="T118" s="292" t="str">
        <f t="shared" si="8"/>
        <v>トラック・バス</v>
      </c>
      <c r="U118" s="283" t="str">
        <f t="shared" si="9"/>
        <v>ガソリン</v>
      </c>
      <c r="V118" s="283" t="str">
        <f t="shared" si="10"/>
        <v>2.5～3.5 t</v>
      </c>
      <c r="W118" s="283" t="str">
        <f t="shared" si="11"/>
        <v>H17</v>
      </c>
      <c r="X118" s="284" t="str">
        <f t="shared" si="11"/>
        <v>AAF</v>
      </c>
      <c r="Y118" s="271"/>
      <c r="Z118" s="283">
        <f t="shared" si="12"/>
        <v>3.5000000000000003E-2</v>
      </c>
      <c r="AA118" s="283">
        <f t="shared" si="12"/>
        <v>0</v>
      </c>
      <c r="AB118" s="340">
        <f t="shared" si="12"/>
        <v>2.3199999999999998</v>
      </c>
      <c r="AN118" s="266" t="s">
        <v>2042</v>
      </c>
    </row>
    <row r="119" spans="1:41">
      <c r="A119" t="str">
        <f t="shared" si="14"/>
        <v>貨3ガALF</v>
      </c>
      <c r="B119" t="s">
        <v>2030</v>
      </c>
      <c r="C119" t="s">
        <v>1996</v>
      </c>
      <c r="D119" t="s">
        <v>1979</v>
      </c>
      <c r="E119" t="s">
        <v>2508</v>
      </c>
      <c r="F119">
        <v>1.7500000000000002E-2</v>
      </c>
      <c r="G119">
        <v>0</v>
      </c>
      <c r="H119">
        <v>2.3199999999999998</v>
      </c>
      <c r="I119" t="s">
        <v>1405</v>
      </c>
      <c r="J119"/>
      <c r="T119" s="292" t="str">
        <f t="shared" si="8"/>
        <v>トラック・バス</v>
      </c>
      <c r="U119" s="283" t="str">
        <f t="shared" si="9"/>
        <v>ガソリン</v>
      </c>
      <c r="V119" s="283" t="str">
        <f t="shared" si="10"/>
        <v>2.5～3.5 t</v>
      </c>
      <c r="W119" s="283" t="str">
        <f t="shared" si="11"/>
        <v>H17</v>
      </c>
      <c r="X119" s="284" t="str">
        <f t="shared" si="11"/>
        <v>ALF</v>
      </c>
      <c r="Y119" s="271"/>
      <c r="Z119" s="283">
        <f t="shared" si="12"/>
        <v>1.7500000000000002E-2</v>
      </c>
      <c r="AA119" s="283">
        <f t="shared" si="12"/>
        <v>0</v>
      </c>
      <c r="AB119" s="340">
        <f t="shared" si="12"/>
        <v>2.3199999999999998</v>
      </c>
      <c r="AN119" s="47" t="s">
        <v>2052</v>
      </c>
    </row>
    <row r="120" spans="1:41">
      <c r="A120" t="str">
        <f t="shared" si="14"/>
        <v>貨3ガCAF</v>
      </c>
      <c r="B120" t="s">
        <v>2030</v>
      </c>
      <c r="C120" t="s">
        <v>1996</v>
      </c>
      <c r="D120" t="s">
        <v>1979</v>
      </c>
      <c r="E120" t="s">
        <v>1991</v>
      </c>
      <c r="F120">
        <v>3.5000000000000003E-2</v>
      </c>
      <c r="G120">
        <v>0</v>
      </c>
      <c r="H120">
        <v>2.3199999999999998</v>
      </c>
      <c r="I120" t="s">
        <v>239</v>
      </c>
      <c r="J120"/>
      <c r="T120" s="292" t="str">
        <f t="shared" si="8"/>
        <v>トラック・バス</v>
      </c>
      <c r="U120" s="283" t="str">
        <f t="shared" si="9"/>
        <v>ガソリン</v>
      </c>
      <c r="V120" s="283" t="str">
        <f t="shared" si="10"/>
        <v>2.5～3.5 t</v>
      </c>
      <c r="W120" s="283" t="str">
        <f t="shared" si="11"/>
        <v>H17</v>
      </c>
      <c r="X120" s="284" t="str">
        <f t="shared" si="11"/>
        <v>CAF</v>
      </c>
      <c r="Y120" s="271" t="s">
        <v>2261</v>
      </c>
      <c r="Z120" s="283">
        <f t="shared" si="12"/>
        <v>3.5000000000000003E-2</v>
      </c>
      <c r="AA120" s="283">
        <f t="shared" si="12"/>
        <v>0</v>
      </c>
      <c r="AB120" s="340">
        <f t="shared" si="12"/>
        <v>2.3199999999999998</v>
      </c>
      <c r="AN120" s="47" t="s">
        <v>685</v>
      </c>
    </row>
    <row r="121" spans="1:41">
      <c r="A121" t="str">
        <f t="shared" si="14"/>
        <v>貨3ガCBF</v>
      </c>
      <c r="B121" t="s">
        <v>2030</v>
      </c>
      <c r="C121" t="s">
        <v>1996</v>
      </c>
      <c r="D121" t="s">
        <v>1979</v>
      </c>
      <c r="E121" t="s">
        <v>1992</v>
      </c>
      <c r="F121">
        <v>3.5000000000000003E-2</v>
      </c>
      <c r="G121">
        <v>0</v>
      </c>
      <c r="H121">
        <v>2.3199999999999998</v>
      </c>
      <c r="I121" t="s">
        <v>260</v>
      </c>
      <c r="J121"/>
      <c r="T121" s="292" t="str">
        <f t="shared" si="8"/>
        <v>トラック・バス</v>
      </c>
      <c r="U121" s="283" t="str">
        <f t="shared" si="9"/>
        <v>ガソリン</v>
      </c>
      <c r="V121" s="283" t="str">
        <f t="shared" si="10"/>
        <v>2.5～3.5 t</v>
      </c>
      <c r="W121" s="283" t="str">
        <f t="shared" si="11"/>
        <v>H17</v>
      </c>
      <c r="X121" s="284" t="str">
        <f t="shared" si="11"/>
        <v>CBF</v>
      </c>
      <c r="Y121" s="271" t="s">
        <v>2261</v>
      </c>
      <c r="Z121" s="283">
        <f t="shared" si="12"/>
        <v>3.5000000000000003E-2</v>
      </c>
      <c r="AA121" s="283">
        <f t="shared" si="12"/>
        <v>0</v>
      </c>
      <c r="AB121" s="340">
        <f t="shared" si="12"/>
        <v>2.3199999999999998</v>
      </c>
      <c r="AD121" s="266"/>
      <c r="AE121" s="266"/>
      <c r="AF121" s="266"/>
      <c r="AG121" s="266"/>
      <c r="AH121" s="266"/>
      <c r="AI121" s="266"/>
      <c r="AN121" s="47" t="s">
        <v>2128</v>
      </c>
    </row>
    <row r="122" spans="1:41">
      <c r="A122" t="str">
        <f t="shared" si="14"/>
        <v>貨3ガCLF</v>
      </c>
      <c r="B122" t="s">
        <v>2030</v>
      </c>
      <c r="C122" t="s">
        <v>1996</v>
      </c>
      <c r="D122" t="s">
        <v>1979</v>
      </c>
      <c r="E122" t="s">
        <v>2762</v>
      </c>
      <c r="F122">
        <v>3.5000000000000003E-2</v>
      </c>
      <c r="G122">
        <v>0</v>
      </c>
      <c r="H122">
        <v>2.3199999999999998</v>
      </c>
      <c r="I122" t="s">
        <v>1405</v>
      </c>
      <c r="J122"/>
      <c r="T122" s="292" t="str">
        <f t="shared" si="8"/>
        <v>トラック・バス</v>
      </c>
      <c r="U122" s="283" t="str">
        <f t="shared" si="9"/>
        <v>ガソリン</v>
      </c>
      <c r="V122" s="283" t="str">
        <f t="shared" si="10"/>
        <v>2.5～3.5 t</v>
      </c>
      <c r="W122" s="283" t="str">
        <f t="shared" si="11"/>
        <v>H17</v>
      </c>
      <c r="X122" s="284" t="str">
        <f t="shared" si="11"/>
        <v>CLF</v>
      </c>
      <c r="Y122" s="271" t="s">
        <v>2261</v>
      </c>
      <c r="Z122" s="283">
        <f t="shared" si="12"/>
        <v>3.5000000000000003E-2</v>
      </c>
      <c r="AA122" s="283">
        <f t="shared" si="12"/>
        <v>0</v>
      </c>
      <c r="AB122" s="340">
        <f t="shared" si="12"/>
        <v>2.3199999999999998</v>
      </c>
      <c r="AD122" s="266"/>
      <c r="AE122" s="266"/>
      <c r="AF122" s="266"/>
      <c r="AG122" s="266"/>
      <c r="AH122" s="266"/>
      <c r="AI122" s="266"/>
      <c r="AN122" s="47" t="s">
        <v>2079</v>
      </c>
    </row>
    <row r="123" spans="1:41" s="266" customFormat="1">
      <c r="A123" t="str">
        <f t="shared" si="14"/>
        <v>貨3ガDAF</v>
      </c>
      <c r="B123" t="s">
        <v>2030</v>
      </c>
      <c r="C123" t="s">
        <v>1996</v>
      </c>
      <c r="D123" t="s">
        <v>1979</v>
      </c>
      <c r="E123" t="s">
        <v>1993</v>
      </c>
      <c r="F123">
        <v>1.7500000000000002E-2</v>
      </c>
      <c r="G123">
        <v>0</v>
      </c>
      <c r="H123">
        <v>2.3199999999999998</v>
      </c>
      <c r="I123" t="s">
        <v>239</v>
      </c>
      <c r="J123"/>
      <c r="K123" s="47"/>
      <c r="L123" s="47"/>
      <c r="M123" s="47"/>
      <c r="N123" s="47"/>
      <c r="O123" s="47"/>
      <c r="P123" s="47"/>
      <c r="Q123" s="47"/>
      <c r="R123" s="47"/>
      <c r="S123" s="47"/>
      <c r="T123" s="292" t="str">
        <f t="shared" si="8"/>
        <v>トラック・バス</v>
      </c>
      <c r="U123" s="283" t="str">
        <f t="shared" si="9"/>
        <v>ガソリン</v>
      </c>
      <c r="V123" s="283" t="str">
        <f t="shared" si="10"/>
        <v>2.5～3.5 t</v>
      </c>
      <c r="W123" s="283" t="str">
        <f t="shared" si="11"/>
        <v>H17</v>
      </c>
      <c r="X123" s="284" t="str">
        <f t="shared" si="11"/>
        <v>DAF</v>
      </c>
      <c r="Y123" s="271" t="s">
        <v>1770</v>
      </c>
      <c r="Z123" s="283">
        <f t="shared" si="12"/>
        <v>1.7500000000000002E-2</v>
      </c>
      <c r="AA123" s="283">
        <f t="shared" si="12"/>
        <v>0</v>
      </c>
      <c r="AB123" s="340">
        <f t="shared" si="12"/>
        <v>2.3199999999999998</v>
      </c>
      <c r="AD123" s="436"/>
      <c r="AE123" s="436"/>
      <c r="AF123" s="436"/>
      <c r="AG123" s="436"/>
      <c r="AH123" s="436"/>
      <c r="AI123" s="436"/>
      <c r="AN123" s="47" t="s">
        <v>2088</v>
      </c>
      <c r="AO123" s="47"/>
    </row>
    <row r="124" spans="1:41" s="266" customFormat="1">
      <c r="A124" t="str">
        <f t="shared" si="14"/>
        <v>貨3ガDBF</v>
      </c>
      <c r="B124" t="s">
        <v>2030</v>
      </c>
      <c r="C124" t="s">
        <v>1996</v>
      </c>
      <c r="D124" t="s">
        <v>1979</v>
      </c>
      <c r="E124" t="s">
        <v>1994</v>
      </c>
      <c r="F124">
        <v>1.7500000000000002E-2</v>
      </c>
      <c r="G124">
        <v>0</v>
      </c>
      <c r="H124">
        <v>2.3199999999999998</v>
      </c>
      <c r="I124" t="s">
        <v>263</v>
      </c>
      <c r="J124"/>
      <c r="K124" s="47"/>
      <c r="L124" s="47"/>
      <c r="M124" s="47"/>
      <c r="N124" s="47"/>
      <c r="O124" s="47"/>
      <c r="P124" s="47"/>
      <c r="Q124" s="47"/>
      <c r="R124" s="47"/>
      <c r="S124" s="47"/>
      <c r="T124" s="292" t="str">
        <f t="shared" si="8"/>
        <v>トラック・バス</v>
      </c>
      <c r="U124" s="283" t="str">
        <f t="shared" si="9"/>
        <v>ガソリン</v>
      </c>
      <c r="V124" s="283" t="str">
        <f t="shared" si="10"/>
        <v>2.5～3.5 t</v>
      </c>
      <c r="W124" s="283" t="str">
        <f t="shared" si="11"/>
        <v>H17</v>
      </c>
      <c r="X124" s="284" t="str">
        <f t="shared" si="11"/>
        <v>DBF</v>
      </c>
      <c r="Y124" s="271" t="s">
        <v>1770</v>
      </c>
      <c r="Z124" s="283">
        <f t="shared" si="12"/>
        <v>1.7500000000000002E-2</v>
      </c>
      <c r="AA124" s="283">
        <f t="shared" si="12"/>
        <v>0</v>
      </c>
      <c r="AB124" s="340">
        <f t="shared" si="12"/>
        <v>2.3199999999999998</v>
      </c>
      <c r="AD124" s="436"/>
      <c r="AE124" s="436"/>
      <c r="AF124" s="436"/>
      <c r="AG124" s="436"/>
      <c r="AH124" s="436"/>
      <c r="AI124" s="436"/>
      <c r="AN124" s="47" t="s">
        <v>689</v>
      </c>
      <c r="AO124" s="47"/>
    </row>
    <row r="125" spans="1:41" s="436" customFormat="1">
      <c r="A125" t="str">
        <f t="shared" si="14"/>
        <v>貨3ガDLF</v>
      </c>
      <c r="B125" t="s">
        <v>2030</v>
      </c>
      <c r="C125" t="s">
        <v>1996</v>
      </c>
      <c r="D125" t="s">
        <v>1979</v>
      </c>
      <c r="E125" t="s">
        <v>2520</v>
      </c>
      <c r="F125">
        <v>1.7500000000000002E-2</v>
      </c>
      <c r="G125">
        <v>0</v>
      </c>
      <c r="H125">
        <v>2.3199999999999998</v>
      </c>
      <c r="I125" t="s">
        <v>1405</v>
      </c>
      <c r="J125"/>
      <c r="K125" s="47"/>
      <c r="L125" s="47"/>
      <c r="M125" s="47"/>
      <c r="N125" s="47"/>
      <c r="O125" s="47"/>
      <c r="P125" s="47"/>
      <c r="Q125" s="47"/>
      <c r="R125" s="47"/>
      <c r="S125" s="47"/>
      <c r="T125" s="292" t="str">
        <f t="shared" si="8"/>
        <v>トラック・バス</v>
      </c>
      <c r="U125" s="283" t="str">
        <f t="shared" si="9"/>
        <v>ガソリン</v>
      </c>
      <c r="V125" s="283" t="str">
        <f t="shared" si="10"/>
        <v>2.5～3.5 t</v>
      </c>
      <c r="W125" s="283" t="str">
        <f t="shared" si="11"/>
        <v>H17</v>
      </c>
      <c r="X125" s="284" t="str">
        <f t="shared" si="11"/>
        <v>DLF</v>
      </c>
      <c r="Y125" s="271" t="s">
        <v>1770</v>
      </c>
      <c r="Z125" s="283">
        <f t="shared" si="12"/>
        <v>1.7500000000000002E-2</v>
      </c>
      <c r="AA125" s="283">
        <f t="shared" si="12"/>
        <v>0</v>
      </c>
      <c r="AB125" s="340">
        <f t="shared" si="12"/>
        <v>2.3199999999999998</v>
      </c>
      <c r="AN125" s="47" t="s">
        <v>2129</v>
      </c>
      <c r="AO125" s="47"/>
    </row>
    <row r="126" spans="1:41" s="436" customFormat="1">
      <c r="A126" t="str">
        <f t="shared" si="14"/>
        <v>貨3ガLBF</v>
      </c>
      <c r="B126" t="s">
        <v>2030</v>
      </c>
      <c r="C126" t="s">
        <v>1996</v>
      </c>
      <c r="D126" t="s">
        <v>2382</v>
      </c>
      <c r="E126" t="s">
        <v>315</v>
      </c>
      <c r="F126">
        <v>7.0000000000000007E-2</v>
      </c>
      <c r="G126">
        <v>0</v>
      </c>
      <c r="H126">
        <v>2.3199999999999998</v>
      </c>
      <c r="I126" t="s">
        <v>232</v>
      </c>
      <c r="J126"/>
      <c r="K126" s="47"/>
      <c r="L126" s="47"/>
      <c r="M126" s="47"/>
      <c r="N126" s="47"/>
      <c r="O126" s="47"/>
      <c r="P126" s="47"/>
      <c r="Q126" s="47"/>
      <c r="R126" s="47"/>
      <c r="S126" s="47"/>
      <c r="T126" s="292" t="str">
        <f t="shared" si="8"/>
        <v>トラック・バス</v>
      </c>
      <c r="U126" s="283" t="str">
        <f t="shared" si="9"/>
        <v>ガソリン</v>
      </c>
      <c r="V126" s="283" t="str">
        <f t="shared" si="10"/>
        <v>2.5～3.5 t</v>
      </c>
      <c r="W126" s="283" t="str">
        <f t="shared" si="11"/>
        <v>H21</v>
      </c>
      <c r="X126" s="284" t="str">
        <f t="shared" si="11"/>
        <v>LBF</v>
      </c>
      <c r="Y126" s="271"/>
      <c r="Z126" s="283">
        <f t="shared" si="12"/>
        <v>7.0000000000000007E-2</v>
      </c>
      <c r="AA126" s="283">
        <f t="shared" si="12"/>
        <v>0</v>
      </c>
      <c r="AB126" s="340">
        <f t="shared" si="12"/>
        <v>2.3199999999999998</v>
      </c>
      <c r="AN126" s="47" t="s">
        <v>2080</v>
      </c>
      <c r="AO126" s="47"/>
    </row>
    <row r="127" spans="1:41" s="436" customFormat="1">
      <c r="A127" t="str">
        <f t="shared" si="14"/>
        <v>貨3ガLAF</v>
      </c>
      <c r="B127" t="s">
        <v>2030</v>
      </c>
      <c r="C127" t="s">
        <v>1996</v>
      </c>
      <c r="D127" t="s">
        <v>2382</v>
      </c>
      <c r="E127" t="s">
        <v>317</v>
      </c>
      <c r="F127">
        <v>3.5000000000000003E-2</v>
      </c>
      <c r="G127">
        <v>0</v>
      </c>
      <c r="H127">
        <v>2.3199999999999998</v>
      </c>
      <c r="I127" t="s">
        <v>239</v>
      </c>
      <c r="J127"/>
      <c r="K127" s="47"/>
      <c r="L127" s="47"/>
      <c r="M127" s="47"/>
      <c r="N127" s="47"/>
      <c r="O127" s="47"/>
      <c r="P127" s="47"/>
      <c r="Q127" s="47"/>
      <c r="R127" s="47"/>
      <c r="S127" s="47"/>
      <c r="T127" s="292" t="str">
        <f t="shared" si="8"/>
        <v>トラック・バス</v>
      </c>
      <c r="U127" s="283" t="str">
        <f t="shared" si="9"/>
        <v>ガソリン</v>
      </c>
      <c r="V127" s="283" t="str">
        <f t="shared" si="10"/>
        <v>2.5～3.5 t</v>
      </c>
      <c r="W127" s="283" t="str">
        <f t="shared" si="11"/>
        <v>H21</v>
      </c>
      <c r="X127" s="284" t="str">
        <f t="shared" si="11"/>
        <v>LAF</v>
      </c>
      <c r="Y127" s="271"/>
      <c r="Z127" s="283">
        <f t="shared" si="12"/>
        <v>3.5000000000000003E-2</v>
      </c>
      <c r="AA127" s="283">
        <f t="shared" si="12"/>
        <v>0</v>
      </c>
      <c r="AB127" s="340">
        <f t="shared" si="12"/>
        <v>2.3199999999999998</v>
      </c>
      <c r="AN127" s="47" t="s">
        <v>2089</v>
      </c>
      <c r="AO127" s="47"/>
    </row>
    <row r="128" spans="1:41" s="436" customFormat="1">
      <c r="A128" t="str">
        <f t="shared" si="14"/>
        <v>貨3ガLLF</v>
      </c>
      <c r="B128" t="s">
        <v>2030</v>
      </c>
      <c r="C128" t="s">
        <v>1996</v>
      </c>
      <c r="D128" t="s">
        <v>2382</v>
      </c>
      <c r="E128" t="s">
        <v>2524</v>
      </c>
      <c r="F128">
        <v>1.7500000000000002E-2</v>
      </c>
      <c r="G128">
        <v>0</v>
      </c>
      <c r="H128">
        <v>2.3199999999999998</v>
      </c>
      <c r="I128" t="s">
        <v>1405</v>
      </c>
      <c r="J128"/>
      <c r="K128" s="47"/>
      <c r="L128" s="47"/>
      <c r="M128" s="47"/>
      <c r="N128" s="47"/>
      <c r="O128" s="47"/>
      <c r="P128" s="47"/>
      <c r="Q128" s="47"/>
      <c r="R128" s="47"/>
      <c r="S128" s="47"/>
      <c r="T128" s="292" t="str">
        <f t="shared" si="8"/>
        <v>トラック・バス</v>
      </c>
      <c r="U128" s="283" t="str">
        <f t="shared" si="9"/>
        <v>ガソリン</v>
      </c>
      <c r="V128" s="283" t="str">
        <f t="shared" si="10"/>
        <v>2.5～3.5 t</v>
      </c>
      <c r="W128" s="283" t="str">
        <f t="shared" si="11"/>
        <v>H21</v>
      </c>
      <c r="X128" s="284" t="str">
        <f t="shared" si="11"/>
        <v>LLF</v>
      </c>
      <c r="Y128" s="271"/>
      <c r="Z128" s="283">
        <f t="shared" si="12"/>
        <v>1.7500000000000002E-2</v>
      </c>
      <c r="AA128" s="283">
        <f t="shared" si="12"/>
        <v>0</v>
      </c>
      <c r="AB128" s="340">
        <f t="shared" si="12"/>
        <v>2.3199999999999998</v>
      </c>
      <c r="AN128" s="47" t="s">
        <v>796</v>
      </c>
      <c r="AO128" s="47"/>
    </row>
    <row r="129" spans="1:41" s="436" customFormat="1">
      <c r="A129" t="str">
        <f t="shared" si="14"/>
        <v>貨3ガMBF</v>
      </c>
      <c r="B129" t="s">
        <v>2030</v>
      </c>
      <c r="C129" t="s">
        <v>1996</v>
      </c>
      <c r="D129" t="s">
        <v>2382</v>
      </c>
      <c r="E129" t="s">
        <v>319</v>
      </c>
      <c r="F129">
        <v>3.5000000000000003E-2</v>
      </c>
      <c r="G129">
        <v>0</v>
      </c>
      <c r="H129">
        <v>2.3199999999999998</v>
      </c>
      <c r="I129" t="s">
        <v>260</v>
      </c>
      <c r="J129"/>
      <c r="K129" s="47"/>
      <c r="L129" s="47"/>
      <c r="M129" s="47"/>
      <c r="N129" s="47"/>
      <c r="O129" s="47"/>
      <c r="P129" s="47"/>
      <c r="Q129" s="47"/>
      <c r="R129" s="47"/>
      <c r="S129" s="47"/>
      <c r="T129" s="292" t="str">
        <f t="shared" si="8"/>
        <v>トラック・バス</v>
      </c>
      <c r="U129" s="283" t="str">
        <f t="shared" si="9"/>
        <v>ガソリン</v>
      </c>
      <c r="V129" s="283" t="str">
        <f t="shared" si="10"/>
        <v>2.5～3.5 t</v>
      </c>
      <c r="W129" s="283" t="str">
        <f t="shared" si="11"/>
        <v>H21</v>
      </c>
      <c r="X129" s="284" t="str">
        <f t="shared" si="11"/>
        <v>MBF</v>
      </c>
      <c r="Y129" s="271" t="s">
        <v>1769</v>
      </c>
      <c r="Z129" s="283">
        <f t="shared" si="12"/>
        <v>3.5000000000000003E-2</v>
      </c>
      <c r="AA129" s="283">
        <f t="shared" si="12"/>
        <v>0</v>
      </c>
      <c r="AB129" s="340">
        <f t="shared" si="12"/>
        <v>2.3199999999999998</v>
      </c>
      <c r="AD129" s="47"/>
      <c r="AE129" s="47"/>
      <c r="AF129" s="47"/>
      <c r="AG129" s="47"/>
      <c r="AH129" s="47"/>
      <c r="AI129" s="47"/>
      <c r="AN129" s="47" t="s">
        <v>1925</v>
      </c>
      <c r="AO129" s="47"/>
    </row>
    <row r="130" spans="1:41" s="436" customFormat="1">
      <c r="A130" t="str">
        <f t="shared" si="14"/>
        <v>貨3ガMAF</v>
      </c>
      <c r="B130" t="s">
        <v>2030</v>
      </c>
      <c r="C130" t="s">
        <v>1996</v>
      </c>
      <c r="D130" t="s">
        <v>2382</v>
      </c>
      <c r="E130" t="s">
        <v>321</v>
      </c>
      <c r="F130">
        <v>3.5000000000000003E-2</v>
      </c>
      <c r="G130">
        <v>0</v>
      </c>
      <c r="H130">
        <v>2.3199999999999998</v>
      </c>
      <c r="I130" t="s">
        <v>239</v>
      </c>
      <c r="J130"/>
      <c r="K130" s="47"/>
      <c r="L130" s="47"/>
      <c r="M130" s="47"/>
      <c r="N130" s="47"/>
      <c r="O130" s="47"/>
      <c r="P130" s="47"/>
      <c r="Q130" s="47"/>
      <c r="R130" s="47"/>
      <c r="S130" s="47"/>
      <c r="T130" s="292" t="str">
        <f t="shared" si="8"/>
        <v>トラック・バス</v>
      </c>
      <c r="U130" s="283" t="str">
        <f t="shared" si="9"/>
        <v>ガソリン</v>
      </c>
      <c r="V130" s="283" t="str">
        <f t="shared" si="10"/>
        <v>2.5～3.5 t</v>
      </c>
      <c r="W130" s="283" t="str">
        <f t="shared" si="11"/>
        <v>H21</v>
      </c>
      <c r="X130" s="284" t="str">
        <f t="shared" si="11"/>
        <v>MAF</v>
      </c>
      <c r="Y130" s="271" t="s">
        <v>1769</v>
      </c>
      <c r="Z130" s="283">
        <f t="shared" si="12"/>
        <v>3.5000000000000003E-2</v>
      </c>
      <c r="AA130" s="283">
        <f t="shared" si="12"/>
        <v>0</v>
      </c>
      <c r="AB130" s="340">
        <f t="shared" si="12"/>
        <v>2.3199999999999998</v>
      </c>
      <c r="AD130" s="47"/>
      <c r="AE130" s="47"/>
      <c r="AF130" s="47"/>
      <c r="AG130" s="47"/>
      <c r="AH130" s="47"/>
      <c r="AI130" s="47"/>
      <c r="AN130" s="47" t="s">
        <v>1926</v>
      </c>
      <c r="AO130" s="47"/>
    </row>
    <row r="131" spans="1:41">
      <c r="A131" t="str">
        <f t="shared" si="14"/>
        <v>貨3ガMLF</v>
      </c>
      <c r="B131" t="s">
        <v>2030</v>
      </c>
      <c r="C131" t="s">
        <v>1996</v>
      </c>
      <c r="D131" t="s">
        <v>2382</v>
      </c>
      <c r="E131" t="s">
        <v>2532</v>
      </c>
      <c r="F131">
        <v>3.5000000000000003E-2</v>
      </c>
      <c r="G131">
        <v>0</v>
      </c>
      <c r="H131">
        <v>2.3199999999999998</v>
      </c>
      <c r="I131" t="s">
        <v>1405</v>
      </c>
      <c r="J131"/>
      <c r="K131" s="266"/>
      <c r="L131" s="266"/>
      <c r="M131" s="266"/>
      <c r="N131" s="266"/>
      <c r="O131" s="266"/>
      <c r="P131" s="266"/>
      <c r="Q131" s="266"/>
      <c r="R131" s="266"/>
      <c r="S131" s="266"/>
      <c r="T131" s="292" t="str">
        <f t="shared" si="8"/>
        <v>トラック・バス</v>
      </c>
      <c r="U131" s="283" t="str">
        <f t="shared" si="9"/>
        <v>ガソリン</v>
      </c>
      <c r="V131" s="283" t="str">
        <f t="shared" si="10"/>
        <v>2.5～3.5 t</v>
      </c>
      <c r="W131" s="283" t="str">
        <f t="shared" si="11"/>
        <v>H21</v>
      </c>
      <c r="X131" s="284" t="str">
        <f t="shared" si="11"/>
        <v>MLF</v>
      </c>
      <c r="Y131" s="271" t="s">
        <v>1769</v>
      </c>
      <c r="Z131" s="283">
        <f t="shared" si="12"/>
        <v>3.5000000000000003E-2</v>
      </c>
      <c r="AA131" s="283">
        <f t="shared" si="12"/>
        <v>0</v>
      </c>
      <c r="AB131" s="340">
        <f t="shared" si="12"/>
        <v>2.3199999999999998</v>
      </c>
      <c r="AN131" s="47" t="s">
        <v>1927</v>
      </c>
    </row>
    <row r="132" spans="1:41">
      <c r="A132" t="str">
        <f t="shared" si="14"/>
        <v>貨3ガRBF</v>
      </c>
      <c r="B132" t="s">
        <v>2030</v>
      </c>
      <c r="C132" t="s">
        <v>1996</v>
      </c>
      <c r="D132" t="s">
        <v>2382</v>
      </c>
      <c r="E132" t="s">
        <v>323</v>
      </c>
      <c r="F132">
        <v>1.7500000000000002E-2</v>
      </c>
      <c r="G132">
        <v>0</v>
      </c>
      <c r="H132">
        <v>2.3199999999999998</v>
      </c>
      <c r="I132" t="s">
        <v>263</v>
      </c>
      <c r="J132"/>
      <c r="K132" s="266"/>
      <c r="L132" s="266"/>
      <c r="M132" s="266"/>
      <c r="N132" s="266"/>
      <c r="O132" s="266"/>
      <c r="P132" s="266"/>
      <c r="Q132" s="266"/>
      <c r="R132" s="266"/>
      <c r="S132" s="266"/>
      <c r="T132" s="292" t="str">
        <f t="shared" si="8"/>
        <v>トラック・バス</v>
      </c>
      <c r="U132" s="283" t="str">
        <f t="shared" si="9"/>
        <v>ガソリン</v>
      </c>
      <c r="V132" s="283" t="str">
        <f t="shared" si="10"/>
        <v>2.5～3.5 t</v>
      </c>
      <c r="W132" s="283" t="str">
        <f t="shared" si="11"/>
        <v>H21</v>
      </c>
      <c r="X132" s="284" t="str">
        <f t="shared" si="11"/>
        <v>RBF</v>
      </c>
      <c r="Y132" s="271" t="s">
        <v>2262</v>
      </c>
      <c r="Z132" s="283">
        <f t="shared" si="12"/>
        <v>1.7500000000000002E-2</v>
      </c>
      <c r="AA132" s="283">
        <f t="shared" si="12"/>
        <v>0</v>
      </c>
      <c r="AB132" s="340">
        <f t="shared" si="12"/>
        <v>2.3199999999999998</v>
      </c>
      <c r="AN132" s="47" t="s">
        <v>800</v>
      </c>
    </row>
    <row r="133" spans="1:41">
      <c r="A133" t="str">
        <f t="shared" si="14"/>
        <v>貨3ガRAF</v>
      </c>
      <c r="B133" t="s">
        <v>2030</v>
      </c>
      <c r="C133" t="s">
        <v>1996</v>
      </c>
      <c r="D133" t="s">
        <v>2382</v>
      </c>
      <c r="E133" t="s">
        <v>325</v>
      </c>
      <c r="F133">
        <v>1.7500000000000002E-2</v>
      </c>
      <c r="G133">
        <v>0</v>
      </c>
      <c r="H133">
        <v>2.3199999999999998</v>
      </c>
      <c r="I133" t="s">
        <v>239</v>
      </c>
      <c r="J133"/>
      <c r="K133" s="436"/>
      <c r="L133" s="436"/>
      <c r="M133" s="436"/>
      <c r="N133" s="436"/>
      <c r="O133" s="436"/>
      <c r="P133" s="436"/>
      <c r="Q133" s="436"/>
      <c r="R133" s="436"/>
      <c r="S133" s="436"/>
      <c r="T133" s="292" t="str">
        <f t="shared" ref="T133:T196" si="15">IF(LEFT(C133,1)="貨","トラック・バス","乗用車")</f>
        <v>トラック・バス</v>
      </c>
      <c r="U133" s="283" t="str">
        <f t="shared" ref="U133:U196" si="16">VLOOKUP(RIGHT(C133,1),$AL$4:$AM$8,2,FALSE)</f>
        <v>ガソリン</v>
      </c>
      <c r="V133" s="283" t="str">
        <f t="shared" ref="V133:V196" si="17">VLOOKUP(VALUE(MID(C133,2,1)),$AL$10:$AM$15,2,FALSE)</f>
        <v>2.5～3.5 t</v>
      </c>
      <c r="W133" s="283" t="str">
        <f t="shared" ref="W133:X196" si="18">D133</f>
        <v>H21</v>
      </c>
      <c r="X133" s="284" t="str">
        <f t="shared" si="18"/>
        <v>RAF</v>
      </c>
      <c r="Y133" s="271" t="s">
        <v>2262</v>
      </c>
      <c r="Z133" s="283">
        <f t="shared" ref="Z133:AB196" si="19">F133</f>
        <v>1.7500000000000002E-2</v>
      </c>
      <c r="AA133" s="283">
        <f t="shared" si="19"/>
        <v>0</v>
      </c>
      <c r="AB133" s="340">
        <f t="shared" si="19"/>
        <v>2.3199999999999998</v>
      </c>
      <c r="AN133" s="47" t="s">
        <v>1929</v>
      </c>
    </row>
    <row r="134" spans="1:41">
      <c r="A134" t="str">
        <f t="shared" si="14"/>
        <v>貨3ガRLF</v>
      </c>
      <c r="B134" t="s">
        <v>2030</v>
      </c>
      <c r="C134" t="s">
        <v>1996</v>
      </c>
      <c r="D134" t="s">
        <v>2382</v>
      </c>
      <c r="E134" t="s">
        <v>2550</v>
      </c>
      <c r="F134">
        <v>1.7500000000000002E-2</v>
      </c>
      <c r="G134">
        <v>0</v>
      </c>
      <c r="H134">
        <v>2.3199999999999998</v>
      </c>
      <c r="I134" t="s">
        <v>1405</v>
      </c>
      <c r="J134"/>
      <c r="K134" s="436"/>
      <c r="L134" s="436"/>
      <c r="M134" s="436"/>
      <c r="N134" s="436"/>
      <c r="O134" s="436"/>
      <c r="P134" s="436"/>
      <c r="Q134" s="436"/>
      <c r="R134" s="436"/>
      <c r="S134" s="436"/>
      <c r="T134" s="292" t="str">
        <f t="shared" si="15"/>
        <v>トラック・バス</v>
      </c>
      <c r="U134" s="283" t="str">
        <f t="shared" si="16"/>
        <v>ガソリン</v>
      </c>
      <c r="V134" s="283" t="str">
        <f t="shared" si="17"/>
        <v>2.5～3.5 t</v>
      </c>
      <c r="W134" s="283" t="str">
        <f t="shared" si="18"/>
        <v>H21</v>
      </c>
      <c r="X134" s="284" t="str">
        <f t="shared" si="18"/>
        <v>RLF</v>
      </c>
      <c r="Y134" s="271" t="s">
        <v>2262</v>
      </c>
      <c r="Z134" s="283">
        <f t="shared" si="19"/>
        <v>1.7500000000000002E-2</v>
      </c>
      <c r="AA134" s="283">
        <f t="shared" si="19"/>
        <v>0</v>
      </c>
      <c r="AB134" s="340">
        <f t="shared" si="19"/>
        <v>2.3199999999999998</v>
      </c>
      <c r="AN134" s="47" t="s">
        <v>1930</v>
      </c>
    </row>
    <row r="135" spans="1:41">
      <c r="A135" t="str">
        <f t="shared" si="14"/>
        <v>貨3ガQBF</v>
      </c>
      <c r="B135" t="s">
        <v>2030</v>
      </c>
      <c r="C135" t="s">
        <v>1996</v>
      </c>
      <c r="D135" t="s">
        <v>2382</v>
      </c>
      <c r="E135" t="s">
        <v>327</v>
      </c>
      <c r="F135">
        <v>6.3E-2</v>
      </c>
      <c r="G135">
        <v>0</v>
      </c>
      <c r="H135">
        <v>2.3199999999999998</v>
      </c>
      <c r="I135" t="s">
        <v>232</v>
      </c>
      <c r="J135"/>
      <c r="K135" s="436"/>
      <c r="L135" s="436"/>
      <c r="M135" s="436"/>
      <c r="N135" s="436"/>
      <c r="O135" s="436"/>
      <c r="P135" s="436"/>
      <c r="Q135" s="436"/>
      <c r="R135" s="436"/>
      <c r="S135" s="436"/>
      <c r="T135" s="292" t="str">
        <f t="shared" si="15"/>
        <v>トラック・バス</v>
      </c>
      <c r="U135" s="283" t="str">
        <f t="shared" si="16"/>
        <v>ガソリン</v>
      </c>
      <c r="V135" s="283" t="str">
        <f t="shared" si="17"/>
        <v>2.5～3.5 t</v>
      </c>
      <c r="W135" s="283" t="str">
        <f t="shared" si="18"/>
        <v>H21</v>
      </c>
      <c r="X135" s="284" t="str">
        <f t="shared" si="18"/>
        <v>QBF</v>
      </c>
      <c r="Y135" s="271" t="s">
        <v>1762</v>
      </c>
      <c r="Z135" s="283">
        <f t="shared" si="19"/>
        <v>6.3E-2</v>
      </c>
      <c r="AA135" s="283">
        <f t="shared" si="19"/>
        <v>0</v>
      </c>
      <c r="AB135" s="340">
        <f t="shared" si="19"/>
        <v>2.3199999999999998</v>
      </c>
      <c r="AN135" s="47" t="s">
        <v>1931</v>
      </c>
    </row>
    <row r="136" spans="1:41">
      <c r="A136" t="str">
        <f t="shared" si="14"/>
        <v>貨3ガQAF</v>
      </c>
      <c r="B136" t="s">
        <v>2030</v>
      </c>
      <c r="C136" t="s">
        <v>1996</v>
      </c>
      <c r="D136" t="s">
        <v>2382</v>
      </c>
      <c r="E136" t="s">
        <v>329</v>
      </c>
      <c r="F136">
        <v>6.3E-2</v>
      </c>
      <c r="G136">
        <v>0</v>
      </c>
      <c r="H136">
        <v>2.3199999999999998</v>
      </c>
      <c r="I136" t="s">
        <v>239</v>
      </c>
      <c r="J136"/>
      <c r="K136" s="436"/>
      <c r="L136" s="436"/>
      <c r="M136" s="436"/>
      <c r="N136" s="436"/>
      <c r="O136" s="436"/>
      <c r="P136" s="436"/>
      <c r="Q136" s="436"/>
      <c r="R136" s="436"/>
      <c r="S136" s="436"/>
      <c r="T136" s="292" t="str">
        <f t="shared" si="15"/>
        <v>トラック・バス</v>
      </c>
      <c r="U136" s="283" t="str">
        <f t="shared" si="16"/>
        <v>ガソリン</v>
      </c>
      <c r="V136" s="283" t="str">
        <f t="shared" si="17"/>
        <v>2.5～3.5 t</v>
      </c>
      <c r="W136" s="283" t="str">
        <f t="shared" si="18"/>
        <v>H21</v>
      </c>
      <c r="X136" s="284" t="str">
        <f t="shared" si="18"/>
        <v>QAF</v>
      </c>
      <c r="Y136" s="271" t="s">
        <v>1762</v>
      </c>
      <c r="Z136" s="283">
        <f t="shared" si="19"/>
        <v>6.3E-2</v>
      </c>
      <c r="AA136" s="283">
        <f t="shared" si="19"/>
        <v>0</v>
      </c>
      <c r="AB136" s="340">
        <f t="shared" si="19"/>
        <v>2.3199999999999998</v>
      </c>
      <c r="AN136" s="47" t="s">
        <v>804</v>
      </c>
    </row>
    <row r="137" spans="1:41">
      <c r="A137" t="str">
        <f t="shared" si="14"/>
        <v>貨3ガQLF</v>
      </c>
      <c r="B137" t="s">
        <v>2030</v>
      </c>
      <c r="C137" t="s">
        <v>1996</v>
      </c>
      <c r="D137" t="s">
        <v>2382</v>
      </c>
      <c r="E137" t="s">
        <v>2542</v>
      </c>
      <c r="F137">
        <v>6.3E-2</v>
      </c>
      <c r="G137">
        <v>0</v>
      </c>
      <c r="H137">
        <v>2.3199999999999998</v>
      </c>
      <c r="I137" t="s">
        <v>1405</v>
      </c>
      <c r="J137"/>
      <c r="K137" s="436"/>
      <c r="L137" s="436"/>
      <c r="M137" s="436"/>
      <c r="N137" s="436"/>
      <c r="O137" s="436"/>
      <c r="P137" s="436"/>
      <c r="Q137" s="436"/>
      <c r="R137" s="436"/>
      <c r="S137" s="436"/>
      <c r="T137" s="292" t="str">
        <f t="shared" si="15"/>
        <v>トラック・バス</v>
      </c>
      <c r="U137" s="283" t="str">
        <f t="shared" si="16"/>
        <v>ガソリン</v>
      </c>
      <c r="V137" s="283" t="str">
        <f t="shared" si="17"/>
        <v>2.5～3.5 t</v>
      </c>
      <c r="W137" s="283" t="str">
        <f t="shared" si="18"/>
        <v>H21</v>
      </c>
      <c r="X137" s="284" t="str">
        <f t="shared" si="18"/>
        <v>QLF</v>
      </c>
      <c r="Y137" s="271" t="s">
        <v>1762</v>
      </c>
      <c r="Z137" s="283">
        <f t="shared" si="19"/>
        <v>6.3E-2</v>
      </c>
      <c r="AA137" s="283">
        <f t="shared" si="19"/>
        <v>0</v>
      </c>
      <c r="AB137" s="340">
        <f t="shared" si="19"/>
        <v>2.3199999999999998</v>
      </c>
      <c r="AN137" s="47" t="s">
        <v>1502</v>
      </c>
    </row>
    <row r="138" spans="1:41">
      <c r="A138" t="str">
        <f t="shared" si="14"/>
        <v>貨3ガ3BF</v>
      </c>
      <c r="B138" t="s">
        <v>2030</v>
      </c>
      <c r="C138" t="s">
        <v>1996</v>
      </c>
      <c r="D138" t="s">
        <v>2750</v>
      </c>
      <c r="E138" t="s">
        <v>2583</v>
      </c>
      <c r="F138">
        <v>7.0000000000000007E-2</v>
      </c>
      <c r="G138">
        <v>0</v>
      </c>
      <c r="H138">
        <v>2.3199999999999998</v>
      </c>
      <c r="I138" t="s">
        <v>232</v>
      </c>
      <c r="J138"/>
      <c r="K138" s="436"/>
      <c r="L138" s="436"/>
      <c r="M138" s="436"/>
      <c r="N138" s="436"/>
      <c r="O138" s="436"/>
      <c r="P138" s="436"/>
      <c r="Q138" s="436"/>
      <c r="R138" s="436"/>
      <c r="S138" s="436"/>
      <c r="T138" s="292" t="str">
        <f t="shared" si="15"/>
        <v>トラック・バス</v>
      </c>
      <c r="U138" s="283" t="str">
        <f t="shared" si="16"/>
        <v>ガソリン</v>
      </c>
      <c r="V138" s="283" t="str">
        <f t="shared" si="17"/>
        <v>2.5～3.5 t</v>
      </c>
      <c r="W138" s="283" t="str">
        <f t="shared" si="18"/>
        <v>H30</v>
      </c>
      <c r="X138" s="284" t="str">
        <f t="shared" si="18"/>
        <v>3BF</v>
      </c>
      <c r="Y138" s="271"/>
      <c r="Z138" s="283">
        <f t="shared" si="19"/>
        <v>7.0000000000000007E-2</v>
      </c>
      <c r="AA138" s="283">
        <f t="shared" si="19"/>
        <v>0</v>
      </c>
      <c r="AB138" s="340">
        <f t="shared" si="19"/>
        <v>2.3199999999999998</v>
      </c>
      <c r="AN138" s="47" t="s">
        <v>1506</v>
      </c>
    </row>
    <row r="139" spans="1:41">
      <c r="A139" t="str">
        <f t="shared" si="14"/>
        <v>貨3ガ3AF</v>
      </c>
      <c r="B139" t="s">
        <v>2030</v>
      </c>
      <c r="C139" t="s">
        <v>1996</v>
      </c>
      <c r="D139" t="s">
        <v>2750</v>
      </c>
      <c r="E139" t="s">
        <v>2580</v>
      </c>
      <c r="F139">
        <v>3.5000000000000003E-2</v>
      </c>
      <c r="G139">
        <v>0</v>
      </c>
      <c r="H139">
        <v>2.3199999999999998</v>
      </c>
      <c r="I139" t="s">
        <v>239</v>
      </c>
      <c r="J139"/>
      <c r="T139" s="292" t="str">
        <f t="shared" si="15"/>
        <v>トラック・バス</v>
      </c>
      <c r="U139" s="283" t="str">
        <f t="shared" si="16"/>
        <v>ガソリン</v>
      </c>
      <c r="V139" s="283" t="str">
        <f t="shared" si="17"/>
        <v>2.5～3.5 t</v>
      </c>
      <c r="W139" s="283" t="str">
        <f t="shared" si="18"/>
        <v>H30</v>
      </c>
      <c r="X139" s="284" t="str">
        <f t="shared" si="18"/>
        <v>3AF</v>
      </c>
      <c r="Y139" s="271"/>
      <c r="Z139" s="283">
        <f t="shared" si="19"/>
        <v>3.5000000000000003E-2</v>
      </c>
      <c r="AA139" s="283">
        <f t="shared" si="19"/>
        <v>0</v>
      </c>
      <c r="AB139" s="340">
        <f t="shared" si="19"/>
        <v>2.3199999999999998</v>
      </c>
      <c r="AN139" s="47" t="s">
        <v>1414</v>
      </c>
    </row>
    <row r="140" spans="1:41">
      <c r="A140" t="str">
        <f t="shared" si="14"/>
        <v>貨3ガ3LF</v>
      </c>
      <c r="B140" t="s">
        <v>2030</v>
      </c>
      <c r="C140" t="s">
        <v>1996</v>
      </c>
      <c r="D140" t="s">
        <v>2750</v>
      </c>
      <c r="E140" t="s">
        <v>2604</v>
      </c>
      <c r="F140">
        <v>1.7500000000000002E-2</v>
      </c>
      <c r="G140">
        <v>0</v>
      </c>
      <c r="H140">
        <v>2.3199999999999998</v>
      </c>
      <c r="I140" t="s">
        <v>1405</v>
      </c>
      <c r="J140"/>
      <c r="T140" s="292" t="str">
        <f t="shared" si="15"/>
        <v>トラック・バス</v>
      </c>
      <c r="U140" s="283" t="str">
        <f t="shared" si="16"/>
        <v>ガソリン</v>
      </c>
      <c r="V140" s="283" t="str">
        <f t="shared" si="17"/>
        <v>2.5～3.5 t</v>
      </c>
      <c r="W140" s="283" t="str">
        <f t="shared" si="18"/>
        <v>H30</v>
      </c>
      <c r="X140" s="284" t="str">
        <f t="shared" si="18"/>
        <v>3LF</v>
      </c>
      <c r="Y140" s="271"/>
      <c r="Z140" s="283">
        <f t="shared" si="19"/>
        <v>1.7500000000000002E-2</v>
      </c>
      <c r="AA140" s="283">
        <f t="shared" si="19"/>
        <v>0</v>
      </c>
      <c r="AB140" s="340">
        <f t="shared" si="19"/>
        <v>2.3199999999999998</v>
      </c>
      <c r="AN140" s="47" t="s">
        <v>2519</v>
      </c>
    </row>
    <row r="141" spans="1:41">
      <c r="A141" t="str">
        <f t="shared" si="14"/>
        <v>貨3ガ4BF</v>
      </c>
      <c r="B141" t="s">
        <v>2030</v>
      </c>
      <c r="C141" t="s">
        <v>1996</v>
      </c>
      <c r="D141" t="s">
        <v>2750</v>
      </c>
      <c r="E141" t="s">
        <v>2613</v>
      </c>
      <c r="F141">
        <v>5.2500000000000005E-2</v>
      </c>
      <c r="G141">
        <v>0</v>
      </c>
      <c r="H141">
        <v>2.3199999999999998</v>
      </c>
      <c r="I141" t="s">
        <v>232</v>
      </c>
      <c r="J141"/>
      <c r="T141" s="292" t="str">
        <f t="shared" si="15"/>
        <v>トラック・バス</v>
      </c>
      <c r="U141" s="283" t="str">
        <f t="shared" si="16"/>
        <v>ガソリン</v>
      </c>
      <c r="V141" s="283" t="str">
        <f t="shared" si="17"/>
        <v>2.5～3.5 t</v>
      </c>
      <c r="W141" s="283" t="str">
        <f t="shared" si="18"/>
        <v>H30</v>
      </c>
      <c r="X141" s="284" t="str">
        <f t="shared" si="18"/>
        <v>4BF</v>
      </c>
      <c r="Y141" s="271" t="s">
        <v>1769</v>
      </c>
      <c r="Z141" s="283">
        <f t="shared" si="19"/>
        <v>5.2500000000000005E-2</v>
      </c>
      <c r="AA141" s="283">
        <f t="shared" si="19"/>
        <v>0</v>
      </c>
      <c r="AB141" s="340">
        <f t="shared" si="19"/>
        <v>2.3199999999999998</v>
      </c>
      <c r="AN141" s="47" t="s">
        <v>2520</v>
      </c>
    </row>
    <row r="142" spans="1:41">
      <c r="A142" t="str">
        <f t="shared" si="14"/>
        <v>貨3ガ4AF</v>
      </c>
      <c r="B142" t="s">
        <v>2030</v>
      </c>
      <c r="C142" t="s">
        <v>1996</v>
      </c>
      <c r="D142" t="s">
        <v>2750</v>
      </c>
      <c r="E142" t="s">
        <v>2610</v>
      </c>
      <c r="F142">
        <v>5.2499999999999998E-2</v>
      </c>
      <c r="G142">
        <v>0</v>
      </c>
      <c r="H142">
        <v>2.3199999999999998</v>
      </c>
      <c r="I142" t="s">
        <v>239</v>
      </c>
      <c r="J142"/>
      <c r="T142" s="292" t="str">
        <f t="shared" si="15"/>
        <v>トラック・バス</v>
      </c>
      <c r="U142" s="283" t="str">
        <f t="shared" si="16"/>
        <v>ガソリン</v>
      </c>
      <c r="V142" s="283" t="str">
        <f t="shared" si="17"/>
        <v>2.5～3.5 t</v>
      </c>
      <c r="W142" s="283" t="str">
        <f t="shared" si="18"/>
        <v>H30</v>
      </c>
      <c r="X142" s="284" t="str">
        <f t="shared" si="18"/>
        <v>4AF</v>
      </c>
      <c r="Y142" s="271" t="s">
        <v>1769</v>
      </c>
      <c r="Z142" s="283">
        <f t="shared" si="19"/>
        <v>5.2499999999999998E-2</v>
      </c>
      <c r="AA142" s="283">
        <f t="shared" si="19"/>
        <v>0</v>
      </c>
      <c r="AB142" s="340">
        <f t="shared" si="19"/>
        <v>2.3199999999999998</v>
      </c>
      <c r="AN142" s="47" t="s">
        <v>1510</v>
      </c>
    </row>
    <row r="143" spans="1:41">
      <c r="A143" t="str">
        <f t="shared" si="14"/>
        <v>貨3ガ4LF</v>
      </c>
      <c r="B143" t="s">
        <v>2030</v>
      </c>
      <c r="C143" t="s">
        <v>1996</v>
      </c>
      <c r="D143" t="s">
        <v>2750</v>
      </c>
      <c r="E143" t="s">
        <v>2634</v>
      </c>
      <c r="F143">
        <v>5.2499999999999998E-2</v>
      </c>
      <c r="G143">
        <v>0</v>
      </c>
      <c r="H143">
        <v>2.3199999999999998</v>
      </c>
      <c r="I143" t="s">
        <v>1405</v>
      </c>
      <c r="J143"/>
      <c r="T143" s="292" t="str">
        <f t="shared" si="15"/>
        <v>トラック・バス</v>
      </c>
      <c r="U143" s="283" t="str">
        <f t="shared" si="16"/>
        <v>ガソリン</v>
      </c>
      <c r="V143" s="283" t="str">
        <f t="shared" si="17"/>
        <v>2.5～3.5 t</v>
      </c>
      <c r="W143" s="283" t="str">
        <f t="shared" si="18"/>
        <v>H30</v>
      </c>
      <c r="X143" s="284" t="str">
        <f t="shared" si="18"/>
        <v>4LF</v>
      </c>
      <c r="Y143" s="271" t="s">
        <v>1769</v>
      </c>
      <c r="Z143" s="283">
        <f t="shared" si="19"/>
        <v>5.2499999999999998E-2</v>
      </c>
      <c r="AA143" s="283">
        <f t="shared" si="19"/>
        <v>0</v>
      </c>
      <c r="AB143" s="340">
        <f t="shared" si="19"/>
        <v>2.3199999999999998</v>
      </c>
      <c r="AN143" s="47" t="s">
        <v>1566</v>
      </c>
    </row>
    <row r="144" spans="1:41">
      <c r="A144" t="str">
        <f t="shared" si="14"/>
        <v>貨3ガ5BF</v>
      </c>
      <c r="B144" t="s">
        <v>2030</v>
      </c>
      <c r="C144" t="s">
        <v>1996</v>
      </c>
      <c r="D144" t="s">
        <v>2750</v>
      </c>
      <c r="E144" t="s">
        <v>2643</v>
      </c>
      <c r="F144">
        <v>3.5000000000000003E-2</v>
      </c>
      <c r="G144">
        <v>0</v>
      </c>
      <c r="H144">
        <v>2.3199999999999998</v>
      </c>
      <c r="I144" t="s">
        <v>2200</v>
      </c>
      <c r="J144"/>
      <c r="T144" s="292" t="str">
        <f t="shared" si="15"/>
        <v>トラック・バス</v>
      </c>
      <c r="U144" s="283" t="str">
        <f t="shared" si="16"/>
        <v>ガソリン</v>
      </c>
      <c r="V144" s="283" t="str">
        <f t="shared" si="17"/>
        <v>2.5～3.5 t</v>
      </c>
      <c r="W144" s="283" t="str">
        <f t="shared" si="18"/>
        <v>H30</v>
      </c>
      <c r="X144" s="284" t="str">
        <f t="shared" si="18"/>
        <v>5BF</v>
      </c>
      <c r="Y144" s="271" t="s">
        <v>2262</v>
      </c>
      <c r="Z144" s="283">
        <f t="shared" si="19"/>
        <v>3.5000000000000003E-2</v>
      </c>
      <c r="AA144" s="283">
        <f t="shared" si="19"/>
        <v>0</v>
      </c>
      <c r="AB144" s="340">
        <f t="shared" si="19"/>
        <v>2.3199999999999998</v>
      </c>
      <c r="AN144" s="47" t="s">
        <v>1568</v>
      </c>
    </row>
    <row r="145" spans="1:41">
      <c r="A145" t="str">
        <f t="shared" si="14"/>
        <v>貨3ガ5AF</v>
      </c>
      <c r="B145" t="s">
        <v>2030</v>
      </c>
      <c r="C145" t="s">
        <v>1996</v>
      </c>
      <c r="D145" t="s">
        <v>2750</v>
      </c>
      <c r="E145" t="s">
        <v>2640</v>
      </c>
      <c r="F145">
        <v>3.5000000000000003E-2</v>
      </c>
      <c r="G145">
        <v>0</v>
      </c>
      <c r="H145">
        <v>2.3199999999999998</v>
      </c>
      <c r="I145" t="s">
        <v>239</v>
      </c>
      <c r="J145"/>
      <c r="T145" s="292" t="str">
        <f t="shared" si="15"/>
        <v>トラック・バス</v>
      </c>
      <c r="U145" s="283" t="str">
        <f t="shared" si="16"/>
        <v>ガソリン</v>
      </c>
      <c r="V145" s="283" t="str">
        <f t="shared" si="17"/>
        <v>2.5～3.5 t</v>
      </c>
      <c r="W145" s="283" t="str">
        <f t="shared" si="18"/>
        <v>H30</v>
      </c>
      <c r="X145" s="284" t="str">
        <f t="shared" si="18"/>
        <v>5AF</v>
      </c>
      <c r="Y145" s="271" t="s">
        <v>2262</v>
      </c>
      <c r="Z145" s="283">
        <f t="shared" si="19"/>
        <v>3.5000000000000003E-2</v>
      </c>
      <c r="AA145" s="283">
        <f t="shared" si="19"/>
        <v>0</v>
      </c>
      <c r="AB145" s="340">
        <f t="shared" si="19"/>
        <v>2.3199999999999998</v>
      </c>
      <c r="AN145" s="47" t="s">
        <v>2521</v>
      </c>
    </row>
    <row r="146" spans="1:41">
      <c r="A146" t="str">
        <f t="shared" si="14"/>
        <v>貨3ガ5LF</v>
      </c>
      <c r="B146" t="s">
        <v>2030</v>
      </c>
      <c r="C146" t="s">
        <v>1996</v>
      </c>
      <c r="D146" t="s">
        <v>2750</v>
      </c>
      <c r="E146" t="s">
        <v>2664</v>
      </c>
      <c r="F146">
        <v>3.5000000000000003E-2</v>
      </c>
      <c r="G146">
        <v>0</v>
      </c>
      <c r="H146">
        <v>2.3199999999999998</v>
      </c>
      <c r="I146" t="s">
        <v>1405</v>
      </c>
      <c r="J146"/>
      <c r="T146" s="292" t="str">
        <f t="shared" si="15"/>
        <v>トラック・バス</v>
      </c>
      <c r="U146" s="283" t="str">
        <f t="shared" si="16"/>
        <v>ガソリン</v>
      </c>
      <c r="V146" s="283" t="str">
        <f t="shared" si="17"/>
        <v>2.5～3.5 t</v>
      </c>
      <c r="W146" s="283" t="str">
        <f t="shared" si="18"/>
        <v>H30</v>
      </c>
      <c r="X146" s="284" t="str">
        <f t="shared" si="18"/>
        <v>5LF</v>
      </c>
      <c r="Y146" s="271" t="s">
        <v>2262</v>
      </c>
      <c r="Z146" s="283">
        <f t="shared" si="19"/>
        <v>3.5000000000000003E-2</v>
      </c>
      <c r="AA146" s="283">
        <f t="shared" si="19"/>
        <v>0</v>
      </c>
      <c r="AB146" s="340">
        <f t="shared" si="19"/>
        <v>2.3199999999999998</v>
      </c>
      <c r="AN146" s="47" t="s">
        <v>2522</v>
      </c>
    </row>
    <row r="147" spans="1:41">
      <c r="A147" t="str">
        <f t="shared" si="14"/>
        <v>貨3ガ6BF</v>
      </c>
      <c r="B147" t="s">
        <v>2030</v>
      </c>
      <c r="C147" t="s">
        <v>1996</v>
      </c>
      <c r="D147" t="s">
        <v>2750</v>
      </c>
      <c r="E147" t="s">
        <v>2673</v>
      </c>
      <c r="F147">
        <v>1.7500000000000002E-2</v>
      </c>
      <c r="G147">
        <v>0</v>
      </c>
      <c r="H147">
        <v>2.3199999999999998</v>
      </c>
      <c r="I147" t="s">
        <v>2202</v>
      </c>
      <c r="J147"/>
      <c r="T147" s="292" t="str">
        <f t="shared" si="15"/>
        <v>トラック・バス</v>
      </c>
      <c r="U147" s="283" t="str">
        <f t="shared" si="16"/>
        <v>ガソリン</v>
      </c>
      <c r="V147" s="283" t="str">
        <f t="shared" si="17"/>
        <v>2.5～3.5 t</v>
      </c>
      <c r="W147" s="283" t="str">
        <f t="shared" si="18"/>
        <v>H30</v>
      </c>
      <c r="X147" s="284" t="str">
        <f t="shared" si="18"/>
        <v>6BF</v>
      </c>
      <c r="Y147" s="271" t="s">
        <v>2758</v>
      </c>
      <c r="Z147" s="283">
        <f t="shared" si="19"/>
        <v>1.7500000000000002E-2</v>
      </c>
      <c r="AA147" s="283">
        <f t="shared" si="19"/>
        <v>0</v>
      </c>
      <c r="AB147" s="340">
        <f t="shared" si="19"/>
        <v>2.3199999999999998</v>
      </c>
      <c r="AN147" s="47" t="s">
        <v>693</v>
      </c>
    </row>
    <row r="148" spans="1:41">
      <c r="A148" t="str">
        <f t="shared" si="14"/>
        <v>貨3ガ6AF</v>
      </c>
      <c r="B148" t="s">
        <v>2030</v>
      </c>
      <c r="C148" t="s">
        <v>1996</v>
      </c>
      <c r="D148" t="s">
        <v>2750</v>
      </c>
      <c r="E148" t="s">
        <v>2670</v>
      </c>
      <c r="F148">
        <v>1.7500000000000002E-2</v>
      </c>
      <c r="G148">
        <v>0</v>
      </c>
      <c r="H148">
        <v>2.3199999999999998</v>
      </c>
      <c r="I148" t="s">
        <v>239</v>
      </c>
      <c r="J148"/>
      <c r="T148" s="292" t="str">
        <f t="shared" si="15"/>
        <v>トラック・バス</v>
      </c>
      <c r="U148" s="283" t="str">
        <f t="shared" si="16"/>
        <v>ガソリン</v>
      </c>
      <c r="V148" s="283" t="str">
        <f t="shared" si="17"/>
        <v>2.5～3.5 t</v>
      </c>
      <c r="W148" s="283" t="str">
        <f t="shared" si="18"/>
        <v>H30</v>
      </c>
      <c r="X148" s="284" t="str">
        <f t="shared" si="18"/>
        <v>6AF</v>
      </c>
      <c r="Y148" s="271" t="s">
        <v>2758</v>
      </c>
      <c r="Z148" s="283">
        <f t="shared" si="19"/>
        <v>1.7500000000000002E-2</v>
      </c>
      <c r="AA148" s="283">
        <f t="shared" si="19"/>
        <v>0</v>
      </c>
      <c r="AB148" s="340">
        <f t="shared" si="19"/>
        <v>2.3199999999999998</v>
      </c>
      <c r="AN148" s="47" t="s">
        <v>697</v>
      </c>
    </row>
    <row r="149" spans="1:41">
      <c r="A149" t="str">
        <f t="shared" si="14"/>
        <v>貨3ガ6LF</v>
      </c>
      <c r="B149" t="s">
        <v>2030</v>
      </c>
      <c r="C149" t="s">
        <v>1996</v>
      </c>
      <c r="D149" t="s">
        <v>2750</v>
      </c>
      <c r="E149" t="s">
        <v>2694</v>
      </c>
      <c r="F149">
        <v>1.7500000000000002E-2</v>
      </c>
      <c r="G149">
        <v>0</v>
      </c>
      <c r="H149">
        <v>2.3199999999999998</v>
      </c>
      <c r="I149" t="s">
        <v>1405</v>
      </c>
      <c r="J149"/>
      <c r="T149" s="292" t="str">
        <f t="shared" si="15"/>
        <v>トラック・バス</v>
      </c>
      <c r="U149" s="283" t="str">
        <f t="shared" si="16"/>
        <v>ガソリン</v>
      </c>
      <c r="V149" s="283" t="str">
        <f t="shared" si="17"/>
        <v>2.5～3.5 t</v>
      </c>
      <c r="W149" s="283" t="str">
        <f t="shared" si="18"/>
        <v>H30</v>
      </c>
      <c r="X149" s="284" t="str">
        <f t="shared" si="18"/>
        <v>6LF</v>
      </c>
      <c r="Y149" s="271" t="s">
        <v>2758</v>
      </c>
      <c r="Z149" s="283">
        <f t="shared" si="19"/>
        <v>1.7500000000000002E-2</v>
      </c>
      <c r="AA149" s="283">
        <f t="shared" si="19"/>
        <v>0</v>
      </c>
      <c r="AB149" s="340">
        <f t="shared" si="19"/>
        <v>2.3199999999999998</v>
      </c>
      <c r="AN149" s="47" t="s">
        <v>701</v>
      </c>
    </row>
    <row r="150" spans="1:41">
      <c r="A150" t="str">
        <f t="shared" si="14"/>
        <v>貨4ガ-</v>
      </c>
      <c r="B150" t="s">
        <v>2031</v>
      </c>
      <c r="C150" t="s">
        <v>2000</v>
      </c>
      <c r="D150" t="s">
        <v>2458</v>
      </c>
      <c r="E150" t="s">
        <v>2457</v>
      </c>
      <c r="F150">
        <v>1.17</v>
      </c>
      <c r="G150">
        <v>0</v>
      </c>
      <c r="H150">
        <v>2.3199999999999998</v>
      </c>
      <c r="I150" t="s">
        <v>232</v>
      </c>
      <c r="J150"/>
      <c r="T150" s="292" t="str">
        <f t="shared" si="15"/>
        <v>トラック・バス</v>
      </c>
      <c r="U150" s="283" t="str">
        <f t="shared" si="16"/>
        <v>ガソリン</v>
      </c>
      <c r="V150" s="283" t="str">
        <f t="shared" si="17"/>
        <v>3.5 t～</v>
      </c>
      <c r="W150" s="283" t="str">
        <f t="shared" si="18"/>
        <v>S54前</v>
      </c>
      <c r="X150" s="284" t="str">
        <f t="shared" si="18"/>
        <v>-</v>
      </c>
      <c r="Y150" s="271"/>
      <c r="Z150" s="283">
        <f t="shared" si="19"/>
        <v>1.17</v>
      </c>
      <c r="AA150" s="283">
        <f t="shared" si="19"/>
        <v>0</v>
      </c>
      <c r="AB150" s="340">
        <f t="shared" si="19"/>
        <v>2.3199999999999998</v>
      </c>
      <c r="AN150" s="47" t="s">
        <v>916</v>
      </c>
    </row>
    <row r="151" spans="1:41">
      <c r="A151" t="str">
        <f t="shared" si="14"/>
        <v>貨4ガJ</v>
      </c>
      <c r="B151" t="s">
        <v>2031</v>
      </c>
      <c r="C151" t="s">
        <v>2000</v>
      </c>
      <c r="D151" t="s">
        <v>0</v>
      </c>
      <c r="E151" t="s">
        <v>7</v>
      </c>
      <c r="F151">
        <v>0.83</v>
      </c>
      <c r="G151">
        <v>0</v>
      </c>
      <c r="H151">
        <v>2.3199999999999998</v>
      </c>
      <c r="I151" t="s">
        <v>232</v>
      </c>
      <c r="J151"/>
      <c r="T151" s="292" t="str">
        <f t="shared" si="15"/>
        <v>トラック・バス</v>
      </c>
      <c r="U151" s="283" t="str">
        <f t="shared" si="16"/>
        <v>ガソリン</v>
      </c>
      <c r="V151" s="283" t="str">
        <f t="shared" si="17"/>
        <v>3.5 t～</v>
      </c>
      <c r="W151" s="283" t="str">
        <f t="shared" si="18"/>
        <v>S54</v>
      </c>
      <c r="X151" s="284" t="str">
        <f t="shared" si="18"/>
        <v>J</v>
      </c>
      <c r="Y151" s="271"/>
      <c r="Z151" s="283">
        <f t="shared" si="19"/>
        <v>0.83</v>
      </c>
      <c r="AA151" s="283">
        <f t="shared" si="19"/>
        <v>0</v>
      </c>
      <c r="AB151" s="340">
        <f t="shared" si="19"/>
        <v>2.3199999999999998</v>
      </c>
      <c r="AN151" s="47" t="s">
        <v>920</v>
      </c>
    </row>
    <row r="152" spans="1:41">
      <c r="A152" t="str">
        <f t="shared" si="14"/>
        <v>貨4ガM</v>
      </c>
      <c r="B152" t="s">
        <v>2031</v>
      </c>
      <c r="C152" t="s">
        <v>2000</v>
      </c>
      <c r="D152" t="s">
        <v>24</v>
      </c>
      <c r="E152" t="s">
        <v>25</v>
      </c>
      <c r="F152">
        <v>0.56999999999999995</v>
      </c>
      <c r="G152">
        <v>0</v>
      </c>
      <c r="H152">
        <v>2.3199999999999998</v>
      </c>
      <c r="I152" t="s">
        <v>232</v>
      </c>
      <c r="J152"/>
      <c r="T152" s="292" t="str">
        <f t="shared" si="15"/>
        <v>トラック・バス</v>
      </c>
      <c r="U152" s="283" t="str">
        <f t="shared" si="16"/>
        <v>ガソリン</v>
      </c>
      <c r="V152" s="283" t="str">
        <f t="shared" si="17"/>
        <v>3.5 t～</v>
      </c>
      <c r="W152" s="283" t="str">
        <f t="shared" si="18"/>
        <v>S57</v>
      </c>
      <c r="X152" s="284" t="str">
        <f t="shared" si="18"/>
        <v>M</v>
      </c>
      <c r="Y152" s="271"/>
      <c r="Z152" s="283">
        <f t="shared" si="19"/>
        <v>0.56999999999999995</v>
      </c>
      <c r="AA152" s="283">
        <f t="shared" si="19"/>
        <v>0</v>
      </c>
      <c r="AB152" s="340">
        <f t="shared" si="19"/>
        <v>2.3199999999999998</v>
      </c>
      <c r="AD152" s="266"/>
      <c r="AE152" s="266"/>
      <c r="AF152" s="266"/>
      <c r="AG152" s="266"/>
      <c r="AH152" s="266"/>
      <c r="AI152" s="266"/>
      <c r="AN152" s="47" t="s">
        <v>924</v>
      </c>
    </row>
    <row r="153" spans="1:41">
      <c r="A153" t="str">
        <f t="shared" si="14"/>
        <v>貨4ガT</v>
      </c>
      <c r="B153" t="s">
        <v>2031</v>
      </c>
      <c r="C153" t="s">
        <v>2000</v>
      </c>
      <c r="D153" t="s">
        <v>18</v>
      </c>
      <c r="E153" t="s">
        <v>19</v>
      </c>
      <c r="F153">
        <v>0.49</v>
      </c>
      <c r="G153">
        <v>0</v>
      </c>
      <c r="H153">
        <v>2.3199999999999998</v>
      </c>
      <c r="I153" t="s">
        <v>232</v>
      </c>
      <c r="J153"/>
      <c r="T153" s="292" t="str">
        <f t="shared" si="15"/>
        <v>トラック・バス</v>
      </c>
      <c r="U153" s="283" t="str">
        <f t="shared" si="16"/>
        <v>ガソリン</v>
      </c>
      <c r="V153" s="283" t="str">
        <f t="shared" si="17"/>
        <v>3.5 t～</v>
      </c>
      <c r="W153" s="283" t="str">
        <f t="shared" si="18"/>
        <v>H元</v>
      </c>
      <c r="X153" s="284" t="str">
        <f t="shared" si="18"/>
        <v>T</v>
      </c>
      <c r="Y153" s="271"/>
      <c r="Z153" s="283">
        <f t="shared" si="19"/>
        <v>0.49</v>
      </c>
      <c r="AA153" s="283">
        <f t="shared" si="19"/>
        <v>0</v>
      </c>
      <c r="AB153" s="340">
        <f t="shared" si="19"/>
        <v>2.3199999999999998</v>
      </c>
      <c r="AD153" s="266"/>
      <c r="AE153" s="266"/>
      <c r="AF153" s="266"/>
      <c r="AG153" s="266"/>
      <c r="AH153" s="266"/>
      <c r="AI153" s="266"/>
      <c r="AN153" s="436" t="s">
        <v>929</v>
      </c>
    </row>
    <row r="154" spans="1:41" s="266" customFormat="1">
      <c r="A154" t="str">
        <f t="shared" si="14"/>
        <v>貨4ガZ</v>
      </c>
      <c r="B154" t="s">
        <v>2031</v>
      </c>
      <c r="C154" t="s">
        <v>2000</v>
      </c>
      <c r="D154" t="s">
        <v>1998</v>
      </c>
      <c r="E154" t="s">
        <v>26</v>
      </c>
      <c r="F154">
        <v>0.4</v>
      </c>
      <c r="G154">
        <v>0</v>
      </c>
      <c r="H154">
        <v>2.3199999999999998</v>
      </c>
      <c r="I154" t="s">
        <v>232</v>
      </c>
      <c r="J154"/>
      <c r="K154" s="47"/>
      <c r="L154" s="47"/>
      <c r="M154" s="47"/>
      <c r="N154" s="47"/>
      <c r="O154" s="47"/>
      <c r="P154" s="47"/>
      <c r="Q154" s="47"/>
      <c r="R154" s="47"/>
      <c r="S154" s="47"/>
      <c r="T154" s="292" t="str">
        <f t="shared" si="15"/>
        <v>トラック・バス</v>
      </c>
      <c r="U154" s="283" t="str">
        <f t="shared" si="16"/>
        <v>ガソリン</v>
      </c>
      <c r="V154" s="283" t="str">
        <f t="shared" si="17"/>
        <v>3.5 t～</v>
      </c>
      <c r="W154" s="283" t="str">
        <f t="shared" si="18"/>
        <v>H4</v>
      </c>
      <c r="X154" s="284" t="str">
        <f t="shared" si="18"/>
        <v>Z</v>
      </c>
      <c r="Y154" s="271"/>
      <c r="Z154" s="283">
        <f t="shared" si="19"/>
        <v>0.4</v>
      </c>
      <c r="AA154" s="283">
        <f t="shared" si="19"/>
        <v>0</v>
      </c>
      <c r="AB154" s="340">
        <f t="shared" si="19"/>
        <v>2.3199999999999998</v>
      </c>
      <c r="AD154" s="436"/>
      <c r="AE154" s="436"/>
      <c r="AF154" s="436"/>
      <c r="AG154" s="436"/>
      <c r="AH154" s="436"/>
      <c r="AI154" s="436"/>
      <c r="AN154" s="436" t="s">
        <v>933</v>
      </c>
      <c r="AO154" s="47"/>
    </row>
    <row r="155" spans="1:41" s="266" customFormat="1">
      <c r="A155" t="str">
        <f t="shared" ref="A155:A174" si="20">CONCATENATE(C155,E155)</f>
        <v>貨4ガGB</v>
      </c>
      <c r="B155" t="s">
        <v>2031</v>
      </c>
      <c r="C155" t="s">
        <v>2000</v>
      </c>
      <c r="D155" t="s">
        <v>1999</v>
      </c>
      <c r="E155" t="s">
        <v>50</v>
      </c>
      <c r="F155">
        <v>0.33</v>
      </c>
      <c r="G155">
        <v>0</v>
      </c>
      <c r="H155">
        <v>2.3199999999999998</v>
      </c>
      <c r="I155" t="s">
        <v>232</v>
      </c>
      <c r="J155"/>
      <c r="K155" s="47"/>
      <c r="L155" s="47"/>
      <c r="M155" s="47"/>
      <c r="N155" s="47"/>
      <c r="O155" s="47"/>
      <c r="P155" s="47"/>
      <c r="Q155" s="47"/>
      <c r="R155" s="47"/>
      <c r="S155" s="47"/>
      <c r="T155" s="292" t="str">
        <f t="shared" si="15"/>
        <v>トラック・バス</v>
      </c>
      <c r="U155" s="283" t="str">
        <f t="shared" si="16"/>
        <v>ガソリン</v>
      </c>
      <c r="V155" s="283" t="str">
        <f t="shared" si="17"/>
        <v>3.5 t～</v>
      </c>
      <c r="W155" s="283" t="str">
        <f t="shared" si="18"/>
        <v>H7,H10</v>
      </c>
      <c r="X155" s="284" t="str">
        <f t="shared" si="18"/>
        <v>GB</v>
      </c>
      <c r="Y155" s="271"/>
      <c r="Z155" s="283">
        <f t="shared" si="19"/>
        <v>0.33</v>
      </c>
      <c r="AA155" s="283">
        <f t="shared" si="19"/>
        <v>0</v>
      </c>
      <c r="AB155" s="340">
        <f t="shared" si="19"/>
        <v>2.3199999999999998</v>
      </c>
      <c r="AD155" s="436"/>
      <c r="AE155" s="436"/>
      <c r="AF155" s="436"/>
      <c r="AG155" s="436"/>
      <c r="AH155" s="436"/>
      <c r="AI155" s="436"/>
      <c r="AN155" s="436" t="s">
        <v>937</v>
      </c>
      <c r="AO155" s="47"/>
    </row>
    <row r="156" spans="1:41" s="436" customFormat="1">
      <c r="A156" t="str">
        <f t="shared" si="20"/>
        <v>貨4ガGE</v>
      </c>
      <c r="B156" t="s">
        <v>2031</v>
      </c>
      <c r="C156" t="s">
        <v>2000</v>
      </c>
      <c r="D156" t="s">
        <v>1999</v>
      </c>
      <c r="E156" t="s">
        <v>52</v>
      </c>
      <c r="F156">
        <v>0.33</v>
      </c>
      <c r="G156">
        <v>0</v>
      </c>
      <c r="H156">
        <v>2.3199999999999998</v>
      </c>
      <c r="I156" t="s">
        <v>232</v>
      </c>
      <c r="J156"/>
      <c r="K156" s="47"/>
      <c r="L156" s="47"/>
      <c r="M156" s="47"/>
      <c r="N156" s="47"/>
      <c r="O156" s="47"/>
      <c r="P156" s="47"/>
      <c r="Q156" s="47"/>
      <c r="R156" s="47"/>
      <c r="S156" s="47"/>
      <c r="T156" s="292" t="str">
        <f t="shared" si="15"/>
        <v>トラック・バス</v>
      </c>
      <c r="U156" s="283" t="str">
        <f t="shared" si="16"/>
        <v>ガソリン</v>
      </c>
      <c r="V156" s="283" t="str">
        <f t="shared" si="17"/>
        <v>3.5 t～</v>
      </c>
      <c r="W156" s="283" t="str">
        <f t="shared" si="18"/>
        <v>H7,H10</v>
      </c>
      <c r="X156" s="284" t="str">
        <f t="shared" si="18"/>
        <v>GE</v>
      </c>
      <c r="Y156" s="271"/>
      <c r="Z156" s="283">
        <f t="shared" si="19"/>
        <v>0.33</v>
      </c>
      <c r="AA156" s="283">
        <f t="shared" si="19"/>
        <v>0</v>
      </c>
      <c r="AB156" s="340">
        <f t="shared" si="19"/>
        <v>2.3199999999999998</v>
      </c>
      <c r="AN156" s="47" t="s">
        <v>48</v>
      </c>
      <c r="AO156" s="47"/>
    </row>
    <row r="157" spans="1:41" s="436" customFormat="1">
      <c r="A157" t="str">
        <f t="shared" si="20"/>
        <v>貨4ガHJ</v>
      </c>
      <c r="B157" t="s">
        <v>2031</v>
      </c>
      <c r="C157" t="s">
        <v>2000</v>
      </c>
      <c r="D157" t="s">
        <v>1999</v>
      </c>
      <c r="E157" t="s">
        <v>60</v>
      </c>
      <c r="F157">
        <v>0.16500000000000001</v>
      </c>
      <c r="G157">
        <v>0</v>
      </c>
      <c r="H157">
        <v>2.3199999999999998</v>
      </c>
      <c r="I157" t="s">
        <v>239</v>
      </c>
      <c r="J157"/>
      <c r="K157" s="47"/>
      <c r="L157" s="47"/>
      <c r="M157" s="47"/>
      <c r="N157" s="47"/>
      <c r="O157" s="47"/>
      <c r="P157" s="47"/>
      <c r="Q157" s="47"/>
      <c r="R157" s="47"/>
      <c r="S157" s="47"/>
      <c r="T157" s="292" t="str">
        <f t="shared" si="15"/>
        <v>トラック・バス</v>
      </c>
      <c r="U157" s="283" t="str">
        <f t="shared" si="16"/>
        <v>ガソリン</v>
      </c>
      <c r="V157" s="283" t="str">
        <f t="shared" si="17"/>
        <v>3.5 t～</v>
      </c>
      <c r="W157" s="283" t="str">
        <f t="shared" si="18"/>
        <v>H7,H10</v>
      </c>
      <c r="X157" s="284" t="str">
        <f t="shared" si="18"/>
        <v>HJ</v>
      </c>
      <c r="Y157" s="271"/>
      <c r="Z157" s="283">
        <f t="shared" si="19"/>
        <v>0.16500000000000001</v>
      </c>
      <c r="AA157" s="283">
        <f t="shared" si="19"/>
        <v>0</v>
      </c>
      <c r="AB157" s="340">
        <f t="shared" si="19"/>
        <v>2.3199999999999998</v>
      </c>
      <c r="AN157" s="47" t="s">
        <v>1720</v>
      </c>
      <c r="AO157" s="47"/>
    </row>
    <row r="158" spans="1:41" s="436" customFormat="1">
      <c r="A158" t="str">
        <f t="shared" si="20"/>
        <v>貨4ガGL</v>
      </c>
      <c r="B158" t="s">
        <v>2031</v>
      </c>
      <c r="C158" t="s">
        <v>2000</v>
      </c>
      <c r="D158" t="s">
        <v>21</v>
      </c>
      <c r="E158" t="s">
        <v>58</v>
      </c>
      <c r="F158">
        <v>0.1</v>
      </c>
      <c r="G158">
        <v>0</v>
      </c>
      <c r="H158">
        <v>2.3199999999999998</v>
      </c>
      <c r="I158" t="s">
        <v>232</v>
      </c>
      <c r="J158"/>
      <c r="K158" s="47"/>
      <c r="L158" s="47"/>
      <c r="M158" s="47"/>
      <c r="N158" s="47"/>
      <c r="O158" s="47"/>
      <c r="P158" s="47"/>
      <c r="Q158" s="47"/>
      <c r="R158" s="47"/>
      <c r="S158" s="47"/>
      <c r="T158" s="292" t="str">
        <f t="shared" si="15"/>
        <v>トラック・バス</v>
      </c>
      <c r="U158" s="283" t="str">
        <f t="shared" si="16"/>
        <v>ガソリン</v>
      </c>
      <c r="V158" s="283" t="str">
        <f t="shared" si="17"/>
        <v>3.5 t～</v>
      </c>
      <c r="W158" s="283" t="str">
        <f t="shared" si="18"/>
        <v>H13</v>
      </c>
      <c r="X158" s="284" t="str">
        <f t="shared" si="18"/>
        <v>GL</v>
      </c>
      <c r="Y158" s="271"/>
      <c r="Z158" s="283">
        <f t="shared" si="19"/>
        <v>0.1</v>
      </c>
      <c r="AA158" s="283">
        <f t="shared" si="19"/>
        <v>0</v>
      </c>
      <c r="AB158" s="340">
        <f t="shared" si="19"/>
        <v>2.3199999999999998</v>
      </c>
      <c r="AN158" s="47" t="s">
        <v>1723</v>
      </c>
      <c r="AO158" s="47"/>
    </row>
    <row r="159" spans="1:41" s="436" customFormat="1">
      <c r="A159" t="str">
        <f t="shared" si="20"/>
        <v>貨4ガHR</v>
      </c>
      <c r="B159" t="s">
        <v>2031</v>
      </c>
      <c r="C159" t="s">
        <v>2000</v>
      </c>
      <c r="D159" t="s">
        <v>21</v>
      </c>
      <c r="E159" t="s">
        <v>69</v>
      </c>
      <c r="F159">
        <v>0.05</v>
      </c>
      <c r="G159">
        <v>0</v>
      </c>
      <c r="H159">
        <v>2.3199999999999998</v>
      </c>
      <c r="I159" t="s">
        <v>239</v>
      </c>
      <c r="J159"/>
      <c r="K159" s="47"/>
      <c r="L159" s="47"/>
      <c r="M159" s="47"/>
      <c r="N159" s="47"/>
      <c r="O159" s="47"/>
      <c r="P159" s="47"/>
      <c r="Q159" s="47"/>
      <c r="R159" s="47"/>
      <c r="S159" s="47"/>
      <c r="T159" s="292" t="str">
        <f t="shared" si="15"/>
        <v>トラック・バス</v>
      </c>
      <c r="U159" s="283" t="str">
        <f t="shared" si="16"/>
        <v>ガソリン</v>
      </c>
      <c r="V159" s="283" t="str">
        <f t="shared" si="17"/>
        <v>3.5 t～</v>
      </c>
      <c r="W159" s="283" t="str">
        <f t="shared" si="18"/>
        <v>H13</v>
      </c>
      <c r="X159" s="284" t="str">
        <f t="shared" si="18"/>
        <v>HR</v>
      </c>
      <c r="Y159" s="271"/>
      <c r="Z159" s="283">
        <f t="shared" si="19"/>
        <v>0.05</v>
      </c>
      <c r="AA159" s="283">
        <f t="shared" si="19"/>
        <v>0</v>
      </c>
      <c r="AB159" s="340">
        <f t="shared" si="19"/>
        <v>2.3199999999999998</v>
      </c>
      <c r="AN159" s="47" t="s">
        <v>1726</v>
      </c>
      <c r="AO159" s="47"/>
    </row>
    <row r="160" spans="1:41" s="436" customFormat="1">
      <c r="A160" t="str">
        <f t="shared" si="20"/>
        <v>貨4ガTD</v>
      </c>
      <c r="B160" t="s">
        <v>2031</v>
      </c>
      <c r="C160" t="s">
        <v>2000</v>
      </c>
      <c r="D160" t="s">
        <v>21</v>
      </c>
      <c r="E160" t="s">
        <v>82</v>
      </c>
      <c r="F160">
        <v>7.4999999999999997E-2</v>
      </c>
      <c r="G160">
        <v>0</v>
      </c>
      <c r="H160">
        <v>2.3199999999999998</v>
      </c>
      <c r="I160" t="s">
        <v>232</v>
      </c>
      <c r="J160"/>
      <c r="K160" s="47"/>
      <c r="L160" s="47"/>
      <c r="M160" s="47"/>
      <c r="N160" s="47"/>
      <c r="O160" s="47"/>
      <c r="P160" s="47"/>
      <c r="Q160" s="47"/>
      <c r="R160" s="47"/>
      <c r="S160" s="47"/>
      <c r="T160" s="292" t="str">
        <f t="shared" si="15"/>
        <v>トラック・バス</v>
      </c>
      <c r="U160" s="283" t="str">
        <f t="shared" si="16"/>
        <v>ガソリン</v>
      </c>
      <c r="V160" s="283" t="str">
        <f t="shared" si="17"/>
        <v>3.5 t～</v>
      </c>
      <c r="W160" s="283" t="str">
        <f t="shared" si="18"/>
        <v>H13</v>
      </c>
      <c r="X160" s="284" t="str">
        <f t="shared" si="18"/>
        <v>TD</v>
      </c>
      <c r="Y160" s="271" t="s">
        <v>1765</v>
      </c>
      <c r="Z160" s="283">
        <f t="shared" si="19"/>
        <v>7.4999999999999997E-2</v>
      </c>
      <c r="AA160" s="283">
        <f t="shared" si="19"/>
        <v>0</v>
      </c>
      <c r="AB160" s="340">
        <f t="shared" si="19"/>
        <v>2.3199999999999998</v>
      </c>
      <c r="AD160" s="47"/>
      <c r="AE160" s="47"/>
      <c r="AF160" s="47"/>
      <c r="AG160" s="47"/>
      <c r="AH160" s="47"/>
      <c r="AI160" s="47"/>
      <c r="AN160" s="47" t="s">
        <v>1731</v>
      </c>
      <c r="AO160" s="47"/>
    </row>
    <row r="161" spans="1:41" s="436" customFormat="1">
      <c r="A161" t="str">
        <f t="shared" si="20"/>
        <v>貨4ガXD</v>
      </c>
      <c r="B161" t="s">
        <v>2031</v>
      </c>
      <c r="C161" t="s">
        <v>2000</v>
      </c>
      <c r="D161" t="s">
        <v>21</v>
      </c>
      <c r="E161" t="s">
        <v>96</v>
      </c>
      <c r="F161">
        <v>7.4999999999999997E-2</v>
      </c>
      <c r="G161">
        <v>0</v>
      </c>
      <c r="H161">
        <v>2.3199999999999998</v>
      </c>
      <c r="I161" t="s">
        <v>239</v>
      </c>
      <c r="J161"/>
      <c r="K161" s="47"/>
      <c r="L161" s="47"/>
      <c r="M161" s="47"/>
      <c r="N161" s="47"/>
      <c r="O161" s="47"/>
      <c r="P161" s="47"/>
      <c r="Q161" s="47"/>
      <c r="R161" s="47"/>
      <c r="S161" s="47"/>
      <c r="T161" s="292" t="str">
        <f t="shared" si="15"/>
        <v>トラック・バス</v>
      </c>
      <c r="U161" s="283" t="str">
        <f t="shared" si="16"/>
        <v>ガソリン</v>
      </c>
      <c r="V161" s="283" t="str">
        <f t="shared" si="17"/>
        <v>3.5 t～</v>
      </c>
      <c r="W161" s="283" t="str">
        <f t="shared" si="18"/>
        <v>H13</v>
      </c>
      <c r="X161" s="284" t="str">
        <f t="shared" si="18"/>
        <v>XD</v>
      </c>
      <c r="Y161" s="271" t="s">
        <v>1765</v>
      </c>
      <c r="Z161" s="283">
        <f t="shared" si="19"/>
        <v>7.4999999999999997E-2</v>
      </c>
      <c r="AA161" s="283">
        <f t="shared" si="19"/>
        <v>0</v>
      </c>
      <c r="AB161" s="340">
        <f t="shared" si="19"/>
        <v>2.3199999999999998</v>
      </c>
      <c r="AD161" s="47"/>
      <c r="AE161" s="47"/>
      <c r="AF161" s="47"/>
      <c r="AG161" s="47"/>
      <c r="AH161" s="47"/>
      <c r="AI161" s="47"/>
      <c r="AN161" s="47" t="s">
        <v>1594</v>
      </c>
      <c r="AO161" s="47"/>
    </row>
    <row r="162" spans="1:41">
      <c r="A162" t="str">
        <f t="shared" si="20"/>
        <v>貨4ガLD</v>
      </c>
      <c r="B162" t="s">
        <v>2031</v>
      </c>
      <c r="C162" t="s">
        <v>2000</v>
      </c>
      <c r="D162" t="s">
        <v>21</v>
      </c>
      <c r="E162" t="s">
        <v>73</v>
      </c>
      <c r="F162">
        <v>0.05</v>
      </c>
      <c r="G162">
        <v>0</v>
      </c>
      <c r="H162">
        <v>2.3199999999999998</v>
      </c>
      <c r="I162" t="s">
        <v>232</v>
      </c>
      <c r="J162"/>
      <c r="K162" s="266"/>
      <c r="L162" s="266"/>
      <c r="M162" s="266"/>
      <c r="N162" s="266"/>
      <c r="O162" s="266"/>
      <c r="P162" s="266"/>
      <c r="Q162" s="266"/>
      <c r="R162" s="266"/>
      <c r="S162" s="266"/>
      <c r="T162" s="292" t="str">
        <f t="shared" si="15"/>
        <v>トラック・バス</v>
      </c>
      <c r="U162" s="283" t="str">
        <f t="shared" si="16"/>
        <v>ガソリン</v>
      </c>
      <c r="V162" s="283" t="str">
        <f t="shared" si="17"/>
        <v>3.5 t～</v>
      </c>
      <c r="W162" s="283" t="str">
        <f t="shared" si="18"/>
        <v>H13</v>
      </c>
      <c r="X162" s="284" t="str">
        <f t="shared" si="18"/>
        <v>LD</v>
      </c>
      <c r="Y162" s="271" t="s">
        <v>1766</v>
      </c>
      <c r="Z162" s="283">
        <f t="shared" si="19"/>
        <v>0.05</v>
      </c>
      <c r="AA162" s="283">
        <f t="shared" si="19"/>
        <v>0</v>
      </c>
      <c r="AB162" s="340">
        <f t="shared" si="19"/>
        <v>2.3199999999999998</v>
      </c>
      <c r="AN162" s="47" t="s">
        <v>1588</v>
      </c>
    </row>
    <row r="163" spans="1:41">
      <c r="A163" t="str">
        <f t="shared" si="20"/>
        <v>貨4ガYD</v>
      </c>
      <c r="B163" t="s">
        <v>2031</v>
      </c>
      <c r="C163" t="s">
        <v>2000</v>
      </c>
      <c r="D163" t="s">
        <v>21</v>
      </c>
      <c r="E163" t="s">
        <v>100</v>
      </c>
      <c r="F163">
        <v>0.05</v>
      </c>
      <c r="G163">
        <v>0</v>
      </c>
      <c r="H163">
        <v>2.3199999999999998</v>
      </c>
      <c r="I163" t="s">
        <v>239</v>
      </c>
      <c r="J163"/>
      <c r="K163" s="266"/>
      <c r="L163" s="266"/>
      <c r="M163" s="266"/>
      <c r="N163" s="266"/>
      <c r="O163" s="266"/>
      <c r="P163" s="266"/>
      <c r="Q163" s="266"/>
      <c r="R163" s="266"/>
      <c r="S163" s="266"/>
      <c r="T163" s="292" t="str">
        <f t="shared" si="15"/>
        <v>トラック・バス</v>
      </c>
      <c r="U163" s="283" t="str">
        <f t="shared" si="16"/>
        <v>ガソリン</v>
      </c>
      <c r="V163" s="283" t="str">
        <f t="shared" si="17"/>
        <v>3.5 t～</v>
      </c>
      <c r="W163" s="283" t="str">
        <f t="shared" si="18"/>
        <v>H13</v>
      </c>
      <c r="X163" s="284" t="str">
        <f t="shared" si="18"/>
        <v>YD</v>
      </c>
      <c r="Y163" s="271" t="s">
        <v>1766</v>
      </c>
      <c r="Z163" s="283">
        <f t="shared" si="19"/>
        <v>0.05</v>
      </c>
      <c r="AA163" s="283">
        <f t="shared" si="19"/>
        <v>0</v>
      </c>
      <c r="AB163" s="340">
        <f t="shared" si="19"/>
        <v>2.3199999999999998</v>
      </c>
      <c r="AN163" s="47" t="s">
        <v>1600</v>
      </c>
    </row>
    <row r="164" spans="1:41">
      <c r="A164" t="str">
        <f t="shared" si="20"/>
        <v>貨4ガUD</v>
      </c>
      <c r="B164" t="s">
        <v>2031</v>
      </c>
      <c r="C164" t="s">
        <v>2000</v>
      </c>
      <c r="D164" t="s">
        <v>21</v>
      </c>
      <c r="E164" t="s">
        <v>89</v>
      </c>
      <c r="F164">
        <v>2.5000000000000001E-2</v>
      </c>
      <c r="G164">
        <v>0</v>
      </c>
      <c r="H164">
        <v>2.3199999999999998</v>
      </c>
      <c r="I164" t="s">
        <v>232</v>
      </c>
      <c r="J164"/>
      <c r="K164" s="436"/>
      <c r="L164" s="436"/>
      <c r="M164" s="436"/>
      <c r="N164" s="436"/>
      <c r="O164" s="436"/>
      <c r="P164" s="436"/>
      <c r="Q164" s="436"/>
      <c r="R164" s="436"/>
      <c r="S164" s="436"/>
      <c r="T164" s="292" t="str">
        <f t="shared" si="15"/>
        <v>トラック・バス</v>
      </c>
      <c r="U164" s="283" t="str">
        <f t="shared" si="16"/>
        <v>ガソリン</v>
      </c>
      <c r="V164" s="283" t="str">
        <f t="shared" si="17"/>
        <v>3.5 t～</v>
      </c>
      <c r="W164" s="283" t="str">
        <f t="shared" si="18"/>
        <v>H13</v>
      </c>
      <c r="X164" s="284" t="str">
        <f t="shared" si="18"/>
        <v>UD</v>
      </c>
      <c r="Y164" s="271" t="s">
        <v>1767</v>
      </c>
      <c r="Z164" s="283">
        <f t="shared" si="19"/>
        <v>2.5000000000000001E-2</v>
      </c>
      <c r="AA164" s="283">
        <f t="shared" si="19"/>
        <v>0</v>
      </c>
      <c r="AB164" s="340">
        <f t="shared" si="19"/>
        <v>2.3199999999999998</v>
      </c>
      <c r="AN164" s="47" t="s">
        <v>49</v>
      </c>
    </row>
    <row r="165" spans="1:41">
      <c r="A165" t="str">
        <f t="shared" si="20"/>
        <v>貨4ガZD</v>
      </c>
      <c r="B165" t="s">
        <v>2031</v>
      </c>
      <c r="C165" t="s">
        <v>2000</v>
      </c>
      <c r="D165" t="s">
        <v>21</v>
      </c>
      <c r="E165" t="s">
        <v>104</v>
      </c>
      <c r="F165">
        <v>2.5000000000000001E-2</v>
      </c>
      <c r="G165">
        <v>0</v>
      </c>
      <c r="H165">
        <v>2.3199999999999998</v>
      </c>
      <c r="I165" t="s">
        <v>239</v>
      </c>
      <c r="J165"/>
      <c r="K165" s="436"/>
      <c r="L165" s="436"/>
      <c r="M165" s="436"/>
      <c r="N165" s="436"/>
      <c r="O165" s="436"/>
      <c r="P165" s="436"/>
      <c r="Q165" s="436"/>
      <c r="R165" s="436"/>
      <c r="S165" s="436"/>
      <c r="T165" s="292" t="str">
        <f t="shared" si="15"/>
        <v>トラック・バス</v>
      </c>
      <c r="U165" s="283" t="str">
        <f t="shared" si="16"/>
        <v>ガソリン</v>
      </c>
      <c r="V165" s="283" t="str">
        <f t="shared" si="17"/>
        <v>3.5 t～</v>
      </c>
      <c r="W165" s="283" t="str">
        <f t="shared" si="18"/>
        <v>H13</v>
      </c>
      <c r="X165" s="284" t="str">
        <f t="shared" si="18"/>
        <v>ZD</v>
      </c>
      <c r="Y165" s="271" t="s">
        <v>1767</v>
      </c>
      <c r="Z165" s="283">
        <f t="shared" si="19"/>
        <v>2.5000000000000001E-2</v>
      </c>
      <c r="AA165" s="283">
        <f t="shared" si="19"/>
        <v>0</v>
      </c>
      <c r="AB165" s="340">
        <f t="shared" si="19"/>
        <v>2.3199999999999998</v>
      </c>
      <c r="AN165" s="47" t="s">
        <v>50</v>
      </c>
    </row>
    <row r="166" spans="1:41">
      <c r="A166" t="str">
        <f t="shared" si="20"/>
        <v>貨4ガABG</v>
      </c>
      <c r="B166" t="s">
        <v>2031</v>
      </c>
      <c r="C166" t="s">
        <v>2000</v>
      </c>
      <c r="D166" t="s">
        <v>1979</v>
      </c>
      <c r="E166" t="s">
        <v>381</v>
      </c>
      <c r="F166">
        <v>0.05</v>
      </c>
      <c r="G166">
        <v>0</v>
      </c>
      <c r="H166">
        <v>2.3199999999999998</v>
      </c>
      <c r="I166" t="s">
        <v>232</v>
      </c>
      <c r="J166"/>
      <c r="K166" s="436"/>
      <c r="L166" s="436"/>
      <c r="M166" s="436"/>
      <c r="N166" s="436"/>
      <c r="O166" s="436"/>
      <c r="P166" s="436"/>
      <c r="Q166" s="436"/>
      <c r="R166" s="436"/>
      <c r="S166" s="436"/>
      <c r="T166" s="292" t="str">
        <f t="shared" si="15"/>
        <v>トラック・バス</v>
      </c>
      <c r="U166" s="283" t="str">
        <f t="shared" si="16"/>
        <v>ガソリン</v>
      </c>
      <c r="V166" s="283" t="str">
        <f t="shared" si="17"/>
        <v>3.5 t～</v>
      </c>
      <c r="W166" s="283" t="str">
        <f t="shared" si="18"/>
        <v>H17</v>
      </c>
      <c r="X166" s="284" t="str">
        <f t="shared" si="18"/>
        <v>ABG</v>
      </c>
      <c r="Y166" s="271"/>
      <c r="Z166" s="283">
        <f t="shared" si="19"/>
        <v>0.05</v>
      </c>
      <c r="AA166" s="283">
        <f t="shared" si="19"/>
        <v>0</v>
      </c>
      <c r="AB166" s="340">
        <f t="shared" si="19"/>
        <v>2.3199999999999998</v>
      </c>
      <c r="AN166" s="47" t="s">
        <v>51</v>
      </c>
    </row>
    <row r="167" spans="1:41">
      <c r="A167" t="str">
        <f t="shared" si="20"/>
        <v>貨4ガAAG</v>
      </c>
      <c r="B167" t="s">
        <v>2031</v>
      </c>
      <c r="C167" t="s">
        <v>2000</v>
      </c>
      <c r="D167" t="s">
        <v>1979</v>
      </c>
      <c r="E167" t="s">
        <v>383</v>
      </c>
      <c r="F167">
        <v>2.5000000000000001E-2</v>
      </c>
      <c r="G167">
        <v>0</v>
      </c>
      <c r="H167">
        <v>2.3199999999999998</v>
      </c>
      <c r="I167" t="s">
        <v>239</v>
      </c>
      <c r="J167"/>
      <c r="K167" s="436"/>
      <c r="L167" s="436"/>
      <c r="M167" s="436"/>
      <c r="N167" s="436"/>
      <c r="O167" s="436"/>
      <c r="P167" s="436"/>
      <c r="Q167" s="436"/>
      <c r="R167" s="436"/>
      <c r="S167" s="436"/>
      <c r="T167" s="292" t="str">
        <f t="shared" si="15"/>
        <v>トラック・バス</v>
      </c>
      <c r="U167" s="283" t="str">
        <f t="shared" si="16"/>
        <v>ガソリン</v>
      </c>
      <c r="V167" s="283" t="str">
        <f t="shared" si="17"/>
        <v>3.5 t～</v>
      </c>
      <c r="W167" s="283" t="str">
        <f t="shared" si="18"/>
        <v>H17</v>
      </c>
      <c r="X167" s="284" t="str">
        <f t="shared" si="18"/>
        <v>AAG</v>
      </c>
      <c r="Y167" s="271"/>
      <c r="Z167" s="283">
        <f t="shared" si="19"/>
        <v>2.5000000000000001E-2</v>
      </c>
      <c r="AA167" s="283">
        <f t="shared" si="19"/>
        <v>0</v>
      </c>
      <c r="AB167" s="340">
        <f t="shared" si="19"/>
        <v>2.3199999999999998</v>
      </c>
      <c r="AN167" s="47" t="s">
        <v>52</v>
      </c>
    </row>
    <row r="168" spans="1:41">
      <c r="A168" t="str">
        <f t="shared" si="20"/>
        <v>貨4ガALG</v>
      </c>
      <c r="B168" t="s">
        <v>2031</v>
      </c>
      <c r="C168" t="s">
        <v>2000</v>
      </c>
      <c r="D168" t="s">
        <v>1979</v>
      </c>
      <c r="E168" t="s">
        <v>2780</v>
      </c>
      <c r="F168">
        <v>1.2500000000000001E-2</v>
      </c>
      <c r="G168">
        <v>0</v>
      </c>
      <c r="H168">
        <v>2.3199999999999998</v>
      </c>
      <c r="I168" t="s">
        <v>2490</v>
      </c>
      <c r="J168"/>
      <c r="K168" s="436"/>
      <c r="L168" s="436"/>
      <c r="M168" s="436"/>
      <c r="N168" s="436"/>
      <c r="O168" s="436"/>
      <c r="P168" s="436"/>
      <c r="Q168" s="436"/>
      <c r="R168" s="436"/>
      <c r="S168" s="436"/>
      <c r="T168" s="292" t="str">
        <f t="shared" si="15"/>
        <v>トラック・バス</v>
      </c>
      <c r="U168" s="283" t="str">
        <f t="shared" si="16"/>
        <v>ガソリン</v>
      </c>
      <c r="V168" s="283" t="str">
        <f t="shared" si="17"/>
        <v>3.5 t～</v>
      </c>
      <c r="W168" s="283" t="str">
        <f t="shared" si="18"/>
        <v>H17</v>
      </c>
      <c r="X168" s="284" t="str">
        <f t="shared" si="18"/>
        <v>ALG</v>
      </c>
      <c r="Y168" s="271"/>
      <c r="Z168" s="283">
        <f t="shared" si="19"/>
        <v>1.2500000000000001E-2</v>
      </c>
      <c r="AA168" s="283">
        <f t="shared" si="19"/>
        <v>0</v>
      </c>
      <c r="AB168" s="340">
        <f t="shared" si="19"/>
        <v>2.3199999999999998</v>
      </c>
      <c r="AN168" s="47" t="s">
        <v>53</v>
      </c>
    </row>
    <row r="169" spans="1:41">
      <c r="A169" t="str">
        <f t="shared" si="20"/>
        <v>貨4ガBAG</v>
      </c>
      <c r="B169" t="s">
        <v>2031</v>
      </c>
      <c r="C169" t="s">
        <v>2000</v>
      </c>
      <c r="D169" t="s">
        <v>1979</v>
      </c>
      <c r="E169" t="s">
        <v>2001</v>
      </c>
      <c r="F169">
        <v>4.4999999999999998E-2</v>
      </c>
      <c r="G169">
        <v>0</v>
      </c>
      <c r="H169">
        <v>2.3199999999999998</v>
      </c>
      <c r="I169" t="s">
        <v>239</v>
      </c>
      <c r="J169"/>
      <c r="K169" s="436"/>
      <c r="L169" s="436"/>
      <c r="M169" s="436"/>
      <c r="N169" s="436"/>
      <c r="O169" s="436"/>
      <c r="P169" s="436"/>
      <c r="Q169" s="436"/>
      <c r="R169" s="436"/>
      <c r="S169" s="436"/>
      <c r="T169" s="292" t="str">
        <f t="shared" si="15"/>
        <v>トラック・バス</v>
      </c>
      <c r="U169" s="283" t="str">
        <f t="shared" si="16"/>
        <v>ガソリン</v>
      </c>
      <c r="V169" s="283" t="str">
        <f t="shared" si="17"/>
        <v>3.5 t～</v>
      </c>
      <c r="W169" s="283" t="str">
        <f t="shared" si="18"/>
        <v>H17</v>
      </c>
      <c r="X169" s="284" t="str">
        <f t="shared" si="18"/>
        <v>BAG</v>
      </c>
      <c r="Y169" s="271" t="s">
        <v>2398</v>
      </c>
      <c r="Z169" s="283">
        <f t="shared" si="19"/>
        <v>4.4999999999999998E-2</v>
      </c>
      <c r="AA169" s="283">
        <f t="shared" si="19"/>
        <v>0</v>
      </c>
      <c r="AB169" s="340">
        <f t="shared" si="19"/>
        <v>2.3199999999999998</v>
      </c>
      <c r="AN169" s="47" t="s">
        <v>54</v>
      </c>
    </row>
    <row r="170" spans="1:41">
      <c r="A170" t="str">
        <f t="shared" si="20"/>
        <v>貨4ガBBG</v>
      </c>
      <c r="B170" t="s">
        <v>2031</v>
      </c>
      <c r="C170" t="s">
        <v>2000</v>
      </c>
      <c r="D170" t="s">
        <v>1979</v>
      </c>
      <c r="E170" t="s">
        <v>2002</v>
      </c>
      <c r="F170">
        <v>4.4999999999999998E-2</v>
      </c>
      <c r="G170">
        <v>0</v>
      </c>
      <c r="H170">
        <v>2.3199999999999998</v>
      </c>
      <c r="I170" t="s">
        <v>232</v>
      </c>
      <c r="J170"/>
      <c r="T170" s="292" t="str">
        <f t="shared" si="15"/>
        <v>トラック・バス</v>
      </c>
      <c r="U170" s="283" t="str">
        <f t="shared" si="16"/>
        <v>ガソリン</v>
      </c>
      <c r="V170" s="283" t="str">
        <f t="shared" si="17"/>
        <v>3.5 t～</v>
      </c>
      <c r="W170" s="283" t="str">
        <f t="shared" si="18"/>
        <v>H17</v>
      </c>
      <c r="X170" s="284" t="str">
        <f t="shared" si="18"/>
        <v>BBG</v>
      </c>
      <c r="Y170" s="271" t="s">
        <v>2398</v>
      </c>
      <c r="Z170" s="283">
        <f t="shared" si="19"/>
        <v>4.4999999999999998E-2</v>
      </c>
      <c r="AA170" s="283">
        <f t="shared" si="19"/>
        <v>0</v>
      </c>
      <c r="AB170" s="340">
        <f t="shared" si="19"/>
        <v>2.3199999999999998</v>
      </c>
      <c r="AN170" s="47" t="s">
        <v>55</v>
      </c>
    </row>
    <row r="171" spans="1:41">
      <c r="A171" t="str">
        <f t="shared" si="20"/>
        <v>貨4ガBLG</v>
      </c>
      <c r="B171" t="s">
        <v>2031</v>
      </c>
      <c r="C171" t="s">
        <v>2000</v>
      </c>
      <c r="D171" t="s">
        <v>1979</v>
      </c>
      <c r="E171" t="s">
        <v>2781</v>
      </c>
      <c r="F171">
        <v>4.4999999999999998E-2</v>
      </c>
      <c r="G171">
        <v>0</v>
      </c>
      <c r="H171">
        <v>2.3199999999999998</v>
      </c>
      <c r="I171" t="s">
        <v>1405</v>
      </c>
      <c r="J171"/>
      <c r="T171" s="292" t="str">
        <f t="shared" si="15"/>
        <v>トラック・バス</v>
      </c>
      <c r="U171" s="283" t="str">
        <f t="shared" si="16"/>
        <v>ガソリン</v>
      </c>
      <c r="V171" s="283" t="str">
        <f t="shared" si="17"/>
        <v>3.5 t～</v>
      </c>
      <c r="W171" s="283" t="str">
        <f t="shared" si="18"/>
        <v>H17</v>
      </c>
      <c r="X171" s="284" t="str">
        <f t="shared" si="18"/>
        <v>BLG</v>
      </c>
      <c r="Y171" s="271" t="s">
        <v>2398</v>
      </c>
      <c r="Z171" s="283">
        <f t="shared" si="19"/>
        <v>4.4999999999999998E-2</v>
      </c>
      <c r="AA171" s="283">
        <f t="shared" si="19"/>
        <v>0</v>
      </c>
      <c r="AB171" s="340">
        <f t="shared" si="19"/>
        <v>2.3199999999999998</v>
      </c>
      <c r="AN171" s="47" t="s">
        <v>56</v>
      </c>
    </row>
    <row r="172" spans="1:41">
      <c r="A172" t="str">
        <f t="shared" si="20"/>
        <v>貨4ガNAG</v>
      </c>
      <c r="B172" t="s">
        <v>2031</v>
      </c>
      <c r="C172" t="s">
        <v>2000</v>
      </c>
      <c r="D172" t="s">
        <v>1979</v>
      </c>
      <c r="E172" t="s">
        <v>391</v>
      </c>
      <c r="F172">
        <v>4.4999999999999998E-2</v>
      </c>
      <c r="G172">
        <v>0</v>
      </c>
      <c r="H172">
        <v>2.3199999999999998</v>
      </c>
      <c r="I172" t="s">
        <v>239</v>
      </c>
      <c r="J172"/>
      <c r="T172" s="292" t="str">
        <f t="shared" si="15"/>
        <v>トラック・バス</v>
      </c>
      <c r="U172" s="283" t="str">
        <f t="shared" si="16"/>
        <v>ガソリン</v>
      </c>
      <c r="V172" s="283" t="str">
        <f t="shared" si="17"/>
        <v>3.5 t～</v>
      </c>
      <c r="W172" s="283" t="str">
        <f t="shared" si="18"/>
        <v>H17</v>
      </c>
      <c r="X172" s="284" t="str">
        <f t="shared" si="18"/>
        <v>NAG</v>
      </c>
      <c r="Y172" s="271" t="s">
        <v>2398</v>
      </c>
      <c r="Z172" s="283">
        <f t="shared" si="19"/>
        <v>4.4999999999999998E-2</v>
      </c>
      <c r="AA172" s="283">
        <f t="shared" si="19"/>
        <v>0</v>
      </c>
      <c r="AB172" s="340">
        <f t="shared" si="19"/>
        <v>2.3199999999999998</v>
      </c>
      <c r="AN172" s="266" t="s">
        <v>57</v>
      </c>
    </row>
    <row r="173" spans="1:41">
      <c r="A173" t="str">
        <f t="shared" si="20"/>
        <v>貨4ガNBG</v>
      </c>
      <c r="B173" t="s">
        <v>2031</v>
      </c>
      <c r="C173" t="s">
        <v>2000</v>
      </c>
      <c r="D173" t="s">
        <v>1979</v>
      </c>
      <c r="E173" t="s">
        <v>393</v>
      </c>
      <c r="F173">
        <v>4.4999999999999998E-2</v>
      </c>
      <c r="G173">
        <v>0</v>
      </c>
      <c r="H173">
        <v>2.3199999999999998</v>
      </c>
      <c r="I173" t="s">
        <v>232</v>
      </c>
      <c r="J173"/>
      <c r="T173" s="292" t="str">
        <f t="shared" si="15"/>
        <v>トラック・バス</v>
      </c>
      <c r="U173" s="283" t="str">
        <f t="shared" si="16"/>
        <v>ガソリン</v>
      </c>
      <c r="V173" s="283" t="str">
        <f t="shared" si="17"/>
        <v>3.5 t～</v>
      </c>
      <c r="W173" s="283" t="str">
        <f t="shared" si="18"/>
        <v>H17</v>
      </c>
      <c r="X173" s="284" t="str">
        <f t="shared" si="18"/>
        <v>NBG</v>
      </c>
      <c r="Y173" s="271" t="s">
        <v>2398</v>
      </c>
      <c r="Z173" s="283">
        <f t="shared" si="19"/>
        <v>4.4999999999999998E-2</v>
      </c>
      <c r="AA173" s="283">
        <f t="shared" si="19"/>
        <v>0</v>
      </c>
      <c r="AB173" s="340">
        <f t="shared" si="19"/>
        <v>2.3199999999999998</v>
      </c>
      <c r="AN173" s="436" t="s">
        <v>58</v>
      </c>
    </row>
    <row r="174" spans="1:41">
      <c r="A174" t="str">
        <f t="shared" si="20"/>
        <v>貨4ガNLG</v>
      </c>
      <c r="B174" t="s">
        <v>2031</v>
      </c>
      <c r="C174" t="s">
        <v>2000</v>
      </c>
      <c r="D174" t="s">
        <v>1979</v>
      </c>
      <c r="E174" t="s">
        <v>2782</v>
      </c>
      <c r="F174">
        <v>4.4999999999999998E-2</v>
      </c>
      <c r="G174">
        <v>0</v>
      </c>
      <c r="H174">
        <v>2.3199999999999998</v>
      </c>
      <c r="I174" t="s">
        <v>1405</v>
      </c>
      <c r="J174"/>
      <c r="T174" s="292" t="str">
        <f t="shared" si="15"/>
        <v>トラック・バス</v>
      </c>
      <c r="U174" s="283" t="str">
        <f t="shared" si="16"/>
        <v>ガソリン</v>
      </c>
      <c r="V174" s="283" t="str">
        <f t="shared" si="17"/>
        <v>3.5 t～</v>
      </c>
      <c r="W174" s="283" t="str">
        <f t="shared" si="18"/>
        <v>H17</v>
      </c>
      <c r="X174" s="284" t="str">
        <f t="shared" si="18"/>
        <v>NLG</v>
      </c>
      <c r="Y174" s="271" t="s">
        <v>2398</v>
      </c>
      <c r="Z174" s="283">
        <f t="shared" si="19"/>
        <v>4.4999999999999998E-2</v>
      </c>
      <c r="AA174" s="283">
        <f t="shared" si="19"/>
        <v>0</v>
      </c>
      <c r="AB174" s="340">
        <f t="shared" si="19"/>
        <v>2.3199999999999998</v>
      </c>
      <c r="AN174" s="47" t="s">
        <v>2460</v>
      </c>
    </row>
    <row r="175" spans="1:41">
      <c r="A175" t="str">
        <f>CONCATENATE(C175,E175)</f>
        <v>貨4ガPLG</v>
      </c>
      <c r="B175" t="s">
        <v>2031</v>
      </c>
      <c r="C175" t="s">
        <v>2000</v>
      </c>
      <c r="D175" t="s">
        <v>1979</v>
      </c>
      <c r="E175" t="s">
        <v>2783</v>
      </c>
      <c r="F175">
        <v>0.05</v>
      </c>
      <c r="G175">
        <v>0</v>
      </c>
      <c r="H175">
        <v>2.3199999999999998</v>
      </c>
      <c r="I175" t="s">
        <v>1405</v>
      </c>
      <c r="J175"/>
      <c r="T175" s="292" t="str">
        <f t="shared" si="15"/>
        <v>トラック・バス</v>
      </c>
      <c r="U175" s="283" t="str">
        <f t="shared" si="16"/>
        <v>ガソリン</v>
      </c>
      <c r="V175" s="283" t="str">
        <f t="shared" si="17"/>
        <v>3.5 t～</v>
      </c>
      <c r="W175" s="283" t="str">
        <f t="shared" si="18"/>
        <v>H17</v>
      </c>
      <c r="X175" s="284" t="str">
        <f t="shared" si="18"/>
        <v>PLG</v>
      </c>
      <c r="Y175" s="271" t="s">
        <v>2401</v>
      </c>
      <c r="Z175" s="283">
        <f t="shared" si="19"/>
        <v>0.05</v>
      </c>
      <c r="AA175" s="283">
        <f t="shared" si="19"/>
        <v>0</v>
      </c>
      <c r="AB175" s="340">
        <f t="shared" si="19"/>
        <v>2.3199999999999998</v>
      </c>
      <c r="AN175" s="47" t="s">
        <v>105</v>
      </c>
    </row>
    <row r="176" spans="1:41">
      <c r="A176" t="str">
        <f>CONCATENATE(C176,E176)</f>
        <v>貨4ガLBG</v>
      </c>
      <c r="B176" t="s">
        <v>2031</v>
      </c>
      <c r="C176" t="s">
        <v>2000</v>
      </c>
      <c r="D176" t="s">
        <v>2382</v>
      </c>
      <c r="E176" t="s">
        <v>395</v>
      </c>
      <c r="F176">
        <v>0.05</v>
      </c>
      <c r="G176">
        <v>0</v>
      </c>
      <c r="H176">
        <v>2.3199999999999998</v>
      </c>
      <c r="I176" t="s">
        <v>232</v>
      </c>
      <c r="J176"/>
      <c r="T176" s="292" t="str">
        <f t="shared" si="15"/>
        <v>トラック・バス</v>
      </c>
      <c r="U176" s="283" t="str">
        <f t="shared" si="16"/>
        <v>ガソリン</v>
      </c>
      <c r="V176" s="283" t="str">
        <f t="shared" si="17"/>
        <v>3.5 t～</v>
      </c>
      <c r="W176" s="283" t="str">
        <f t="shared" si="18"/>
        <v>H21</v>
      </c>
      <c r="X176" s="284" t="str">
        <f t="shared" si="18"/>
        <v>LBG</v>
      </c>
      <c r="Y176" s="271"/>
      <c r="Z176" s="283">
        <f t="shared" si="19"/>
        <v>0.05</v>
      </c>
      <c r="AA176" s="283">
        <f t="shared" si="19"/>
        <v>0</v>
      </c>
      <c r="AB176" s="340">
        <f t="shared" si="19"/>
        <v>2.3199999999999998</v>
      </c>
      <c r="AN176" s="47" t="s">
        <v>106</v>
      </c>
    </row>
    <row r="177" spans="1:41">
      <c r="A177" t="str">
        <f>CONCATENATE(C177,E177)</f>
        <v>貨4ガLAG</v>
      </c>
      <c r="B177" t="s">
        <v>2031</v>
      </c>
      <c r="C177" t="s">
        <v>2000</v>
      </c>
      <c r="D177" t="s">
        <v>2382</v>
      </c>
      <c r="E177" t="s">
        <v>397</v>
      </c>
      <c r="F177">
        <v>2.5000000000000001E-2</v>
      </c>
      <c r="G177">
        <v>0</v>
      </c>
      <c r="H177">
        <v>2.3199999999999998</v>
      </c>
      <c r="I177" t="s">
        <v>239</v>
      </c>
      <c r="J177"/>
      <c r="T177" s="292" t="str">
        <f t="shared" si="15"/>
        <v>トラック・バス</v>
      </c>
      <c r="U177" s="283" t="str">
        <f t="shared" si="16"/>
        <v>ガソリン</v>
      </c>
      <c r="V177" s="283" t="str">
        <f t="shared" si="17"/>
        <v>3.5 t～</v>
      </c>
      <c r="W177" s="283" t="str">
        <f t="shared" si="18"/>
        <v>H21</v>
      </c>
      <c r="X177" s="284" t="str">
        <f t="shared" si="18"/>
        <v>LAG</v>
      </c>
      <c r="Y177" s="271"/>
      <c r="Z177" s="283">
        <f t="shared" si="19"/>
        <v>2.5000000000000001E-2</v>
      </c>
      <c r="AA177" s="283">
        <f t="shared" si="19"/>
        <v>0</v>
      </c>
      <c r="AB177" s="340">
        <f t="shared" si="19"/>
        <v>2.3199999999999998</v>
      </c>
      <c r="AN177" s="47" t="s">
        <v>107</v>
      </c>
    </row>
    <row r="178" spans="1:41">
      <c r="A178" t="str">
        <f t="shared" ref="A178:A241" si="21">CONCATENATE(C178,E178)</f>
        <v>貨4ガLLG</v>
      </c>
      <c r="B178" t="s">
        <v>2031</v>
      </c>
      <c r="C178" t="s">
        <v>2000</v>
      </c>
      <c r="D178" t="s">
        <v>2382</v>
      </c>
      <c r="E178" t="s">
        <v>2784</v>
      </c>
      <c r="F178">
        <v>1.2500000000000001E-2</v>
      </c>
      <c r="G178">
        <v>0</v>
      </c>
      <c r="H178">
        <v>2.3199999999999998</v>
      </c>
      <c r="I178" t="s">
        <v>2490</v>
      </c>
      <c r="J178"/>
      <c r="T178" s="292" t="str">
        <f t="shared" si="15"/>
        <v>トラック・バス</v>
      </c>
      <c r="U178" s="283" t="str">
        <f t="shared" si="16"/>
        <v>ガソリン</v>
      </c>
      <c r="V178" s="283" t="str">
        <f t="shared" si="17"/>
        <v>3.5 t～</v>
      </c>
      <c r="W178" s="283" t="str">
        <f t="shared" si="18"/>
        <v>H21</v>
      </c>
      <c r="X178" s="284" t="str">
        <f t="shared" si="18"/>
        <v>LLG</v>
      </c>
      <c r="Y178" s="271"/>
      <c r="Z178" s="283">
        <f t="shared" si="19"/>
        <v>1.2500000000000001E-2</v>
      </c>
      <c r="AA178" s="283">
        <f t="shared" si="19"/>
        <v>0</v>
      </c>
      <c r="AB178" s="340">
        <f t="shared" si="19"/>
        <v>2.3199999999999998</v>
      </c>
      <c r="AN178" s="47" t="s">
        <v>108</v>
      </c>
    </row>
    <row r="179" spans="1:41">
      <c r="A179" t="str">
        <f t="shared" si="21"/>
        <v>貨4ガMBG</v>
      </c>
      <c r="B179" t="s">
        <v>2031</v>
      </c>
      <c r="C179" t="s">
        <v>2000</v>
      </c>
      <c r="D179" t="s">
        <v>2382</v>
      </c>
      <c r="E179" t="s">
        <v>399</v>
      </c>
      <c r="F179">
        <v>2.5000000000000001E-2</v>
      </c>
      <c r="G179">
        <v>0</v>
      </c>
      <c r="H179">
        <v>2.3199999999999998</v>
      </c>
      <c r="I179" t="s">
        <v>260</v>
      </c>
      <c r="J179"/>
      <c r="T179" s="292" t="str">
        <f t="shared" si="15"/>
        <v>トラック・バス</v>
      </c>
      <c r="U179" s="283" t="str">
        <f t="shared" si="16"/>
        <v>ガソリン</v>
      </c>
      <c r="V179" s="283" t="str">
        <f t="shared" si="17"/>
        <v>3.5 t～</v>
      </c>
      <c r="W179" s="283" t="str">
        <f t="shared" si="18"/>
        <v>H21</v>
      </c>
      <c r="X179" s="284" t="str">
        <f t="shared" si="18"/>
        <v>MBG</v>
      </c>
      <c r="Y179" s="271" t="s">
        <v>2727</v>
      </c>
      <c r="Z179" s="283">
        <f t="shared" si="19"/>
        <v>2.5000000000000001E-2</v>
      </c>
      <c r="AA179" s="283">
        <f t="shared" si="19"/>
        <v>0</v>
      </c>
      <c r="AB179" s="340">
        <f t="shared" si="19"/>
        <v>2.3199999999999998</v>
      </c>
      <c r="AN179" s="47" t="s">
        <v>109</v>
      </c>
    </row>
    <row r="180" spans="1:41">
      <c r="A180" t="str">
        <f t="shared" si="21"/>
        <v>貨4ガMAG</v>
      </c>
      <c r="B180" t="s">
        <v>2031</v>
      </c>
      <c r="C180" t="s">
        <v>2000</v>
      </c>
      <c r="D180" t="s">
        <v>2382</v>
      </c>
      <c r="E180" t="s">
        <v>401</v>
      </c>
      <c r="F180">
        <v>2.5000000000000001E-2</v>
      </c>
      <c r="G180">
        <v>0</v>
      </c>
      <c r="H180">
        <v>2.3199999999999998</v>
      </c>
      <c r="I180" t="s">
        <v>239</v>
      </c>
      <c r="J180"/>
      <c r="T180" s="292" t="str">
        <f t="shared" si="15"/>
        <v>トラック・バス</v>
      </c>
      <c r="U180" s="283" t="str">
        <f t="shared" si="16"/>
        <v>ガソリン</v>
      </c>
      <c r="V180" s="283" t="str">
        <f t="shared" si="17"/>
        <v>3.5 t～</v>
      </c>
      <c r="W180" s="283" t="str">
        <f t="shared" si="18"/>
        <v>H21</v>
      </c>
      <c r="X180" s="284" t="str">
        <f t="shared" si="18"/>
        <v>MAG</v>
      </c>
      <c r="Y180" s="271" t="s">
        <v>2727</v>
      </c>
      <c r="Z180" s="283">
        <f t="shared" si="19"/>
        <v>2.5000000000000001E-2</v>
      </c>
      <c r="AA180" s="283">
        <f t="shared" si="19"/>
        <v>0</v>
      </c>
      <c r="AB180" s="340">
        <f t="shared" si="19"/>
        <v>2.3199999999999998</v>
      </c>
      <c r="AN180" s="47" t="s">
        <v>110</v>
      </c>
    </row>
    <row r="181" spans="1:41">
      <c r="A181" t="str">
        <f t="shared" si="21"/>
        <v>貨4ガMLG</v>
      </c>
      <c r="B181" t="s">
        <v>2031</v>
      </c>
      <c r="C181" t="s">
        <v>2000</v>
      </c>
      <c r="D181" t="s">
        <v>2382</v>
      </c>
      <c r="E181" t="s">
        <v>2785</v>
      </c>
      <c r="F181">
        <v>2.5000000000000001E-2</v>
      </c>
      <c r="G181">
        <v>0</v>
      </c>
      <c r="H181">
        <v>2.3199999999999998</v>
      </c>
      <c r="I181" t="s">
        <v>2490</v>
      </c>
      <c r="J181"/>
      <c r="T181" s="292" t="str">
        <f t="shared" si="15"/>
        <v>トラック・バス</v>
      </c>
      <c r="U181" s="283" t="str">
        <f t="shared" si="16"/>
        <v>ガソリン</v>
      </c>
      <c r="V181" s="283" t="str">
        <f t="shared" si="17"/>
        <v>3.5 t～</v>
      </c>
      <c r="W181" s="283" t="str">
        <f t="shared" si="18"/>
        <v>H21</v>
      </c>
      <c r="X181" s="284" t="str">
        <f t="shared" si="18"/>
        <v>MLG</v>
      </c>
      <c r="Y181" s="271" t="s">
        <v>2727</v>
      </c>
      <c r="Z181" s="283">
        <f t="shared" si="19"/>
        <v>2.5000000000000001E-2</v>
      </c>
      <c r="AA181" s="283">
        <f t="shared" si="19"/>
        <v>0</v>
      </c>
      <c r="AB181" s="340">
        <f t="shared" si="19"/>
        <v>2.3199999999999998</v>
      </c>
      <c r="AN181" s="47" t="s">
        <v>59</v>
      </c>
    </row>
    <row r="182" spans="1:41">
      <c r="A182" t="str">
        <f t="shared" si="21"/>
        <v>貨4ガRBG</v>
      </c>
      <c r="B182" t="s">
        <v>2031</v>
      </c>
      <c r="C182" t="s">
        <v>2000</v>
      </c>
      <c r="D182" t="s">
        <v>2382</v>
      </c>
      <c r="E182" t="s">
        <v>403</v>
      </c>
      <c r="F182">
        <v>1.2500000000000001E-2</v>
      </c>
      <c r="G182">
        <v>0</v>
      </c>
      <c r="H182">
        <v>2.3199999999999998</v>
      </c>
      <c r="I182" t="s">
        <v>263</v>
      </c>
      <c r="J182"/>
      <c r="T182" s="292" t="str">
        <f t="shared" si="15"/>
        <v>トラック・バス</v>
      </c>
      <c r="U182" s="283" t="str">
        <f t="shared" si="16"/>
        <v>ガソリン</v>
      </c>
      <c r="V182" s="283" t="str">
        <f t="shared" si="17"/>
        <v>3.5 t～</v>
      </c>
      <c r="W182" s="283" t="str">
        <f t="shared" si="18"/>
        <v>H21</v>
      </c>
      <c r="X182" s="284" t="str">
        <f t="shared" si="18"/>
        <v>RBG</v>
      </c>
      <c r="Y182" s="271" t="s">
        <v>2262</v>
      </c>
      <c r="Z182" s="283">
        <f t="shared" si="19"/>
        <v>1.2500000000000001E-2</v>
      </c>
      <c r="AA182" s="283">
        <f t="shared" si="19"/>
        <v>0</v>
      </c>
      <c r="AB182" s="340">
        <f t="shared" si="19"/>
        <v>2.3199999999999998</v>
      </c>
      <c r="AN182" s="47" t="s">
        <v>60</v>
      </c>
    </row>
    <row r="183" spans="1:41">
      <c r="A183" t="str">
        <f t="shared" si="21"/>
        <v>貨4ガRAG</v>
      </c>
      <c r="B183" t="s">
        <v>2031</v>
      </c>
      <c r="C183" t="s">
        <v>2000</v>
      </c>
      <c r="D183" t="s">
        <v>2382</v>
      </c>
      <c r="E183" t="s">
        <v>405</v>
      </c>
      <c r="F183">
        <v>1.2500000000000001E-2</v>
      </c>
      <c r="G183">
        <v>0</v>
      </c>
      <c r="H183">
        <v>2.3199999999999998</v>
      </c>
      <c r="I183" t="s">
        <v>1851</v>
      </c>
      <c r="J183"/>
      <c r="T183" s="292" t="str">
        <f t="shared" si="15"/>
        <v>トラック・バス</v>
      </c>
      <c r="U183" s="283" t="str">
        <f t="shared" si="16"/>
        <v>ガソリン</v>
      </c>
      <c r="V183" s="283" t="str">
        <f t="shared" si="17"/>
        <v>3.5 t～</v>
      </c>
      <c r="W183" s="283" t="str">
        <f t="shared" si="18"/>
        <v>H21</v>
      </c>
      <c r="X183" s="284" t="str">
        <f t="shared" si="18"/>
        <v>RAG</v>
      </c>
      <c r="Y183" s="271" t="s">
        <v>2262</v>
      </c>
      <c r="Z183" s="283">
        <f t="shared" si="19"/>
        <v>1.2500000000000001E-2</v>
      </c>
      <c r="AA183" s="283">
        <f t="shared" si="19"/>
        <v>0</v>
      </c>
      <c r="AB183" s="340">
        <f t="shared" si="19"/>
        <v>2.3199999999999998</v>
      </c>
      <c r="AN183" s="47" t="s">
        <v>61</v>
      </c>
    </row>
    <row r="184" spans="1:41">
      <c r="A184" t="str">
        <f t="shared" si="21"/>
        <v>貨4ガRLG</v>
      </c>
      <c r="B184" t="s">
        <v>2031</v>
      </c>
      <c r="C184" t="s">
        <v>2000</v>
      </c>
      <c r="D184" t="s">
        <v>2382</v>
      </c>
      <c r="E184" t="s">
        <v>2786</v>
      </c>
      <c r="F184">
        <v>1.2500000000000001E-2</v>
      </c>
      <c r="G184">
        <v>0</v>
      </c>
      <c r="H184">
        <v>2.3199999999999998</v>
      </c>
      <c r="I184" t="s">
        <v>2490</v>
      </c>
      <c r="J184"/>
      <c r="T184" s="292" t="str">
        <f t="shared" si="15"/>
        <v>トラック・バス</v>
      </c>
      <c r="U184" s="283" t="str">
        <f t="shared" si="16"/>
        <v>ガソリン</v>
      </c>
      <c r="V184" s="283" t="str">
        <f t="shared" si="17"/>
        <v>3.5 t～</v>
      </c>
      <c r="W184" s="283" t="str">
        <f t="shared" si="18"/>
        <v>H21</v>
      </c>
      <c r="X184" s="284" t="str">
        <f t="shared" si="18"/>
        <v>RLG</v>
      </c>
      <c r="Y184" s="271" t="s">
        <v>2262</v>
      </c>
      <c r="Z184" s="283">
        <f t="shared" si="19"/>
        <v>1.2500000000000001E-2</v>
      </c>
      <c r="AA184" s="283">
        <f t="shared" si="19"/>
        <v>0</v>
      </c>
      <c r="AB184" s="340">
        <f t="shared" si="19"/>
        <v>2.3199999999999998</v>
      </c>
      <c r="AD184" s="266"/>
      <c r="AE184" s="266"/>
      <c r="AF184" s="266"/>
      <c r="AG184" s="266"/>
      <c r="AH184" s="266"/>
      <c r="AI184" s="266"/>
      <c r="AN184" s="47" t="s">
        <v>62</v>
      </c>
    </row>
    <row r="185" spans="1:41">
      <c r="A185" t="str">
        <f t="shared" si="21"/>
        <v>貨4ガQBG</v>
      </c>
      <c r="B185" t="s">
        <v>2031</v>
      </c>
      <c r="C185" t="s">
        <v>2000</v>
      </c>
      <c r="D185" t="s">
        <v>2382</v>
      </c>
      <c r="E185" t="s">
        <v>407</v>
      </c>
      <c r="F185">
        <v>4.4999999999999998E-2</v>
      </c>
      <c r="G185">
        <v>0</v>
      </c>
      <c r="H185">
        <v>2.3199999999999998</v>
      </c>
      <c r="I185" t="s">
        <v>232</v>
      </c>
      <c r="J185"/>
      <c r="T185" s="292" t="str">
        <f t="shared" si="15"/>
        <v>トラック・バス</v>
      </c>
      <c r="U185" s="283" t="str">
        <f t="shared" si="16"/>
        <v>ガソリン</v>
      </c>
      <c r="V185" s="283" t="str">
        <f t="shared" si="17"/>
        <v>3.5 t～</v>
      </c>
      <c r="W185" s="283" t="str">
        <f t="shared" si="18"/>
        <v>H21</v>
      </c>
      <c r="X185" s="284" t="str">
        <f t="shared" si="18"/>
        <v>QBG</v>
      </c>
      <c r="Y185" s="271" t="s">
        <v>1762</v>
      </c>
      <c r="Z185" s="283">
        <f t="shared" si="19"/>
        <v>4.4999999999999998E-2</v>
      </c>
      <c r="AA185" s="283">
        <f t="shared" si="19"/>
        <v>0</v>
      </c>
      <c r="AB185" s="340">
        <f t="shared" si="19"/>
        <v>2.3199999999999998</v>
      </c>
      <c r="AD185" s="266"/>
      <c r="AE185" s="266"/>
      <c r="AF185" s="266"/>
      <c r="AG185" s="266"/>
      <c r="AH185" s="266"/>
      <c r="AI185" s="266"/>
      <c r="AN185" s="47" t="s">
        <v>111</v>
      </c>
    </row>
    <row r="186" spans="1:41" s="266" customFormat="1">
      <c r="A186" t="str">
        <f t="shared" si="21"/>
        <v>貨4ガQAG</v>
      </c>
      <c r="B186" t="s">
        <v>2031</v>
      </c>
      <c r="C186" t="s">
        <v>2000</v>
      </c>
      <c r="D186" t="s">
        <v>2382</v>
      </c>
      <c r="E186" t="s">
        <v>409</v>
      </c>
      <c r="F186">
        <v>4.4999999999999998E-2</v>
      </c>
      <c r="G186">
        <v>0</v>
      </c>
      <c r="H186">
        <v>2.3199999999999998</v>
      </c>
      <c r="I186" t="s">
        <v>239</v>
      </c>
      <c r="J186"/>
      <c r="K186" s="47"/>
      <c r="L186" s="47"/>
      <c r="M186" s="47"/>
      <c r="N186" s="47"/>
      <c r="O186" s="47"/>
      <c r="P186" s="47"/>
      <c r="Q186" s="47"/>
      <c r="R186" s="47"/>
      <c r="S186" s="47"/>
      <c r="T186" s="292" t="str">
        <f t="shared" si="15"/>
        <v>トラック・バス</v>
      </c>
      <c r="U186" s="283" t="str">
        <f t="shared" si="16"/>
        <v>ガソリン</v>
      </c>
      <c r="V186" s="283" t="str">
        <f t="shared" si="17"/>
        <v>3.5 t～</v>
      </c>
      <c r="W186" s="283" t="str">
        <f t="shared" si="18"/>
        <v>H21</v>
      </c>
      <c r="X186" s="284" t="str">
        <f t="shared" si="18"/>
        <v>QAG</v>
      </c>
      <c r="Y186" s="271" t="s">
        <v>1762</v>
      </c>
      <c r="Z186" s="283">
        <f t="shared" si="19"/>
        <v>4.4999999999999998E-2</v>
      </c>
      <c r="AA186" s="283">
        <f t="shared" si="19"/>
        <v>0</v>
      </c>
      <c r="AB186" s="340">
        <f t="shared" si="19"/>
        <v>2.3199999999999998</v>
      </c>
      <c r="AD186" s="436"/>
      <c r="AE186" s="436"/>
      <c r="AF186" s="436"/>
      <c r="AG186" s="436"/>
      <c r="AH186" s="436"/>
      <c r="AI186" s="436"/>
      <c r="AN186" s="47" t="s">
        <v>63</v>
      </c>
      <c r="AO186" s="47"/>
    </row>
    <row r="187" spans="1:41" s="266" customFormat="1">
      <c r="A187" t="str">
        <f t="shared" si="21"/>
        <v>貨4ガQLG</v>
      </c>
      <c r="B187" t="s">
        <v>2031</v>
      </c>
      <c r="C187" t="s">
        <v>2000</v>
      </c>
      <c r="D187" t="s">
        <v>2382</v>
      </c>
      <c r="E187" t="s">
        <v>2787</v>
      </c>
      <c r="F187">
        <v>4.4999999999999998E-2</v>
      </c>
      <c r="G187">
        <v>0</v>
      </c>
      <c r="H187">
        <v>2.3199999999999998</v>
      </c>
      <c r="I187" t="s">
        <v>2490</v>
      </c>
      <c r="J187"/>
      <c r="K187" s="47"/>
      <c r="L187" s="47"/>
      <c r="M187" s="47"/>
      <c r="N187" s="47"/>
      <c r="O187" s="47"/>
      <c r="P187" s="47"/>
      <c r="Q187" s="47"/>
      <c r="R187" s="47"/>
      <c r="S187" s="47"/>
      <c r="T187" s="292" t="str">
        <f t="shared" si="15"/>
        <v>トラック・バス</v>
      </c>
      <c r="U187" s="283" t="str">
        <f t="shared" si="16"/>
        <v>ガソリン</v>
      </c>
      <c r="V187" s="283" t="str">
        <f t="shared" si="17"/>
        <v>3.5 t～</v>
      </c>
      <c r="W187" s="283" t="str">
        <f t="shared" si="18"/>
        <v>H21</v>
      </c>
      <c r="X187" s="284" t="str">
        <f t="shared" si="18"/>
        <v>QLG</v>
      </c>
      <c r="Y187" s="271" t="s">
        <v>1762</v>
      </c>
      <c r="Z187" s="283">
        <f t="shared" si="19"/>
        <v>4.4999999999999998E-2</v>
      </c>
      <c r="AA187" s="283">
        <f t="shared" si="19"/>
        <v>0</v>
      </c>
      <c r="AB187" s="340">
        <f t="shared" si="19"/>
        <v>2.3199999999999998</v>
      </c>
      <c r="AD187" s="436"/>
      <c r="AE187" s="436"/>
      <c r="AF187" s="436"/>
      <c r="AG187" s="436"/>
      <c r="AH187" s="436"/>
      <c r="AI187" s="436"/>
      <c r="AN187" s="47" t="s">
        <v>64</v>
      </c>
      <c r="AO187" s="47"/>
    </row>
    <row r="188" spans="1:41" s="436" customFormat="1">
      <c r="A188" t="str">
        <f t="shared" si="21"/>
        <v>貨1L-</v>
      </c>
      <c r="B188" t="s">
        <v>2008</v>
      </c>
      <c r="C188" t="s">
        <v>1933</v>
      </c>
      <c r="D188" t="s">
        <v>2456</v>
      </c>
      <c r="E188" t="s">
        <v>2457</v>
      </c>
      <c r="F188">
        <v>2.1800000000000002</v>
      </c>
      <c r="G188">
        <v>0</v>
      </c>
      <c r="H188">
        <v>3</v>
      </c>
      <c r="I188" t="s">
        <v>232</v>
      </c>
      <c r="J188"/>
      <c r="K188" s="47"/>
      <c r="L188" s="47"/>
      <c r="M188" s="47"/>
      <c r="N188" s="47"/>
      <c r="O188" s="47"/>
      <c r="P188" s="47"/>
      <c r="Q188" s="47"/>
      <c r="R188" s="47"/>
      <c r="S188" s="47"/>
      <c r="T188" s="292" t="str">
        <f t="shared" si="15"/>
        <v>トラック・バス</v>
      </c>
      <c r="U188" s="283" t="str">
        <f t="shared" si="16"/>
        <v>LPG</v>
      </c>
      <c r="V188" s="283" t="str">
        <f t="shared" si="17"/>
        <v>～1.7 t</v>
      </c>
      <c r="W188" s="283" t="str">
        <f t="shared" si="18"/>
        <v>S50前</v>
      </c>
      <c r="X188" s="284" t="str">
        <f t="shared" si="18"/>
        <v>-</v>
      </c>
      <c r="Y188" s="271"/>
      <c r="Z188" s="283">
        <f t="shared" si="19"/>
        <v>2.1800000000000002</v>
      </c>
      <c r="AA188" s="283">
        <f t="shared" si="19"/>
        <v>0</v>
      </c>
      <c r="AB188" s="340">
        <f t="shared" si="19"/>
        <v>3</v>
      </c>
      <c r="AN188" s="266" t="s">
        <v>68</v>
      </c>
      <c r="AO188" s="47"/>
    </row>
    <row r="189" spans="1:41" s="436" customFormat="1">
      <c r="A189" t="str">
        <f t="shared" si="21"/>
        <v>貨1LH</v>
      </c>
      <c r="B189" t="s">
        <v>2008</v>
      </c>
      <c r="C189" t="s">
        <v>1933</v>
      </c>
      <c r="D189" t="s">
        <v>2459</v>
      </c>
      <c r="E189" t="s">
        <v>2460</v>
      </c>
      <c r="F189">
        <v>2.1800000000000002</v>
      </c>
      <c r="G189">
        <v>0</v>
      </c>
      <c r="H189">
        <v>3</v>
      </c>
      <c r="I189" t="s">
        <v>232</v>
      </c>
      <c r="J189"/>
      <c r="K189" s="47"/>
      <c r="L189" s="47"/>
      <c r="M189" s="47"/>
      <c r="N189" s="47"/>
      <c r="O189" s="47"/>
      <c r="P189" s="47"/>
      <c r="Q189" s="47"/>
      <c r="R189" s="47"/>
      <c r="S189" s="47"/>
      <c r="T189" s="292" t="str">
        <f t="shared" si="15"/>
        <v>トラック・バス</v>
      </c>
      <c r="U189" s="283" t="str">
        <f t="shared" si="16"/>
        <v>LPG</v>
      </c>
      <c r="V189" s="283" t="str">
        <f t="shared" si="17"/>
        <v>～1.7 t</v>
      </c>
      <c r="W189" s="283" t="str">
        <f t="shared" si="18"/>
        <v>S50</v>
      </c>
      <c r="X189" s="284" t="str">
        <f t="shared" si="18"/>
        <v>H</v>
      </c>
      <c r="Y189" s="271"/>
      <c r="Z189" s="283">
        <f t="shared" si="19"/>
        <v>2.1800000000000002</v>
      </c>
      <c r="AA189" s="283">
        <f t="shared" si="19"/>
        <v>0</v>
      </c>
      <c r="AB189" s="340">
        <f t="shared" si="19"/>
        <v>3</v>
      </c>
      <c r="AN189" s="436" t="s">
        <v>69</v>
      </c>
      <c r="AO189" s="47"/>
    </row>
    <row r="190" spans="1:41" s="436" customFormat="1">
      <c r="A190" t="str">
        <f t="shared" si="21"/>
        <v>貨1LJ</v>
      </c>
      <c r="B190" t="s">
        <v>2008</v>
      </c>
      <c r="C190" t="s">
        <v>1933</v>
      </c>
      <c r="D190" t="s">
        <v>0</v>
      </c>
      <c r="E190" t="s">
        <v>7</v>
      </c>
      <c r="F190">
        <v>1</v>
      </c>
      <c r="G190">
        <v>0</v>
      </c>
      <c r="H190">
        <v>3</v>
      </c>
      <c r="I190" t="s">
        <v>232</v>
      </c>
      <c r="J190"/>
      <c r="K190" s="47"/>
      <c r="L190" s="47"/>
      <c r="M190" s="47"/>
      <c r="N190" s="47"/>
      <c r="O190" s="47"/>
      <c r="P190" s="47"/>
      <c r="Q190" s="47"/>
      <c r="R190" s="47"/>
      <c r="S190" s="47"/>
      <c r="T190" s="292" t="str">
        <f t="shared" si="15"/>
        <v>トラック・バス</v>
      </c>
      <c r="U190" s="283" t="str">
        <f t="shared" si="16"/>
        <v>LPG</v>
      </c>
      <c r="V190" s="283" t="str">
        <f t="shared" si="17"/>
        <v>～1.7 t</v>
      </c>
      <c r="W190" s="283" t="str">
        <f t="shared" si="18"/>
        <v>S54</v>
      </c>
      <c r="X190" s="284" t="str">
        <f t="shared" si="18"/>
        <v>J</v>
      </c>
      <c r="Y190" s="271"/>
      <c r="Z190" s="283">
        <f t="shared" si="19"/>
        <v>1</v>
      </c>
      <c r="AA190" s="283">
        <f t="shared" si="19"/>
        <v>0</v>
      </c>
      <c r="AB190" s="340">
        <f t="shared" si="19"/>
        <v>3</v>
      </c>
      <c r="AN190" s="47" t="s">
        <v>112</v>
      </c>
      <c r="AO190" s="47"/>
    </row>
    <row r="191" spans="1:41" s="436" customFormat="1">
      <c r="A191" t="str">
        <f t="shared" si="21"/>
        <v>貨1LL</v>
      </c>
      <c r="B191" t="s">
        <v>2008</v>
      </c>
      <c r="C191" t="s">
        <v>1933</v>
      </c>
      <c r="D191" t="s">
        <v>9</v>
      </c>
      <c r="E191" t="s">
        <v>10</v>
      </c>
      <c r="F191">
        <v>0.6</v>
      </c>
      <c r="G191">
        <v>0</v>
      </c>
      <c r="H191">
        <v>3</v>
      </c>
      <c r="I191" t="s">
        <v>232</v>
      </c>
      <c r="J191"/>
      <c r="K191" s="47"/>
      <c r="L191" s="47"/>
      <c r="M191" s="47"/>
      <c r="N191" s="47"/>
      <c r="O191" s="47"/>
      <c r="P191" s="47"/>
      <c r="Q191" s="47"/>
      <c r="R191" s="47"/>
      <c r="S191" s="47"/>
      <c r="T191" s="292" t="str">
        <f t="shared" si="15"/>
        <v>トラック・バス</v>
      </c>
      <c r="U191" s="283" t="str">
        <f t="shared" si="16"/>
        <v>LPG</v>
      </c>
      <c r="V191" s="283" t="str">
        <f t="shared" si="17"/>
        <v>～1.7 t</v>
      </c>
      <c r="W191" s="283" t="str">
        <f t="shared" si="18"/>
        <v>S56</v>
      </c>
      <c r="X191" s="284" t="str">
        <f t="shared" si="18"/>
        <v>L</v>
      </c>
      <c r="Y191" s="271"/>
      <c r="Z191" s="283">
        <f t="shared" si="19"/>
        <v>0.6</v>
      </c>
      <c r="AA191" s="283">
        <f t="shared" si="19"/>
        <v>0</v>
      </c>
      <c r="AB191" s="340">
        <f t="shared" si="19"/>
        <v>3</v>
      </c>
      <c r="AN191" s="47" t="s">
        <v>113</v>
      </c>
      <c r="AO191" s="47"/>
    </row>
    <row r="192" spans="1:41" s="436" customFormat="1">
      <c r="A192" t="str">
        <f t="shared" si="21"/>
        <v>貨1LR</v>
      </c>
      <c r="B192" t="s">
        <v>2008</v>
      </c>
      <c r="C192" t="s">
        <v>1933</v>
      </c>
      <c r="D192" t="s">
        <v>13</v>
      </c>
      <c r="E192" t="s">
        <v>78</v>
      </c>
      <c r="F192">
        <v>0.25</v>
      </c>
      <c r="G192">
        <v>0</v>
      </c>
      <c r="H192">
        <v>3</v>
      </c>
      <c r="I192" t="s">
        <v>232</v>
      </c>
      <c r="J192"/>
      <c r="K192" s="266"/>
      <c r="L192" s="266"/>
      <c r="M192" s="266"/>
      <c r="N192" s="266"/>
      <c r="O192" s="266"/>
      <c r="P192" s="266"/>
      <c r="Q192" s="266"/>
      <c r="R192" s="266"/>
      <c r="S192" s="266"/>
      <c r="T192" s="292" t="str">
        <f t="shared" si="15"/>
        <v>トラック・バス</v>
      </c>
      <c r="U192" s="283" t="str">
        <f t="shared" si="16"/>
        <v>LPG</v>
      </c>
      <c r="V192" s="283" t="str">
        <f t="shared" si="17"/>
        <v>～1.7 t</v>
      </c>
      <c r="W192" s="283" t="str">
        <f t="shared" si="18"/>
        <v>S63,H10</v>
      </c>
      <c r="X192" s="284" t="str">
        <f t="shared" si="18"/>
        <v>R</v>
      </c>
      <c r="Y192" s="271"/>
      <c r="Z192" s="283">
        <f t="shared" si="19"/>
        <v>0.25</v>
      </c>
      <c r="AA192" s="283">
        <f t="shared" si="19"/>
        <v>0</v>
      </c>
      <c r="AB192" s="340">
        <f t="shared" si="19"/>
        <v>3</v>
      </c>
      <c r="AD192" s="47"/>
      <c r="AE192" s="47"/>
      <c r="AF192" s="47"/>
      <c r="AG192" s="47"/>
      <c r="AH192" s="47"/>
      <c r="AI192" s="47"/>
      <c r="AN192" s="47" t="s">
        <v>114</v>
      </c>
      <c r="AO192" s="47"/>
    </row>
    <row r="193" spans="1:41" s="436" customFormat="1">
      <c r="A193" t="str">
        <f t="shared" si="21"/>
        <v>貨1LGG</v>
      </c>
      <c r="B193" t="s">
        <v>2008</v>
      </c>
      <c r="C193" t="s">
        <v>1933</v>
      </c>
      <c r="D193" t="s">
        <v>13</v>
      </c>
      <c r="E193" t="s">
        <v>54</v>
      </c>
      <c r="F193">
        <v>0.25</v>
      </c>
      <c r="G193">
        <v>0</v>
      </c>
      <c r="H193">
        <v>3</v>
      </c>
      <c r="I193" t="s">
        <v>232</v>
      </c>
      <c r="J193"/>
      <c r="K193" s="266"/>
      <c r="L193" s="266"/>
      <c r="M193" s="266"/>
      <c r="N193" s="266"/>
      <c r="O193" s="266"/>
      <c r="P193" s="266"/>
      <c r="Q193" s="266"/>
      <c r="R193" s="266"/>
      <c r="S193" s="266"/>
      <c r="T193" s="292" t="str">
        <f t="shared" si="15"/>
        <v>トラック・バス</v>
      </c>
      <c r="U193" s="283" t="str">
        <f t="shared" si="16"/>
        <v>LPG</v>
      </c>
      <c r="V193" s="283" t="str">
        <f t="shared" si="17"/>
        <v>～1.7 t</v>
      </c>
      <c r="W193" s="283" t="str">
        <f t="shared" si="18"/>
        <v>S63,H10</v>
      </c>
      <c r="X193" s="284" t="str">
        <f t="shared" si="18"/>
        <v>GG</v>
      </c>
      <c r="Y193" s="271"/>
      <c r="Z193" s="283">
        <f t="shared" si="19"/>
        <v>0.25</v>
      </c>
      <c r="AA193" s="283">
        <f t="shared" si="19"/>
        <v>0</v>
      </c>
      <c r="AB193" s="340">
        <f t="shared" si="19"/>
        <v>3</v>
      </c>
      <c r="AD193" s="47"/>
      <c r="AE193" s="47"/>
      <c r="AF193" s="47"/>
      <c r="AG193" s="47"/>
      <c r="AH193" s="47"/>
      <c r="AI193" s="47"/>
      <c r="AN193" s="47" t="s">
        <v>115</v>
      </c>
      <c r="AO193" s="47"/>
    </row>
    <row r="194" spans="1:41">
      <c r="A194" t="str">
        <f t="shared" si="21"/>
        <v>貨1LHL</v>
      </c>
      <c r="B194" t="s">
        <v>2008</v>
      </c>
      <c r="C194" t="s">
        <v>1933</v>
      </c>
      <c r="D194" t="s">
        <v>13</v>
      </c>
      <c r="E194" t="s">
        <v>62</v>
      </c>
      <c r="F194">
        <v>0.125</v>
      </c>
      <c r="G194">
        <v>0</v>
      </c>
      <c r="H194">
        <v>3</v>
      </c>
      <c r="I194" t="s">
        <v>239</v>
      </c>
      <c r="J194"/>
      <c r="K194" s="436"/>
      <c r="L194" s="436"/>
      <c r="M194" s="436"/>
      <c r="N194" s="436"/>
      <c r="O194" s="436"/>
      <c r="P194" s="436"/>
      <c r="Q194" s="436"/>
      <c r="R194" s="436"/>
      <c r="S194" s="436"/>
      <c r="T194" s="292" t="str">
        <f t="shared" si="15"/>
        <v>トラック・バス</v>
      </c>
      <c r="U194" s="283" t="str">
        <f t="shared" si="16"/>
        <v>LPG</v>
      </c>
      <c r="V194" s="283" t="str">
        <f t="shared" si="17"/>
        <v>～1.7 t</v>
      </c>
      <c r="W194" s="283" t="str">
        <f t="shared" si="18"/>
        <v>S63,H10</v>
      </c>
      <c r="X194" s="284" t="str">
        <f t="shared" si="18"/>
        <v>HL</v>
      </c>
      <c r="Y194" s="271"/>
      <c r="Z194" s="283">
        <f t="shared" si="19"/>
        <v>0.125</v>
      </c>
      <c r="AA194" s="283">
        <f t="shared" si="19"/>
        <v>0</v>
      </c>
      <c r="AB194" s="340">
        <f t="shared" si="19"/>
        <v>3</v>
      </c>
      <c r="AN194" s="47" t="s">
        <v>116</v>
      </c>
    </row>
    <row r="195" spans="1:41">
      <c r="A195" t="str">
        <f t="shared" si="21"/>
        <v>貨1LGJ</v>
      </c>
      <c r="B195" t="s">
        <v>2008</v>
      </c>
      <c r="C195" t="s">
        <v>1933</v>
      </c>
      <c r="D195" t="s">
        <v>15</v>
      </c>
      <c r="E195" t="s">
        <v>56</v>
      </c>
      <c r="F195">
        <v>0.08</v>
      </c>
      <c r="G195">
        <v>0</v>
      </c>
      <c r="H195">
        <v>3</v>
      </c>
      <c r="I195" t="s">
        <v>232</v>
      </c>
      <c r="J195"/>
      <c r="K195" s="436"/>
      <c r="L195" s="436"/>
      <c r="M195" s="436"/>
      <c r="N195" s="436"/>
      <c r="O195" s="436"/>
      <c r="P195" s="436"/>
      <c r="Q195" s="436"/>
      <c r="R195" s="436"/>
      <c r="S195" s="436"/>
      <c r="T195" s="292" t="str">
        <f t="shared" si="15"/>
        <v>トラック・バス</v>
      </c>
      <c r="U195" s="283" t="str">
        <f t="shared" si="16"/>
        <v>LPG</v>
      </c>
      <c r="V195" s="283" t="str">
        <f t="shared" si="17"/>
        <v>～1.7 t</v>
      </c>
      <c r="W195" s="283" t="str">
        <f t="shared" si="18"/>
        <v>H12</v>
      </c>
      <c r="X195" s="284" t="str">
        <f t="shared" si="18"/>
        <v>GJ</v>
      </c>
      <c r="Y195" s="271"/>
      <c r="Z195" s="283">
        <f t="shared" si="19"/>
        <v>0.08</v>
      </c>
      <c r="AA195" s="283">
        <f t="shared" si="19"/>
        <v>0</v>
      </c>
      <c r="AB195" s="340">
        <f t="shared" si="19"/>
        <v>3</v>
      </c>
      <c r="AN195" s="47" t="s">
        <v>117</v>
      </c>
    </row>
    <row r="196" spans="1:41">
      <c r="A196" t="str">
        <f t="shared" si="21"/>
        <v>貨1LHP</v>
      </c>
      <c r="B196" t="s">
        <v>2008</v>
      </c>
      <c r="C196" t="s">
        <v>1933</v>
      </c>
      <c r="D196" t="s">
        <v>15</v>
      </c>
      <c r="E196" t="s">
        <v>64</v>
      </c>
      <c r="F196">
        <v>0.04</v>
      </c>
      <c r="G196">
        <v>0</v>
      </c>
      <c r="H196">
        <v>3</v>
      </c>
      <c r="I196" t="s">
        <v>239</v>
      </c>
      <c r="J196"/>
      <c r="K196" s="436"/>
      <c r="L196" s="436"/>
      <c r="M196" s="436"/>
      <c r="N196" s="436"/>
      <c r="O196" s="436"/>
      <c r="P196" s="436"/>
      <c r="Q196" s="436"/>
      <c r="R196" s="436"/>
      <c r="S196" s="436"/>
      <c r="T196" s="292" t="str">
        <f t="shared" si="15"/>
        <v>トラック・バス</v>
      </c>
      <c r="U196" s="283" t="str">
        <f t="shared" si="16"/>
        <v>LPG</v>
      </c>
      <c r="V196" s="283" t="str">
        <f t="shared" si="17"/>
        <v>～1.7 t</v>
      </c>
      <c r="W196" s="283" t="str">
        <f t="shared" si="18"/>
        <v>H12</v>
      </c>
      <c r="X196" s="284" t="str">
        <f t="shared" si="18"/>
        <v>HP</v>
      </c>
      <c r="Y196" s="271"/>
      <c r="Z196" s="283">
        <f t="shared" si="19"/>
        <v>0.04</v>
      </c>
      <c r="AA196" s="283">
        <f t="shared" si="19"/>
        <v>0</v>
      </c>
      <c r="AB196" s="340">
        <f t="shared" si="19"/>
        <v>3</v>
      </c>
      <c r="AN196" s="47" t="s">
        <v>7</v>
      </c>
    </row>
    <row r="197" spans="1:41">
      <c r="A197" t="str">
        <f t="shared" si="21"/>
        <v>貨1LTB</v>
      </c>
      <c r="B197" t="s">
        <v>2008</v>
      </c>
      <c r="C197" t="s">
        <v>1933</v>
      </c>
      <c r="D197" t="s">
        <v>15</v>
      </c>
      <c r="E197" t="s">
        <v>80</v>
      </c>
      <c r="F197">
        <v>0.06</v>
      </c>
      <c r="G197">
        <v>0</v>
      </c>
      <c r="H197">
        <v>3</v>
      </c>
      <c r="I197" t="s">
        <v>232</v>
      </c>
      <c r="J197"/>
      <c r="K197" s="436"/>
      <c r="L197" s="436"/>
      <c r="M197" s="436"/>
      <c r="N197" s="436"/>
      <c r="O197" s="436"/>
      <c r="P197" s="436"/>
      <c r="Q197" s="436"/>
      <c r="R197" s="436"/>
      <c r="S197" s="436"/>
      <c r="T197" s="292" t="str">
        <f t="shared" ref="T197:T260" si="22">IF(LEFT(C197,1)="貨","トラック・バス","乗用車")</f>
        <v>トラック・バス</v>
      </c>
      <c r="U197" s="283" t="str">
        <f t="shared" ref="U197:U260" si="23">VLOOKUP(RIGHT(C197,1),$AL$4:$AM$8,2,FALSE)</f>
        <v>LPG</v>
      </c>
      <c r="V197" s="283" t="str">
        <f t="shared" ref="V197:V260" si="24">VLOOKUP(VALUE(MID(C197,2,1)),$AL$10:$AM$15,2,FALSE)</f>
        <v>～1.7 t</v>
      </c>
      <c r="W197" s="283" t="str">
        <f t="shared" ref="W197:X260" si="25">D197</f>
        <v>H12</v>
      </c>
      <c r="X197" s="284" t="str">
        <f t="shared" si="25"/>
        <v>TB</v>
      </c>
      <c r="Y197" s="271" t="s">
        <v>244</v>
      </c>
      <c r="Z197" s="283">
        <f t="shared" ref="Z197:AB260" si="26">F197</f>
        <v>0.06</v>
      </c>
      <c r="AA197" s="283">
        <f t="shared" si="26"/>
        <v>0</v>
      </c>
      <c r="AB197" s="340">
        <f t="shared" si="26"/>
        <v>3</v>
      </c>
      <c r="AN197" s="47" t="s">
        <v>6</v>
      </c>
    </row>
    <row r="198" spans="1:41">
      <c r="A198" t="str">
        <f t="shared" si="21"/>
        <v>貨1LXB</v>
      </c>
      <c r="B198" t="s">
        <v>2008</v>
      </c>
      <c r="C198" t="s">
        <v>1933</v>
      </c>
      <c r="D198" t="s">
        <v>15</v>
      </c>
      <c r="E198" t="s">
        <v>94</v>
      </c>
      <c r="F198">
        <v>0.06</v>
      </c>
      <c r="G198">
        <v>0</v>
      </c>
      <c r="H198">
        <v>3</v>
      </c>
      <c r="I198" t="s">
        <v>239</v>
      </c>
      <c r="J198"/>
      <c r="K198" s="436"/>
      <c r="L198" s="436"/>
      <c r="M198" s="436"/>
      <c r="N198" s="436"/>
      <c r="O198" s="436"/>
      <c r="P198" s="436"/>
      <c r="Q198" s="436"/>
      <c r="R198" s="436"/>
      <c r="S198" s="436"/>
      <c r="T198" s="292" t="str">
        <f t="shared" si="22"/>
        <v>トラック・バス</v>
      </c>
      <c r="U198" s="283" t="str">
        <f t="shared" si="23"/>
        <v>LPG</v>
      </c>
      <c r="V198" s="283" t="str">
        <f t="shared" si="24"/>
        <v>～1.7 t</v>
      </c>
      <c r="W198" s="283" t="str">
        <f t="shared" si="25"/>
        <v>H12</v>
      </c>
      <c r="X198" s="284" t="str">
        <f t="shared" si="25"/>
        <v>XB</v>
      </c>
      <c r="Y198" s="271" t="s">
        <v>244</v>
      </c>
      <c r="Z198" s="283">
        <f t="shared" si="26"/>
        <v>0.06</v>
      </c>
      <c r="AA198" s="283">
        <f t="shared" si="26"/>
        <v>0</v>
      </c>
      <c r="AB198" s="340">
        <f t="shared" si="26"/>
        <v>3</v>
      </c>
      <c r="AN198" s="47" t="s">
        <v>14</v>
      </c>
    </row>
    <row r="199" spans="1:41">
      <c r="A199" t="str">
        <f t="shared" si="21"/>
        <v>貨1LLB</v>
      </c>
      <c r="B199" t="s">
        <v>2008</v>
      </c>
      <c r="C199" t="s">
        <v>1933</v>
      </c>
      <c r="D199" t="s">
        <v>15</v>
      </c>
      <c r="E199" t="s">
        <v>71</v>
      </c>
      <c r="F199">
        <v>0.04</v>
      </c>
      <c r="G199">
        <v>0</v>
      </c>
      <c r="H199">
        <v>3</v>
      </c>
      <c r="I199" t="s">
        <v>232</v>
      </c>
      <c r="J199"/>
      <c r="K199" s="436"/>
      <c r="L199" s="436"/>
      <c r="M199" s="436"/>
      <c r="N199" s="436"/>
      <c r="O199" s="436"/>
      <c r="P199" s="436"/>
      <c r="Q199" s="436"/>
      <c r="R199" s="436"/>
      <c r="S199" s="436"/>
      <c r="T199" s="292" t="str">
        <f t="shared" si="22"/>
        <v>トラック・バス</v>
      </c>
      <c r="U199" s="283" t="str">
        <f t="shared" si="23"/>
        <v>LPG</v>
      </c>
      <c r="V199" s="283" t="str">
        <f t="shared" si="24"/>
        <v>～1.7 t</v>
      </c>
      <c r="W199" s="283" t="str">
        <f t="shared" si="25"/>
        <v>H12</v>
      </c>
      <c r="X199" s="284" t="str">
        <f t="shared" si="25"/>
        <v>LB</v>
      </c>
      <c r="Y199" s="271" t="s">
        <v>247</v>
      </c>
      <c r="Z199" s="283">
        <f t="shared" si="26"/>
        <v>0.04</v>
      </c>
      <c r="AA199" s="283">
        <f t="shared" si="26"/>
        <v>0</v>
      </c>
      <c r="AB199" s="340">
        <f t="shared" si="26"/>
        <v>3</v>
      </c>
      <c r="AN199" s="436" t="s">
        <v>17</v>
      </c>
    </row>
    <row r="200" spans="1:41">
      <c r="A200" t="str">
        <f t="shared" si="21"/>
        <v>貨1LYB</v>
      </c>
      <c r="B200" t="s">
        <v>2008</v>
      </c>
      <c r="C200" t="s">
        <v>1933</v>
      </c>
      <c r="D200" t="s">
        <v>15</v>
      </c>
      <c r="E200" t="s">
        <v>98</v>
      </c>
      <c r="F200">
        <v>0.04</v>
      </c>
      <c r="G200">
        <v>0</v>
      </c>
      <c r="H200">
        <v>3</v>
      </c>
      <c r="I200" t="s">
        <v>239</v>
      </c>
      <c r="J200"/>
      <c r="T200" s="292" t="str">
        <f t="shared" si="22"/>
        <v>トラック・バス</v>
      </c>
      <c r="U200" s="283" t="str">
        <f t="shared" si="23"/>
        <v>LPG</v>
      </c>
      <c r="V200" s="283" t="str">
        <f t="shared" si="24"/>
        <v>～1.7 t</v>
      </c>
      <c r="W200" s="283" t="str">
        <f t="shared" si="25"/>
        <v>H12</v>
      </c>
      <c r="X200" s="284" t="str">
        <f t="shared" si="25"/>
        <v>YB</v>
      </c>
      <c r="Y200" s="271" t="s">
        <v>247</v>
      </c>
      <c r="Z200" s="283">
        <f t="shared" si="26"/>
        <v>0.04</v>
      </c>
      <c r="AA200" s="283">
        <f t="shared" si="26"/>
        <v>0</v>
      </c>
      <c r="AB200" s="340">
        <f t="shared" si="26"/>
        <v>3</v>
      </c>
      <c r="AN200" s="47" t="s">
        <v>23</v>
      </c>
    </row>
    <row r="201" spans="1:41">
      <c r="A201" t="str">
        <f t="shared" si="21"/>
        <v>貨1LUB</v>
      </c>
      <c r="B201" t="s">
        <v>2008</v>
      </c>
      <c r="C201" t="s">
        <v>1933</v>
      </c>
      <c r="D201" t="s">
        <v>15</v>
      </c>
      <c r="E201" t="s">
        <v>87</v>
      </c>
      <c r="F201">
        <v>0.02</v>
      </c>
      <c r="G201">
        <v>0</v>
      </c>
      <c r="H201">
        <v>3</v>
      </c>
      <c r="I201" t="s">
        <v>232</v>
      </c>
      <c r="J201"/>
      <c r="T201" s="292" t="str">
        <f t="shared" si="22"/>
        <v>トラック・バス</v>
      </c>
      <c r="U201" s="283" t="str">
        <f t="shared" si="23"/>
        <v>LPG</v>
      </c>
      <c r="V201" s="283" t="str">
        <f t="shared" si="24"/>
        <v>～1.7 t</v>
      </c>
      <c r="W201" s="283" t="str">
        <f t="shared" si="25"/>
        <v>H12</v>
      </c>
      <c r="X201" s="284" t="str">
        <f t="shared" si="25"/>
        <v>UB</v>
      </c>
      <c r="Y201" s="271" t="s">
        <v>250</v>
      </c>
      <c r="Z201" s="283">
        <f t="shared" si="26"/>
        <v>0.02</v>
      </c>
      <c r="AA201" s="283">
        <f t="shared" si="26"/>
        <v>0</v>
      </c>
      <c r="AB201" s="340">
        <f t="shared" si="26"/>
        <v>3</v>
      </c>
      <c r="AN201" s="47" t="s">
        <v>34</v>
      </c>
    </row>
    <row r="202" spans="1:41">
      <c r="A202" t="str">
        <f t="shared" si="21"/>
        <v>貨1LZB</v>
      </c>
      <c r="B202" t="s">
        <v>2008</v>
      </c>
      <c r="C202" t="s">
        <v>1933</v>
      </c>
      <c r="D202" t="s">
        <v>15</v>
      </c>
      <c r="E202" t="s">
        <v>102</v>
      </c>
      <c r="F202">
        <v>0.02</v>
      </c>
      <c r="G202">
        <v>0</v>
      </c>
      <c r="H202">
        <v>3</v>
      </c>
      <c r="I202" t="s">
        <v>239</v>
      </c>
      <c r="J202"/>
      <c r="T202" s="292" t="str">
        <f t="shared" si="22"/>
        <v>トラック・バス</v>
      </c>
      <c r="U202" s="283" t="str">
        <f t="shared" si="23"/>
        <v>LPG</v>
      </c>
      <c r="V202" s="283" t="str">
        <f t="shared" si="24"/>
        <v>～1.7 t</v>
      </c>
      <c r="W202" s="283" t="str">
        <f t="shared" si="25"/>
        <v>H12</v>
      </c>
      <c r="X202" s="284" t="str">
        <f t="shared" si="25"/>
        <v>ZB</v>
      </c>
      <c r="Y202" s="271" t="s">
        <v>250</v>
      </c>
      <c r="Z202" s="283">
        <f t="shared" si="26"/>
        <v>0.02</v>
      </c>
      <c r="AA202" s="283">
        <f t="shared" si="26"/>
        <v>0</v>
      </c>
      <c r="AB202" s="340">
        <f t="shared" si="26"/>
        <v>3</v>
      </c>
      <c r="AN202" s="47" t="s">
        <v>118</v>
      </c>
    </row>
    <row r="203" spans="1:41">
      <c r="A203" t="str">
        <f t="shared" si="21"/>
        <v>貨1LABE</v>
      </c>
      <c r="B203" t="s">
        <v>2008</v>
      </c>
      <c r="C203" t="s">
        <v>1933</v>
      </c>
      <c r="D203" t="s">
        <v>1979</v>
      </c>
      <c r="E203" t="s">
        <v>253</v>
      </c>
      <c r="F203">
        <v>0.05</v>
      </c>
      <c r="G203">
        <v>0</v>
      </c>
      <c r="H203">
        <v>3</v>
      </c>
      <c r="I203" t="s">
        <v>232</v>
      </c>
      <c r="J203"/>
      <c r="T203" s="292" t="str">
        <f t="shared" si="22"/>
        <v>トラック・バス</v>
      </c>
      <c r="U203" s="283" t="str">
        <f t="shared" si="23"/>
        <v>LPG</v>
      </c>
      <c r="V203" s="283" t="str">
        <f t="shared" si="24"/>
        <v>～1.7 t</v>
      </c>
      <c r="W203" s="283" t="str">
        <f t="shared" si="25"/>
        <v>H17</v>
      </c>
      <c r="X203" s="284" t="str">
        <f t="shared" si="25"/>
        <v>ABE</v>
      </c>
      <c r="Y203" s="271"/>
      <c r="Z203" s="283">
        <f t="shared" si="26"/>
        <v>0.05</v>
      </c>
      <c r="AA203" s="283">
        <f t="shared" si="26"/>
        <v>0</v>
      </c>
      <c r="AB203" s="340">
        <f t="shared" si="26"/>
        <v>3</v>
      </c>
      <c r="AN203" s="436" t="s">
        <v>119</v>
      </c>
    </row>
    <row r="204" spans="1:41">
      <c r="A204" t="str">
        <f t="shared" si="21"/>
        <v>貨1LAAE</v>
      </c>
      <c r="B204" t="s">
        <v>2008</v>
      </c>
      <c r="C204" t="s">
        <v>1933</v>
      </c>
      <c r="D204" t="s">
        <v>1979</v>
      </c>
      <c r="E204" t="s">
        <v>255</v>
      </c>
      <c r="F204">
        <v>2.5000000000000001E-2</v>
      </c>
      <c r="G204">
        <v>0</v>
      </c>
      <c r="H204">
        <v>3</v>
      </c>
      <c r="I204" t="s">
        <v>239</v>
      </c>
      <c r="J204"/>
      <c r="T204" s="292" t="str">
        <f t="shared" si="22"/>
        <v>トラック・バス</v>
      </c>
      <c r="U204" s="283" t="str">
        <f t="shared" si="23"/>
        <v>LPG</v>
      </c>
      <c r="V204" s="283" t="str">
        <f t="shared" si="24"/>
        <v>～1.7 t</v>
      </c>
      <c r="W204" s="283" t="str">
        <f t="shared" si="25"/>
        <v>H17</v>
      </c>
      <c r="X204" s="284" t="str">
        <f t="shared" si="25"/>
        <v>AAE</v>
      </c>
      <c r="Y204" s="271"/>
      <c r="Z204" s="283">
        <f t="shared" si="26"/>
        <v>2.5000000000000001E-2</v>
      </c>
      <c r="AA204" s="283">
        <f t="shared" si="26"/>
        <v>0</v>
      </c>
      <c r="AB204" s="340">
        <f t="shared" si="26"/>
        <v>3</v>
      </c>
      <c r="AN204" s="47" t="s">
        <v>120</v>
      </c>
    </row>
    <row r="205" spans="1:41">
      <c r="A205" t="str">
        <f t="shared" si="21"/>
        <v>貨1LALE</v>
      </c>
      <c r="B205" t="s">
        <v>2008</v>
      </c>
      <c r="C205" t="s">
        <v>1933</v>
      </c>
      <c r="D205" t="s">
        <v>1979</v>
      </c>
      <c r="E205" t="s">
        <v>2726</v>
      </c>
      <c r="F205">
        <v>1.2500000000000001E-2</v>
      </c>
      <c r="G205">
        <v>0</v>
      </c>
      <c r="H205">
        <v>3</v>
      </c>
      <c r="I205" t="s">
        <v>2490</v>
      </c>
      <c r="J205"/>
      <c r="T205" s="292" t="str">
        <f t="shared" si="22"/>
        <v>トラック・バス</v>
      </c>
      <c r="U205" s="283" t="str">
        <f t="shared" si="23"/>
        <v>LPG</v>
      </c>
      <c r="V205" s="283" t="str">
        <f t="shared" si="24"/>
        <v>～1.7 t</v>
      </c>
      <c r="W205" s="283" t="str">
        <f t="shared" si="25"/>
        <v>H17</v>
      </c>
      <c r="X205" s="284" t="str">
        <f t="shared" si="25"/>
        <v>ALE</v>
      </c>
      <c r="Y205" s="271"/>
      <c r="Z205" s="283">
        <f t="shared" si="26"/>
        <v>1.2500000000000001E-2</v>
      </c>
      <c r="AA205" s="283">
        <f t="shared" si="26"/>
        <v>0</v>
      </c>
      <c r="AB205" s="340">
        <f t="shared" si="26"/>
        <v>3</v>
      </c>
      <c r="AN205" s="47" t="s">
        <v>121</v>
      </c>
    </row>
    <row r="206" spans="1:41">
      <c r="A206" t="str">
        <f t="shared" si="21"/>
        <v>貨1LCAE</v>
      </c>
      <c r="B206" t="s">
        <v>2008</v>
      </c>
      <c r="C206" t="s">
        <v>1933</v>
      </c>
      <c r="D206" t="s">
        <v>1979</v>
      </c>
      <c r="E206" t="s">
        <v>1983</v>
      </c>
      <c r="F206">
        <v>2.5000000000000001E-2</v>
      </c>
      <c r="G206">
        <v>0</v>
      </c>
      <c r="H206">
        <v>3</v>
      </c>
      <c r="I206" t="s">
        <v>239</v>
      </c>
      <c r="J206"/>
      <c r="T206" s="292" t="str">
        <f t="shared" si="22"/>
        <v>トラック・バス</v>
      </c>
      <c r="U206" s="283" t="str">
        <f t="shared" si="23"/>
        <v>LPG</v>
      </c>
      <c r="V206" s="283" t="str">
        <f t="shared" si="24"/>
        <v>～1.7 t</v>
      </c>
      <c r="W206" s="283" t="str">
        <f t="shared" si="25"/>
        <v>H17</v>
      </c>
      <c r="X206" s="284" t="str">
        <f t="shared" si="25"/>
        <v>CAE</v>
      </c>
      <c r="Y206" s="271" t="s">
        <v>2727</v>
      </c>
      <c r="Z206" s="283">
        <f t="shared" si="26"/>
        <v>2.5000000000000001E-2</v>
      </c>
      <c r="AA206" s="283">
        <f t="shared" si="26"/>
        <v>0</v>
      </c>
      <c r="AB206" s="340">
        <f t="shared" si="26"/>
        <v>3</v>
      </c>
      <c r="AN206" s="47" t="s">
        <v>122</v>
      </c>
    </row>
    <row r="207" spans="1:41">
      <c r="A207" t="str">
        <f t="shared" si="21"/>
        <v>貨1LCBE</v>
      </c>
      <c r="B207" t="s">
        <v>2008</v>
      </c>
      <c r="C207" t="s">
        <v>1933</v>
      </c>
      <c r="D207" t="s">
        <v>1979</v>
      </c>
      <c r="E207" t="s">
        <v>1984</v>
      </c>
      <c r="F207">
        <v>2.5000000000000001E-2</v>
      </c>
      <c r="G207">
        <v>0</v>
      </c>
      <c r="H207">
        <v>3</v>
      </c>
      <c r="I207" t="s">
        <v>260</v>
      </c>
      <c r="J207"/>
      <c r="T207" s="292" t="str">
        <f t="shared" si="22"/>
        <v>トラック・バス</v>
      </c>
      <c r="U207" s="283" t="str">
        <f t="shared" si="23"/>
        <v>LPG</v>
      </c>
      <c r="V207" s="283" t="str">
        <f t="shared" si="24"/>
        <v>～1.7 t</v>
      </c>
      <c r="W207" s="283" t="str">
        <f t="shared" si="25"/>
        <v>H17</v>
      </c>
      <c r="X207" s="284" t="str">
        <f t="shared" si="25"/>
        <v>CBE</v>
      </c>
      <c r="Y207" s="271" t="s">
        <v>2727</v>
      </c>
      <c r="Z207" s="283">
        <f t="shared" si="26"/>
        <v>2.5000000000000001E-2</v>
      </c>
      <c r="AA207" s="283">
        <f t="shared" si="26"/>
        <v>0</v>
      </c>
      <c r="AB207" s="340">
        <f t="shared" si="26"/>
        <v>3</v>
      </c>
      <c r="AN207" s="47" t="s">
        <v>123</v>
      </c>
    </row>
    <row r="208" spans="1:41">
      <c r="A208" t="str">
        <f t="shared" si="21"/>
        <v>貨1LCLE</v>
      </c>
      <c r="B208" t="s">
        <v>2008</v>
      </c>
      <c r="C208" t="s">
        <v>1933</v>
      </c>
      <c r="D208" t="s">
        <v>1979</v>
      </c>
      <c r="E208" t="s">
        <v>2788</v>
      </c>
      <c r="F208">
        <v>2.5000000000000001E-2</v>
      </c>
      <c r="G208">
        <v>0</v>
      </c>
      <c r="H208">
        <v>3</v>
      </c>
      <c r="I208" t="s">
        <v>1405</v>
      </c>
      <c r="J208"/>
      <c r="T208" s="292" t="str">
        <f t="shared" si="22"/>
        <v>トラック・バス</v>
      </c>
      <c r="U208" s="283" t="str">
        <f t="shared" si="23"/>
        <v>LPG</v>
      </c>
      <c r="V208" s="283" t="str">
        <f t="shared" si="24"/>
        <v>～1.7 t</v>
      </c>
      <c r="W208" s="283" t="str">
        <f t="shared" si="25"/>
        <v>H17</v>
      </c>
      <c r="X208" s="284" t="str">
        <f t="shared" si="25"/>
        <v>CLE</v>
      </c>
      <c r="Y208" s="271" t="s">
        <v>2727</v>
      </c>
      <c r="Z208" s="283">
        <f t="shared" si="26"/>
        <v>2.5000000000000001E-2</v>
      </c>
      <c r="AA208" s="283">
        <f t="shared" si="26"/>
        <v>0</v>
      </c>
      <c r="AB208" s="340">
        <f t="shared" si="26"/>
        <v>3</v>
      </c>
      <c r="AN208" s="47" t="s">
        <v>124</v>
      </c>
    </row>
    <row r="209" spans="1:41">
      <c r="A209" t="str">
        <f t="shared" si="21"/>
        <v>貨1LDAE</v>
      </c>
      <c r="B209" t="s">
        <v>2008</v>
      </c>
      <c r="C209" t="s">
        <v>1933</v>
      </c>
      <c r="D209" t="s">
        <v>1979</v>
      </c>
      <c r="E209" t="s">
        <v>1985</v>
      </c>
      <c r="F209">
        <v>1.2500000000000001E-2</v>
      </c>
      <c r="G209">
        <v>0</v>
      </c>
      <c r="H209">
        <v>3</v>
      </c>
      <c r="I209" t="s">
        <v>239</v>
      </c>
      <c r="J209"/>
      <c r="T209" s="292" t="str">
        <f t="shared" si="22"/>
        <v>トラック・バス</v>
      </c>
      <c r="U209" s="283" t="str">
        <f t="shared" si="23"/>
        <v>LPG</v>
      </c>
      <c r="V209" s="283" t="str">
        <f t="shared" si="24"/>
        <v>～1.7 t</v>
      </c>
      <c r="W209" s="283" t="str">
        <f t="shared" si="25"/>
        <v>H17</v>
      </c>
      <c r="X209" s="284" t="str">
        <f t="shared" si="25"/>
        <v>DAE</v>
      </c>
      <c r="Y209" s="271" t="s">
        <v>2262</v>
      </c>
      <c r="Z209" s="283">
        <f t="shared" si="26"/>
        <v>1.2500000000000001E-2</v>
      </c>
      <c r="AA209" s="283">
        <f t="shared" si="26"/>
        <v>0</v>
      </c>
      <c r="AB209" s="340">
        <f t="shared" si="26"/>
        <v>3</v>
      </c>
      <c r="AN209" s="47" t="s">
        <v>125</v>
      </c>
    </row>
    <row r="210" spans="1:41">
      <c r="A210" t="str">
        <f t="shared" si="21"/>
        <v>貨1LDBE</v>
      </c>
      <c r="B210" t="s">
        <v>2008</v>
      </c>
      <c r="C210" t="s">
        <v>1933</v>
      </c>
      <c r="D210" t="s">
        <v>1979</v>
      </c>
      <c r="E210" t="s">
        <v>1986</v>
      </c>
      <c r="F210">
        <v>1.2500000000000001E-2</v>
      </c>
      <c r="G210">
        <v>0</v>
      </c>
      <c r="H210">
        <v>3</v>
      </c>
      <c r="I210" t="s">
        <v>263</v>
      </c>
      <c r="J210"/>
      <c r="T210" s="292" t="str">
        <f t="shared" si="22"/>
        <v>トラック・バス</v>
      </c>
      <c r="U210" s="283" t="str">
        <f t="shared" si="23"/>
        <v>LPG</v>
      </c>
      <c r="V210" s="283" t="str">
        <f t="shared" si="24"/>
        <v>～1.7 t</v>
      </c>
      <c r="W210" s="283" t="str">
        <f t="shared" si="25"/>
        <v>H17</v>
      </c>
      <c r="X210" s="284" t="str">
        <f t="shared" si="25"/>
        <v>DBE</v>
      </c>
      <c r="Y210" s="271" t="s">
        <v>2262</v>
      </c>
      <c r="Z210" s="283">
        <f t="shared" si="26"/>
        <v>1.2500000000000001E-2</v>
      </c>
      <c r="AA210" s="283">
        <f t="shared" si="26"/>
        <v>0</v>
      </c>
      <c r="AB210" s="340">
        <f t="shared" si="26"/>
        <v>3</v>
      </c>
      <c r="AN210" s="47" t="s">
        <v>126</v>
      </c>
    </row>
    <row r="211" spans="1:41">
      <c r="A211" t="str">
        <f t="shared" si="21"/>
        <v>貨1LDLE</v>
      </c>
      <c r="B211" t="s">
        <v>2008</v>
      </c>
      <c r="C211" t="s">
        <v>1933</v>
      </c>
      <c r="D211" t="s">
        <v>1979</v>
      </c>
      <c r="E211" t="s">
        <v>2789</v>
      </c>
      <c r="F211">
        <v>1.2500000000000001E-2</v>
      </c>
      <c r="G211">
        <v>0</v>
      </c>
      <c r="H211">
        <v>3</v>
      </c>
      <c r="I211" t="s">
        <v>1405</v>
      </c>
      <c r="J211"/>
      <c r="T211" s="292" t="str">
        <f t="shared" si="22"/>
        <v>トラック・バス</v>
      </c>
      <c r="U211" s="283" t="str">
        <f t="shared" si="23"/>
        <v>LPG</v>
      </c>
      <c r="V211" s="283" t="str">
        <f t="shared" si="24"/>
        <v>～1.7 t</v>
      </c>
      <c r="W211" s="283" t="str">
        <f t="shared" si="25"/>
        <v>H17</v>
      </c>
      <c r="X211" s="284" t="str">
        <f t="shared" si="25"/>
        <v>DLE</v>
      </c>
      <c r="Y211" s="271" t="s">
        <v>2262</v>
      </c>
      <c r="Z211" s="283">
        <f t="shared" si="26"/>
        <v>1.2500000000000001E-2</v>
      </c>
      <c r="AA211" s="283">
        <f t="shared" si="26"/>
        <v>0</v>
      </c>
      <c r="AB211" s="340">
        <f t="shared" si="26"/>
        <v>3</v>
      </c>
      <c r="AN211" s="47" t="s">
        <v>127</v>
      </c>
    </row>
    <row r="212" spans="1:41">
      <c r="A212" t="str">
        <f t="shared" si="21"/>
        <v>貨1LLBE</v>
      </c>
      <c r="B212" t="s">
        <v>2008</v>
      </c>
      <c r="C212" t="s">
        <v>1933</v>
      </c>
      <c r="D212" t="s">
        <v>2382</v>
      </c>
      <c r="E212" t="s">
        <v>269</v>
      </c>
      <c r="F212">
        <v>0.05</v>
      </c>
      <c r="G212">
        <v>0</v>
      </c>
      <c r="H212">
        <v>3</v>
      </c>
      <c r="I212" t="s">
        <v>232</v>
      </c>
      <c r="J212"/>
      <c r="T212" s="292" t="str">
        <f t="shared" si="22"/>
        <v>トラック・バス</v>
      </c>
      <c r="U212" s="283" t="str">
        <f t="shared" si="23"/>
        <v>LPG</v>
      </c>
      <c r="V212" s="283" t="str">
        <f t="shared" si="24"/>
        <v>～1.7 t</v>
      </c>
      <c r="W212" s="283" t="str">
        <f t="shared" si="25"/>
        <v>H21</v>
      </c>
      <c r="X212" s="284" t="str">
        <f t="shared" si="25"/>
        <v>LBE</v>
      </c>
      <c r="Y212" s="271"/>
      <c r="Z212" s="283">
        <f t="shared" si="26"/>
        <v>0.05</v>
      </c>
      <c r="AA212" s="283">
        <f t="shared" si="26"/>
        <v>0</v>
      </c>
      <c r="AB212" s="340">
        <f t="shared" si="26"/>
        <v>3</v>
      </c>
      <c r="AN212" s="47" t="s">
        <v>128</v>
      </c>
    </row>
    <row r="213" spans="1:41">
      <c r="A213" t="str">
        <f t="shared" si="21"/>
        <v>貨1LLAE</v>
      </c>
      <c r="B213" t="s">
        <v>2008</v>
      </c>
      <c r="C213" t="s">
        <v>1933</v>
      </c>
      <c r="D213" t="s">
        <v>2382</v>
      </c>
      <c r="E213" t="s">
        <v>271</v>
      </c>
      <c r="F213">
        <v>2.5000000000000001E-2</v>
      </c>
      <c r="G213">
        <v>0</v>
      </c>
      <c r="H213">
        <v>3</v>
      </c>
      <c r="I213" t="s">
        <v>239</v>
      </c>
      <c r="J213"/>
      <c r="T213" s="292" t="str">
        <f t="shared" si="22"/>
        <v>トラック・バス</v>
      </c>
      <c r="U213" s="283" t="str">
        <f t="shared" si="23"/>
        <v>LPG</v>
      </c>
      <c r="V213" s="283" t="str">
        <f t="shared" si="24"/>
        <v>～1.7 t</v>
      </c>
      <c r="W213" s="283" t="str">
        <f t="shared" si="25"/>
        <v>H21</v>
      </c>
      <c r="X213" s="284" t="str">
        <f t="shared" si="25"/>
        <v>LAE</v>
      </c>
      <c r="Y213" s="271"/>
      <c r="Z213" s="283">
        <f t="shared" si="26"/>
        <v>2.5000000000000001E-2</v>
      </c>
      <c r="AA213" s="283">
        <f t="shared" si="26"/>
        <v>0</v>
      </c>
      <c r="AB213" s="340">
        <f t="shared" si="26"/>
        <v>3</v>
      </c>
      <c r="AN213" s="47" t="s">
        <v>129</v>
      </c>
    </row>
    <row r="214" spans="1:41">
      <c r="A214" t="str">
        <f t="shared" si="21"/>
        <v>貨1LLLE</v>
      </c>
      <c r="B214" t="s">
        <v>2008</v>
      </c>
      <c r="C214" t="s">
        <v>1933</v>
      </c>
      <c r="D214" t="s">
        <v>2382</v>
      </c>
      <c r="E214" t="s">
        <v>2523</v>
      </c>
      <c r="F214">
        <v>1.2500000000000001E-2</v>
      </c>
      <c r="G214">
        <v>0</v>
      </c>
      <c r="H214">
        <v>3</v>
      </c>
      <c r="I214" t="s">
        <v>1405</v>
      </c>
      <c r="J214"/>
      <c r="T214" s="292" t="str">
        <f t="shared" si="22"/>
        <v>トラック・バス</v>
      </c>
      <c r="U214" s="283" t="str">
        <f t="shared" si="23"/>
        <v>LPG</v>
      </c>
      <c r="V214" s="283" t="str">
        <f t="shared" si="24"/>
        <v>～1.7 t</v>
      </c>
      <c r="W214" s="283" t="str">
        <f t="shared" si="25"/>
        <v>H21</v>
      </c>
      <c r="X214" s="284" t="str">
        <f t="shared" si="25"/>
        <v>LLE</v>
      </c>
      <c r="Y214" s="271"/>
      <c r="Z214" s="283">
        <f t="shared" si="26"/>
        <v>1.2500000000000001E-2</v>
      </c>
      <c r="AA214" s="283">
        <f t="shared" si="26"/>
        <v>0</v>
      </c>
      <c r="AB214" s="340">
        <f t="shared" si="26"/>
        <v>3</v>
      </c>
      <c r="AN214" s="47" t="s">
        <v>130</v>
      </c>
    </row>
    <row r="215" spans="1:41">
      <c r="A215" t="str">
        <f t="shared" si="21"/>
        <v>貨1LMBE</v>
      </c>
      <c r="B215" t="s">
        <v>2008</v>
      </c>
      <c r="C215" t="s">
        <v>1933</v>
      </c>
      <c r="D215" t="s">
        <v>2382</v>
      </c>
      <c r="E215" t="s">
        <v>273</v>
      </c>
      <c r="F215">
        <v>2.5000000000000001E-2</v>
      </c>
      <c r="G215">
        <v>0</v>
      </c>
      <c r="H215">
        <v>3</v>
      </c>
      <c r="I215" t="s">
        <v>260</v>
      </c>
      <c r="J215"/>
      <c r="T215" s="292" t="str">
        <f t="shared" si="22"/>
        <v>トラック・バス</v>
      </c>
      <c r="U215" s="283" t="str">
        <f t="shared" si="23"/>
        <v>LPG</v>
      </c>
      <c r="V215" s="283" t="str">
        <f t="shared" si="24"/>
        <v>～1.7 t</v>
      </c>
      <c r="W215" s="283" t="str">
        <f t="shared" si="25"/>
        <v>H21</v>
      </c>
      <c r="X215" s="284" t="str">
        <f t="shared" si="25"/>
        <v>MBE</v>
      </c>
      <c r="Y215" s="271" t="s">
        <v>1769</v>
      </c>
      <c r="Z215" s="283">
        <f t="shared" si="26"/>
        <v>2.5000000000000001E-2</v>
      </c>
      <c r="AA215" s="283">
        <f t="shared" si="26"/>
        <v>0</v>
      </c>
      <c r="AB215" s="340">
        <f t="shared" si="26"/>
        <v>3</v>
      </c>
      <c r="AN215" s="47" t="s">
        <v>10</v>
      </c>
    </row>
    <row r="216" spans="1:41">
      <c r="A216" t="str">
        <f t="shared" si="21"/>
        <v>貨1LMAE</v>
      </c>
      <c r="B216" t="s">
        <v>2008</v>
      </c>
      <c r="C216" t="s">
        <v>1933</v>
      </c>
      <c r="D216" t="s">
        <v>2382</v>
      </c>
      <c r="E216" t="s">
        <v>275</v>
      </c>
      <c r="F216">
        <v>2.5000000000000001E-2</v>
      </c>
      <c r="G216">
        <v>0</v>
      </c>
      <c r="H216">
        <v>3</v>
      </c>
      <c r="I216" t="s">
        <v>239</v>
      </c>
      <c r="J216"/>
      <c r="T216" s="292" t="str">
        <f t="shared" si="22"/>
        <v>トラック・バス</v>
      </c>
      <c r="U216" s="283" t="str">
        <f t="shared" si="23"/>
        <v>LPG</v>
      </c>
      <c r="V216" s="283" t="str">
        <f t="shared" si="24"/>
        <v>～1.7 t</v>
      </c>
      <c r="W216" s="283" t="str">
        <f t="shared" si="25"/>
        <v>H21</v>
      </c>
      <c r="X216" s="284" t="str">
        <f t="shared" si="25"/>
        <v>MAE</v>
      </c>
      <c r="Y216" s="271" t="s">
        <v>1769</v>
      </c>
      <c r="Z216" s="283">
        <f t="shared" si="26"/>
        <v>2.5000000000000001E-2</v>
      </c>
      <c r="AA216" s="283">
        <f t="shared" si="26"/>
        <v>0</v>
      </c>
      <c r="AB216" s="340">
        <f t="shared" si="26"/>
        <v>3</v>
      </c>
      <c r="AD216" s="266"/>
      <c r="AE216" s="266"/>
      <c r="AF216" s="266"/>
      <c r="AG216" s="266"/>
      <c r="AH216" s="266"/>
      <c r="AI216" s="266"/>
      <c r="AN216" s="47" t="s">
        <v>70</v>
      </c>
    </row>
    <row r="217" spans="1:41">
      <c r="A217" t="str">
        <f t="shared" si="21"/>
        <v>貨1LMLE</v>
      </c>
      <c r="B217" t="s">
        <v>2008</v>
      </c>
      <c r="C217" t="s">
        <v>1933</v>
      </c>
      <c r="D217" t="s">
        <v>2382</v>
      </c>
      <c r="E217" t="s">
        <v>2531</v>
      </c>
      <c r="F217">
        <v>2.5000000000000001E-2</v>
      </c>
      <c r="G217">
        <v>0</v>
      </c>
      <c r="H217">
        <v>3</v>
      </c>
      <c r="I217" t="s">
        <v>1405</v>
      </c>
      <c r="J217"/>
      <c r="T217" s="292" t="str">
        <f t="shared" si="22"/>
        <v>トラック・バス</v>
      </c>
      <c r="U217" s="283" t="str">
        <f t="shared" si="23"/>
        <v>LPG</v>
      </c>
      <c r="V217" s="283" t="str">
        <f t="shared" si="24"/>
        <v>～1.7 t</v>
      </c>
      <c r="W217" s="283" t="str">
        <f t="shared" si="25"/>
        <v>H21</v>
      </c>
      <c r="X217" s="284" t="str">
        <f t="shared" si="25"/>
        <v>MLE</v>
      </c>
      <c r="Y217" s="271" t="s">
        <v>1769</v>
      </c>
      <c r="Z217" s="283">
        <f t="shared" si="26"/>
        <v>2.5000000000000001E-2</v>
      </c>
      <c r="AA217" s="283">
        <f t="shared" si="26"/>
        <v>0</v>
      </c>
      <c r="AB217" s="340">
        <f t="shared" si="26"/>
        <v>3</v>
      </c>
      <c r="AD217" s="266"/>
      <c r="AE217" s="266"/>
      <c r="AF217" s="266"/>
      <c r="AG217" s="266"/>
      <c r="AH217" s="266"/>
      <c r="AI217" s="266"/>
      <c r="AN217" s="47" t="s">
        <v>1418</v>
      </c>
    </row>
    <row r="218" spans="1:41" s="266" customFormat="1">
      <c r="A218" t="str">
        <f t="shared" si="21"/>
        <v>貨1LRBE</v>
      </c>
      <c r="B218" t="s">
        <v>2008</v>
      </c>
      <c r="C218" t="s">
        <v>1933</v>
      </c>
      <c r="D218" t="s">
        <v>2382</v>
      </c>
      <c r="E218" t="s">
        <v>277</v>
      </c>
      <c r="F218">
        <v>1.2500000000000001E-2</v>
      </c>
      <c r="G218">
        <v>0</v>
      </c>
      <c r="H218">
        <v>3</v>
      </c>
      <c r="I218" t="s">
        <v>263</v>
      </c>
      <c r="J218"/>
      <c r="K218" s="47"/>
      <c r="L218" s="47"/>
      <c r="M218" s="47"/>
      <c r="N218" s="47"/>
      <c r="O218" s="47"/>
      <c r="P218" s="47"/>
      <c r="Q218" s="47"/>
      <c r="R218" s="47"/>
      <c r="S218" s="47"/>
      <c r="T218" s="292" t="str">
        <f t="shared" si="22"/>
        <v>トラック・バス</v>
      </c>
      <c r="U218" s="283" t="str">
        <f t="shared" si="23"/>
        <v>LPG</v>
      </c>
      <c r="V218" s="283" t="str">
        <f t="shared" si="24"/>
        <v>～1.7 t</v>
      </c>
      <c r="W218" s="283" t="str">
        <f t="shared" si="25"/>
        <v>H21</v>
      </c>
      <c r="X218" s="284" t="str">
        <f t="shared" si="25"/>
        <v>RBE</v>
      </c>
      <c r="Y218" s="271" t="s">
        <v>2262</v>
      </c>
      <c r="Z218" s="283">
        <f t="shared" si="26"/>
        <v>1.2500000000000001E-2</v>
      </c>
      <c r="AA218" s="283">
        <f t="shared" si="26"/>
        <v>0</v>
      </c>
      <c r="AB218" s="340">
        <f t="shared" si="26"/>
        <v>3</v>
      </c>
      <c r="AD218" s="436"/>
      <c r="AE218" s="436"/>
      <c r="AF218" s="436"/>
      <c r="AG218" s="436"/>
      <c r="AH218" s="436"/>
      <c r="AI218" s="436"/>
      <c r="AN218" s="266" t="s">
        <v>271</v>
      </c>
      <c r="AO218" s="47"/>
    </row>
    <row r="219" spans="1:41" s="266" customFormat="1">
      <c r="A219" t="str">
        <f t="shared" si="21"/>
        <v>貨1LRAE</v>
      </c>
      <c r="B219" t="s">
        <v>2008</v>
      </c>
      <c r="C219" t="s">
        <v>1933</v>
      </c>
      <c r="D219" t="s">
        <v>2382</v>
      </c>
      <c r="E219" t="s">
        <v>279</v>
      </c>
      <c r="F219">
        <v>1.2500000000000001E-2</v>
      </c>
      <c r="G219">
        <v>0</v>
      </c>
      <c r="H219">
        <v>3</v>
      </c>
      <c r="I219" t="s">
        <v>239</v>
      </c>
      <c r="J219"/>
      <c r="K219" s="47"/>
      <c r="L219" s="47"/>
      <c r="M219" s="47"/>
      <c r="N219" s="47"/>
      <c r="O219" s="47"/>
      <c r="P219" s="47"/>
      <c r="Q219" s="47"/>
      <c r="R219" s="47"/>
      <c r="S219" s="47"/>
      <c r="T219" s="292" t="str">
        <f t="shared" si="22"/>
        <v>トラック・バス</v>
      </c>
      <c r="U219" s="283" t="str">
        <f t="shared" si="23"/>
        <v>LPG</v>
      </c>
      <c r="V219" s="283" t="str">
        <f t="shared" si="24"/>
        <v>～1.7 t</v>
      </c>
      <c r="W219" s="283" t="str">
        <f t="shared" si="25"/>
        <v>H21</v>
      </c>
      <c r="X219" s="284" t="str">
        <f t="shared" si="25"/>
        <v>RAE</v>
      </c>
      <c r="Y219" s="271" t="s">
        <v>2262</v>
      </c>
      <c r="Z219" s="283">
        <f t="shared" si="26"/>
        <v>1.2500000000000001E-2</v>
      </c>
      <c r="AA219" s="283">
        <f t="shared" si="26"/>
        <v>0</v>
      </c>
      <c r="AB219" s="340">
        <f t="shared" si="26"/>
        <v>3</v>
      </c>
      <c r="AD219" s="436"/>
      <c r="AE219" s="436"/>
      <c r="AF219" s="436"/>
      <c r="AG219" s="436"/>
      <c r="AH219" s="436"/>
      <c r="AI219" s="436"/>
      <c r="AN219" s="47" t="s">
        <v>317</v>
      </c>
      <c r="AO219" s="47"/>
    </row>
    <row r="220" spans="1:41" s="436" customFormat="1">
      <c r="A220" t="str">
        <f t="shared" si="21"/>
        <v>貨1LRLE</v>
      </c>
      <c r="B220" t="s">
        <v>2008</v>
      </c>
      <c r="C220" t="s">
        <v>1933</v>
      </c>
      <c r="D220" t="s">
        <v>2382</v>
      </c>
      <c r="E220" t="s">
        <v>2549</v>
      </c>
      <c r="F220">
        <v>1.2500000000000001E-2</v>
      </c>
      <c r="G220">
        <v>0</v>
      </c>
      <c r="H220">
        <v>3</v>
      </c>
      <c r="I220" t="s">
        <v>1405</v>
      </c>
      <c r="J220"/>
      <c r="K220" s="47"/>
      <c r="L220" s="47"/>
      <c r="M220" s="47"/>
      <c r="N220" s="47"/>
      <c r="O220" s="47"/>
      <c r="P220" s="47"/>
      <c r="Q220" s="47"/>
      <c r="R220" s="47"/>
      <c r="S220" s="47"/>
      <c r="T220" s="292" t="str">
        <f t="shared" si="22"/>
        <v>トラック・バス</v>
      </c>
      <c r="U220" s="283" t="str">
        <f t="shared" si="23"/>
        <v>LPG</v>
      </c>
      <c r="V220" s="283" t="str">
        <f t="shared" si="24"/>
        <v>～1.7 t</v>
      </c>
      <c r="W220" s="283" t="str">
        <f t="shared" si="25"/>
        <v>H21</v>
      </c>
      <c r="X220" s="284" t="str">
        <f t="shared" si="25"/>
        <v>RLE</v>
      </c>
      <c r="Y220" s="271" t="s">
        <v>2262</v>
      </c>
      <c r="Z220" s="283">
        <f t="shared" si="26"/>
        <v>1.2500000000000001E-2</v>
      </c>
      <c r="AA220" s="283">
        <f t="shared" si="26"/>
        <v>0</v>
      </c>
      <c r="AB220" s="340">
        <f t="shared" si="26"/>
        <v>3</v>
      </c>
      <c r="AN220" s="47" t="s">
        <v>397</v>
      </c>
      <c r="AO220" s="47"/>
    </row>
    <row r="221" spans="1:41" s="436" customFormat="1">
      <c r="A221" t="str">
        <f t="shared" si="21"/>
        <v>貨1LQBE</v>
      </c>
      <c r="B221" t="s">
        <v>2008</v>
      </c>
      <c r="C221" t="s">
        <v>1933</v>
      </c>
      <c r="D221" t="s">
        <v>2382</v>
      </c>
      <c r="E221" t="s">
        <v>281</v>
      </c>
      <c r="F221">
        <v>4.4999999999999998E-2</v>
      </c>
      <c r="G221">
        <v>0</v>
      </c>
      <c r="H221">
        <v>3</v>
      </c>
      <c r="I221" t="s">
        <v>232</v>
      </c>
      <c r="J221"/>
      <c r="K221" s="47"/>
      <c r="L221" s="47"/>
      <c r="M221" s="47"/>
      <c r="N221" s="47"/>
      <c r="O221" s="47"/>
      <c r="P221" s="47"/>
      <c r="Q221" s="47"/>
      <c r="R221" s="47"/>
      <c r="S221" s="47"/>
      <c r="T221" s="292" t="str">
        <f t="shared" si="22"/>
        <v>トラック・バス</v>
      </c>
      <c r="U221" s="283" t="str">
        <f t="shared" si="23"/>
        <v>LPG</v>
      </c>
      <c r="V221" s="283" t="str">
        <f t="shared" si="24"/>
        <v>～1.7 t</v>
      </c>
      <c r="W221" s="283" t="str">
        <f t="shared" si="25"/>
        <v>H21</v>
      </c>
      <c r="X221" s="284" t="str">
        <f t="shared" si="25"/>
        <v>QBE</v>
      </c>
      <c r="Y221" s="271" t="s">
        <v>1762</v>
      </c>
      <c r="Z221" s="283">
        <f t="shared" si="26"/>
        <v>4.4999999999999998E-2</v>
      </c>
      <c r="AA221" s="283">
        <f t="shared" si="26"/>
        <v>0</v>
      </c>
      <c r="AB221" s="340">
        <f t="shared" si="26"/>
        <v>3</v>
      </c>
      <c r="AN221" s="47" t="s">
        <v>71</v>
      </c>
      <c r="AO221" s="47"/>
    </row>
    <row r="222" spans="1:41" s="436" customFormat="1">
      <c r="A222" t="str">
        <f t="shared" si="21"/>
        <v>貨1LQAE</v>
      </c>
      <c r="B222" t="s">
        <v>2008</v>
      </c>
      <c r="C222" t="s">
        <v>1933</v>
      </c>
      <c r="D222" t="s">
        <v>2382</v>
      </c>
      <c r="E222" t="s">
        <v>283</v>
      </c>
      <c r="F222">
        <v>4.4999999999999998E-2</v>
      </c>
      <c r="G222">
        <v>0</v>
      </c>
      <c r="H222">
        <v>3</v>
      </c>
      <c r="I222" t="s">
        <v>239</v>
      </c>
      <c r="J222"/>
      <c r="K222" s="47"/>
      <c r="L222" s="47"/>
      <c r="M222" s="47"/>
      <c r="N222" s="47"/>
      <c r="O222" s="47"/>
      <c r="P222" s="47"/>
      <c r="Q222" s="47"/>
      <c r="R222" s="47"/>
      <c r="S222" s="47"/>
      <c r="T222" s="292" t="str">
        <f t="shared" si="22"/>
        <v>トラック・バス</v>
      </c>
      <c r="U222" s="283" t="str">
        <f t="shared" si="23"/>
        <v>LPG</v>
      </c>
      <c r="V222" s="283" t="str">
        <f t="shared" si="24"/>
        <v>～1.7 t</v>
      </c>
      <c r="W222" s="283" t="str">
        <f t="shared" si="25"/>
        <v>H21</v>
      </c>
      <c r="X222" s="284" t="str">
        <f t="shared" si="25"/>
        <v>QAE</v>
      </c>
      <c r="Y222" s="271" t="s">
        <v>1762</v>
      </c>
      <c r="Z222" s="283">
        <f t="shared" si="26"/>
        <v>4.4999999999999998E-2</v>
      </c>
      <c r="AA222" s="283">
        <f t="shared" si="26"/>
        <v>0</v>
      </c>
      <c r="AB222" s="340">
        <f t="shared" si="26"/>
        <v>3</v>
      </c>
      <c r="AN222" s="47" t="s">
        <v>1416</v>
      </c>
      <c r="AO222" s="47"/>
    </row>
    <row r="223" spans="1:41" s="436" customFormat="1">
      <c r="A223" t="str">
        <f t="shared" si="21"/>
        <v>貨1LQLE</v>
      </c>
      <c r="B223" t="s">
        <v>2008</v>
      </c>
      <c r="C223" t="s">
        <v>1933</v>
      </c>
      <c r="D223" t="s">
        <v>2382</v>
      </c>
      <c r="E223" t="s">
        <v>2541</v>
      </c>
      <c r="F223">
        <v>4.4999999999999998E-2</v>
      </c>
      <c r="G223">
        <v>0</v>
      </c>
      <c r="H223">
        <v>3</v>
      </c>
      <c r="I223" t="s">
        <v>1405</v>
      </c>
      <c r="J223"/>
      <c r="K223" s="47"/>
      <c r="L223" s="47"/>
      <c r="M223" s="47"/>
      <c r="N223" s="47"/>
      <c r="O223" s="47"/>
      <c r="P223" s="47"/>
      <c r="Q223" s="47"/>
      <c r="R223" s="47"/>
      <c r="S223" s="47"/>
      <c r="T223" s="292" t="str">
        <f t="shared" si="22"/>
        <v>トラック・バス</v>
      </c>
      <c r="U223" s="283" t="str">
        <f t="shared" si="23"/>
        <v>LPG</v>
      </c>
      <c r="V223" s="283" t="str">
        <f t="shared" si="24"/>
        <v>～1.7 t</v>
      </c>
      <c r="W223" s="283" t="str">
        <f t="shared" si="25"/>
        <v>H21</v>
      </c>
      <c r="X223" s="284" t="str">
        <f t="shared" si="25"/>
        <v>QLE</v>
      </c>
      <c r="Y223" s="271" t="s">
        <v>1762</v>
      </c>
      <c r="Z223" s="283">
        <f t="shared" si="26"/>
        <v>4.4999999999999998E-2</v>
      </c>
      <c r="AA223" s="283">
        <f t="shared" si="26"/>
        <v>0</v>
      </c>
      <c r="AB223" s="340">
        <f t="shared" si="26"/>
        <v>3</v>
      </c>
      <c r="AN223" s="266" t="s">
        <v>269</v>
      </c>
      <c r="AO223" s="47"/>
    </row>
    <row r="224" spans="1:41" s="436" customFormat="1">
      <c r="A224" t="str">
        <f t="shared" si="21"/>
        <v>貨1L3BE</v>
      </c>
      <c r="B224" t="s">
        <v>2008</v>
      </c>
      <c r="C224" t="s">
        <v>1933</v>
      </c>
      <c r="D224" t="s">
        <v>2750</v>
      </c>
      <c r="E224" t="s">
        <v>2582</v>
      </c>
      <c r="F224">
        <v>0.05</v>
      </c>
      <c r="G224">
        <v>0</v>
      </c>
      <c r="H224">
        <v>3</v>
      </c>
      <c r="I224" t="s">
        <v>232</v>
      </c>
      <c r="J224"/>
      <c r="K224" s="266"/>
      <c r="L224" s="266"/>
      <c r="M224" s="266"/>
      <c r="N224" s="266"/>
      <c r="O224" s="266"/>
      <c r="P224" s="266"/>
      <c r="Q224" s="266"/>
      <c r="R224" s="266"/>
      <c r="S224" s="266"/>
      <c r="T224" s="292" t="str">
        <f t="shared" si="22"/>
        <v>トラック・バス</v>
      </c>
      <c r="U224" s="283" t="str">
        <f t="shared" si="23"/>
        <v>LPG</v>
      </c>
      <c r="V224" s="283" t="str">
        <f t="shared" si="24"/>
        <v>～1.7 t</v>
      </c>
      <c r="W224" s="283" t="str">
        <f t="shared" si="25"/>
        <v>H30</v>
      </c>
      <c r="X224" s="284" t="str">
        <f t="shared" si="25"/>
        <v>3BE</v>
      </c>
      <c r="Y224" s="271"/>
      <c r="Z224" s="283">
        <f t="shared" si="26"/>
        <v>0.05</v>
      </c>
      <c r="AA224" s="283">
        <f t="shared" si="26"/>
        <v>0</v>
      </c>
      <c r="AB224" s="340">
        <f t="shared" si="26"/>
        <v>3</v>
      </c>
      <c r="AD224" s="47"/>
      <c r="AE224" s="47"/>
      <c r="AF224" s="47"/>
      <c r="AG224" s="47"/>
      <c r="AH224" s="47"/>
      <c r="AI224" s="47"/>
      <c r="AN224" s="47" t="s">
        <v>315</v>
      </c>
      <c r="AO224" s="47"/>
    </row>
    <row r="225" spans="1:41" s="436" customFormat="1">
      <c r="A225" t="str">
        <f t="shared" si="21"/>
        <v>貨1L3AE</v>
      </c>
      <c r="B225" t="s">
        <v>2008</v>
      </c>
      <c r="C225" t="s">
        <v>1933</v>
      </c>
      <c r="D225" t="s">
        <v>2750</v>
      </c>
      <c r="E225" t="s">
        <v>2579</v>
      </c>
      <c r="F225">
        <v>2.5000000000000001E-2</v>
      </c>
      <c r="G225">
        <v>0</v>
      </c>
      <c r="H225">
        <v>3</v>
      </c>
      <c r="I225" t="s">
        <v>239</v>
      </c>
      <c r="J225"/>
      <c r="K225" s="266"/>
      <c r="L225" s="266"/>
      <c r="M225" s="266"/>
      <c r="N225" s="266"/>
      <c r="O225" s="266"/>
      <c r="P225" s="266"/>
      <c r="Q225" s="266"/>
      <c r="R225" s="266"/>
      <c r="S225" s="266"/>
      <c r="T225" s="292" t="str">
        <f t="shared" si="22"/>
        <v>トラック・バス</v>
      </c>
      <c r="U225" s="283" t="str">
        <f t="shared" si="23"/>
        <v>LPG</v>
      </c>
      <c r="V225" s="283" t="str">
        <f t="shared" si="24"/>
        <v>～1.7 t</v>
      </c>
      <c r="W225" s="283" t="str">
        <f t="shared" si="25"/>
        <v>H30</v>
      </c>
      <c r="X225" s="284" t="str">
        <f t="shared" si="25"/>
        <v>3AE</v>
      </c>
      <c r="Y225" s="271"/>
      <c r="Z225" s="283">
        <f t="shared" si="26"/>
        <v>2.5000000000000001E-2</v>
      </c>
      <c r="AA225" s="283">
        <f t="shared" si="26"/>
        <v>0</v>
      </c>
      <c r="AB225" s="340">
        <f t="shared" si="26"/>
        <v>3</v>
      </c>
      <c r="AD225" s="47"/>
      <c r="AE225" s="47"/>
      <c r="AF225" s="47"/>
      <c r="AG225" s="47"/>
      <c r="AH225" s="47"/>
      <c r="AI225" s="47"/>
      <c r="AN225" s="47" t="s">
        <v>395</v>
      </c>
      <c r="AO225" s="47"/>
    </row>
    <row r="226" spans="1:41">
      <c r="A226" t="str">
        <f t="shared" si="21"/>
        <v>貨1L3LE</v>
      </c>
      <c r="B226" t="s">
        <v>2008</v>
      </c>
      <c r="C226" t="s">
        <v>1933</v>
      </c>
      <c r="D226" t="s">
        <v>2750</v>
      </c>
      <c r="E226" t="s">
        <v>2603</v>
      </c>
      <c r="F226">
        <v>1.2500000000000001E-2</v>
      </c>
      <c r="G226">
        <v>0</v>
      </c>
      <c r="H226">
        <v>3</v>
      </c>
      <c r="I226" t="s">
        <v>1405</v>
      </c>
      <c r="J226"/>
      <c r="K226" s="436"/>
      <c r="L226" s="436"/>
      <c r="M226" s="436"/>
      <c r="N226" s="436"/>
      <c r="O226" s="436"/>
      <c r="P226" s="436"/>
      <c r="Q226" s="436"/>
      <c r="R226" s="436"/>
      <c r="S226" s="436"/>
      <c r="T226" s="292" t="str">
        <f t="shared" si="22"/>
        <v>トラック・バス</v>
      </c>
      <c r="U226" s="283" t="str">
        <f t="shared" si="23"/>
        <v>LPG</v>
      </c>
      <c r="V226" s="283" t="str">
        <f t="shared" si="24"/>
        <v>～1.7 t</v>
      </c>
      <c r="W226" s="283" t="str">
        <f t="shared" si="25"/>
        <v>H30</v>
      </c>
      <c r="X226" s="284" t="str">
        <f t="shared" si="25"/>
        <v>3LE</v>
      </c>
      <c r="Y226" s="271"/>
      <c r="Z226" s="283">
        <f t="shared" si="26"/>
        <v>1.2500000000000001E-2</v>
      </c>
      <c r="AA226" s="283">
        <f t="shared" si="26"/>
        <v>0</v>
      </c>
      <c r="AB226" s="340">
        <f t="shared" si="26"/>
        <v>3</v>
      </c>
      <c r="AN226" s="436" t="s">
        <v>72</v>
      </c>
    </row>
    <row r="227" spans="1:41">
      <c r="A227" t="str">
        <f t="shared" si="21"/>
        <v>貨1L4BE</v>
      </c>
      <c r="B227" t="s">
        <v>2008</v>
      </c>
      <c r="C227" t="s">
        <v>1933</v>
      </c>
      <c r="D227" t="s">
        <v>2750</v>
      </c>
      <c r="E227" t="s">
        <v>2612</v>
      </c>
      <c r="F227">
        <v>3.7499999999999999E-2</v>
      </c>
      <c r="G227">
        <v>0</v>
      </c>
      <c r="H227">
        <v>3</v>
      </c>
      <c r="I227" t="s">
        <v>232</v>
      </c>
      <c r="J227"/>
      <c r="K227" s="436"/>
      <c r="L227" s="436"/>
      <c r="M227" s="436"/>
      <c r="N227" s="436"/>
      <c r="O227" s="436"/>
      <c r="P227" s="436"/>
      <c r="Q227" s="436"/>
      <c r="R227" s="436"/>
      <c r="S227" s="436"/>
      <c r="T227" s="292" t="str">
        <f t="shared" si="22"/>
        <v>トラック・バス</v>
      </c>
      <c r="U227" s="283" t="str">
        <f t="shared" si="23"/>
        <v>LPG</v>
      </c>
      <c r="V227" s="283" t="str">
        <f t="shared" si="24"/>
        <v>～1.7 t</v>
      </c>
      <c r="W227" s="283" t="str">
        <f t="shared" si="25"/>
        <v>H30</v>
      </c>
      <c r="X227" s="284" t="str">
        <f t="shared" si="25"/>
        <v>4BE</v>
      </c>
      <c r="Y227" s="271" t="s">
        <v>1769</v>
      </c>
      <c r="Z227" s="283">
        <f t="shared" si="26"/>
        <v>3.7499999999999999E-2</v>
      </c>
      <c r="AA227" s="283">
        <f t="shared" si="26"/>
        <v>0</v>
      </c>
      <c r="AB227" s="340">
        <f t="shared" si="26"/>
        <v>3</v>
      </c>
      <c r="AN227" s="47" t="s">
        <v>1576</v>
      </c>
    </row>
    <row r="228" spans="1:41">
      <c r="A228" t="str">
        <f t="shared" si="21"/>
        <v>貨1L4AE</v>
      </c>
      <c r="B228" t="s">
        <v>2008</v>
      </c>
      <c r="C228" t="s">
        <v>1933</v>
      </c>
      <c r="D228" t="s">
        <v>2750</v>
      </c>
      <c r="E228" t="s">
        <v>2609</v>
      </c>
      <c r="F228">
        <v>3.7499999999999999E-2</v>
      </c>
      <c r="G228">
        <v>0</v>
      </c>
      <c r="H228">
        <v>3</v>
      </c>
      <c r="I228" t="s">
        <v>239</v>
      </c>
      <c r="J228"/>
      <c r="K228" s="436"/>
      <c r="L228" s="436"/>
      <c r="M228" s="436"/>
      <c r="N228" s="436"/>
      <c r="O228" s="436"/>
      <c r="P228" s="436"/>
      <c r="Q228" s="436"/>
      <c r="R228" s="436"/>
      <c r="S228" s="436"/>
      <c r="T228" s="292" t="str">
        <f t="shared" si="22"/>
        <v>トラック・バス</v>
      </c>
      <c r="U228" s="283" t="str">
        <f t="shared" si="23"/>
        <v>LPG</v>
      </c>
      <c r="V228" s="283" t="str">
        <f t="shared" si="24"/>
        <v>～1.7 t</v>
      </c>
      <c r="W228" s="283" t="str">
        <f t="shared" si="25"/>
        <v>H30</v>
      </c>
      <c r="X228" s="284" t="str">
        <f t="shared" si="25"/>
        <v>4AE</v>
      </c>
      <c r="Y228" s="271" t="s">
        <v>1769</v>
      </c>
      <c r="Z228" s="283">
        <f t="shared" si="26"/>
        <v>3.7499999999999999E-2</v>
      </c>
      <c r="AA228" s="283">
        <f t="shared" si="26"/>
        <v>0</v>
      </c>
      <c r="AB228" s="340">
        <f t="shared" si="26"/>
        <v>3</v>
      </c>
      <c r="AN228" s="47" t="s">
        <v>615</v>
      </c>
    </row>
    <row r="229" spans="1:41">
      <c r="A229" t="str">
        <f t="shared" si="21"/>
        <v>貨1L4LE</v>
      </c>
      <c r="B229" t="s">
        <v>2008</v>
      </c>
      <c r="C229" t="s">
        <v>1933</v>
      </c>
      <c r="D229" t="s">
        <v>2750</v>
      </c>
      <c r="E229" t="s">
        <v>2633</v>
      </c>
      <c r="F229">
        <v>3.7499999999999999E-2</v>
      </c>
      <c r="G229">
        <v>0</v>
      </c>
      <c r="H229">
        <v>3</v>
      </c>
      <c r="I229" t="s">
        <v>1405</v>
      </c>
      <c r="J229"/>
      <c r="K229" s="436"/>
      <c r="L229" s="436"/>
      <c r="M229" s="436"/>
      <c r="N229" s="436"/>
      <c r="O229" s="436"/>
      <c r="P229" s="436"/>
      <c r="Q229" s="436"/>
      <c r="R229" s="436"/>
      <c r="S229" s="436"/>
      <c r="T229" s="292" t="str">
        <f t="shared" si="22"/>
        <v>トラック・バス</v>
      </c>
      <c r="U229" s="283" t="str">
        <f t="shared" si="23"/>
        <v>LPG</v>
      </c>
      <c r="V229" s="283" t="str">
        <f t="shared" si="24"/>
        <v>～1.7 t</v>
      </c>
      <c r="W229" s="283" t="str">
        <f t="shared" si="25"/>
        <v>H30</v>
      </c>
      <c r="X229" s="284" t="str">
        <f t="shared" si="25"/>
        <v>4LE</v>
      </c>
      <c r="Y229" s="271" t="s">
        <v>1769</v>
      </c>
      <c r="Z229" s="283">
        <f t="shared" si="26"/>
        <v>3.7499999999999999E-2</v>
      </c>
      <c r="AA229" s="283">
        <f t="shared" si="26"/>
        <v>0</v>
      </c>
      <c r="AB229" s="340">
        <f t="shared" si="26"/>
        <v>3</v>
      </c>
      <c r="AN229" s="47" t="s">
        <v>848</v>
      </c>
    </row>
    <row r="230" spans="1:41">
      <c r="A230" t="str">
        <f t="shared" si="21"/>
        <v>貨1L5BE</v>
      </c>
      <c r="B230" t="s">
        <v>2008</v>
      </c>
      <c r="C230" t="s">
        <v>1933</v>
      </c>
      <c r="D230" t="s">
        <v>2750</v>
      </c>
      <c r="E230" t="s">
        <v>2642</v>
      </c>
      <c r="F230">
        <v>2.5000000000000001E-2</v>
      </c>
      <c r="G230">
        <v>0</v>
      </c>
      <c r="H230">
        <v>3</v>
      </c>
      <c r="I230" t="s">
        <v>2200</v>
      </c>
      <c r="J230"/>
      <c r="K230" s="436"/>
      <c r="L230" s="436"/>
      <c r="M230" s="436"/>
      <c r="N230" s="436"/>
      <c r="O230" s="436"/>
      <c r="P230" s="436"/>
      <c r="Q230" s="436"/>
      <c r="R230" s="436"/>
      <c r="S230" s="436"/>
      <c r="T230" s="292" t="str">
        <f t="shared" si="22"/>
        <v>トラック・バス</v>
      </c>
      <c r="U230" s="283" t="str">
        <f t="shared" si="23"/>
        <v>LPG</v>
      </c>
      <c r="V230" s="283" t="str">
        <f t="shared" si="24"/>
        <v>～1.7 t</v>
      </c>
      <c r="W230" s="283" t="str">
        <f t="shared" si="25"/>
        <v>H30</v>
      </c>
      <c r="X230" s="284" t="str">
        <f t="shared" si="25"/>
        <v>5BE</v>
      </c>
      <c r="Y230" s="271" t="s">
        <v>2262</v>
      </c>
      <c r="Z230" s="283">
        <f t="shared" si="26"/>
        <v>2.5000000000000001E-2</v>
      </c>
      <c r="AA230" s="283">
        <f t="shared" si="26"/>
        <v>0</v>
      </c>
      <c r="AB230" s="340">
        <f t="shared" si="26"/>
        <v>3</v>
      </c>
      <c r="AN230" s="436" t="s">
        <v>1055</v>
      </c>
    </row>
    <row r="231" spans="1:41">
      <c r="A231" t="str">
        <f t="shared" si="21"/>
        <v>貨1L5AE</v>
      </c>
      <c r="B231" t="s">
        <v>2008</v>
      </c>
      <c r="C231" t="s">
        <v>1933</v>
      </c>
      <c r="D231" t="s">
        <v>2750</v>
      </c>
      <c r="E231" t="s">
        <v>2639</v>
      </c>
      <c r="F231">
        <v>2.5000000000000001E-2</v>
      </c>
      <c r="G231">
        <v>0</v>
      </c>
      <c r="H231">
        <v>3</v>
      </c>
      <c r="I231" t="s">
        <v>239</v>
      </c>
      <c r="J231"/>
      <c r="K231" s="436"/>
      <c r="L231" s="436"/>
      <c r="M231" s="436"/>
      <c r="N231" s="436"/>
      <c r="O231" s="436"/>
      <c r="P231" s="436"/>
      <c r="Q231" s="436"/>
      <c r="R231" s="436"/>
      <c r="S231" s="436"/>
      <c r="T231" s="292" t="str">
        <f t="shared" si="22"/>
        <v>トラック・バス</v>
      </c>
      <c r="U231" s="283" t="str">
        <f t="shared" si="23"/>
        <v>LPG</v>
      </c>
      <c r="V231" s="283" t="str">
        <f t="shared" si="24"/>
        <v>～1.7 t</v>
      </c>
      <c r="W231" s="283" t="str">
        <f t="shared" si="25"/>
        <v>H30</v>
      </c>
      <c r="X231" s="284" t="str">
        <f t="shared" si="25"/>
        <v>5AE</v>
      </c>
      <c r="Y231" s="271" t="s">
        <v>2262</v>
      </c>
      <c r="Z231" s="283">
        <f t="shared" si="26"/>
        <v>2.5000000000000001E-2</v>
      </c>
      <c r="AA231" s="283">
        <f t="shared" si="26"/>
        <v>0</v>
      </c>
      <c r="AB231" s="340">
        <f t="shared" si="26"/>
        <v>3</v>
      </c>
      <c r="AN231" s="436" t="s">
        <v>73</v>
      </c>
    </row>
    <row r="232" spans="1:41">
      <c r="A232" t="str">
        <f t="shared" si="21"/>
        <v>貨1L5LE</v>
      </c>
      <c r="B232" t="s">
        <v>2008</v>
      </c>
      <c r="C232" t="s">
        <v>1933</v>
      </c>
      <c r="D232" t="s">
        <v>2750</v>
      </c>
      <c r="E232" t="s">
        <v>2663</v>
      </c>
      <c r="F232">
        <v>2.5000000000000001E-2</v>
      </c>
      <c r="G232">
        <v>0</v>
      </c>
      <c r="H232">
        <v>3</v>
      </c>
      <c r="I232" t="s">
        <v>1405</v>
      </c>
      <c r="J232"/>
      <c r="T232" s="292" t="str">
        <f t="shared" si="22"/>
        <v>トラック・バス</v>
      </c>
      <c r="U232" s="283" t="str">
        <f t="shared" si="23"/>
        <v>LPG</v>
      </c>
      <c r="V232" s="283" t="str">
        <f t="shared" si="24"/>
        <v>～1.7 t</v>
      </c>
      <c r="W232" s="283" t="str">
        <f t="shared" si="25"/>
        <v>H30</v>
      </c>
      <c r="X232" s="284" t="str">
        <f t="shared" si="25"/>
        <v>5LE</v>
      </c>
      <c r="Y232" s="271" t="s">
        <v>2262</v>
      </c>
      <c r="Z232" s="283">
        <f t="shared" si="26"/>
        <v>2.5000000000000001E-2</v>
      </c>
      <c r="AA232" s="283">
        <f t="shared" si="26"/>
        <v>0</v>
      </c>
      <c r="AB232" s="340">
        <f t="shared" si="26"/>
        <v>3</v>
      </c>
      <c r="AN232" s="47" t="s">
        <v>1570</v>
      </c>
    </row>
    <row r="233" spans="1:41">
      <c r="A233" t="str">
        <f t="shared" si="21"/>
        <v>貨1L6BE</v>
      </c>
      <c r="B233" t="s">
        <v>2008</v>
      </c>
      <c r="C233" t="s">
        <v>1933</v>
      </c>
      <c r="D233" t="s">
        <v>2750</v>
      </c>
      <c r="E233" t="s">
        <v>2672</v>
      </c>
      <c r="F233">
        <v>1.2500000000000001E-2</v>
      </c>
      <c r="G233">
        <v>0</v>
      </c>
      <c r="H233">
        <v>3</v>
      </c>
      <c r="I233" t="s">
        <v>2202</v>
      </c>
      <c r="J233"/>
      <c r="T233" s="292" t="str">
        <f t="shared" si="22"/>
        <v>トラック・バス</v>
      </c>
      <c r="U233" s="283" t="str">
        <f t="shared" si="23"/>
        <v>LPG</v>
      </c>
      <c r="V233" s="283" t="str">
        <f t="shared" si="24"/>
        <v>～1.7 t</v>
      </c>
      <c r="W233" s="283" t="str">
        <f t="shared" si="25"/>
        <v>H30</v>
      </c>
      <c r="X233" s="284" t="str">
        <f t="shared" si="25"/>
        <v>6BE</v>
      </c>
      <c r="Y233" s="271" t="s">
        <v>2758</v>
      </c>
      <c r="Z233" s="283">
        <f t="shared" si="26"/>
        <v>1.2500000000000001E-2</v>
      </c>
      <c r="AA233" s="283">
        <f t="shared" si="26"/>
        <v>0</v>
      </c>
      <c r="AB233" s="340">
        <f t="shared" si="26"/>
        <v>3</v>
      </c>
      <c r="AN233" s="266" t="s">
        <v>606</v>
      </c>
    </row>
    <row r="234" spans="1:41">
      <c r="A234" t="str">
        <f t="shared" si="21"/>
        <v>貨1L6AE</v>
      </c>
      <c r="B234" t="s">
        <v>2008</v>
      </c>
      <c r="C234" t="s">
        <v>1933</v>
      </c>
      <c r="D234" t="s">
        <v>2750</v>
      </c>
      <c r="E234" t="s">
        <v>2669</v>
      </c>
      <c r="F234">
        <v>1.2500000000000001E-2</v>
      </c>
      <c r="G234">
        <v>0</v>
      </c>
      <c r="H234">
        <v>3</v>
      </c>
      <c r="I234" t="s">
        <v>239</v>
      </c>
      <c r="J234"/>
      <c r="T234" s="292" t="str">
        <f t="shared" si="22"/>
        <v>トラック・バス</v>
      </c>
      <c r="U234" s="283" t="str">
        <f t="shared" si="23"/>
        <v>LPG</v>
      </c>
      <c r="V234" s="283" t="str">
        <f t="shared" si="24"/>
        <v>～1.7 t</v>
      </c>
      <c r="W234" s="283" t="str">
        <f t="shared" si="25"/>
        <v>H30</v>
      </c>
      <c r="X234" s="284" t="str">
        <f t="shared" si="25"/>
        <v>6AE</v>
      </c>
      <c r="Y234" s="271" t="s">
        <v>2758</v>
      </c>
      <c r="Z234" s="283">
        <f t="shared" si="26"/>
        <v>1.2500000000000001E-2</v>
      </c>
      <c r="AA234" s="283">
        <f t="shared" si="26"/>
        <v>0</v>
      </c>
      <c r="AB234" s="340">
        <f t="shared" si="26"/>
        <v>3</v>
      </c>
      <c r="AN234" s="266" t="s">
        <v>840</v>
      </c>
    </row>
    <row r="235" spans="1:41">
      <c r="A235" t="str">
        <f t="shared" si="21"/>
        <v>貨1L6LE</v>
      </c>
      <c r="B235" t="s">
        <v>2008</v>
      </c>
      <c r="C235" t="s">
        <v>1933</v>
      </c>
      <c r="D235" t="s">
        <v>2750</v>
      </c>
      <c r="E235" t="s">
        <v>2693</v>
      </c>
      <c r="F235">
        <v>1.2500000000000001E-2</v>
      </c>
      <c r="G235">
        <v>0</v>
      </c>
      <c r="H235">
        <v>3</v>
      </c>
      <c r="I235" t="s">
        <v>1405</v>
      </c>
      <c r="J235"/>
      <c r="T235" s="292" t="str">
        <f t="shared" si="22"/>
        <v>トラック・バス</v>
      </c>
      <c r="U235" s="283" t="str">
        <f t="shared" si="23"/>
        <v>LPG</v>
      </c>
      <c r="V235" s="283" t="str">
        <f t="shared" si="24"/>
        <v>～1.7 t</v>
      </c>
      <c r="W235" s="283" t="str">
        <f t="shared" si="25"/>
        <v>H30</v>
      </c>
      <c r="X235" s="284" t="str">
        <f t="shared" si="25"/>
        <v>6LE</v>
      </c>
      <c r="Y235" s="271" t="s">
        <v>2758</v>
      </c>
      <c r="Z235" s="283">
        <f t="shared" si="26"/>
        <v>1.2500000000000001E-2</v>
      </c>
      <c r="AA235" s="283">
        <f t="shared" si="26"/>
        <v>0</v>
      </c>
      <c r="AB235" s="340">
        <f t="shared" si="26"/>
        <v>3</v>
      </c>
      <c r="AN235" s="47" t="s">
        <v>1047</v>
      </c>
    </row>
    <row r="236" spans="1:41">
      <c r="A236" t="str">
        <f t="shared" si="21"/>
        <v>貨2L-</v>
      </c>
      <c r="B236" t="s">
        <v>2009</v>
      </c>
      <c r="C236" t="s">
        <v>1934</v>
      </c>
      <c r="D236" t="s">
        <v>2456</v>
      </c>
      <c r="E236" t="s">
        <v>2457</v>
      </c>
      <c r="F236">
        <v>2.1800000000000002</v>
      </c>
      <c r="G236">
        <v>0</v>
      </c>
      <c r="H236">
        <v>3</v>
      </c>
      <c r="I236" t="s">
        <v>232</v>
      </c>
      <c r="J236"/>
      <c r="T236" s="292" t="str">
        <f t="shared" si="22"/>
        <v>トラック・バス</v>
      </c>
      <c r="U236" s="283" t="str">
        <f t="shared" si="23"/>
        <v>LPG</v>
      </c>
      <c r="V236" s="283" t="str">
        <f t="shared" si="24"/>
        <v>1.7～2.5 t</v>
      </c>
      <c r="W236" s="283" t="str">
        <f t="shared" si="25"/>
        <v>S50前</v>
      </c>
      <c r="X236" s="284" t="str">
        <f t="shared" si="25"/>
        <v>-</v>
      </c>
      <c r="Y236" s="271"/>
      <c r="Z236" s="283">
        <f t="shared" si="26"/>
        <v>2.1800000000000002</v>
      </c>
      <c r="AA236" s="283">
        <f t="shared" si="26"/>
        <v>0</v>
      </c>
      <c r="AB236" s="340">
        <f t="shared" si="26"/>
        <v>3</v>
      </c>
      <c r="AN236" s="47" t="s">
        <v>1678</v>
      </c>
    </row>
    <row r="237" spans="1:41">
      <c r="A237" t="str">
        <f t="shared" si="21"/>
        <v>貨2LH</v>
      </c>
      <c r="B237" t="s">
        <v>2009</v>
      </c>
      <c r="C237" t="s">
        <v>1934</v>
      </c>
      <c r="D237" t="s">
        <v>2459</v>
      </c>
      <c r="E237" t="s">
        <v>2460</v>
      </c>
      <c r="F237">
        <v>1.8</v>
      </c>
      <c r="G237">
        <v>0</v>
      </c>
      <c r="H237">
        <v>3</v>
      </c>
      <c r="I237" t="s">
        <v>232</v>
      </c>
      <c r="J237"/>
      <c r="T237" s="292" t="str">
        <f t="shared" si="22"/>
        <v>トラック・バス</v>
      </c>
      <c r="U237" s="283" t="str">
        <f t="shared" si="23"/>
        <v>LPG</v>
      </c>
      <c r="V237" s="283" t="str">
        <f t="shared" si="24"/>
        <v>1.7～2.5 t</v>
      </c>
      <c r="W237" s="283" t="str">
        <f t="shared" si="25"/>
        <v>S50</v>
      </c>
      <c r="X237" s="284" t="str">
        <f t="shared" si="25"/>
        <v>H</v>
      </c>
      <c r="Y237" s="271"/>
      <c r="Z237" s="283">
        <f t="shared" si="26"/>
        <v>1.8</v>
      </c>
      <c r="AA237" s="283">
        <f t="shared" si="26"/>
        <v>0</v>
      </c>
      <c r="AB237" s="340">
        <f t="shared" si="26"/>
        <v>3</v>
      </c>
      <c r="AN237" s="47" t="s">
        <v>1147</v>
      </c>
    </row>
    <row r="238" spans="1:41">
      <c r="A238" t="str">
        <f t="shared" si="21"/>
        <v>貨2LJ</v>
      </c>
      <c r="B238" t="s">
        <v>2009</v>
      </c>
      <c r="C238" t="s">
        <v>1934</v>
      </c>
      <c r="D238" t="s">
        <v>0</v>
      </c>
      <c r="E238" t="s">
        <v>7</v>
      </c>
      <c r="F238">
        <v>1.2</v>
      </c>
      <c r="G238">
        <v>0</v>
      </c>
      <c r="H238">
        <v>3</v>
      </c>
      <c r="I238" t="s">
        <v>232</v>
      </c>
      <c r="J238"/>
      <c r="T238" s="292" t="str">
        <f t="shared" si="22"/>
        <v>トラック・バス</v>
      </c>
      <c r="U238" s="283" t="str">
        <f t="shared" si="23"/>
        <v>LPG</v>
      </c>
      <c r="V238" s="283" t="str">
        <f t="shared" si="24"/>
        <v>1.7～2.5 t</v>
      </c>
      <c r="W238" s="283" t="str">
        <f t="shared" si="25"/>
        <v>S54</v>
      </c>
      <c r="X238" s="284" t="str">
        <f t="shared" si="25"/>
        <v>J</v>
      </c>
      <c r="Y238" s="271"/>
      <c r="Z238" s="283">
        <f t="shared" si="26"/>
        <v>1.2</v>
      </c>
      <c r="AA238" s="283">
        <f t="shared" si="26"/>
        <v>0</v>
      </c>
      <c r="AB238" s="340">
        <f t="shared" si="26"/>
        <v>3</v>
      </c>
      <c r="AN238" s="47" t="s">
        <v>1180</v>
      </c>
    </row>
    <row r="239" spans="1:41">
      <c r="A239" t="str">
        <f t="shared" si="21"/>
        <v>貨2LL</v>
      </c>
      <c r="B239" t="s">
        <v>2009</v>
      </c>
      <c r="C239" t="s">
        <v>1934</v>
      </c>
      <c r="D239" t="s">
        <v>9</v>
      </c>
      <c r="E239" t="s">
        <v>10</v>
      </c>
      <c r="F239">
        <v>0.9</v>
      </c>
      <c r="G239">
        <v>0</v>
      </c>
      <c r="H239">
        <v>3</v>
      </c>
      <c r="I239" t="s">
        <v>232</v>
      </c>
      <c r="J239"/>
      <c r="T239" s="292" t="str">
        <f t="shared" si="22"/>
        <v>トラック・バス</v>
      </c>
      <c r="U239" s="283" t="str">
        <f t="shared" si="23"/>
        <v>LPG</v>
      </c>
      <c r="V239" s="283" t="str">
        <f t="shared" si="24"/>
        <v>1.7～2.5 t</v>
      </c>
      <c r="W239" s="283" t="str">
        <f t="shared" si="25"/>
        <v>S56</v>
      </c>
      <c r="X239" s="284" t="str">
        <f t="shared" si="25"/>
        <v>L</v>
      </c>
      <c r="Y239" s="271"/>
      <c r="Z239" s="283">
        <f t="shared" si="26"/>
        <v>0.9</v>
      </c>
      <c r="AA239" s="283">
        <f t="shared" si="26"/>
        <v>0</v>
      </c>
      <c r="AB239" s="340">
        <f t="shared" si="26"/>
        <v>3</v>
      </c>
      <c r="AN239" s="47" t="s">
        <v>1241</v>
      </c>
    </row>
    <row r="240" spans="1:41">
      <c r="A240" t="str">
        <f t="shared" si="21"/>
        <v>貨2LT</v>
      </c>
      <c r="B240" t="s">
        <v>2009</v>
      </c>
      <c r="C240" t="s">
        <v>1934</v>
      </c>
      <c r="D240" t="s">
        <v>18</v>
      </c>
      <c r="E240" t="s">
        <v>19</v>
      </c>
      <c r="F240">
        <v>0.7</v>
      </c>
      <c r="G240">
        <v>0</v>
      </c>
      <c r="H240">
        <v>3</v>
      </c>
      <c r="I240" t="s">
        <v>232</v>
      </c>
      <c r="J240"/>
      <c r="T240" s="292" t="str">
        <f t="shared" si="22"/>
        <v>トラック・バス</v>
      </c>
      <c r="U240" s="283" t="str">
        <f t="shared" si="23"/>
        <v>LPG</v>
      </c>
      <c r="V240" s="283" t="str">
        <f t="shared" si="24"/>
        <v>1.7～2.5 t</v>
      </c>
      <c r="W240" s="283" t="str">
        <f t="shared" si="25"/>
        <v>H元</v>
      </c>
      <c r="X240" s="284" t="str">
        <f t="shared" si="25"/>
        <v>T</v>
      </c>
      <c r="Y240" s="271"/>
      <c r="Z240" s="283">
        <f t="shared" si="26"/>
        <v>0.7</v>
      </c>
      <c r="AA240" s="283">
        <f t="shared" si="26"/>
        <v>0</v>
      </c>
      <c r="AB240" s="340">
        <f t="shared" si="26"/>
        <v>3</v>
      </c>
      <c r="AN240" s="47" t="s">
        <v>1526</v>
      </c>
    </row>
    <row r="241" spans="1:41">
      <c r="A241" t="str">
        <f t="shared" si="21"/>
        <v>貨2LGA</v>
      </c>
      <c r="B241" t="s">
        <v>2009</v>
      </c>
      <c r="C241" t="s">
        <v>1934</v>
      </c>
      <c r="D241" t="s">
        <v>1995</v>
      </c>
      <c r="E241" t="s">
        <v>49</v>
      </c>
      <c r="F241">
        <v>0.4</v>
      </c>
      <c r="G241">
        <v>0</v>
      </c>
      <c r="H241">
        <v>3</v>
      </c>
      <c r="I241" t="s">
        <v>232</v>
      </c>
      <c r="J241"/>
      <c r="T241" s="292" t="str">
        <f t="shared" si="22"/>
        <v>トラック・バス</v>
      </c>
      <c r="U241" s="283" t="str">
        <f t="shared" si="23"/>
        <v>LPG</v>
      </c>
      <c r="V241" s="283" t="str">
        <f t="shared" si="24"/>
        <v>1.7～2.5 t</v>
      </c>
      <c r="W241" s="283" t="str">
        <f t="shared" si="25"/>
        <v>H6,H10</v>
      </c>
      <c r="X241" s="284" t="str">
        <f t="shared" si="25"/>
        <v>GA</v>
      </c>
      <c r="Y241" s="271"/>
      <c r="Z241" s="283">
        <f t="shared" si="26"/>
        <v>0.4</v>
      </c>
      <c r="AA241" s="283">
        <f t="shared" si="26"/>
        <v>0</v>
      </c>
      <c r="AB241" s="340">
        <f t="shared" si="26"/>
        <v>3</v>
      </c>
      <c r="AN241" s="47" t="s">
        <v>1676</v>
      </c>
    </row>
    <row r="242" spans="1:41">
      <c r="A242" t="str">
        <f t="shared" ref="A242:A262" si="27">CONCATENATE(C242,E242)</f>
        <v>貨2LGC</v>
      </c>
      <c r="B242" t="s">
        <v>2009</v>
      </c>
      <c r="C242" t="s">
        <v>1934</v>
      </c>
      <c r="D242" t="s">
        <v>1995</v>
      </c>
      <c r="E242" t="s">
        <v>51</v>
      </c>
      <c r="F242">
        <v>0.4</v>
      </c>
      <c r="G242">
        <v>0</v>
      </c>
      <c r="H242">
        <v>3</v>
      </c>
      <c r="I242" t="s">
        <v>232</v>
      </c>
      <c r="J242"/>
      <c r="T242" s="292" t="str">
        <f t="shared" si="22"/>
        <v>トラック・バス</v>
      </c>
      <c r="U242" s="283" t="str">
        <f t="shared" si="23"/>
        <v>LPG</v>
      </c>
      <c r="V242" s="283" t="str">
        <f t="shared" si="24"/>
        <v>1.7～2.5 t</v>
      </c>
      <c r="W242" s="283" t="str">
        <f t="shared" si="25"/>
        <v>H6,H10</v>
      </c>
      <c r="X242" s="284" t="str">
        <f t="shared" si="25"/>
        <v>GC</v>
      </c>
      <c r="Y242" s="271"/>
      <c r="Z242" s="283">
        <f t="shared" si="26"/>
        <v>0.4</v>
      </c>
      <c r="AA242" s="283">
        <f t="shared" si="26"/>
        <v>0</v>
      </c>
      <c r="AB242" s="340">
        <f t="shared" si="26"/>
        <v>3</v>
      </c>
      <c r="AN242" s="266" t="s">
        <v>1145</v>
      </c>
    </row>
    <row r="243" spans="1:41">
      <c r="A243" t="str">
        <f t="shared" si="27"/>
        <v>貨2LHG</v>
      </c>
      <c r="B243" t="s">
        <v>2009</v>
      </c>
      <c r="C243" t="s">
        <v>1934</v>
      </c>
      <c r="D243" t="s">
        <v>1995</v>
      </c>
      <c r="E243" t="s">
        <v>59</v>
      </c>
      <c r="F243">
        <v>0.2</v>
      </c>
      <c r="G243">
        <v>0</v>
      </c>
      <c r="H243">
        <v>3</v>
      </c>
      <c r="I243" t="s">
        <v>239</v>
      </c>
      <c r="J243"/>
      <c r="T243" s="292" t="str">
        <f t="shared" si="22"/>
        <v>トラック・バス</v>
      </c>
      <c r="U243" s="283" t="str">
        <f t="shared" si="23"/>
        <v>LPG</v>
      </c>
      <c r="V243" s="283" t="str">
        <f t="shared" si="24"/>
        <v>1.7～2.5 t</v>
      </c>
      <c r="W243" s="283" t="str">
        <f t="shared" si="25"/>
        <v>H6,H10</v>
      </c>
      <c r="X243" s="284" t="str">
        <f t="shared" si="25"/>
        <v>HG</v>
      </c>
      <c r="Y243" s="271"/>
      <c r="Z243" s="283">
        <f t="shared" si="26"/>
        <v>0.2</v>
      </c>
      <c r="AA243" s="283">
        <f t="shared" si="26"/>
        <v>0</v>
      </c>
      <c r="AB243" s="340">
        <f t="shared" si="26"/>
        <v>3</v>
      </c>
      <c r="AN243" s="47" t="s">
        <v>1178</v>
      </c>
    </row>
    <row r="244" spans="1:41">
      <c r="A244" t="str">
        <f t="shared" si="27"/>
        <v>貨2LGK</v>
      </c>
      <c r="B244" t="s">
        <v>2009</v>
      </c>
      <c r="C244" t="s">
        <v>1934</v>
      </c>
      <c r="D244" t="s">
        <v>21</v>
      </c>
      <c r="E244" t="s">
        <v>57</v>
      </c>
      <c r="F244">
        <v>0.13</v>
      </c>
      <c r="G244">
        <v>0</v>
      </c>
      <c r="H244">
        <v>3</v>
      </c>
      <c r="I244" t="s">
        <v>232</v>
      </c>
      <c r="J244"/>
      <c r="T244" s="292" t="str">
        <f t="shared" si="22"/>
        <v>トラック・バス</v>
      </c>
      <c r="U244" s="283" t="str">
        <f t="shared" si="23"/>
        <v>LPG</v>
      </c>
      <c r="V244" s="283" t="str">
        <f t="shared" si="24"/>
        <v>1.7～2.5 t</v>
      </c>
      <c r="W244" s="283" t="str">
        <f t="shared" si="25"/>
        <v>H13</v>
      </c>
      <c r="X244" s="284" t="str">
        <f t="shared" si="25"/>
        <v>GK</v>
      </c>
      <c r="Y244" s="271"/>
      <c r="Z244" s="283">
        <f t="shared" si="26"/>
        <v>0.13</v>
      </c>
      <c r="AA244" s="283">
        <f t="shared" si="26"/>
        <v>0</v>
      </c>
      <c r="AB244" s="340">
        <f t="shared" si="26"/>
        <v>3</v>
      </c>
      <c r="AN244" s="47" t="s">
        <v>1239</v>
      </c>
    </row>
    <row r="245" spans="1:41">
      <c r="A245" t="str">
        <f t="shared" si="27"/>
        <v>貨2LHQ</v>
      </c>
      <c r="B245" t="s">
        <v>2009</v>
      </c>
      <c r="C245" t="s">
        <v>1934</v>
      </c>
      <c r="D245" t="s">
        <v>21</v>
      </c>
      <c r="E245" t="s">
        <v>68</v>
      </c>
      <c r="F245">
        <v>6.5000000000000002E-2</v>
      </c>
      <c r="G245">
        <v>0</v>
      </c>
      <c r="H245">
        <v>3</v>
      </c>
      <c r="I245" t="s">
        <v>239</v>
      </c>
      <c r="J245"/>
      <c r="T245" s="292" t="str">
        <f t="shared" si="22"/>
        <v>トラック・バス</v>
      </c>
      <c r="U245" s="283" t="str">
        <f t="shared" si="23"/>
        <v>LPG</v>
      </c>
      <c r="V245" s="283" t="str">
        <f t="shared" si="24"/>
        <v>1.7～2.5 t</v>
      </c>
      <c r="W245" s="283" t="str">
        <f t="shared" si="25"/>
        <v>H13</v>
      </c>
      <c r="X245" s="284" t="str">
        <f t="shared" si="25"/>
        <v>HQ</v>
      </c>
      <c r="Y245" s="271"/>
      <c r="Z245" s="283">
        <f t="shared" si="26"/>
        <v>6.5000000000000002E-2</v>
      </c>
      <c r="AA245" s="283">
        <f t="shared" si="26"/>
        <v>0</v>
      </c>
      <c r="AB245" s="340">
        <f t="shared" si="26"/>
        <v>3</v>
      </c>
      <c r="AN245" s="47" t="s">
        <v>1530</v>
      </c>
    </row>
    <row r="246" spans="1:41">
      <c r="A246" t="str">
        <f t="shared" si="27"/>
        <v>貨2LTC</v>
      </c>
      <c r="B246" t="s">
        <v>2009</v>
      </c>
      <c r="C246" t="s">
        <v>1934</v>
      </c>
      <c r="D246" t="s">
        <v>21</v>
      </c>
      <c r="E246" t="s">
        <v>81</v>
      </c>
      <c r="F246">
        <v>9.7500000000000003E-2</v>
      </c>
      <c r="G246">
        <v>0</v>
      </c>
      <c r="H246">
        <v>3</v>
      </c>
      <c r="I246" t="s">
        <v>232</v>
      </c>
      <c r="J246"/>
      <c r="T246" s="292" t="str">
        <f t="shared" si="22"/>
        <v>トラック・バス</v>
      </c>
      <c r="U246" s="283" t="str">
        <f t="shared" si="23"/>
        <v>LPG</v>
      </c>
      <c r="V246" s="283" t="str">
        <f t="shared" si="24"/>
        <v>1.7～2.5 t</v>
      </c>
      <c r="W246" s="283" t="str">
        <f t="shared" si="25"/>
        <v>H13</v>
      </c>
      <c r="X246" s="284" t="str">
        <f t="shared" si="25"/>
        <v>TC</v>
      </c>
      <c r="Y246" s="271" t="s">
        <v>244</v>
      </c>
      <c r="Z246" s="283">
        <f t="shared" si="26"/>
        <v>9.7500000000000003E-2</v>
      </c>
      <c r="AA246" s="283">
        <f t="shared" si="26"/>
        <v>0</v>
      </c>
      <c r="AB246" s="340">
        <f t="shared" si="26"/>
        <v>3</v>
      </c>
      <c r="AN246" s="47" t="s">
        <v>1706</v>
      </c>
    </row>
    <row r="247" spans="1:41">
      <c r="A247" t="str">
        <f t="shared" si="27"/>
        <v>貨2LXC</v>
      </c>
      <c r="B247" t="s">
        <v>2009</v>
      </c>
      <c r="C247" t="s">
        <v>1934</v>
      </c>
      <c r="D247" t="s">
        <v>21</v>
      </c>
      <c r="E247" t="s">
        <v>95</v>
      </c>
      <c r="F247">
        <v>9.7500000000000003E-2</v>
      </c>
      <c r="G247">
        <v>0</v>
      </c>
      <c r="H247">
        <v>3</v>
      </c>
      <c r="I247" t="s">
        <v>239</v>
      </c>
      <c r="J247"/>
      <c r="T247" s="292" t="str">
        <f t="shared" si="22"/>
        <v>トラック・バス</v>
      </c>
      <c r="U247" s="283" t="str">
        <f t="shared" si="23"/>
        <v>LPG</v>
      </c>
      <c r="V247" s="283" t="str">
        <f t="shared" si="24"/>
        <v>1.7～2.5 t</v>
      </c>
      <c r="W247" s="283" t="str">
        <f t="shared" si="25"/>
        <v>H13</v>
      </c>
      <c r="X247" s="284" t="str">
        <f t="shared" si="25"/>
        <v>XC</v>
      </c>
      <c r="Y247" s="271" t="s">
        <v>244</v>
      </c>
      <c r="Z247" s="283">
        <f t="shared" si="26"/>
        <v>9.7500000000000003E-2</v>
      </c>
      <c r="AA247" s="283">
        <f t="shared" si="26"/>
        <v>0</v>
      </c>
      <c r="AB247" s="340">
        <f t="shared" si="26"/>
        <v>3</v>
      </c>
      <c r="AN247" s="47" t="s">
        <v>1282</v>
      </c>
    </row>
    <row r="248" spans="1:41">
      <c r="A248" t="str">
        <f t="shared" si="27"/>
        <v>貨2LLC</v>
      </c>
      <c r="B248" t="s">
        <v>2009</v>
      </c>
      <c r="C248" t="s">
        <v>1934</v>
      </c>
      <c r="D248" t="s">
        <v>21</v>
      </c>
      <c r="E248" t="s">
        <v>72</v>
      </c>
      <c r="F248">
        <v>6.5000000000000002E-2</v>
      </c>
      <c r="G248">
        <v>0</v>
      </c>
      <c r="H248">
        <v>3</v>
      </c>
      <c r="I248" t="s">
        <v>232</v>
      </c>
      <c r="J248"/>
      <c r="T248" s="292" t="str">
        <f t="shared" si="22"/>
        <v>トラック・バス</v>
      </c>
      <c r="U248" s="283" t="str">
        <f t="shared" si="23"/>
        <v>LPG</v>
      </c>
      <c r="V248" s="283" t="str">
        <f t="shared" si="24"/>
        <v>1.7～2.5 t</v>
      </c>
      <c r="W248" s="283" t="str">
        <f t="shared" si="25"/>
        <v>H13</v>
      </c>
      <c r="X248" s="284" t="str">
        <f t="shared" si="25"/>
        <v>LC</v>
      </c>
      <c r="Y248" s="271" t="s">
        <v>247</v>
      </c>
      <c r="Z248" s="283">
        <f t="shared" si="26"/>
        <v>6.5000000000000002E-2</v>
      </c>
      <c r="AA248" s="283">
        <f t="shared" si="26"/>
        <v>0</v>
      </c>
      <c r="AB248" s="340">
        <f t="shared" si="26"/>
        <v>3</v>
      </c>
      <c r="AD248" s="266"/>
      <c r="AE248" s="266"/>
      <c r="AF248" s="266"/>
      <c r="AG248" s="266"/>
      <c r="AH248" s="266"/>
      <c r="AI248" s="266"/>
      <c r="AN248" s="266" t="s">
        <v>1313</v>
      </c>
    </row>
    <row r="249" spans="1:41">
      <c r="A249" t="str">
        <f t="shared" si="27"/>
        <v>貨2LYC</v>
      </c>
      <c r="B249" t="s">
        <v>2009</v>
      </c>
      <c r="C249" t="s">
        <v>1934</v>
      </c>
      <c r="D249" t="s">
        <v>21</v>
      </c>
      <c r="E249" t="s">
        <v>99</v>
      </c>
      <c r="F249">
        <v>6.5000000000000002E-2</v>
      </c>
      <c r="G249">
        <v>0</v>
      </c>
      <c r="H249">
        <v>3</v>
      </c>
      <c r="I249" t="s">
        <v>239</v>
      </c>
      <c r="J249"/>
      <c r="T249" s="292" t="str">
        <f t="shared" si="22"/>
        <v>トラック・バス</v>
      </c>
      <c r="U249" s="283" t="str">
        <f t="shared" si="23"/>
        <v>LPG</v>
      </c>
      <c r="V249" s="283" t="str">
        <f t="shared" si="24"/>
        <v>1.7～2.5 t</v>
      </c>
      <c r="W249" s="283" t="str">
        <f t="shared" si="25"/>
        <v>H13</v>
      </c>
      <c r="X249" s="284" t="str">
        <f t="shared" si="25"/>
        <v>YC</v>
      </c>
      <c r="Y249" s="271" t="s">
        <v>247</v>
      </c>
      <c r="Z249" s="283">
        <f t="shared" si="26"/>
        <v>6.5000000000000002E-2</v>
      </c>
      <c r="AA249" s="283">
        <f t="shared" si="26"/>
        <v>0</v>
      </c>
      <c r="AB249" s="340">
        <f t="shared" si="26"/>
        <v>3</v>
      </c>
      <c r="AD249" s="266"/>
      <c r="AE249" s="266"/>
      <c r="AF249" s="266"/>
      <c r="AG249" s="266"/>
      <c r="AH249" s="266"/>
      <c r="AI249" s="266"/>
      <c r="AN249" s="47" t="s">
        <v>1363</v>
      </c>
    </row>
    <row r="250" spans="1:41" s="266" customFormat="1">
      <c r="A250" t="str">
        <f t="shared" si="27"/>
        <v>貨2LUC</v>
      </c>
      <c r="B250" t="s">
        <v>2009</v>
      </c>
      <c r="C250" t="s">
        <v>1934</v>
      </c>
      <c r="D250" t="s">
        <v>21</v>
      </c>
      <c r="E250" t="s">
        <v>88</v>
      </c>
      <c r="F250">
        <v>3.2500000000000001E-2</v>
      </c>
      <c r="G250">
        <v>0</v>
      </c>
      <c r="H250">
        <v>3</v>
      </c>
      <c r="I250" t="s">
        <v>232</v>
      </c>
      <c r="J250"/>
      <c r="K250" s="47"/>
      <c r="L250" s="47"/>
      <c r="M250" s="47"/>
      <c r="N250" s="47"/>
      <c r="O250" s="47"/>
      <c r="P250" s="47"/>
      <c r="Q250" s="47"/>
      <c r="R250" s="47"/>
      <c r="S250" s="47"/>
      <c r="T250" s="292" t="str">
        <f t="shared" si="22"/>
        <v>トラック・バス</v>
      </c>
      <c r="U250" s="283" t="str">
        <f t="shared" si="23"/>
        <v>LPG</v>
      </c>
      <c r="V250" s="283" t="str">
        <f t="shared" si="24"/>
        <v>1.7～2.5 t</v>
      </c>
      <c r="W250" s="283" t="str">
        <f t="shared" si="25"/>
        <v>H13</v>
      </c>
      <c r="X250" s="284" t="str">
        <f t="shared" si="25"/>
        <v>UC</v>
      </c>
      <c r="Y250" s="271" t="s">
        <v>250</v>
      </c>
      <c r="Z250" s="283">
        <f t="shared" si="26"/>
        <v>3.2500000000000001E-2</v>
      </c>
      <c r="AA250" s="283">
        <f t="shared" si="26"/>
        <v>0</v>
      </c>
      <c r="AB250" s="340">
        <f t="shared" si="26"/>
        <v>3</v>
      </c>
      <c r="AD250" s="436"/>
      <c r="AE250" s="436"/>
      <c r="AF250" s="436"/>
      <c r="AG250" s="436"/>
      <c r="AH250" s="436"/>
      <c r="AI250" s="436"/>
      <c r="AN250" s="47" t="s">
        <v>131</v>
      </c>
      <c r="AO250" s="47"/>
    </row>
    <row r="251" spans="1:41" s="266" customFormat="1">
      <c r="A251" t="str">
        <f t="shared" si="27"/>
        <v>貨2LZC</v>
      </c>
      <c r="B251" t="s">
        <v>2009</v>
      </c>
      <c r="C251" t="s">
        <v>1934</v>
      </c>
      <c r="D251" t="s">
        <v>21</v>
      </c>
      <c r="E251" t="s">
        <v>103</v>
      </c>
      <c r="F251">
        <v>3.2500000000000001E-2</v>
      </c>
      <c r="G251">
        <v>0</v>
      </c>
      <c r="H251">
        <v>3</v>
      </c>
      <c r="I251" t="s">
        <v>239</v>
      </c>
      <c r="J251"/>
      <c r="K251" s="47"/>
      <c r="L251" s="47"/>
      <c r="M251" s="47"/>
      <c r="N251" s="47"/>
      <c r="O251" s="47"/>
      <c r="P251" s="47"/>
      <c r="Q251" s="47"/>
      <c r="R251" s="47"/>
      <c r="S251" s="47"/>
      <c r="T251" s="292" t="str">
        <f t="shared" si="22"/>
        <v>トラック・バス</v>
      </c>
      <c r="U251" s="283" t="str">
        <f t="shared" si="23"/>
        <v>LPG</v>
      </c>
      <c r="V251" s="283" t="str">
        <f t="shared" si="24"/>
        <v>1.7～2.5 t</v>
      </c>
      <c r="W251" s="283" t="str">
        <f t="shared" si="25"/>
        <v>H13</v>
      </c>
      <c r="X251" s="284" t="str">
        <f t="shared" si="25"/>
        <v>ZC</v>
      </c>
      <c r="Y251" s="271" t="s">
        <v>250</v>
      </c>
      <c r="Z251" s="283">
        <f t="shared" si="26"/>
        <v>3.2500000000000001E-2</v>
      </c>
      <c r="AA251" s="283">
        <f t="shared" si="26"/>
        <v>0</v>
      </c>
      <c r="AB251" s="340">
        <f t="shared" si="26"/>
        <v>3</v>
      </c>
      <c r="AD251" s="436"/>
      <c r="AE251" s="436"/>
      <c r="AF251" s="436"/>
      <c r="AG251" s="436"/>
      <c r="AH251" s="436"/>
      <c r="AI251" s="436"/>
      <c r="AN251" s="47" t="s">
        <v>1704</v>
      </c>
      <c r="AO251" s="47"/>
    </row>
    <row r="252" spans="1:41" s="436" customFormat="1">
      <c r="A252" t="str">
        <f t="shared" si="27"/>
        <v>貨2LABF</v>
      </c>
      <c r="B252" t="s">
        <v>2009</v>
      </c>
      <c r="C252" t="s">
        <v>1934</v>
      </c>
      <c r="D252" t="s">
        <v>1979</v>
      </c>
      <c r="E252" t="s">
        <v>301</v>
      </c>
      <c r="F252">
        <v>7.0000000000000007E-2</v>
      </c>
      <c r="G252">
        <v>0</v>
      </c>
      <c r="H252">
        <v>3</v>
      </c>
      <c r="I252" t="s">
        <v>232</v>
      </c>
      <c r="J252"/>
      <c r="K252" s="47"/>
      <c r="L252" s="47"/>
      <c r="M252" s="47"/>
      <c r="N252" s="47"/>
      <c r="O252" s="47"/>
      <c r="P252" s="47"/>
      <c r="Q252" s="47"/>
      <c r="R252" s="47"/>
      <c r="S252" s="47"/>
      <c r="T252" s="292" t="str">
        <f t="shared" si="22"/>
        <v>トラック・バス</v>
      </c>
      <c r="U252" s="283" t="str">
        <f t="shared" si="23"/>
        <v>LPG</v>
      </c>
      <c r="V252" s="283" t="str">
        <f t="shared" si="24"/>
        <v>1.7～2.5 t</v>
      </c>
      <c r="W252" s="283" t="str">
        <f t="shared" si="25"/>
        <v>H17</v>
      </c>
      <c r="X252" s="284" t="str">
        <f t="shared" si="25"/>
        <v>ABF</v>
      </c>
      <c r="Y252" s="271"/>
      <c r="Z252" s="283">
        <f t="shared" si="26"/>
        <v>7.0000000000000007E-2</v>
      </c>
      <c r="AA252" s="283">
        <f t="shared" si="26"/>
        <v>0</v>
      </c>
      <c r="AB252" s="340">
        <f t="shared" si="26"/>
        <v>3</v>
      </c>
      <c r="AN252" s="47" t="s">
        <v>1280</v>
      </c>
      <c r="AO252" s="47"/>
    </row>
    <row r="253" spans="1:41" s="436" customFormat="1">
      <c r="A253" t="str">
        <f t="shared" si="27"/>
        <v>貨2LAAF</v>
      </c>
      <c r="B253" t="s">
        <v>2009</v>
      </c>
      <c r="C253" t="s">
        <v>1934</v>
      </c>
      <c r="D253" t="s">
        <v>1979</v>
      </c>
      <c r="E253" t="s">
        <v>303</v>
      </c>
      <c r="F253">
        <v>3.5000000000000003E-2</v>
      </c>
      <c r="G253">
        <v>0</v>
      </c>
      <c r="H253">
        <v>3</v>
      </c>
      <c r="I253" t="s">
        <v>239</v>
      </c>
      <c r="J253"/>
      <c r="K253" s="47"/>
      <c r="L253" s="47"/>
      <c r="M253" s="47"/>
      <c r="N253" s="47"/>
      <c r="O253" s="47"/>
      <c r="P253" s="47"/>
      <c r="Q253" s="47"/>
      <c r="R253" s="47"/>
      <c r="S253" s="47"/>
      <c r="T253" s="292" t="str">
        <f t="shared" si="22"/>
        <v>トラック・バス</v>
      </c>
      <c r="U253" s="283" t="str">
        <f t="shared" si="23"/>
        <v>LPG</v>
      </c>
      <c r="V253" s="283" t="str">
        <f t="shared" si="24"/>
        <v>1.7～2.5 t</v>
      </c>
      <c r="W253" s="283" t="str">
        <f t="shared" si="25"/>
        <v>H17</v>
      </c>
      <c r="X253" s="284" t="str">
        <f t="shared" si="25"/>
        <v>AAF</v>
      </c>
      <c r="Y253" s="271"/>
      <c r="Z253" s="283">
        <f t="shared" si="26"/>
        <v>3.5000000000000003E-2</v>
      </c>
      <c r="AA253" s="283">
        <f t="shared" si="26"/>
        <v>0</v>
      </c>
      <c r="AB253" s="340">
        <f t="shared" si="26"/>
        <v>3</v>
      </c>
      <c r="AN253" s="47" t="s">
        <v>1311</v>
      </c>
      <c r="AO253" s="47"/>
    </row>
    <row r="254" spans="1:41" s="436" customFormat="1">
      <c r="A254" t="str">
        <f t="shared" si="27"/>
        <v>貨2LALF</v>
      </c>
      <c r="B254" t="s">
        <v>2009</v>
      </c>
      <c r="C254" t="s">
        <v>1934</v>
      </c>
      <c r="D254" t="s">
        <v>1979</v>
      </c>
      <c r="E254" t="s">
        <v>2790</v>
      </c>
      <c r="F254">
        <v>1.7500000000000002E-2</v>
      </c>
      <c r="G254">
        <v>0</v>
      </c>
      <c r="H254">
        <v>3</v>
      </c>
      <c r="I254" t="s">
        <v>2490</v>
      </c>
      <c r="J254"/>
      <c r="K254" s="47"/>
      <c r="L254" s="47"/>
      <c r="M254" s="47"/>
      <c r="N254" s="47"/>
      <c r="O254" s="47"/>
      <c r="P254" s="47"/>
      <c r="Q254" s="47"/>
      <c r="R254" s="47"/>
      <c r="S254" s="47"/>
      <c r="T254" s="292" t="str">
        <f t="shared" si="22"/>
        <v>トラック・バス</v>
      </c>
      <c r="U254" s="283" t="str">
        <f t="shared" si="23"/>
        <v>LPG</v>
      </c>
      <c r="V254" s="283" t="str">
        <f t="shared" si="24"/>
        <v>1.7～2.5 t</v>
      </c>
      <c r="W254" s="283" t="str">
        <f t="shared" si="25"/>
        <v>H17</v>
      </c>
      <c r="X254" s="284" t="str">
        <f t="shared" si="25"/>
        <v>ALF</v>
      </c>
      <c r="Y254" s="271"/>
      <c r="Z254" s="283">
        <f t="shared" si="26"/>
        <v>1.7500000000000002E-2</v>
      </c>
      <c r="AA254" s="283">
        <f t="shared" si="26"/>
        <v>0</v>
      </c>
      <c r="AB254" s="340">
        <f t="shared" si="26"/>
        <v>3</v>
      </c>
      <c r="AN254" s="47" t="s">
        <v>1361</v>
      </c>
      <c r="AO254" s="47"/>
    </row>
    <row r="255" spans="1:41" s="436" customFormat="1">
      <c r="A255" t="str">
        <f t="shared" si="27"/>
        <v>貨2LCAF</v>
      </c>
      <c r="B255" t="s">
        <v>2009</v>
      </c>
      <c r="C255" t="s">
        <v>1934</v>
      </c>
      <c r="D255" t="s">
        <v>1979</v>
      </c>
      <c r="E255" t="s">
        <v>1991</v>
      </c>
      <c r="F255">
        <v>3.5000000000000003E-2</v>
      </c>
      <c r="G255">
        <v>0</v>
      </c>
      <c r="H255">
        <v>3</v>
      </c>
      <c r="I255" t="s">
        <v>239</v>
      </c>
      <c r="J255"/>
      <c r="K255" s="47"/>
      <c r="L255" s="47"/>
      <c r="M255" s="47"/>
      <c r="N255" s="47"/>
      <c r="O255" s="47"/>
      <c r="P255" s="47"/>
      <c r="Q255" s="47"/>
      <c r="R255" s="47"/>
      <c r="S255" s="47"/>
      <c r="T255" s="292" t="str">
        <f t="shared" si="22"/>
        <v>トラック・バス</v>
      </c>
      <c r="U255" s="283" t="str">
        <f t="shared" si="23"/>
        <v>LPG</v>
      </c>
      <c r="V255" s="283" t="str">
        <f t="shared" si="24"/>
        <v>1.7～2.5 t</v>
      </c>
      <c r="W255" s="283" t="str">
        <f t="shared" si="25"/>
        <v>H17</v>
      </c>
      <c r="X255" s="284" t="str">
        <f t="shared" si="25"/>
        <v>CAF</v>
      </c>
      <c r="Y255" s="271" t="s">
        <v>2261</v>
      </c>
      <c r="Z255" s="283">
        <f t="shared" si="26"/>
        <v>3.5000000000000003E-2</v>
      </c>
      <c r="AA255" s="283">
        <f t="shared" si="26"/>
        <v>0</v>
      </c>
      <c r="AB255" s="340">
        <f t="shared" si="26"/>
        <v>3</v>
      </c>
      <c r="AN255" s="47" t="s">
        <v>132</v>
      </c>
      <c r="AO255" s="47"/>
    </row>
    <row r="256" spans="1:41" s="436" customFormat="1">
      <c r="A256" t="str">
        <f t="shared" si="27"/>
        <v>貨2LCBF</v>
      </c>
      <c r="B256" t="s">
        <v>2009</v>
      </c>
      <c r="C256" t="s">
        <v>1934</v>
      </c>
      <c r="D256" t="s">
        <v>1979</v>
      </c>
      <c r="E256" t="s">
        <v>1992</v>
      </c>
      <c r="F256">
        <v>3.5000000000000003E-2</v>
      </c>
      <c r="G256">
        <v>0</v>
      </c>
      <c r="H256">
        <v>3</v>
      </c>
      <c r="I256" t="s">
        <v>260</v>
      </c>
      <c r="J256"/>
      <c r="K256" s="266"/>
      <c r="L256" s="266"/>
      <c r="M256" s="266"/>
      <c r="N256" s="266"/>
      <c r="O256" s="266"/>
      <c r="P256" s="266"/>
      <c r="Q256" s="266"/>
      <c r="R256" s="266"/>
      <c r="S256" s="266"/>
      <c r="T256" s="292" t="str">
        <f t="shared" si="22"/>
        <v>トラック・バス</v>
      </c>
      <c r="U256" s="283" t="str">
        <f t="shared" si="23"/>
        <v>LPG</v>
      </c>
      <c r="V256" s="283" t="str">
        <f t="shared" si="24"/>
        <v>1.7～2.5 t</v>
      </c>
      <c r="W256" s="283" t="str">
        <f t="shared" si="25"/>
        <v>H17</v>
      </c>
      <c r="X256" s="284" t="str">
        <f t="shared" si="25"/>
        <v>CBF</v>
      </c>
      <c r="Y256" s="271" t="s">
        <v>2261</v>
      </c>
      <c r="Z256" s="283">
        <f t="shared" si="26"/>
        <v>3.5000000000000003E-2</v>
      </c>
      <c r="AA256" s="283">
        <f t="shared" si="26"/>
        <v>0</v>
      </c>
      <c r="AB256" s="340">
        <f t="shared" si="26"/>
        <v>3</v>
      </c>
      <c r="AD256" s="47"/>
      <c r="AE256" s="47"/>
      <c r="AF256" s="47"/>
      <c r="AG256" s="47"/>
      <c r="AH256" s="47"/>
      <c r="AI256" s="47"/>
      <c r="AN256" s="436" t="s">
        <v>1057</v>
      </c>
      <c r="AO256" s="47"/>
    </row>
    <row r="257" spans="1:41" s="436" customFormat="1">
      <c r="A257" t="str">
        <f t="shared" si="27"/>
        <v>貨2LCLF</v>
      </c>
      <c r="B257" t="s">
        <v>2009</v>
      </c>
      <c r="C257" t="s">
        <v>1934</v>
      </c>
      <c r="D257" t="s">
        <v>1979</v>
      </c>
      <c r="E257" t="s">
        <v>2762</v>
      </c>
      <c r="F257">
        <v>3.5000000000000003E-2</v>
      </c>
      <c r="G257">
        <v>0</v>
      </c>
      <c r="H257">
        <v>3</v>
      </c>
      <c r="I257" t="s">
        <v>1405</v>
      </c>
      <c r="J257"/>
      <c r="K257" s="266"/>
      <c r="L257" s="266"/>
      <c r="M257" s="266"/>
      <c r="N257" s="266"/>
      <c r="O257" s="266"/>
      <c r="P257" s="266"/>
      <c r="Q257" s="266"/>
      <c r="R257" s="266"/>
      <c r="S257" s="266"/>
      <c r="T257" s="292" t="str">
        <f t="shared" si="22"/>
        <v>トラック・バス</v>
      </c>
      <c r="U257" s="283" t="str">
        <f t="shared" si="23"/>
        <v>LPG</v>
      </c>
      <c r="V257" s="283" t="str">
        <f t="shared" si="24"/>
        <v>1.7～2.5 t</v>
      </c>
      <c r="W257" s="283" t="str">
        <f t="shared" si="25"/>
        <v>H17</v>
      </c>
      <c r="X257" s="284" t="str">
        <f t="shared" si="25"/>
        <v>CLF</v>
      </c>
      <c r="Y257" s="271" t="s">
        <v>2261</v>
      </c>
      <c r="Z257" s="283">
        <f t="shared" si="26"/>
        <v>3.5000000000000003E-2</v>
      </c>
      <c r="AA257" s="283">
        <f t="shared" si="26"/>
        <v>0</v>
      </c>
      <c r="AB257" s="340">
        <f t="shared" si="26"/>
        <v>3</v>
      </c>
      <c r="AD257" s="47"/>
      <c r="AE257" s="47"/>
      <c r="AF257" s="47"/>
      <c r="AG257" s="47"/>
      <c r="AH257" s="47"/>
      <c r="AI257" s="47"/>
      <c r="AN257" s="47" t="s">
        <v>133</v>
      </c>
      <c r="AO257" s="47"/>
    </row>
    <row r="258" spans="1:41">
      <c r="A258" t="str">
        <f t="shared" si="27"/>
        <v>貨2LDAF</v>
      </c>
      <c r="B258" t="s">
        <v>2009</v>
      </c>
      <c r="C258" t="s">
        <v>1934</v>
      </c>
      <c r="D258" t="s">
        <v>1979</v>
      </c>
      <c r="E258" t="s">
        <v>1993</v>
      </c>
      <c r="F258">
        <v>1.7500000000000002E-2</v>
      </c>
      <c r="G258">
        <v>0</v>
      </c>
      <c r="H258">
        <v>3</v>
      </c>
      <c r="I258" t="s">
        <v>239</v>
      </c>
      <c r="J258"/>
      <c r="K258" s="436"/>
      <c r="L258" s="436"/>
      <c r="M258" s="436"/>
      <c r="N258" s="436"/>
      <c r="O258" s="436"/>
      <c r="P258" s="436"/>
      <c r="Q258" s="436"/>
      <c r="R258" s="436"/>
      <c r="S258" s="436"/>
      <c r="T258" s="292" t="str">
        <f t="shared" si="22"/>
        <v>トラック・バス</v>
      </c>
      <c r="U258" s="283" t="str">
        <f t="shared" si="23"/>
        <v>LPG</v>
      </c>
      <c r="V258" s="283" t="str">
        <f t="shared" si="24"/>
        <v>1.7～2.5 t</v>
      </c>
      <c r="W258" s="283" t="str">
        <f t="shared" si="25"/>
        <v>H17</v>
      </c>
      <c r="X258" s="284" t="str">
        <f t="shared" si="25"/>
        <v>DAF</v>
      </c>
      <c r="Y258" s="271" t="s">
        <v>1770</v>
      </c>
      <c r="Z258" s="283">
        <f t="shared" si="26"/>
        <v>1.7500000000000002E-2</v>
      </c>
      <c r="AA258" s="283">
        <f t="shared" si="26"/>
        <v>0</v>
      </c>
      <c r="AB258" s="340">
        <f t="shared" si="26"/>
        <v>3</v>
      </c>
      <c r="AN258" s="47" t="s">
        <v>1049</v>
      </c>
    </row>
    <row r="259" spans="1:41">
      <c r="A259" t="str">
        <f t="shared" si="27"/>
        <v>貨2LDBF</v>
      </c>
      <c r="B259" t="s">
        <v>2009</v>
      </c>
      <c r="C259" t="s">
        <v>1934</v>
      </c>
      <c r="D259" t="s">
        <v>1979</v>
      </c>
      <c r="E259" t="s">
        <v>1994</v>
      </c>
      <c r="F259">
        <v>1.7500000000000002E-2</v>
      </c>
      <c r="G259">
        <v>0</v>
      </c>
      <c r="H259">
        <v>3</v>
      </c>
      <c r="I259" t="s">
        <v>263</v>
      </c>
      <c r="J259"/>
      <c r="K259" s="436"/>
      <c r="L259" s="436"/>
      <c r="M259" s="436"/>
      <c r="N259" s="436"/>
      <c r="O259" s="436"/>
      <c r="P259" s="436"/>
      <c r="Q259" s="436"/>
      <c r="R259" s="436"/>
      <c r="S259" s="436"/>
      <c r="T259" s="292" t="str">
        <f t="shared" si="22"/>
        <v>トラック・バス</v>
      </c>
      <c r="U259" s="283" t="str">
        <f t="shared" si="23"/>
        <v>LPG</v>
      </c>
      <c r="V259" s="283" t="str">
        <f t="shared" si="24"/>
        <v>1.7～2.5 t</v>
      </c>
      <c r="W259" s="283" t="str">
        <f t="shared" si="25"/>
        <v>H17</v>
      </c>
      <c r="X259" s="284" t="str">
        <f t="shared" si="25"/>
        <v>DBF</v>
      </c>
      <c r="Y259" s="271" t="s">
        <v>1770</v>
      </c>
      <c r="Z259" s="283">
        <f t="shared" si="26"/>
        <v>1.7500000000000002E-2</v>
      </c>
      <c r="AA259" s="283">
        <f t="shared" si="26"/>
        <v>0</v>
      </c>
      <c r="AB259" s="340">
        <f t="shared" si="26"/>
        <v>3</v>
      </c>
      <c r="AN259" s="47" t="s">
        <v>134</v>
      </c>
    </row>
    <row r="260" spans="1:41">
      <c r="A260" t="str">
        <f t="shared" si="27"/>
        <v>貨2LDLF</v>
      </c>
      <c r="B260" t="s">
        <v>2009</v>
      </c>
      <c r="C260" t="s">
        <v>1934</v>
      </c>
      <c r="D260" t="s">
        <v>1979</v>
      </c>
      <c r="E260" t="s">
        <v>2763</v>
      </c>
      <c r="F260">
        <v>1.7500000000000002E-2</v>
      </c>
      <c r="G260">
        <v>0</v>
      </c>
      <c r="H260">
        <v>3</v>
      </c>
      <c r="I260" t="s">
        <v>1405</v>
      </c>
      <c r="J260"/>
      <c r="K260" s="436"/>
      <c r="L260" s="436"/>
      <c r="M260" s="436"/>
      <c r="N260" s="436"/>
      <c r="O260" s="436"/>
      <c r="P260" s="436"/>
      <c r="Q260" s="436"/>
      <c r="R260" s="436"/>
      <c r="S260" s="436"/>
      <c r="T260" s="292" t="str">
        <f t="shared" si="22"/>
        <v>トラック・バス</v>
      </c>
      <c r="U260" s="283" t="str">
        <f t="shared" si="23"/>
        <v>LPG</v>
      </c>
      <c r="V260" s="283" t="str">
        <f t="shared" si="24"/>
        <v>1.7～2.5 t</v>
      </c>
      <c r="W260" s="283" t="str">
        <f t="shared" si="25"/>
        <v>H17</v>
      </c>
      <c r="X260" s="284" t="str">
        <f t="shared" si="25"/>
        <v>DLF</v>
      </c>
      <c r="Y260" s="271" t="s">
        <v>1770</v>
      </c>
      <c r="Z260" s="283">
        <f t="shared" si="26"/>
        <v>1.7500000000000002E-2</v>
      </c>
      <c r="AA260" s="283">
        <f t="shared" si="26"/>
        <v>0</v>
      </c>
      <c r="AB260" s="340">
        <f t="shared" si="26"/>
        <v>3</v>
      </c>
      <c r="AN260" s="47" t="s">
        <v>1420</v>
      </c>
    </row>
    <row r="261" spans="1:41">
      <c r="A261" t="str">
        <f t="shared" si="27"/>
        <v>貨2LLBF</v>
      </c>
      <c r="B261" t="s">
        <v>2009</v>
      </c>
      <c r="C261" t="s">
        <v>1934</v>
      </c>
      <c r="D261" t="s">
        <v>2382</v>
      </c>
      <c r="E261" t="s">
        <v>315</v>
      </c>
      <c r="F261">
        <v>7.0000000000000007E-2</v>
      </c>
      <c r="G261">
        <v>0</v>
      </c>
      <c r="H261">
        <v>3</v>
      </c>
      <c r="I261" t="s">
        <v>232</v>
      </c>
      <c r="J261"/>
      <c r="K261" s="436"/>
      <c r="L261" s="436"/>
      <c r="M261" s="436"/>
      <c r="N261" s="436"/>
      <c r="O261" s="436"/>
      <c r="P261" s="436"/>
      <c r="Q261" s="436"/>
      <c r="R261" s="436"/>
      <c r="S261" s="436"/>
      <c r="T261" s="292" t="str">
        <f t="shared" ref="T261:T324" si="28">IF(LEFT(C261,1)="貨","トラック・バス","乗用車")</f>
        <v>トラック・バス</v>
      </c>
      <c r="U261" s="283" t="str">
        <f t="shared" ref="U261:U324" si="29">VLOOKUP(RIGHT(C261,1),$AL$4:$AM$8,2,FALSE)</f>
        <v>LPG</v>
      </c>
      <c r="V261" s="283" t="str">
        <f t="shared" ref="V261:V324" si="30">VLOOKUP(VALUE(MID(C261,2,1)),$AL$10:$AM$15,2,FALSE)</f>
        <v>1.7～2.5 t</v>
      </c>
      <c r="W261" s="283" t="str">
        <f t="shared" ref="W261:X324" si="31">D261</f>
        <v>H21</v>
      </c>
      <c r="X261" s="284" t="str">
        <f t="shared" si="31"/>
        <v>LBF</v>
      </c>
      <c r="Y261" s="271"/>
      <c r="Z261" s="283">
        <f t="shared" ref="Z261:AB324" si="32">F261</f>
        <v>7.0000000000000007E-2</v>
      </c>
      <c r="AA261" s="283">
        <f t="shared" si="32"/>
        <v>0</v>
      </c>
      <c r="AB261" s="340">
        <f t="shared" si="32"/>
        <v>3</v>
      </c>
      <c r="AN261" s="435" t="s">
        <v>2523</v>
      </c>
    </row>
    <row r="262" spans="1:41">
      <c r="A262" t="str">
        <f t="shared" si="27"/>
        <v>貨2LLAF</v>
      </c>
      <c r="B262" t="s">
        <v>2009</v>
      </c>
      <c r="C262" t="s">
        <v>1934</v>
      </c>
      <c r="D262" t="s">
        <v>2382</v>
      </c>
      <c r="E262" t="s">
        <v>317</v>
      </c>
      <c r="F262">
        <v>3.5000000000000003E-2</v>
      </c>
      <c r="G262">
        <v>0</v>
      </c>
      <c r="H262">
        <v>3</v>
      </c>
      <c r="I262" t="s">
        <v>239</v>
      </c>
      <c r="J262"/>
      <c r="K262" s="436"/>
      <c r="L262" s="436"/>
      <c r="M262" s="436"/>
      <c r="N262" s="436"/>
      <c r="O262" s="436"/>
      <c r="P262" s="436"/>
      <c r="Q262" s="436"/>
      <c r="R262" s="436"/>
      <c r="S262" s="436"/>
      <c r="T262" s="292" t="str">
        <f t="shared" si="28"/>
        <v>トラック・バス</v>
      </c>
      <c r="U262" s="283" t="str">
        <f t="shared" si="29"/>
        <v>LPG</v>
      </c>
      <c r="V262" s="283" t="str">
        <f t="shared" si="30"/>
        <v>1.7～2.5 t</v>
      </c>
      <c r="W262" s="283" t="str">
        <f t="shared" si="31"/>
        <v>H21</v>
      </c>
      <c r="X262" s="284" t="str">
        <f t="shared" si="31"/>
        <v>LAF</v>
      </c>
      <c r="Y262" s="271"/>
      <c r="Z262" s="283">
        <f t="shared" si="32"/>
        <v>3.5000000000000003E-2</v>
      </c>
      <c r="AA262" s="283">
        <f t="shared" si="32"/>
        <v>0</v>
      </c>
      <c r="AB262" s="340">
        <f t="shared" si="32"/>
        <v>3</v>
      </c>
      <c r="AN262" s="47" t="s">
        <v>2524</v>
      </c>
    </row>
    <row r="263" spans="1:41">
      <c r="A263" t="str">
        <f t="shared" ref="A263:A326" si="33">CONCATENATE(C263,E263)</f>
        <v>貨2LLLF</v>
      </c>
      <c r="B263" t="s">
        <v>2009</v>
      </c>
      <c r="C263" t="s">
        <v>1934</v>
      </c>
      <c r="D263" t="s">
        <v>2382</v>
      </c>
      <c r="E263" t="s">
        <v>2524</v>
      </c>
      <c r="F263">
        <v>1.7500000000000002E-2</v>
      </c>
      <c r="G263">
        <v>0</v>
      </c>
      <c r="H263">
        <v>3</v>
      </c>
      <c r="I263" t="s">
        <v>1405</v>
      </c>
      <c r="J263"/>
      <c r="K263" s="436"/>
      <c r="L263" s="436"/>
      <c r="M263" s="436"/>
      <c r="N263" s="436"/>
      <c r="O263" s="436"/>
      <c r="P263" s="436"/>
      <c r="Q263" s="436"/>
      <c r="R263" s="436"/>
      <c r="S263" s="436"/>
      <c r="T263" s="292" t="str">
        <f t="shared" si="28"/>
        <v>トラック・バス</v>
      </c>
      <c r="U263" s="283" t="str">
        <f t="shared" si="29"/>
        <v>LPG</v>
      </c>
      <c r="V263" s="283" t="str">
        <f t="shared" si="30"/>
        <v>1.7～2.5 t</v>
      </c>
      <c r="W263" s="283" t="str">
        <f t="shared" si="31"/>
        <v>H21</v>
      </c>
      <c r="X263" s="284" t="str">
        <f t="shared" si="31"/>
        <v>LLF</v>
      </c>
      <c r="Y263" s="271"/>
      <c r="Z263" s="283">
        <f t="shared" si="32"/>
        <v>1.7500000000000002E-2</v>
      </c>
      <c r="AA263" s="283">
        <f t="shared" si="32"/>
        <v>0</v>
      </c>
      <c r="AB263" s="340">
        <f t="shared" si="32"/>
        <v>3</v>
      </c>
      <c r="AN263" s="47" t="s">
        <v>2525</v>
      </c>
    </row>
    <row r="264" spans="1:41">
      <c r="A264" t="str">
        <f t="shared" si="33"/>
        <v>貨2LMBF</v>
      </c>
      <c r="B264" t="s">
        <v>2009</v>
      </c>
      <c r="C264" t="s">
        <v>1934</v>
      </c>
      <c r="D264" t="s">
        <v>2382</v>
      </c>
      <c r="E264" t="s">
        <v>319</v>
      </c>
      <c r="F264">
        <v>3.5000000000000003E-2</v>
      </c>
      <c r="G264">
        <v>0</v>
      </c>
      <c r="H264">
        <v>3</v>
      </c>
      <c r="I264" t="s">
        <v>260</v>
      </c>
      <c r="J264"/>
      <c r="T264" s="292" t="str">
        <f t="shared" si="28"/>
        <v>トラック・バス</v>
      </c>
      <c r="U264" s="283" t="str">
        <f t="shared" si="29"/>
        <v>LPG</v>
      </c>
      <c r="V264" s="283" t="str">
        <f t="shared" si="30"/>
        <v>1.7～2.5 t</v>
      </c>
      <c r="W264" s="283" t="str">
        <f t="shared" si="31"/>
        <v>H21</v>
      </c>
      <c r="X264" s="284" t="str">
        <f t="shared" si="31"/>
        <v>MBF</v>
      </c>
      <c r="Y264" s="271" t="s">
        <v>1769</v>
      </c>
      <c r="Z264" s="283">
        <f t="shared" si="32"/>
        <v>3.5000000000000003E-2</v>
      </c>
      <c r="AA264" s="283">
        <f t="shared" si="32"/>
        <v>0</v>
      </c>
      <c r="AB264" s="340">
        <f t="shared" si="32"/>
        <v>3</v>
      </c>
      <c r="AN264" s="47" t="s">
        <v>135</v>
      </c>
    </row>
    <row r="265" spans="1:41">
      <c r="A265" t="str">
        <f t="shared" si="33"/>
        <v>貨2LMAF</v>
      </c>
      <c r="B265" t="s">
        <v>2009</v>
      </c>
      <c r="C265" t="s">
        <v>1934</v>
      </c>
      <c r="D265" t="s">
        <v>2382</v>
      </c>
      <c r="E265" t="s">
        <v>321</v>
      </c>
      <c r="F265">
        <v>3.5000000000000003E-2</v>
      </c>
      <c r="G265">
        <v>0</v>
      </c>
      <c r="H265">
        <v>3</v>
      </c>
      <c r="I265" t="s">
        <v>239</v>
      </c>
      <c r="J265"/>
      <c r="T265" s="292" t="str">
        <f t="shared" si="28"/>
        <v>トラック・バス</v>
      </c>
      <c r="U265" s="283" t="str">
        <f t="shared" si="29"/>
        <v>LPG</v>
      </c>
      <c r="V265" s="283" t="str">
        <f t="shared" si="30"/>
        <v>1.7～2.5 t</v>
      </c>
      <c r="W265" s="283" t="str">
        <f t="shared" si="31"/>
        <v>H21</v>
      </c>
      <c r="X265" s="284" t="str">
        <f t="shared" si="31"/>
        <v>MAF</v>
      </c>
      <c r="Y265" s="271" t="s">
        <v>1769</v>
      </c>
      <c r="Z265" s="283">
        <f t="shared" si="32"/>
        <v>3.5000000000000003E-2</v>
      </c>
      <c r="AA265" s="283">
        <f t="shared" si="32"/>
        <v>0</v>
      </c>
      <c r="AB265" s="340">
        <f t="shared" si="32"/>
        <v>3</v>
      </c>
      <c r="AN265" s="47" t="s">
        <v>1582</v>
      </c>
    </row>
    <row r="266" spans="1:41">
      <c r="A266" t="str">
        <f t="shared" si="33"/>
        <v>貨2LMLF</v>
      </c>
      <c r="B266" t="s">
        <v>2009</v>
      </c>
      <c r="C266" t="s">
        <v>1934</v>
      </c>
      <c r="D266" t="s">
        <v>2382</v>
      </c>
      <c r="E266" t="s">
        <v>2532</v>
      </c>
      <c r="F266">
        <v>3.5000000000000003E-2</v>
      </c>
      <c r="G266">
        <v>0</v>
      </c>
      <c r="H266">
        <v>3</v>
      </c>
      <c r="I266" t="s">
        <v>1405</v>
      </c>
      <c r="J266"/>
      <c r="T266" s="292" t="str">
        <f t="shared" si="28"/>
        <v>トラック・バス</v>
      </c>
      <c r="U266" s="283" t="str">
        <f t="shared" si="29"/>
        <v>LPG</v>
      </c>
      <c r="V266" s="283" t="str">
        <f t="shared" si="30"/>
        <v>1.7～2.5 t</v>
      </c>
      <c r="W266" s="283" t="str">
        <f t="shared" si="31"/>
        <v>H21</v>
      </c>
      <c r="X266" s="284" t="str">
        <f t="shared" si="31"/>
        <v>MLF</v>
      </c>
      <c r="Y266" s="271" t="s">
        <v>1769</v>
      </c>
      <c r="Z266" s="283">
        <f t="shared" si="32"/>
        <v>3.5000000000000003E-2</v>
      </c>
      <c r="AA266" s="283">
        <f t="shared" si="32"/>
        <v>0</v>
      </c>
      <c r="AB266" s="340">
        <f t="shared" si="32"/>
        <v>3</v>
      </c>
      <c r="AN266" s="266" t="s">
        <v>2526</v>
      </c>
    </row>
    <row r="267" spans="1:41">
      <c r="A267" t="str">
        <f t="shared" si="33"/>
        <v>貨2LRBF</v>
      </c>
      <c r="B267" t="s">
        <v>2009</v>
      </c>
      <c r="C267" t="s">
        <v>1934</v>
      </c>
      <c r="D267" t="s">
        <v>2382</v>
      </c>
      <c r="E267" t="s">
        <v>323</v>
      </c>
      <c r="F267">
        <v>1.7500000000000002E-2</v>
      </c>
      <c r="G267">
        <v>0</v>
      </c>
      <c r="H267">
        <v>3</v>
      </c>
      <c r="I267" t="s">
        <v>263</v>
      </c>
      <c r="J267"/>
      <c r="T267" s="292" t="str">
        <f t="shared" si="28"/>
        <v>トラック・バス</v>
      </c>
      <c r="U267" s="283" t="str">
        <f t="shared" si="29"/>
        <v>LPG</v>
      </c>
      <c r="V267" s="283" t="str">
        <f t="shared" si="30"/>
        <v>1.7～2.5 t</v>
      </c>
      <c r="W267" s="283" t="str">
        <f t="shared" si="31"/>
        <v>H21</v>
      </c>
      <c r="X267" s="284" t="str">
        <f t="shared" si="31"/>
        <v>RBF</v>
      </c>
      <c r="Y267" s="271" t="s">
        <v>2262</v>
      </c>
      <c r="Z267" s="283">
        <f t="shared" si="32"/>
        <v>1.7500000000000002E-2</v>
      </c>
      <c r="AA267" s="283">
        <f t="shared" si="32"/>
        <v>0</v>
      </c>
      <c r="AB267" s="340">
        <f t="shared" si="32"/>
        <v>3</v>
      </c>
      <c r="AN267" s="266" t="s">
        <v>2527</v>
      </c>
    </row>
    <row r="268" spans="1:41">
      <c r="A268" t="str">
        <f t="shared" si="33"/>
        <v>貨2LRAF</v>
      </c>
      <c r="B268" t="s">
        <v>2009</v>
      </c>
      <c r="C268" t="s">
        <v>1934</v>
      </c>
      <c r="D268" t="s">
        <v>2382</v>
      </c>
      <c r="E268" t="s">
        <v>325</v>
      </c>
      <c r="F268">
        <v>1.7500000000000002E-2</v>
      </c>
      <c r="G268">
        <v>0</v>
      </c>
      <c r="H268">
        <v>3</v>
      </c>
      <c r="I268" t="s">
        <v>239</v>
      </c>
      <c r="J268"/>
      <c r="T268" s="292" t="str">
        <f t="shared" si="28"/>
        <v>トラック・バス</v>
      </c>
      <c r="U268" s="283" t="str">
        <f t="shared" si="29"/>
        <v>LPG</v>
      </c>
      <c r="V268" s="283" t="str">
        <f t="shared" si="30"/>
        <v>1.7～2.5 t</v>
      </c>
      <c r="W268" s="283" t="str">
        <f t="shared" si="31"/>
        <v>H21</v>
      </c>
      <c r="X268" s="284" t="str">
        <f t="shared" si="31"/>
        <v>RAF</v>
      </c>
      <c r="Y268" s="271" t="s">
        <v>2262</v>
      </c>
      <c r="Z268" s="283">
        <f t="shared" si="32"/>
        <v>1.7500000000000002E-2</v>
      </c>
      <c r="AA268" s="283">
        <f t="shared" si="32"/>
        <v>0</v>
      </c>
      <c r="AB268" s="340">
        <f t="shared" si="32"/>
        <v>3</v>
      </c>
      <c r="AN268" s="47" t="s">
        <v>2528</v>
      </c>
    </row>
    <row r="269" spans="1:41">
      <c r="A269" t="str">
        <f t="shared" si="33"/>
        <v>貨2LRLF</v>
      </c>
      <c r="B269" t="s">
        <v>2009</v>
      </c>
      <c r="C269" t="s">
        <v>1934</v>
      </c>
      <c r="D269" t="s">
        <v>2382</v>
      </c>
      <c r="E269" t="s">
        <v>2550</v>
      </c>
      <c r="F269">
        <v>1.7500000000000002E-2</v>
      </c>
      <c r="G269">
        <v>0</v>
      </c>
      <c r="H269">
        <v>3</v>
      </c>
      <c r="I269" t="s">
        <v>1405</v>
      </c>
      <c r="J269"/>
      <c r="T269" s="292" t="str">
        <f t="shared" si="28"/>
        <v>トラック・バス</v>
      </c>
      <c r="U269" s="283" t="str">
        <f t="shared" si="29"/>
        <v>LPG</v>
      </c>
      <c r="V269" s="283" t="str">
        <f t="shared" si="30"/>
        <v>1.7～2.5 t</v>
      </c>
      <c r="W269" s="283" t="str">
        <f t="shared" si="31"/>
        <v>H21</v>
      </c>
      <c r="X269" s="284" t="str">
        <f t="shared" si="31"/>
        <v>RLF</v>
      </c>
      <c r="Y269" s="271" t="s">
        <v>2262</v>
      </c>
      <c r="Z269" s="283">
        <f t="shared" si="32"/>
        <v>1.7500000000000002E-2</v>
      </c>
      <c r="AA269" s="283">
        <f t="shared" si="32"/>
        <v>0</v>
      </c>
      <c r="AB269" s="340">
        <f t="shared" si="32"/>
        <v>3</v>
      </c>
      <c r="AN269" s="47" t="s">
        <v>75</v>
      </c>
    </row>
    <row r="270" spans="1:41">
      <c r="A270" t="str">
        <f t="shared" si="33"/>
        <v>貨2LQBF</v>
      </c>
      <c r="B270" t="s">
        <v>2009</v>
      </c>
      <c r="C270" t="s">
        <v>1934</v>
      </c>
      <c r="D270" t="s">
        <v>2382</v>
      </c>
      <c r="E270" t="s">
        <v>327</v>
      </c>
      <c r="F270">
        <v>6.3E-2</v>
      </c>
      <c r="G270">
        <v>0</v>
      </c>
      <c r="H270">
        <v>3</v>
      </c>
      <c r="I270" t="s">
        <v>232</v>
      </c>
      <c r="J270"/>
      <c r="T270" s="292" t="str">
        <f t="shared" si="28"/>
        <v>トラック・バス</v>
      </c>
      <c r="U270" s="283" t="str">
        <f t="shared" si="29"/>
        <v>LPG</v>
      </c>
      <c r="V270" s="283" t="str">
        <f t="shared" si="30"/>
        <v>1.7～2.5 t</v>
      </c>
      <c r="W270" s="283" t="str">
        <f t="shared" si="31"/>
        <v>H21</v>
      </c>
      <c r="X270" s="284" t="str">
        <f t="shared" si="31"/>
        <v>QBF</v>
      </c>
      <c r="Y270" s="271" t="s">
        <v>1762</v>
      </c>
      <c r="Z270" s="283">
        <f t="shared" si="32"/>
        <v>6.3E-2</v>
      </c>
      <c r="AA270" s="283">
        <f t="shared" si="32"/>
        <v>0</v>
      </c>
      <c r="AB270" s="340">
        <f t="shared" si="32"/>
        <v>3</v>
      </c>
      <c r="AN270" s="436" t="s">
        <v>1059</v>
      </c>
    </row>
    <row r="271" spans="1:41">
      <c r="A271" t="str">
        <f t="shared" si="33"/>
        <v>貨2LQAF</v>
      </c>
      <c r="B271" t="s">
        <v>2009</v>
      </c>
      <c r="C271" t="s">
        <v>1934</v>
      </c>
      <c r="D271" t="s">
        <v>2382</v>
      </c>
      <c r="E271" t="s">
        <v>329</v>
      </c>
      <c r="F271">
        <v>6.3E-2</v>
      </c>
      <c r="G271">
        <v>0</v>
      </c>
      <c r="H271">
        <v>3</v>
      </c>
      <c r="I271" t="s">
        <v>239</v>
      </c>
      <c r="J271"/>
      <c r="T271" s="292" t="str">
        <f t="shared" si="28"/>
        <v>トラック・バス</v>
      </c>
      <c r="U271" s="283" t="str">
        <f t="shared" si="29"/>
        <v>LPG</v>
      </c>
      <c r="V271" s="283" t="str">
        <f t="shared" si="30"/>
        <v>1.7～2.5 t</v>
      </c>
      <c r="W271" s="283" t="str">
        <f t="shared" si="31"/>
        <v>H21</v>
      </c>
      <c r="X271" s="284" t="str">
        <f t="shared" si="31"/>
        <v>QAF</v>
      </c>
      <c r="Y271" s="271" t="s">
        <v>1762</v>
      </c>
      <c r="Z271" s="283">
        <f t="shared" si="32"/>
        <v>6.3E-2</v>
      </c>
      <c r="AA271" s="283">
        <f t="shared" si="32"/>
        <v>0</v>
      </c>
      <c r="AB271" s="340">
        <f t="shared" si="32"/>
        <v>3</v>
      </c>
      <c r="AN271" s="47" t="s">
        <v>76</v>
      </c>
    </row>
    <row r="272" spans="1:41">
      <c r="A272" t="str">
        <f t="shared" si="33"/>
        <v>貨2LQLF</v>
      </c>
      <c r="B272" t="s">
        <v>2009</v>
      </c>
      <c r="C272" t="s">
        <v>1934</v>
      </c>
      <c r="D272" t="s">
        <v>2382</v>
      </c>
      <c r="E272" t="s">
        <v>2542</v>
      </c>
      <c r="F272">
        <v>6.3E-2</v>
      </c>
      <c r="G272">
        <v>0</v>
      </c>
      <c r="H272">
        <v>3</v>
      </c>
      <c r="I272" t="s">
        <v>1405</v>
      </c>
      <c r="J272"/>
      <c r="T272" s="292" t="str">
        <f t="shared" si="28"/>
        <v>トラック・バス</v>
      </c>
      <c r="U272" s="283" t="str">
        <f t="shared" si="29"/>
        <v>LPG</v>
      </c>
      <c r="V272" s="283" t="str">
        <f t="shared" si="30"/>
        <v>1.7～2.5 t</v>
      </c>
      <c r="W272" s="283" t="str">
        <f t="shared" si="31"/>
        <v>H21</v>
      </c>
      <c r="X272" s="284" t="str">
        <f t="shared" si="31"/>
        <v>QLF</v>
      </c>
      <c r="Y272" s="271" t="s">
        <v>1762</v>
      </c>
      <c r="Z272" s="283">
        <f t="shared" si="32"/>
        <v>6.3E-2</v>
      </c>
      <c r="AA272" s="283">
        <f t="shared" si="32"/>
        <v>0</v>
      </c>
      <c r="AB272" s="340">
        <f t="shared" si="32"/>
        <v>3</v>
      </c>
      <c r="AN272" s="47" t="s">
        <v>1051</v>
      </c>
    </row>
    <row r="273" spans="1:41">
      <c r="A273" t="str">
        <f t="shared" si="33"/>
        <v>貨2L3BF</v>
      </c>
      <c r="B273" t="s">
        <v>2009</v>
      </c>
      <c r="C273" t="s">
        <v>1934</v>
      </c>
      <c r="D273" t="s">
        <v>2750</v>
      </c>
      <c r="E273" t="s">
        <v>2583</v>
      </c>
      <c r="F273">
        <v>7.0000000000000007E-2</v>
      </c>
      <c r="G273">
        <v>0</v>
      </c>
      <c r="H273">
        <v>3</v>
      </c>
      <c r="I273" t="s">
        <v>232</v>
      </c>
      <c r="J273"/>
      <c r="T273" s="292" t="str">
        <f t="shared" si="28"/>
        <v>トラック・バス</v>
      </c>
      <c r="U273" s="283" t="str">
        <f t="shared" si="29"/>
        <v>LPG</v>
      </c>
      <c r="V273" s="283" t="str">
        <f t="shared" si="30"/>
        <v>1.7～2.5 t</v>
      </c>
      <c r="W273" s="283" t="str">
        <f t="shared" si="31"/>
        <v>H30</v>
      </c>
      <c r="X273" s="284" t="str">
        <f t="shared" si="31"/>
        <v>3BF</v>
      </c>
      <c r="Y273" s="271"/>
      <c r="Z273" s="283">
        <f t="shared" si="32"/>
        <v>7.0000000000000007E-2</v>
      </c>
      <c r="AA273" s="283">
        <f t="shared" si="32"/>
        <v>0</v>
      </c>
      <c r="AB273" s="340">
        <f t="shared" si="32"/>
        <v>3</v>
      </c>
      <c r="AD273" s="266"/>
      <c r="AE273" s="266"/>
      <c r="AF273" s="266"/>
      <c r="AG273" s="266"/>
      <c r="AH273" s="266"/>
      <c r="AI273" s="266"/>
      <c r="AN273" s="47" t="s">
        <v>77</v>
      </c>
    </row>
    <row r="274" spans="1:41">
      <c r="A274" t="str">
        <f t="shared" si="33"/>
        <v>貨2L3AF</v>
      </c>
      <c r="B274" t="s">
        <v>2009</v>
      </c>
      <c r="C274" t="s">
        <v>1934</v>
      </c>
      <c r="D274" t="s">
        <v>2750</v>
      </c>
      <c r="E274" t="s">
        <v>2580</v>
      </c>
      <c r="F274">
        <v>3.5000000000000003E-2</v>
      </c>
      <c r="G274">
        <v>0</v>
      </c>
      <c r="H274">
        <v>3</v>
      </c>
      <c r="I274" t="s">
        <v>239</v>
      </c>
      <c r="J274"/>
      <c r="T274" s="292" t="str">
        <f t="shared" si="28"/>
        <v>トラック・バス</v>
      </c>
      <c r="U274" s="283" t="str">
        <f t="shared" si="29"/>
        <v>LPG</v>
      </c>
      <c r="V274" s="283" t="str">
        <f t="shared" si="30"/>
        <v>1.7～2.5 t</v>
      </c>
      <c r="W274" s="283" t="str">
        <f t="shared" si="31"/>
        <v>H30</v>
      </c>
      <c r="X274" s="284" t="str">
        <f t="shared" si="31"/>
        <v>3AF</v>
      </c>
      <c r="Y274" s="271"/>
      <c r="Z274" s="283">
        <f t="shared" si="32"/>
        <v>3.5000000000000003E-2</v>
      </c>
      <c r="AA274" s="283">
        <f t="shared" si="32"/>
        <v>0</v>
      </c>
      <c r="AB274" s="340">
        <f t="shared" si="32"/>
        <v>3</v>
      </c>
      <c r="AN274" s="436" t="s">
        <v>1061</v>
      </c>
    </row>
    <row r="275" spans="1:41" s="266" customFormat="1">
      <c r="A275" t="str">
        <f t="shared" si="33"/>
        <v>貨2L3LF</v>
      </c>
      <c r="B275" t="s">
        <v>2009</v>
      </c>
      <c r="C275" t="s">
        <v>1934</v>
      </c>
      <c r="D275" t="s">
        <v>2750</v>
      </c>
      <c r="E275" t="s">
        <v>2604</v>
      </c>
      <c r="F275">
        <v>1.7500000000000002E-2</v>
      </c>
      <c r="G275">
        <v>0</v>
      </c>
      <c r="H275">
        <v>3</v>
      </c>
      <c r="I275" t="s">
        <v>1405</v>
      </c>
      <c r="J275"/>
      <c r="K275" s="47"/>
      <c r="L275" s="47"/>
      <c r="M275" s="47"/>
      <c r="N275" s="47"/>
      <c r="O275" s="47"/>
      <c r="P275" s="47"/>
      <c r="Q275" s="47"/>
      <c r="R275" s="47"/>
      <c r="S275" s="47"/>
      <c r="T275" s="292" t="str">
        <f t="shared" si="28"/>
        <v>トラック・バス</v>
      </c>
      <c r="U275" s="283" t="str">
        <f t="shared" si="29"/>
        <v>LPG</v>
      </c>
      <c r="V275" s="283" t="str">
        <f t="shared" si="30"/>
        <v>1.7～2.5 t</v>
      </c>
      <c r="W275" s="283" t="str">
        <f t="shared" si="31"/>
        <v>H30</v>
      </c>
      <c r="X275" s="284" t="str">
        <f t="shared" si="31"/>
        <v>3LF</v>
      </c>
      <c r="Y275" s="271"/>
      <c r="Z275" s="283">
        <f t="shared" si="32"/>
        <v>1.7500000000000002E-2</v>
      </c>
      <c r="AA275" s="283">
        <f t="shared" si="32"/>
        <v>0</v>
      </c>
      <c r="AB275" s="340">
        <f t="shared" si="32"/>
        <v>3</v>
      </c>
      <c r="AN275" s="47" t="s">
        <v>1217</v>
      </c>
      <c r="AO275" s="47"/>
    </row>
    <row r="276" spans="1:41">
      <c r="A276" t="str">
        <f t="shared" si="33"/>
        <v>貨2L4BF</v>
      </c>
      <c r="B276" t="s">
        <v>2009</v>
      </c>
      <c r="C276" t="s">
        <v>1934</v>
      </c>
      <c r="D276" t="s">
        <v>2750</v>
      </c>
      <c r="E276" t="s">
        <v>2613</v>
      </c>
      <c r="F276">
        <v>5.2500000000000005E-2</v>
      </c>
      <c r="G276">
        <v>0</v>
      </c>
      <c r="H276">
        <v>3</v>
      </c>
      <c r="I276" t="s">
        <v>232</v>
      </c>
      <c r="J276"/>
      <c r="T276" s="292" t="str">
        <f t="shared" si="28"/>
        <v>トラック・バス</v>
      </c>
      <c r="U276" s="283" t="str">
        <f t="shared" si="29"/>
        <v>LPG</v>
      </c>
      <c r="V276" s="283" t="str">
        <f t="shared" si="30"/>
        <v>1.7～2.5 t</v>
      </c>
      <c r="W276" s="283" t="str">
        <f t="shared" si="31"/>
        <v>H30</v>
      </c>
      <c r="X276" s="284" t="str">
        <f t="shared" si="31"/>
        <v>4BF</v>
      </c>
      <c r="Y276" s="271" t="s">
        <v>1769</v>
      </c>
      <c r="Z276" s="283">
        <f t="shared" si="32"/>
        <v>5.2500000000000005E-2</v>
      </c>
      <c r="AA276" s="283">
        <f t="shared" si="32"/>
        <v>0</v>
      </c>
      <c r="AB276" s="340">
        <f t="shared" si="32"/>
        <v>3</v>
      </c>
      <c r="AN276" s="436" t="s">
        <v>1053</v>
      </c>
    </row>
    <row r="277" spans="1:41" s="266" customFormat="1">
      <c r="A277" t="str">
        <f t="shared" si="33"/>
        <v>貨2L4AF</v>
      </c>
      <c r="B277" t="s">
        <v>2009</v>
      </c>
      <c r="C277" t="s">
        <v>1934</v>
      </c>
      <c r="D277" t="s">
        <v>2750</v>
      </c>
      <c r="E277" t="s">
        <v>2610</v>
      </c>
      <c r="F277">
        <v>5.2499999999999998E-2</v>
      </c>
      <c r="G277">
        <v>0</v>
      </c>
      <c r="H277">
        <v>3</v>
      </c>
      <c r="I277" t="s">
        <v>239</v>
      </c>
      <c r="J277"/>
      <c r="K277" s="47"/>
      <c r="L277" s="47"/>
      <c r="M277" s="47"/>
      <c r="N277" s="47"/>
      <c r="O277" s="47"/>
      <c r="P277" s="47"/>
      <c r="Q277" s="47"/>
      <c r="R277" s="47"/>
      <c r="S277" s="47"/>
      <c r="T277" s="292" t="str">
        <f t="shared" si="28"/>
        <v>トラック・バス</v>
      </c>
      <c r="U277" s="283" t="str">
        <f t="shared" si="29"/>
        <v>LPG</v>
      </c>
      <c r="V277" s="283" t="str">
        <f t="shared" si="30"/>
        <v>1.7～2.5 t</v>
      </c>
      <c r="W277" s="283" t="str">
        <f t="shared" si="31"/>
        <v>H30</v>
      </c>
      <c r="X277" s="284" t="str">
        <f t="shared" si="31"/>
        <v>4AF</v>
      </c>
      <c r="Y277" s="271" t="s">
        <v>1769</v>
      </c>
      <c r="Z277" s="283">
        <f t="shared" si="32"/>
        <v>5.2499999999999998E-2</v>
      </c>
      <c r="AA277" s="283">
        <f t="shared" si="32"/>
        <v>0</v>
      </c>
      <c r="AB277" s="340">
        <f t="shared" si="32"/>
        <v>3</v>
      </c>
      <c r="AN277" s="47" t="s">
        <v>2529</v>
      </c>
      <c r="AO277" s="47"/>
    </row>
    <row r="278" spans="1:41">
      <c r="A278" t="str">
        <f t="shared" si="33"/>
        <v>貨2L4LF</v>
      </c>
      <c r="B278" t="s">
        <v>2009</v>
      </c>
      <c r="C278" t="s">
        <v>1934</v>
      </c>
      <c r="D278" t="s">
        <v>2750</v>
      </c>
      <c r="E278" t="s">
        <v>2634</v>
      </c>
      <c r="F278">
        <v>5.2499999999999998E-2</v>
      </c>
      <c r="G278">
        <v>0</v>
      </c>
      <c r="H278">
        <v>3</v>
      </c>
      <c r="I278" t="s">
        <v>1405</v>
      </c>
      <c r="J278"/>
      <c r="T278" s="292" t="str">
        <f t="shared" si="28"/>
        <v>トラック・バス</v>
      </c>
      <c r="U278" s="283" t="str">
        <f t="shared" si="29"/>
        <v>LPG</v>
      </c>
      <c r="V278" s="283" t="str">
        <f t="shared" si="30"/>
        <v>1.7～2.5 t</v>
      </c>
      <c r="W278" s="283" t="str">
        <f t="shared" si="31"/>
        <v>H30</v>
      </c>
      <c r="X278" s="284" t="str">
        <f t="shared" si="31"/>
        <v>4LF</v>
      </c>
      <c r="Y278" s="271" t="s">
        <v>1769</v>
      </c>
      <c r="Z278" s="283">
        <f t="shared" si="32"/>
        <v>5.2499999999999998E-2</v>
      </c>
      <c r="AA278" s="283">
        <f t="shared" si="32"/>
        <v>0</v>
      </c>
      <c r="AB278" s="340">
        <f t="shared" si="32"/>
        <v>3</v>
      </c>
      <c r="AN278" s="436" t="s">
        <v>2530</v>
      </c>
    </row>
    <row r="279" spans="1:41" s="266" customFormat="1">
      <c r="A279" t="str">
        <f t="shared" si="33"/>
        <v>貨2L5BF</v>
      </c>
      <c r="B279" t="s">
        <v>2009</v>
      </c>
      <c r="C279" t="s">
        <v>1934</v>
      </c>
      <c r="D279" t="s">
        <v>2750</v>
      </c>
      <c r="E279" t="s">
        <v>2643</v>
      </c>
      <c r="F279">
        <v>3.5000000000000003E-2</v>
      </c>
      <c r="G279">
        <v>0</v>
      </c>
      <c r="H279">
        <v>3</v>
      </c>
      <c r="I279" t="s">
        <v>2200</v>
      </c>
      <c r="J279"/>
      <c r="K279" s="47"/>
      <c r="L279" s="47"/>
      <c r="M279" s="47"/>
      <c r="N279" s="47"/>
      <c r="O279" s="47"/>
      <c r="P279" s="47"/>
      <c r="Q279" s="47"/>
      <c r="R279" s="47"/>
      <c r="S279" s="47"/>
      <c r="T279" s="292" t="str">
        <f t="shared" si="28"/>
        <v>トラック・バス</v>
      </c>
      <c r="U279" s="283" t="str">
        <f t="shared" si="29"/>
        <v>LPG</v>
      </c>
      <c r="V279" s="283" t="str">
        <f t="shared" si="30"/>
        <v>1.7～2.5 t</v>
      </c>
      <c r="W279" s="283" t="str">
        <f t="shared" si="31"/>
        <v>H30</v>
      </c>
      <c r="X279" s="284" t="str">
        <f t="shared" si="31"/>
        <v>5BF</v>
      </c>
      <c r="Y279" s="271" t="s">
        <v>2262</v>
      </c>
      <c r="Z279" s="283">
        <f t="shared" si="32"/>
        <v>3.5000000000000003E-2</v>
      </c>
      <c r="AA279" s="283">
        <f t="shared" si="32"/>
        <v>0</v>
      </c>
      <c r="AB279" s="340">
        <f t="shared" si="32"/>
        <v>3</v>
      </c>
      <c r="AN279" s="47" t="s">
        <v>25</v>
      </c>
      <c r="AO279" s="47"/>
    </row>
    <row r="280" spans="1:41">
      <c r="A280" t="str">
        <f t="shared" si="33"/>
        <v>貨2L5AF</v>
      </c>
      <c r="B280" t="s">
        <v>2009</v>
      </c>
      <c r="C280" t="s">
        <v>1934</v>
      </c>
      <c r="D280" t="s">
        <v>2750</v>
      </c>
      <c r="E280" t="s">
        <v>2640</v>
      </c>
      <c r="F280">
        <v>3.5000000000000003E-2</v>
      </c>
      <c r="G280">
        <v>0</v>
      </c>
      <c r="H280">
        <v>3</v>
      </c>
      <c r="I280" t="s">
        <v>239</v>
      </c>
      <c r="J280"/>
      <c r="T280" s="292" t="str">
        <f t="shared" si="28"/>
        <v>トラック・バス</v>
      </c>
      <c r="U280" s="283" t="str">
        <f t="shared" si="29"/>
        <v>LPG</v>
      </c>
      <c r="V280" s="283" t="str">
        <f t="shared" si="30"/>
        <v>1.7～2.5 t</v>
      </c>
      <c r="W280" s="283" t="str">
        <f t="shared" si="31"/>
        <v>H30</v>
      </c>
      <c r="X280" s="284" t="str">
        <f t="shared" si="31"/>
        <v>5AF</v>
      </c>
      <c r="Y280" s="271" t="s">
        <v>2262</v>
      </c>
      <c r="Z280" s="283">
        <f t="shared" si="32"/>
        <v>3.5000000000000003E-2</v>
      </c>
      <c r="AA280" s="283">
        <f t="shared" si="32"/>
        <v>0</v>
      </c>
      <c r="AB280" s="340">
        <f t="shared" si="32"/>
        <v>3</v>
      </c>
      <c r="AN280" s="47" t="s">
        <v>1424</v>
      </c>
    </row>
    <row r="281" spans="1:41" s="266" customFormat="1">
      <c r="A281" t="str">
        <f t="shared" si="33"/>
        <v>貨2L5LF</v>
      </c>
      <c r="B281" t="s">
        <v>2009</v>
      </c>
      <c r="C281" t="s">
        <v>1934</v>
      </c>
      <c r="D281" t="s">
        <v>2750</v>
      </c>
      <c r="E281" t="s">
        <v>2664</v>
      </c>
      <c r="F281">
        <v>3.5000000000000003E-2</v>
      </c>
      <c r="G281">
        <v>0</v>
      </c>
      <c r="H281">
        <v>3</v>
      </c>
      <c r="I281" t="s">
        <v>1405</v>
      </c>
      <c r="J281"/>
      <c r="T281" s="292" t="str">
        <f t="shared" si="28"/>
        <v>トラック・バス</v>
      </c>
      <c r="U281" s="283" t="str">
        <f t="shared" si="29"/>
        <v>LPG</v>
      </c>
      <c r="V281" s="283" t="str">
        <f t="shared" si="30"/>
        <v>1.7～2.5 t</v>
      </c>
      <c r="W281" s="283" t="str">
        <f t="shared" si="31"/>
        <v>H30</v>
      </c>
      <c r="X281" s="284" t="str">
        <f t="shared" si="31"/>
        <v>5LF</v>
      </c>
      <c r="Y281" s="271" t="s">
        <v>2262</v>
      </c>
      <c r="Z281" s="283">
        <f t="shared" si="32"/>
        <v>3.5000000000000003E-2</v>
      </c>
      <c r="AA281" s="283">
        <f t="shared" si="32"/>
        <v>0</v>
      </c>
      <c r="AB281" s="340">
        <f t="shared" si="32"/>
        <v>3</v>
      </c>
      <c r="AN281" s="435" t="s">
        <v>275</v>
      </c>
      <c r="AO281" s="47"/>
    </row>
    <row r="282" spans="1:41">
      <c r="A282" t="str">
        <f t="shared" si="33"/>
        <v>貨2L6BF</v>
      </c>
      <c r="B282" t="s">
        <v>2009</v>
      </c>
      <c r="C282" t="s">
        <v>1934</v>
      </c>
      <c r="D282" t="s">
        <v>2750</v>
      </c>
      <c r="E282" t="s">
        <v>2673</v>
      </c>
      <c r="F282">
        <v>1.7500000000000002E-2</v>
      </c>
      <c r="G282">
        <v>0</v>
      </c>
      <c r="H282">
        <v>3</v>
      </c>
      <c r="I282" t="s">
        <v>2202</v>
      </c>
      <c r="J282"/>
      <c r="T282" s="292" t="str">
        <f t="shared" si="28"/>
        <v>トラック・バス</v>
      </c>
      <c r="U282" s="283" t="str">
        <f t="shared" si="29"/>
        <v>LPG</v>
      </c>
      <c r="V282" s="283" t="str">
        <f t="shared" si="30"/>
        <v>1.7～2.5 t</v>
      </c>
      <c r="W282" s="283" t="str">
        <f t="shared" si="31"/>
        <v>H30</v>
      </c>
      <c r="X282" s="284" t="str">
        <f t="shared" si="31"/>
        <v>6BF</v>
      </c>
      <c r="Y282" s="271" t="s">
        <v>2758</v>
      </c>
      <c r="Z282" s="283">
        <f t="shared" si="32"/>
        <v>1.7500000000000002E-2</v>
      </c>
      <c r="AA282" s="283">
        <f t="shared" si="32"/>
        <v>0</v>
      </c>
      <c r="AB282" s="340">
        <f t="shared" si="32"/>
        <v>3</v>
      </c>
      <c r="AN282" s="47" t="s">
        <v>321</v>
      </c>
    </row>
    <row r="283" spans="1:41" s="266" customFormat="1">
      <c r="A283" t="str">
        <f t="shared" si="33"/>
        <v>貨2L6AF</v>
      </c>
      <c r="B283" t="s">
        <v>2009</v>
      </c>
      <c r="C283" t="s">
        <v>1934</v>
      </c>
      <c r="D283" t="s">
        <v>2750</v>
      </c>
      <c r="E283" t="s">
        <v>2670</v>
      </c>
      <c r="F283">
        <v>1.7500000000000002E-2</v>
      </c>
      <c r="G283">
        <v>0</v>
      </c>
      <c r="H283">
        <v>3</v>
      </c>
      <c r="I283" t="s">
        <v>239</v>
      </c>
      <c r="J283"/>
      <c r="T283" s="292" t="str">
        <f t="shared" si="28"/>
        <v>トラック・バス</v>
      </c>
      <c r="U283" s="283" t="str">
        <f t="shared" si="29"/>
        <v>LPG</v>
      </c>
      <c r="V283" s="283" t="str">
        <f t="shared" si="30"/>
        <v>1.7～2.5 t</v>
      </c>
      <c r="W283" s="283" t="str">
        <f t="shared" si="31"/>
        <v>H30</v>
      </c>
      <c r="X283" s="284" t="str">
        <f t="shared" si="31"/>
        <v>6AF</v>
      </c>
      <c r="Y283" s="271" t="s">
        <v>2758</v>
      </c>
      <c r="Z283" s="283">
        <f t="shared" si="32"/>
        <v>1.7500000000000002E-2</v>
      </c>
      <c r="AA283" s="283">
        <f t="shared" si="32"/>
        <v>0</v>
      </c>
      <c r="AB283" s="340">
        <f t="shared" si="32"/>
        <v>3</v>
      </c>
      <c r="AN283" s="47" t="s">
        <v>401</v>
      </c>
      <c r="AO283" s="47"/>
    </row>
    <row r="284" spans="1:41">
      <c r="A284" t="str">
        <f t="shared" si="33"/>
        <v>貨2L6LF</v>
      </c>
      <c r="B284" t="s">
        <v>2009</v>
      </c>
      <c r="C284" t="s">
        <v>1934</v>
      </c>
      <c r="D284" t="s">
        <v>2750</v>
      </c>
      <c r="E284" t="s">
        <v>2694</v>
      </c>
      <c r="F284">
        <v>1.7500000000000002E-2</v>
      </c>
      <c r="G284">
        <v>0</v>
      </c>
      <c r="H284">
        <v>3</v>
      </c>
      <c r="I284" t="s">
        <v>1405</v>
      </c>
      <c r="J284"/>
      <c r="T284" s="292" t="str">
        <f t="shared" si="28"/>
        <v>トラック・バス</v>
      </c>
      <c r="U284" s="283" t="str">
        <f t="shared" si="29"/>
        <v>LPG</v>
      </c>
      <c r="V284" s="283" t="str">
        <f t="shared" si="30"/>
        <v>1.7～2.5 t</v>
      </c>
      <c r="W284" s="283" t="str">
        <f t="shared" si="31"/>
        <v>H30</v>
      </c>
      <c r="X284" s="284" t="str">
        <f t="shared" si="31"/>
        <v>6LF</v>
      </c>
      <c r="Y284" s="271" t="s">
        <v>2758</v>
      </c>
      <c r="Z284" s="283">
        <f t="shared" si="32"/>
        <v>1.7500000000000002E-2</v>
      </c>
      <c r="AA284" s="283">
        <f t="shared" si="32"/>
        <v>0</v>
      </c>
      <c r="AB284" s="340">
        <f t="shared" si="32"/>
        <v>3</v>
      </c>
      <c r="AN284" s="47" t="s">
        <v>1422</v>
      </c>
    </row>
    <row r="285" spans="1:41" s="266" customFormat="1">
      <c r="A285" t="str">
        <f t="shared" si="33"/>
        <v>貨3L-</v>
      </c>
      <c r="B285" t="s">
        <v>2030</v>
      </c>
      <c r="C285" t="s">
        <v>1935</v>
      </c>
      <c r="D285" t="s">
        <v>2458</v>
      </c>
      <c r="E285" t="s">
        <v>2457</v>
      </c>
      <c r="F285">
        <v>1.8</v>
      </c>
      <c r="G285">
        <v>0</v>
      </c>
      <c r="H285">
        <v>3</v>
      </c>
      <c r="I285" t="s">
        <v>232</v>
      </c>
      <c r="J285"/>
      <c r="T285" s="292" t="str">
        <f t="shared" si="28"/>
        <v>トラック・バス</v>
      </c>
      <c r="U285" s="283" t="str">
        <f t="shared" si="29"/>
        <v>LPG</v>
      </c>
      <c r="V285" s="283" t="str">
        <f t="shared" si="30"/>
        <v>2.5～3.5 t</v>
      </c>
      <c r="W285" s="283" t="str">
        <f t="shared" si="31"/>
        <v>S54前</v>
      </c>
      <c r="X285" s="284" t="str">
        <f t="shared" si="31"/>
        <v>-</v>
      </c>
      <c r="Y285" s="271"/>
      <c r="Z285" s="283">
        <f t="shared" si="32"/>
        <v>1.8</v>
      </c>
      <c r="AA285" s="283">
        <f t="shared" si="32"/>
        <v>0</v>
      </c>
      <c r="AB285" s="340">
        <f t="shared" si="32"/>
        <v>3</v>
      </c>
      <c r="AN285" s="435" t="s">
        <v>273</v>
      </c>
      <c r="AO285" s="47"/>
    </row>
    <row r="286" spans="1:41">
      <c r="A286" t="str">
        <f t="shared" si="33"/>
        <v>貨3LJ</v>
      </c>
      <c r="B286" t="s">
        <v>2030</v>
      </c>
      <c r="C286" t="s">
        <v>1935</v>
      </c>
      <c r="D286" t="s">
        <v>0</v>
      </c>
      <c r="E286" t="s">
        <v>7</v>
      </c>
      <c r="F286">
        <v>1.2</v>
      </c>
      <c r="G286">
        <v>0</v>
      </c>
      <c r="H286">
        <v>3</v>
      </c>
      <c r="I286" t="s">
        <v>232</v>
      </c>
      <c r="J286"/>
      <c r="T286" s="292" t="str">
        <f t="shared" si="28"/>
        <v>トラック・バス</v>
      </c>
      <c r="U286" s="283" t="str">
        <f t="shared" si="29"/>
        <v>LPG</v>
      </c>
      <c r="V286" s="283" t="str">
        <f t="shared" si="30"/>
        <v>2.5～3.5 t</v>
      </c>
      <c r="W286" s="283" t="str">
        <f t="shared" si="31"/>
        <v>S54</v>
      </c>
      <c r="X286" s="284" t="str">
        <f t="shared" si="31"/>
        <v>J</v>
      </c>
      <c r="Y286" s="271"/>
      <c r="Z286" s="283">
        <f t="shared" si="32"/>
        <v>1.2</v>
      </c>
      <c r="AA286" s="283">
        <f t="shared" si="32"/>
        <v>0</v>
      </c>
      <c r="AB286" s="340">
        <f t="shared" si="32"/>
        <v>3</v>
      </c>
      <c r="AN286" s="47" t="s">
        <v>319</v>
      </c>
    </row>
    <row r="287" spans="1:41" s="266" customFormat="1">
      <c r="A287" t="str">
        <f t="shared" si="33"/>
        <v>貨3LM</v>
      </c>
      <c r="B287" t="s">
        <v>2030</v>
      </c>
      <c r="C287" t="s">
        <v>1935</v>
      </c>
      <c r="D287" t="s">
        <v>24</v>
      </c>
      <c r="E287" t="s">
        <v>25</v>
      </c>
      <c r="F287">
        <v>0.9</v>
      </c>
      <c r="G287">
        <v>0</v>
      </c>
      <c r="H287">
        <v>3</v>
      </c>
      <c r="I287" t="s">
        <v>232</v>
      </c>
      <c r="J287"/>
      <c r="T287" s="292" t="str">
        <f t="shared" si="28"/>
        <v>トラック・バス</v>
      </c>
      <c r="U287" s="283" t="str">
        <f t="shared" si="29"/>
        <v>LPG</v>
      </c>
      <c r="V287" s="283" t="str">
        <f t="shared" si="30"/>
        <v>2.5～3.5 t</v>
      </c>
      <c r="W287" s="283" t="str">
        <f t="shared" si="31"/>
        <v>S57</v>
      </c>
      <c r="X287" s="284" t="str">
        <f t="shared" si="31"/>
        <v>M</v>
      </c>
      <c r="Y287" s="271"/>
      <c r="Z287" s="283">
        <f t="shared" si="32"/>
        <v>0.9</v>
      </c>
      <c r="AA287" s="283">
        <f t="shared" si="32"/>
        <v>0</v>
      </c>
      <c r="AB287" s="340">
        <f t="shared" si="32"/>
        <v>3</v>
      </c>
      <c r="AN287" s="47" t="s">
        <v>399</v>
      </c>
      <c r="AO287" s="47"/>
    </row>
    <row r="288" spans="1:41">
      <c r="A288" t="str">
        <f t="shared" si="33"/>
        <v>貨3LT</v>
      </c>
      <c r="B288" t="s">
        <v>2030</v>
      </c>
      <c r="C288" t="s">
        <v>1935</v>
      </c>
      <c r="D288" t="s">
        <v>18</v>
      </c>
      <c r="E288" t="s">
        <v>19</v>
      </c>
      <c r="F288">
        <v>0.7</v>
      </c>
      <c r="G288">
        <v>0</v>
      </c>
      <c r="H288">
        <v>3</v>
      </c>
      <c r="I288" t="s">
        <v>232</v>
      </c>
      <c r="J288"/>
      <c r="T288" s="292" t="str">
        <f t="shared" si="28"/>
        <v>トラック・バス</v>
      </c>
      <c r="U288" s="283" t="str">
        <f t="shared" si="29"/>
        <v>LPG</v>
      </c>
      <c r="V288" s="283" t="str">
        <f t="shared" si="30"/>
        <v>2.5～3.5 t</v>
      </c>
      <c r="W288" s="283" t="str">
        <f t="shared" si="31"/>
        <v>H元</v>
      </c>
      <c r="X288" s="284" t="str">
        <f t="shared" si="31"/>
        <v>T</v>
      </c>
      <c r="Y288" s="271"/>
      <c r="Z288" s="283">
        <f t="shared" si="32"/>
        <v>0.7</v>
      </c>
      <c r="AA288" s="283">
        <f t="shared" si="32"/>
        <v>0</v>
      </c>
      <c r="AB288" s="340">
        <f t="shared" si="32"/>
        <v>3</v>
      </c>
      <c r="AD288" s="266"/>
      <c r="AE288" s="266"/>
      <c r="AF288" s="266"/>
      <c r="AG288" s="266"/>
      <c r="AH288" s="266"/>
      <c r="AI288" s="266"/>
      <c r="AN288" s="47" t="s">
        <v>1612</v>
      </c>
    </row>
    <row r="289" spans="1:41" s="266" customFormat="1">
      <c r="A289" t="str">
        <f t="shared" si="33"/>
        <v>貨3LZ</v>
      </c>
      <c r="B289" t="s">
        <v>2030</v>
      </c>
      <c r="C289" t="s">
        <v>1935</v>
      </c>
      <c r="D289" t="s">
        <v>1998</v>
      </c>
      <c r="E289" t="s">
        <v>26</v>
      </c>
      <c r="F289">
        <v>0.49</v>
      </c>
      <c r="G289">
        <v>0</v>
      </c>
      <c r="H289">
        <v>3</v>
      </c>
      <c r="I289" t="s">
        <v>232</v>
      </c>
      <c r="J289"/>
      <c r="T289" s="292" t="str">
        <f t="shared" si="28"/>
        <v>トラック・バス</v>
      </c>
      <c r="U289" s="283" t="str">
        <f t="shared" si="29"/>
        <v>LPG</v>
      </c>
      <c r="V289" s="283" t="str">
        <f t="shared" si="30"/>
        <v>2.5～3.5 t</v>
      </c>
      <c r="W289" s="283" t="str">
        <f t="shared" si="31"/>
        <v>H4</v>
      </c>
      <c r="X289" s="284" t="str">
        <f t="shared" si="31"/>
        <v>Z</v>
      </c>
      <c r="Y289" s="271"/>
      <c r="Z289" s="283">
        <f t="shared" si="32"/>
        <v>0.49</v>
      </c>
      <c r="AA289" s="283">
        <f t="shared" si="32"/>
        <v>0</v>
      </c>
      <c r="AB289" s="340">
        <f t="shared" si="32"/>
        <v>3</v>
      </c>
      <c r="AN289" s="266" t="s">
        <v>631</v>
      </c>
      <c r="AO289" s="47"/>
    </row>
    <row r="290" spans="1:41" s="266" customFormat="1">
      <c r="A290" t="str">
        <f t="shared" si="33"/>
        <v>貨3LGB</v>
      </c>
      <c r="B290" t="s">
        <v>2030</v>
      </c>
      <c r="C290" t="s">
        <v>1935</v>
      </c>
      <c r="D290" t="s">
        <v>1999</v>
      </c>
      <c r="E290" t="s">
        <v>50</v>
      </c>
      <c r="F290">
        <v>0.4</v>
      </c>
      <c r="G290">
        <v>0</v>
      </c>
      <c r="H290">
        <v>3</v>
      </c>
      <c r="I290" t="s">
        <v>232</v>
      </c>
      <c r="J290"/>
      <c r="K290" s="47"/>
      <c r="L290" s="47"/>
      <c r="M290" s="47"/>
      <c r="N290" s="47"/>
      <c r="O290" s="47"/>
      <c r="P290" s="47"/>
      <c r="Q290" s="47"/>
      <c r="R290" s="47"/>
      <c r="S290" s="47"/>
      <c r="T290" s="292" t="str">
        <f t="shared" si="28"/>
        <v>トラック・バス</v>
      </c>
      <c r="U290" s="283" t="str">
        <f t="shared" si="29"/>
        <v>LPG</v>
      </c>
      <c r="V290" s="283" t="str">
        <f t="shared" si="30"/>
        <v>2.5～3.5 t</v>
      </c>
      <c r="W290" s="283" t="str">
        <f t="shared" si="31"/>
        <v>H7,H10</v>
      </c>
      <c r="X290" s="284" t="str">
        <f t="shared" si="31"/>
        <v>GB</v>
      </c>
      <c r="Y290" s="271"/>
      <c r="Z290" s="283">
        <f t="shared" si="32"/>
        <v>0.4</v>
      </c>
      <c r="AA290" s="283">
        <f t="shared" si="32"/>
        <v>0</v>
      </c>
      <c r="AB290" s="340">
        <f t="shared" si="32"/>
        <v>3</v>
      </c>
      <c r="AN290" s="266" t="s">
        <v>864</v>
      </c>
      <c r="AO290" s="47"/>
    </row>
    <row r="291" spans="1:41" s="266" customFormat="1">
      <c r="A291" t="str">
        <f t="shared" si="33"/>
        <v>貨3LGE</v>
      </c>
      <c r="B291" t="s">
        <v>2030</v>
      </c>
      <c r="C291" t="s">
        <v>1935</v>
      </c>
      <c r="D291" t="s">
        <v>1999</v>
      </c>
      <c r="E291" t="s">
        <v>52</v>
      </c>
      <c r="F291">
        <v>0.4</v>
      </c>
      <c r="G291">
        <v>0</v>
      </c>
      <c r="H291">
        <v>3</v>
      </c>
      <c r="I291" t="s">
        <v>232</v>
      </c>
      <c r="J291"/>
      <c r="T291" s="292" t="str">
        <f t="shared" si="28"/>
        <v>トラック・バス</v>
      </c>
      <c r="U291" s="283" t="str">
        <f t="shared" si="29"/>
        <v>LPG</v>
      </c>
      <c r="V291" s="283" t="str">
        <f t="shared" si="30"/>
        <v>2.5～3.5 t</v>
      </c>
      <c r="W291" s="283" t="str">
        <f t="shared" si="31"/>
        <v>H7,H10</v>
      </c>
      <c r="X291" s="284" t="str">
        <f t="shared" si="31"/>
        <v>GE</v>
      </c>
      <c r="Y291" s="271"/>
      <c r="Z291" s="283">
        <f t="shared" si="32"/>
        <v>0.4</v>
      </c>
      <c r="AA291" s="283">
        <f t="shared" si="32"/>
        <v>0</v>
      </c>
      <c r="AB291" s="340">
        <f t="shared" si="32"/>
        <v>3</v>
      </c>
      <c r="AN291" s="47" t="s">
        <v>1071</v>
      </c>
      <c r="AO291" s="47"/>
    </row>
    <row r="292" spans="1:41" s="266" customFormat="1">
      <c r="A292" t="str">
        <f t="shared" si="33"/>
        <v>貨3LHJ</v>
      </c>
      <c r="B292" t="s">
        <v>2030</v>
      </c>
      <c r="C292" t="s">
        <v>1935</v>
      </c>
      <c r="D292" t="s">
        <v>1999</v>
      </c>
      <c r="E292" t="s">
        <v>60</v>
      </c>
      <c r="F292">
        <v>0.2</v>
      </c>
      <c r="G292">
        <v>0</v>
      </c>
      <c r="H292">
        <v>3</v>
      </c>
      <c r="I292" t="s">
        <v>239</v>
      </c>
      <c r="J292"/>
      <c r="K292" s="47"/>
      <c r="L292" s="47"/>
      <c r="M292" s="47"/>
      <c r="N292" s="47"/>
      <c r="O292" s="47"/>
      <c r="P292" s="47"/>
      <c r="Q292" s="47"/>
      <c r="R292" s="47"/>
      <c r="S292" s="47"/>
      <c r="T292" s="292" t="str">
        <f t="shared" si="28"/>
        <v>トラック・バス</v>
      </c>
      <c r="U292" s="283" t="str">
        <f t="shared" si="29"/>
        <v>LPG</v>
      </c>
      <c r="V292" s="283" t="str">
        <f t="shared" si="30"/>
        <v>2.5～3.5 t</v>
      </c>
      <c r="W292" s="283" t="str">
        <f t="shared" si="31"/>
        <v>H7,H10</v>
      </c>
      <c r="X292" s="284" t="str">
        <f t="shared" si="31"/>
        <v>HJ</v>
      </c>
      <c r="Y292" s="271"/>
      <c r="Z292" s="283">
        <f t="shared" si="32"/>
        <v>0.2</v>
      </c>
      <c r="AA292" s="283">
        <f t="shared" si="32"/>
        <v>0</v>
      </c>
      <c r="AB292" s="340">
        <f t="shared" si="32"/>
        <v>3</v>
      </c>
      <c r="AN292" s="47" t="s">
        <v>1606</v>
      </c>
      <c r="AO292" s="47"/>
    </row>
    <row r="293" spans="1:41" s="266" customFormat="1">
      <c r="A293" t="str">
        <f t="shared" si="33"/>
        <v>貨3LGK</v>
      </c>
      <c r="B293" t="s">
        <v>2030</v>
      </c>
      <c r="C293" t="s">
        <v>1935</v>
      </c>
      <c r="D293" t="s">
        <v>21</v>
      </c>
      <c r="E293" t="s">
        <v>57</v>
      </c>
      <c r="F293">
        <v>0.13</v>
      </c>
      <c r="G293">
        <v>0</v>
      </c>
      <c r="H293">
        <v>3</v>
      </c>
      <c r="I293" t="s">
        <v>232</v>
      </c>
      <c r="J293"/>
      <c r="T293" s="292" t="str">
        <f t="shared" si="28"/>
        <v>トラック・バス</v>
      </c>
      <c r="U293" s="283" t="str">
        <f t="shared" si="29"/>
        <v>LPG</v>
      </c>
      <c r="V293" s="283" t="str">
        <f t="shared" si="30"/>
        <v>2.5～3.5 t</v>
      </c>
      <c r="W293" s="283" t="str">
        <f t="shared" si="31"/>
        <v>H13</v>
      </c>
      <c r="X293" s="284" t="str">
        <f t="shared" si="31"/>
        <v>GK</v>
      </c>
      <c r="Y293" s="271"/>
      <c r="Z293" s="283">
        <f t="shared" si="32"/>
        <v>0.13</v>
      </c>
      <c r="AA293" s="283">
        <f t="shared" si="32"/>
        <v>0</v>
      </c>
      <c r="AB293" s="340">
        <f t="shared" si="32"/>
        <v>3</v>
      </c>
      <c r="AN293" s="47" t="s">
        <v>623</v>
      </c>
      <c r="AO293" s="47"/>
    </row>
    <row r="294" spans="1:41" s="266" customFormat="1">
      <c r="A294" t="str">
        <f t="shared" si="33"/>
        <v>貨3LHQ</v>
      </c>
      <c r="B294" t="s">
        <v>2030</v>
      </c>
      <c r="C294" t="s">
        <v>1935</v>
      </c>
      <c r="D294" t="s">
        <v>21</v>
      </c>
      <c r="E294" t="s">
        <v>68</v>
      </c>
      <c r="F294">
        <v>6.5000000000000002E-2</v>
      </c>
      <c r="G294">
        <v>0</v>
      </c>
      <c r="H294">
        <v>3</v>
      </c>
      <c r="I294" t="s">
        <v>239</v>
      </c>
      <c r="J294"/>
      <c r="K294" s="47"/>
      <c r="L294" s="47"/>
      <c r="M294" s="47"/>
      <c r="N294" s="47"/>
      <c r="O294" s="47"/>
      <c r="P294" s="47"/>
      <c r="Q294" s="47"/>
      <c r="R294" s="47"/>
      <c r="S294" s="47"/>
      <c r="T294" s="292" t="str">
        <f t="shared" si="28"/>
        <v>トラック・バス</v>
      </c>
      <c r="U294" s="283" t="str">
        <f t="shared" si="29"/>
        <v>LPG</v>
      </c>
      <c r="V294" s="283" t="str">
        <f t="shared" si="30"/>
        <v>2.5～3.5 t</v>
      </c>
      <c r="W294" s="283" t="str">
        <f t="shared" si="31"/>
        <v>H13</v>
      </c>
      <c r="X294" s="284" t="str">
        <f t="shared" si="31"/>
        <v>HQ</v>
      </c>
      <c r="Y294" s="271"/>
      <c r="Z294" s="283">
        <f t="shared" si="32"/>
        <v>6.5000000000000002E-2</v>
      </c>
      <c r="AA294" s="283">
        <f t="shared" si="32"/>
        <v>0</v>
      </c>
      <c r="AB294" s="340">
        <f t="shared" si="32"/>
        <v>3</v>
      </c>
      <c r="AN294" s="47" t="s">
        <v>856</v>
      </c>
      <c r="AO294" s="47"/>
    </row>
    <row r="295" spans="1:41" s="266" customFormat="1">
      <c r="A295" t="str">
        <f t="shared" si="33"/>
        <v>貨3LTC</v>
      </c>
      <c r="B295" t="s">
        <v>2030</v>
      </c>
      <c r="C295" t="s">
        <v>1935</v>
      </c>
      <c r="D295" t="s">
        <v>21</v>
      </c>
      <c r="E295" t="s">
        <v>81</v>
      </c>
      <c r="F295">
        <v>9.7500000000000003E-2</v>
      </c>
      <c r="G295">
        <v>0</v>
      </c>
      <c r="H295">
        <v>3</v>
      </c>
      <c r="I295" t="s">
        <v>232</v>
      </c>
      <c r="J295"/>
      <c r="T295" s="292" t="str">
        <f t="shared" si="28"/>
        <v>トラック・バス</v>
      </c>
      <c r="U295" s="283" t="str">
        <f t="shared" si="29"/>
        <v>LPG</v>
      </c>
      <c r="V295" s="283" t="str">
        <f t="shared" si="30"/>
        <v>2.5～3.5 t</v>
      </c>
      <c r="W295" s="283" t="str">
        <f t="shared" si="31"/>
        <v>H13</v>
      </c>
      <c r="X295" s="284" t="str">
        <f t="shared" si="31"/>
        <v>TC</v>
      </c>
      <c r="Y295" s="271" t="s">
        <v>244</v>
      </c>
      <c r="Z295" s="283">
        <f t="shared" si="32"/>
        <v>9.7500000000000003E-2</v>
      </c>
      <c r="AA295" s="283">
        <f t="shared" si="32"/>
        <v>0</v>
      </c>
      <c r="AB295" s="340">
        <f t="shared" si="32"/>
        <v>3</v>
      </c>
      <c r="AN295" s="47" t="s">
        <v>1063</v>
      </c>
      <c r="AO295" s="47"/>
    </row>
    <row r="296" spans="1:41" s="266" customFormat="1">
      <c r="A296" t="str">
        <f t="shared" si="33"/>
        <v>貨3LXC</v>
      </c>
      <c r="B296" t="s">
        <v>2030</v>
      </c>
      <c r="C296" t="s">
        <v>1935</v>
      </c>
      <c r="D296" t="s">
        <v>21</v>
      </c>
      <c r="E296" t="s">
        <v>95</v>
      </c>
      <c r="F296">
        <v>9.7500000000000003E-2</v>
      </c>
      <c r="G296">
        <v>0</v>
      </c>
      <c r="H296">
        <v>3</v>
      </c>
      <c r="I296" t="s">
        <v>239</v>
      </c>
      <c r="J296"/>
      <c r="T296" s="292" t="str">
        <f t="shared" si="28"/>
        <v>トラック・バス</v>
      </c>
      <c r="U296" s="283" t="str">
        <f t="shared" si="29"/>
        <v>LPG</v>
      </c>
      <c r="V296" s="283" t="str">
        <f t="shared" si="30"/>
        <v>2.5～3.5 t</v>
      </c>
      <c r="W296" s="283" t="str">
        <f t="shared" si="31"/>
        <v>H13</v>
      </c>
      <c r="X296" s="284" t="str">
        <f t="shared" si="31"/>
        <v>XC</v>
      </c>
      <c r="Y296" s="271" t="s">
        <v>244</v>
      </c>
      <c r="Z296" s="283">
        <f t="shared" si="32"/>
        <v>9.7500000000000003E-2</v>
      </c>
      <c r="AA296" s="283">
        <f t="shared" si="32"/>
        <v>0</v>
      </c>
      <c r="AB296" s="340">
        <f t="shared" si="32"/>
        <v>3</v>
      </c>
      <c r="AD296" s="436"/>
      <c r="AE296" s="436"/>
      <c r="AF296" s="436"/>
      <c r="AG296" s="436"/>
      <c r="AH296" s="436"/>
      <c r="AI296" s="436"/>
      <c r="AN296" s="47" t="s">
        <v>1682</v>
      </c>
      <c r="AO296" s="47"/>
    </row>
    <row r="297" spans="1:41" s="266" customFormat="1">
      <c r="A297" t="str">
        <f t="shared" si="33"/>
        <v>貨3LLC</v>
      </c>
      <c r="B297" t="s">
        <v>2030</v>
      </c>
      <c r="C297" t="s">
        <v>1935</v>
      </c>
      <c r="D297" t="s">
        <v>21</v>
      </c>
      <c r="E297" t="s">
        <v>72</v>
      </c>
      <c r="F297">
        <v>6.5000000000000002E-2</v>
      </c>
      <c r="G297">
        <v>0</v>
      </c>
      <c r="H297">
        <v>3</v>
      </c>
      <c r="I297" t="s">
        <v>232</v>
      </c>
      <c r="J297"/>
      <c r="T297" s="292" t="str">
        <f t="shared" si="28"/>
        <v>トラック・バス</v>
      </c>
      <c r="U297" s="283" t="str">
        <f t="shared" si="29"/>
        <v>LPG</v>
      </c>
      <c r="V297" s="283" t="str">
        <f t="shared" si="30"/>
        <v>2.5～3.5 t</v>
      </c>
      <c r="W297" s="283" t="str">
        <f t="shared" si="31"/>
        <v>H13</v>
      </c>
      <c r="X297" s="284" t="str">
        <f t="shared" si="31"/>
        <v>LC</v>
      </c>
      <c r="Y297" s="271" t="s">
        <v>247</v>
      </c>
      <c r="Z297" s="283">
        <f t="shared" si="32"/>
        <v>6.5000000000000002E-2</v>
      </c>
      <c r="AA297" s="283">
        <f t="shared" si="32"/>
        <v>0</v>
      </c>
      <c r="AB297" s="340">
        <f t="shared" si="32"/>
        <v>3</v>
      </c>
      <c r="AD297" s="436"/>
      <c r="AE297" s="436"/>
      <c r="AF297" s="436"/>
      <c r="AG297" s="436"/>
      <c r="AH297" s="436"/>
      <c r="AI297" s="436"/>
      <c r="AN297" s="47" t="s">
        <v>1151</v>
      </c>
      <c r="AO297" s="47"/>
    </row>
    <row r="298" spans="1:41" s="436" customFormat="1">
      <c r="A298" t="str">
        <f t="shared" si="33"/>
        <v>貨3LYC</v>
      </c>
      <c r="B298" t="s">
        <v>2030</v>
      </c>
      <c r="C298" t="s">
        <v>1935</v>
      </c>
      <c r="D298" t="s">
        <v>21</v>
      </c>
      <c r="E298" t="s">
        <v>99</v>
      </c>
      <c r="F298">
        <v>6.5000000000000002E-2</v>
      </c>
      <c r="G298">
        <v>0</v>
      </c>
      <c r="H298">
        <v>3</v>
      </c>
      <c r="I298" t="s">
        <v>239</v>
      </c>
      <c r="J298"/>
      <c r="K298" s="266"/>
      <c r="L298" s="266"/>
      <c r="M298" s="266"/>
      <c r="N298" s="266"/>
      <c r="O298" s="266"/>
      <c r="P298" s="266"/>
      <c r="Q298" s="266"/>
      <c r="R298" s="266"/>
      <c r="S298" s="266"/>
      <c r="T298" s="292" t="str">
        <f t="shared" si="28"/>
        <v>トラック・バス</v>
      </c>
      <c r="U298" s="283" t="str">
        <f t="shared" si="29"/>
        <v>LPG</v>
      </c>
      <c r="V298" s="283" t="str">
        <f t="shared" si="30"/>
        <v>2.5～3.5 t</v>
      </c>
      <c r="W298" s="283" t="str">
        <f t="shared" si="31"/>
        <v>H13</v>
      </c>
      <c r="X298" s="284" t="str">
        <f t="shared" si="31"/>
        <v>YC</v>
      </c>
      <c r="Y298" s="271" t="s">
        <v>247</v>
      </c>
      <c r="Z298" s="283">
        <f t="shared" si="32"/>
        <v>6.5000000000000002E-2</v>
      </c>
      <c r="AA298" s="283">
        <f t="shared" si="32"/>
        <v>0</v>
      </c>
      <c r="AB298" s="340">
        <f t="shared" si="32"/>
        <v>3</v>
      </c>
      <c r="AN298" s="47" t="s">
        <v>1184</v>
      </c>
      <c r="AO298" s="47"/>
    </row>
    <row r="299" spans="1:41" s="436" customFormat="1">
      <c r="A299" t="str">
        <f t="shared" si="33"/>
        <v>貨3LUC</v>
      </c>
      <c r="B299" t="s">
        <v>2030</v>
      </c>
      <c r="C299" t="s">
        <v>1935</v>
      </c>
      <c r="D299" t="s">
        <v>21</v>
      </c>
      <c r="E299" t="s">
        <v>88</v>
      </c>
      <c r="F299">
        <v>3.2500000000000001E-2</v>
      </c>
      <c r="G299">
        <v>0</v>
      </c>
      <c r="H299">
        <v>3</v>
      </c>
      <c r="I299" t="s">
        <v>232</v>
      </c>
      <c r="J299"/>
      <c r="K299" s="266"/>
      <c r="L299" s="266"/>
      <c r="M299" s="266"/>
      <c r="N299" s="266"/>
      <c r="O299" s="266"/>
      <c r="P299" s="266"/>
      <c r="Q299" s="266"/>
      <c r="R299" s="266"/>
      <c r="S299" s="266"/>
      <c r="T299" s="292" t="str">
        <f t="shared" si="28"/>
        <v>トラック・バス</v>
      </c>
      <c r="U299" s="283" t="str">
        <f t="shared" si="29"/>
        <v>LPG</v>
      </c>
      <c r="V299" s="283" t="str">
        <f t="shared" si="30"/>
        <v>2.5～3.5 t</v>
      </c>
      <c r="W299" s="283" t="str">
        <f t="shared" si="31"/>
        <v>H13</v>
      </c>
      <c r="X299" s="284" t="str">
        <f t="shared" si="31"/>
        <v>UC</v>
      </c>
      <c r="Y299" s="271" t="s">
        <v>250</v>
      </c>
      <c r="Z299" s="283">
        <f t="shared" si="32"/>
        <v>3.2500000000000001E-2</v>
      </c>
      <c r="AA299" s="283">
        <f t="shared" si="32"/>
        <v>0</v>
      </c>
      <c r="AB299" s="340">
        <f t="shared" si="32"/>
        <v>3</v>
      </c>
      <c r="AN299" s="47" t="s">
        <v>1245</v>
      </c>
      <c r="AO299" s="47"/>
    </row>
    <row r="300" spans="1:41" s="436" customFormat="1">
      <c r="A300" t="str">
        <f t="shared" si="33"/>
        <v>貨3LZC</v>
      </c>
      <c r="B300" t="s">
        <v>2030</v>
      </c>
      <c r="C300" t="s">
        <v>1935</v>
      </c>
      <c r="D300" t="s">
        <v>21</v>
      </c>
      <c r="E300" t="s">
        <v>103</v>
      </c>
      <c r="F300">
        <v>3.2500000000000001E-2</v>
      </c>
      <c r="G300">
        <v>0</v>
      </c>
      <c r="H300">
        <v>3</v>
      </c>
      <c r="I300" t="s">
        <v>239</v>
      </c>
      <c r="J300"/>
      <c r="K300" s="266"/>
      <c r="L300" s="266"/>
      <c r="M300" s="266"/>
      <c r="N300" s="266"/>
      <c r="O300" s="266"/>
      <c r="P300" s="266"/>
      <c r="Q300" s="266"/>
      <c r="R300" s="266"/>
      <c r="S300" s="266"/>
      <c r="T300" s="292" t="str">
        <f t="shared" si="28"/>
        <v>トラック・バス</v>
      </c>
      <c r="U300" s="283" t="str">
        <f t="shared" si="29"/>
        <v>LPG</v>
      </c>
      <c r="V300" s="283" t="str">
        <f t="shared" si="30"/>
        <v>2.5～3.5 t</v>
      </c>
      <c r="W300" s="283" t="str">
        <f t="shared" si="31"/>
        <v>H13</v>
      </c>
      <c r="X300" s="284" t="str">
        <f t="shared" si="31"/>
        <v>ZC</v>
      </c>
      <c r="Y300" s="271" t="s">
        <v>250</v>
      </c>
      <c r="Z300" s="283">
        <f t="shared" si="32"/>
        <v>3.2500000000000001E-2</v>
      </c>
      <c r="AA300" s="283">
        <f t="shared" si="32"/>
        <v>0</v>
      </c>
      <c r="AB300" s="340">
        <f t="shared" si="32"/>
        <v>3</v>
      </c>
      <c r="AN300" s="47" t="s">
        <v>1680</v>
      </c>
      <c r="AO300" s="47"/>
    </row>
    <row r="301" spans="1:41" s="436" customFormat="1">
      <c r="A301" t="str">
        <f t="shared" si="33"/>
        <v>貨3LABF</v>
      </c>
      <c r="B301" t="s">
        <v>2030</v>
      </c>
      <c r="C301" t="s">
        <v>1935</v>
      </c>
      <c r="D301" t="s">
        <v>1979</v>
      </c>
      <c r="E301" t="s">
        <v>301</v>
      </c>
      <c r="F301">
        <v>7.0000000000000007E-2</v>
      </c>
      <c r="G301">
        <v>0</v>
      </c>
      <c r="H301">
        <v>3</v>
      </c>
      <c r="I301" t="s">
        <v>232</v>
      </c>
      <c r="J301"/>
      <c r="K301" s="266"/>
      <c r="L301" s="266"/>
      <c r="M301" s="266"/>
      <c r="N301" s="266"/>
      <c r="O301" s="266"/>
      <c r="P301" s="266"/>
      <c r="Q301" s="266"/>
      <c r="R301" s="266"/>
      <c r="S301" s="266"/>
      <c r="T301" s="292" t="str">
        <f t="shared" si="28"/>
        <v>トラック・バス</v>
      </c>
      <c r="U301" s="283" t="str">
        <f t="shared" si="29"/>
        <v>LPG</v>
      </c>
      <c r="V301" s="283" t="str">
        <f t="shared" si="30"/>
        <v>2.5～3.5 t</v>
      </c>
      <c r="W301" s="283" t="str">
        <f t="shared" si="31"/>
        <v>H17</v>
      </c>
      <c r="X301" s="284" t="str">
        <f t="shared" si="31"/>
        <v>ABF</v>
      </c>
      <c r="Y301" s="271"/>
      <c r="Z301" s="283">
        <f t="shared" si="32"/>
        <v>7.0000000000000007E-2</v>
      </c>
      <c r="AA301" s="283">
        <f t="shared" si="32"/>
        <v>0</v>
      </c>
      <c r="AB301" s="340">
        <f t="shared" si="32"/>
        <v>3</v>
      </c>
      <c r="AN301" s="47" t="s">
        <v>1149</v>
      </c>
      <c r="AO301" s="47"/>
    </row>
    <row r="302" spans="1:41" s="436" customFormat="1">
      <c r="A302" t="str">
        <f t="shared" si="33"/>
        <v>貨3LAAF</v>
      </c>
      <c r="B302" t="s">
        <v>2030</v>
      </c>
      <c r="C302" t="s">
        <v>1935</v>
      </c>
      <c r="D302" t="s">
        <v>1979</v>
      </c>
      <c r="E302" t="s">
        <v>303</v>
      </c>
      <c r="F302">
        <v>3.5000000000000003E-2</v>
      </c>
      <c r="G302">
        <v>0</v>
      </c>
      <c r="H302">
        <v>3</v>
      </c>
      <c r="I302" t="s">
        <v>239</v>
      </c>
      <c r="J302"/>
      <c r="K302" s="266"/>
      <c r="L302" s="266"/>
      <c r="M302" s="266"/>
      <c r="N302" s="266"/>
      <c r="O302" s="266"/>
      <c r="P302" s="266"/>
      <c r="Q302" s="266"/>
      <c r="R302" s="266"/>
      <c r="S302" s="266"/>
      <c r="T302" s="292" t="str">
        <f t="shared" si="28"/>
        <v>トラック・バス</v>
      </c>
      <c r="U302" s="283" t="str">
        <f t="shared" si="29"/>
        <v>LPG</v>
      </c>
      <c r="V302" s="283" t="str">
        <f t="shared" si="30"/>
        <v>2.5～3.5 t</v>
      </c>
      <c r="W302" s="283" t="str">
        <f t="shared" si="31"/>
        <v>H17</v>
      </c>
      <c r="X302" s="284" t="str">
        <f t="shared" si="31"/>
        <v>AAF</v>
      </c>
      <c r="Y302" s="271"/>
      <c r="Z302" s="283">
        <f t="shared" si="32"/>
        <v>3.5000000000000003E-2</v>
      </c>
      <c r="AA302" s="283">
        <f t="shared" si="32"/>
        <v>0</v>
      </c>
      <c r="AB302" s="340">
        <f t="shared" si="32"/>
        <v>3</v>
      </c>
      <c r="AN302" s="47" t="s">
        <v>1182</v>
      </c>
      <c r="AO302" s="47"/>
    </row>
    <row r="303" spans="1:41" s="436" customFormat="1">
      <c r="A303" t="str">
        <f t="shared" si="33"/>
        <v>貨3LALF</v>
      </c>
      <c r="B303" t="s">
        <v>2030</v>
      </c>
      <c r="C303" t="s">
        <v>1935</v>
      </c>
      <c r="D303" t="s">
        <v>1979</v>
      </c>
      <c r="E303" t="s">
        <v>2508</v>
      </c>
      <c r="F303">
        <v>1.7500000000000002E-2</v>
      </c>
      <c r="G303">
        <v>0</v>
      </c>
      <c r="H303">
        <v>3</v>
      </c>
      <c r="I303" t="s">
        <v>1405</v>
      </c>
      <c r="J303"/>
      <c r="K303" s="266"/>
      <c r="L303" s="266"/>
      <c r="M303" s="266"/>
      <c r="N303" s="266"/>
      <c r="O303" s="266"/>
      <c r="P303" s="266"/>
      <c r="Q303" s="266"/>
      <c r="R303" s="266"/>
      <c r="S303" s="266"/>
      <c r="T303" s="292" t="str">
        <f t="shared" si="28"/>
        <v>トラック・バス</v>
      </c>
      <c r="U303" s="283" t="str">
        <f t="shared" si="29"/>
        <v>LPG</v>
      </c>
      <c r="V303" s="283" t="str">
        <f t="shared" si="30"/>
        <v>2.5～3.5 t</v>
      </c>
      <c r="W303" s="283" t="str">
        <f t="shared" si="31"/>
        <v>H17</v>
      </c>
      <c r="X303" s="284" t="str">
        <f t="shared" si="31"/>
        <v>ALF</v>
      </c>
      <c r="Y303" s="271"/>
      <c r="Z303" s="283">
        <f t="shared" si="32"/>
        <v>1.7500000000000002E-2</v>
      </c>
      <c r="AA303" s="283">
        <f t="shared" si="32"/>
        <v>0</v>
      </c>
      <c r="AB303" s="340">
        <f t="shared" si="32"/>
        <v>3</v>
      </c>
      <c r="AN303" s="47" t="s">
        <v>1243</v>
      </c>
      <c r="AO303" s="47"/>
    </row>
    <row r="304" spans="1:41" s="436" customFormat="1">
      <c r="A304" t="str">
        <f t="shared" si="33"/>
        <v>貨3LCAF</v>
      </c>
      <c r="B304" t="s">
        <v>2030</v>
      </c>
      <c r="C304" t="s">
        <v>1935</v>
      </c>
      <c r="D304" t="s">
        <v>1979</v>
      </c>
      <c r="E304" t="s">
        <v>1991</v>
      </c>
      <c r="F304">
        <v>3.5000000000000003E-2</v>
      </c>
      <c r="G304">
        <v>0</v>
      </c>
      <c r="H304">
        <v>3</v>
      </c>
      <c r="I304" t="s">
        <v>239</v>
      </c>
      <c r="J304"/>
      <c r="T304" s="292" t="str">
        <f t="shared" si="28"/>
        <v>トラック・バス</v>
      </c>
      <c r="U304" s="283" t="str">
        <f t="shared" si="29"/>
        <v>LPG</v>
      </c>
      <c r="V304" s="283" t="str">
        <f t="shared" si="30"/>
        <v>2.5～3.5 t</v>
      </c>
      <c r="W304" s="283" t="str">
        <f t="shared" si="31"/>
        <v>H17</v>
      </c>
      <c r="X304" s="284" t="str">
        <f t="shared" si="31"/>
        <v>CAF</v>
      </c>
      <c r="Y304" s="271" t="s">
        <v>2261</v>
      </c>
      <c r="Z304" s="283">
        <f t="shared" si="32"/>
        <v>3.5000000000000003E-2</v>
      </c>
      <c r="AA304" s="283">
        <f t="shared" si="32"/>
        <v>0</v>
      </c>
      <c r="AB304" s="340">
        <f t="shared" si="32"/>
        <v>3</v>
      </c>
      <c r="AN304" s="47" t="s">
        <v>1710</v>
      </c>
      <c r="AO304" s="47"/>
    </row>
    <row r="305" spans="1:41" s="436" customFormat="1">
      <c r="A305" t="str">
        <f t="shared" si="33"/>
        <v>貨3LCBF</v>
      </c>
      <c r="B305" t="s">
        <v>2030</v>
      </c>
      <c r="C305" t="s">
        <v>1935</v>
      </c>
      <c r="D305" t="s">
        <v>1979</v>
      </c>
      <c r="E305" t="s">
        <v>1992</v>
      </c>
      <c r="F305">
        <v>3.5000000000000003E-2</v>
      </c>
      <c r="G305">
        <v>0</v>
      </c>
      <c r="H305">
        <v>3</v>
      </c>
      <c r="I305" t="s">
        <v>260</v>
      </c>
      <c r="J305"/>
      <c r="T305" s="292" t="str">
        <f t="shared" si="28"/>
        <v>トラック・バス</v>
      </c>
      <c r="U305" s="283" t="str">
        <f t="shared" si="29"/>
        <v>LPG</v>
      </c>
      <c r="V305" s="283" t="str">
        <f t="shared" si="30"/>
        <v>2.5～3.5 t</v>
      </c>
      <c r="W305" s="283" t="str">
        <f t="shared" si="31"/>
        <v>H17</v>
      </c>
      <c r="X305" s="284" t="str">
        <f t="shared" si="31"/>
        <v>CBF</v>
      </c>
      <c r="Y305" s="271" t="s">
        <v>2261</v>
      </c>
      <c r="Z305" s="283">
        <f t="shared" si="32"/>
        <v>3.5000000000000003E-2</v>
      </c>
      <c r="AA305" s="283">
        <f t="shared" si="32"/>
        <v>0</v>
      </c>
      <c r="AB305" s="340">
        <f t="shared" si="32"/>
        <v>3</v>
      </c>
      <c r="AN305" s="266" t="s">
        <v>1286</v>
      </c>
      <c r="AO305" s="47"/>
    </row>
    <row r="306" spans="1:41" s="436" customFormat="1">
      <c r="A306" t="str">
        <f t="shared" si="33"/>
        <v>貨3LCLF</v>
      </c>
      <c r="B306" t="s">
        <v>2030</v>
      </c>
      <c r="C306" t="s">
        <v>1935</v>
      </c>
      <c r="D306" t="s">
        <v>1979</v>
      </c>
      <c r="E306" t="s">
        <v>2516</v>
      </c>
      <c r="F306">
        <v>3.5000000000000003E-2</v>
      </c>
      <c r="G306">
        <v>0</v>
      </c>
      <c r="H306">
        <v>3</v>
      </c>
      <c r="I306" t="s">
        <v>1405</v>
      </c>
      <c r="J306"/>
      <c r="T306" s="292" t="str">
        <f t="shared" si="28"/>
        <v>トラック・バス</v>
      </c>
      <c r="U306" s="283" t="str">
        <f t="shared" si="29"/>
        <v>LPG</v>
      </c>
      <c r="V306" s="283" t="str">
        <f t="shared" si="30"/>
        <v>2.5～3.5 t</v>
      </c>
      <c r="W306" s="283" t="str">
        <f t="shared" si="31"/>
        <v>H17</v>
      </c>
      <c r="X306" s="284" t="str">
        <f t="shared" si="31"/>
        <v>CLF</v>
      </c>
      <c r="Y306" s="271" t="s">
        <v>2261</v>
      </c>
      <c r="Z306" s="283">
        <f t="shared" si="32"/>
        <v>3.5000000000000003E-2</v>
      </c>
      <c r="AA306" s="283">
        <f t="shared" si="32"/>
        <v>0</v>
      </c>
      <c r="AB306" s="340">
        <f t="shared" si="32"/>
        <v>3</v>
      </c>
      <c r="AN306" s="266" t="s">
        <v>1317</v>
      </c>
      <c r="AO306" s="47"/>
    </row>
    <row r="307" spans="1:41" s="436" customFormat="1">
      <c r="A307" t="str">
        <f t="shared" si="33"/>
        <v>貨3LDAF</v>
      </c>
      <c r="B307" t="s">
        <v>2030</v>
      </c>
      <c r="C307" t="s">
        <v>1935</v>
      </c>
      <c r="D307" t="s">
        <v>1979</v>
      </c>
      <c r="E307" t="s">
        <v>1993</v>
      </c>
      <c r="F307">
        <v>1.7500000000000002E-2</v>
      </c>
      <c r="G307">
        <v>0</v>
      </c>
      <c r="H307">
        <v>3</v>
      </c>
      <c r="I307" t="s">
        <v>239</v>
      </c>
      <c r="J307"/>
      <c r="T307" s="292" t="str">
        <f t="shared" si="28"/>
        <v>トラック・バス</v>
      </c>
      <c r="U307" s="283" t="str">
        <f t="shared" si="29"/>
        <v>LPG</v>
      </c>
      <c r="V307" s="283" t="str">
        <f t="shared" si="30"/>
        <v>2.5～3.5 t</v>
      </c>
      <c r="W307" s="283" t="str">
        <f t="shared" si="31"/>
        <v>H17</v>
      </c>
      <c r="X307" s="284" t="str">
        <f t="shared" si="31"/>
        <v>DAF</v>
      </c>
      <c r="Y307" s="271" t="s">
        <v>1770</v>
      </c>
      <c r="Z307" s="283">
        <f t="shared" si="32"/>
        <v>1.7500000000000002E-2</v>
      </c>
      <c r="AA307" s="283">
        <f t="shared" si="32"/>
        <v>0</v>
      </c>
      <c r="AB307" s="340">
        <f t="shared" si="32"/>
        <v>3</v>
      </c>
      <c r="AN307" s="47" t="s">
        <v>1367</v>
      </c>
      <c r="AO307" s="47"/>
    </row>
    <row r="308" spans="1:41" s="436" customFormat="1">
      <c r="A308" t="str">
        <f t="shared" si="33"/>
        <v>貨3LDBF</v>
      </c>
      <c r="B308" t="s">
        <v>2030</v>
      </c>
      <c r="C308" t="s">
        <v>1935</v>
      </c>
      <c r="D308" t="s">
        <v>1979</v>
      </c>
      <c r="E308" t="s">
        <v>1994</v>
      </c>
      <c r="F308">
        <v>1.7500000000000002E-2</v>
      </c>
      <c r="G308">
        <v>0</v>
      </c>
      <c r="H308">
        <v>3</v>
      </c>
      <c r="I308" t="s">
        <v>263</v>
      </c>
      <c r="J308"/>
      <c r="T308" s="292" t="str">
        <f t="shared" si="28"/>
        <v>トラック・バス</v>
      </c>
      <c r="U308" s="283" t="str">
        <f t="shared" si="29"/>
        <v>LPG</v>
      </c>
      <c r="V308" s="283" t="str">
        <f t="shared" si="30"/>
        <v>2.5～3.5 t</v>
      </c>
      <c r="W308" s="283" t="str">
        <f t="shared" si="31"/>
        <v>H17</v>
      </c>
      <c r="X308" s="284" t="str">
        <f t="shared" si="31"/>
        <v>DBF</v>
      </c>
      <c r="Y308" s="271" t="s">
        <v>1770</v>
      </c>
      <c r="Z308" s="283">
        <f t="shared" si="32"/>
        <v>1.7500000000000002E-2</v>
      </c>
      <c r="AA308" s="283">
        <f t="shared" si="32"/>
        <v>0</v>
      </c>
      <c r="AB308" s="340">
        <f t="shared" si="32"/>
        <v>3</v>
      </c>
      <c r="AD308" s="47"/>
      <c r="AE308" s="47"/>
      <c r="AF308" s="47"/>
      <c r="AG308" s="47"/>
      <c r="AH308" s="47"/>
      <c r="AI308" s="47"/>
      <c r="AN308" s="47" t="s">
        <v>1708</v>
      </c>
      <c r="AO308" s="47"/>
    </row>
    <row r="309" spans="1:41" s="436" customFormat="1">
      <c r="A309" t="str">
        <f t="shared" si="33"/>
        <v>貨3LDLF</v>
      </c>
      <c r="B309" t="s">
        <v>2030</v>
      </c>
      <c r="C309" t="s">
        <v>1935</v>
      </c>
      <c r="D309" t="s">
        <v>1979</v>
      </c>
      <c r="E309" t="s">
        <v>2520</v>
      </c>
      <c r="F309">
        <v>1.7500000000000002E-2</v>
      </c>
      <c r="G309">
        <v>0</v>
      </c>
      <c r="H309">
        <v>3</v>
      </c>
      <c r="I309" t="s">
        <v>1405</v>
      </c>
      <c r="J309"/>
      <c r="T309" s="292" t="str">
        <f t="shared" si="28"/>
        <v>トラック・バス</v>
      </c>
      <c r="U309" s="283" t="str">
        <f t="shared" si="29"/>
        <v>LPG</v>
      </c>
      <c r="V309" s="283" t="str">
        <f t="shared" si="30"/>
        <v>2.5～3.5 t</v>
      </c>
      <c r="W309" s="283" t="str">
        <f t="shared" si="31"/>
        <v>H17</v>
      </c>
      <c r="X309" s="284" t="str">
        <f t="shared" si="31"/>
        <v>DLF</v>
      </c>
      <c r="Y309" s="271" t="s">
        <v>1770</v>
      </c>
      <c r="Z309" s="283">
        <f t="shared" si="32"/>
        <v>1.7500000000000002E-2</v>
      </c>
      <c r="AA309" s="283">
        <f t="shared" si="32"/>
        <v>0</v>
      </c>
      <c r="AB309" s="340">
        <f t="shared" si="32"/>
        <v>3</v>
      </c>
      <c r="AD309" s="47"/>
      <c r="AE309" s="47"/>
      <c r="AF309" s="47"/>
      <c r="AG309" s="47"/>
      <c r="AH309" s="47"/>
      <c r="AI309" s="47"/>
      <c r="AN309" s="266" t="s">
        <v>1284</v>
      </c>
      <c r="AO309" s="47"/>
    </row>
    <row r="310" spans="1:41">
      <c r="A310" t="str">
        <f t="shared" si="33"/>
        <v>貨3LLBF</v>
      </c>
      <c r="B310" t="s">
        <v>2030</v>
      </c>
      <c r="C310" t="s">
        <v>1935</v>
      </c>
      <c r="D310" t="s">
        <v>2382</v>
      </c>
      <c r="E310" t="s">
        <v>315</v>
      </c>
      <c r="F310">
        <v>7.0000000000000007E-2</v>
      </c>
      <c r="G310">
        <v>0</v>
      </c>
      <c r="H310">
        <v>3</v>
      </c>
      <c r="I310" t="s">
        <v>232</v>
      </c>
      <c r="J310"/>
      <c r="K310" s="436"/>
      <c r="L310" s="436"/>
      <c r="M310" s="436"/>
      <c r="N310" s="436"/>
      <c r="O310" s="436"/>
      <c r="P310" s="436"/>
      <c r="Q310" s="436"/>
      <c r="R310" s="436"/>
      <c r="S310" s="436"/>
      <c r="T310" s="292" t="str">
        <f t="shared" si="28"/>
        <v>トラック・バス</v>
      </c>
      <c r="U310" s="283" t="str">
        <f t="shared" si="29"/>
        <v>LPG</v>
      </c>
      <c r="V310" s="283" t="str">
        <f t="shared" si="30"/>
        <v>2.5～3.5 t</v>
      </c>
      <c r="W310" s="283" t="str">
        <f t="shared" si="31"/>
        <v>H21</v>
      </c>
      <c r="X310" s="284" t="str">
        <f t="shared" si="31"/>
        <v>LBF</v>
      </c>
      <c r="Y310" s="271"/>
      <c r="Z310" s="283">
        <f t="shared" si="32"/>
        <v>7.0000000000000007E-2</v>
      </c>
      <c r="AA310" s="283">
        <f t="shared" si="32"/>
        <v>0</v>
      </c>
      <c r="AB310" s="340">
        <f t="shared" si="32"/>
        <v>3</v>
      </c>
      <c r="AN310" s="47" t="s">
        <v>1315</v>
      </c>
    </row>
    <row r="311" spans="1:41">
      <c r="A311" t="str">
        <f t="shared" si="33"/>
        <v>貨3LLAF</v>
      </c>
      <c r="B311" t="s">
        <v>2030</v>
      </c>
      <c r="C311" t="s">
        <v>1935</v>
      </c>
      <c r="D311" t="s">
        <v>2382</v>
      </c>
      <c r="E311" t="s">
        <v>317</v>
      </c>
      <c r="F311">
        <v>3.5000000000000003E-2</v>
      </c>
      <c r="G311">
        <v>0</v>
      </c>
      <c r="H311">
        <v>3</v>
      </c>
      <c r="I311" t="s">
        <v>239</v>
      </c>
      <c r="J311"/>
      <c r="K311" s="436"/>
      <c r="L311" s="436"/>
      <c r="M311" s="436"/>
      <c r="N311" s="436"/>
      <c r="O311" s="436"/>
      <c r="P311" s="436"/>
      <c r="Q311" s="436"/>
      <c r="R311" s="436"/>
      <c r="S311" s="436"/>
      <c r="T311" s="292" t="str">
        <f t="shared" si="28"/>
        <v>トラック・バス</v>
      </c>
      <c r="U311" s="283" t="str">
        <f t="shared" si="29"/>
        <v>LPG</v>
      </c>
      <c r="V311" s="283" t="str">
        <f t="shared" si="30"/>
        <v>2.5～3.5 t</v>
      </c>
      <c r="W311" s="283" t="str">
        <f t="shared" si="31"/>
        <v>H21</v>
      </c>
      <c r="X311" s="284" t="str">
        <f t="shared" si="31"/>
        <v>LAF</v>
      </c>
      <c r="Y311" s="271"/>
      <c r="Z311" s="283">
        <f t="shared" si="32"/>
        <v>3.5000000000000003E-2</v>
      </c>
      <c r="AA311" s="283">
        <f t="shared" si="32"/>
        <v>0</v>
      </c>
      <c r="AB311" s="340">
        <f t="shared" si="32"/>
        <v>3</v>
      </c>
      <c r="AN311" s="47" t="s">
        <v>1365</v>
      </c>
    </row>
    <row r="312" spans="1:41">
      <c r="A312" t="str">
        <f t="shared" si="33"/>
        <v>貨3LLLF</v>
      </c>
      <c r="B312" t="s">
        <v>2030</v>
      </c>
      <c r="C312" t="s">
        <v>1935</v>
      </c>
      <c r="D312" t="s">
        <v>2382</v>
      </c>
      <c r="E312" t="s">
        <v>2524</v>
      </c>
      <c r="F312">
        <v>1.7500000000000002E-2</v>
      </c>
      <c r="G312">
        <v>0</v>
      </c>
      <c r="H312">
        <v>3</v>
      </c>
      <c r="I312" t="s">
        <v>1405</v>
      </c>
      <c r="J312"/>
      <c r="K312" s="436"/>
      <c r="L312" s="436"/>
      <c r="M312" s="436"/>
      <c r="N312" s="436"/>
      <c r="O312" s="436"/>
      <c r="P312" s="436"/>
      <c r="Q312" s="436"/>
      <c r="R312" s="436"/>
      <c r="S312" s="436"/>
      <c r="T312" s="292" t="str">
        <f t="shared" si="28"/>
        <v>トラック・バス</v>
      </c>
      <c r="U312" s="283" t="str">
        <f t="shared" si="29"/>
        <v>LPG</v>
      </c>
      <c r="V312" s="283" t="str">
        <f t="shared" si="30"/>
        <v>2.5～3.5 t</v>
      </c>
      <c r="W312" s="283" t="str">
        <f t="shared" si="31"/>
        <v>H21</v>
      </c>
      <c r="X312" s="284" t="str">
        <f t="shared" si="31"/>
        <v>LLF</v>
      </c>
      <c r="Y312" s="271"/>
      <c r="Z312" s="283">
        <f t="shared" si="32"/>
        <v>1.7500000000000002E-2</v>
      </c>
      <c r="AA312" s="283">
        <f t="shared" si="32"/>
        <v>0</v>
      </c>
      <c r="AB312" s="340">
        <f t="shared" si="32"/>
        <v>3</v>
      </c>
      <c r="AN312" s="47" t="s">
        <v>1073</v>
      </c>
    </row>
    <row r="313" spans="1:41">
      <c r="A313" t="str">
        <f t="shared" si="33"/>
        <v>貨3LMBF</v>
      </c>
      <c r="B313" t="s">
        <v>2030</v>
      </c>
      <c r="C313" t="s">
        <v>1935</v>
      </c>
      <c r="D313" t="s">
        <v>2382</v>
      </c>
      <c r="E313" t="s">
        <v>319</v>
      </c>
      <c r="F313">
        <v>3.5000000000000003E-2</v>
      </c>
      <c r="G313">
        <v>0</v>
      </c>
      <c r="H313">
        <v>3</v>
      </c>
      <c r="I313" t="s">
        <v>260</v>
      </c>
      <c r="J313"/>
      <c r="K313" s="436"/>
      <c r="L313" s="436"/>
      <c r="M313" s="436"/>
      <c r="N313" s="436"/>
      <c r="O313" s="436"/>
      <c r="P313" s="436"/>
      <c r="Q313" s="436"/>
      <c r="R313" s="436"/>
      <c r="S313" s="436"/>
      <c r="T313" s="292" t="str">
        <f t="shared" si="28"/>
        <v>トラック・バス</v>
      </c>
      <c r="U313" s="283" t="str">
        <f t="shared" si="29"/>
        <v>LPG</v>
      </c>
      <c r="V313" s="283" t="str">
        <f t="shared" si="30"/>
        <v>2.5～3.5 t</v>
      </c>
      <c r="W313" s="283" t="str">
        <f t="shared" si="31"/>
        <v>H21</v>
      </c>
      <c r="X313" s="284" t="str">
        <f t="shared" si="31"/>
        <v>MBF</v>
      </c>
      <c r="Y313" s="271" t="s">
        <v>1769</v>
      </c>
      <c r="Z313" s="283">
        <f t="shared" si="32"/>
        <v>3.5000000000000003E-2</v>
      </c>
      <c r="AA313" s="283">
        <f t="shared" si="32"/>
        <v>0</v>
      </c>
      <c r="AB313" s="340">
        <f t="shared" si="32"/>
        <v>3</v>
      </c>
      <c r="AN313" s="47" t="s">
        <v>1065</v>
      </c>
    </row>
    <row r="314" spans="1:41">
      <c r="A314" t="str">
        <f t="shared" si="33"/>
        <v>貨3LMAF</v>
      </c>
      <c r="B314" t="s">
        <v>2030</v>
      </c>
      <c r="C314" t="s">
        <v>1935</v>
      </c>
      <c r="D314" t="s">
        <v>2382</v>
      </c>
      <c r="E314" t="s">
        <v>321</v>
      </c>
      <c r="F314">
        <v>3.5000000000000003E-2</v>
      </c>
      <c r="G314">
        <v>0</v>
      </c>
      <c r="H314">
        <v>3</v>
      </c>
      <c r="I314" t="s">
        <v>239</v>
      </c>
      <c r="J314"/>
      <c r="K314" s="436"/>
      <c r="L314" s="436"/>
      <c r="M314" s="436"/>
      <c r="N314" s="436"/>
      <c r="O314" s="436"/>
      <c r="P314" s="436"/>
      <c r="Q314" s="436"/>
      <c r="R314" s="436"/>
      <c r="S314" s="436"/>
      <c r="T314" s="292" t="str">
        <f t="shared" si="28"/>
        <v>トラック・バス</v>
      </c>
      <c r="U314" s="283" t="str">
        <f t="shared" si="29"/>
        <v>LPG</v>
      </c>
      <c r="V314" s="283" t="str">
        <f t="shared" si="30"/>
        <v>2.5～3.5 t</v>
      </c>
      <c r="W314" s="283" t="str">
        <f t="shared" si="31"/>
        <v>H21</v>
      </c>
      <c r="X314" s="284" t="str">
        <f t="shared" si="31"/>
        <v>MAF</v>
      </c>
      <c r="Y314" s="271" t="s">
        <v>1769</v>
      </c>
      <c r="Z314" s="283">
        <f t="shared" si="32"/>
        <v>3.5000000000000003E-2</v>
      </c>
      <c r="AA314" s="283">
        <f t="shared" si="32"/>
        <v>0</v>
      </c>
      <c r="AB314" s="340">
        <f t="shared" si="32"/>
        <v>3</v>
      </c>
      <c r="AN314" s="47" t="s">
        <v>1426</v>
      </c>
    </row>
    <row r="315" spans="1:41">
      <c r="A315" t="str">
        <f t="shared" si="33"/>
        <v>貨3LMLF</v>
      </c>
      <c r="B315" t="s">
        <v>2030</v>
      </c>
      <c r="C315" t="s">
        <v>1935</v>
      </c>
      <c r="D315" t="s">
        <v>2382</v>
      </c>
      <c r="E315" t="s">
        <v>2532</v>
      </c>
      <c r="F315">
        <v>3.5000000000000003E-2</v>
      </c>
      <c r="G315">
        <v>0</v>
      </c>
      <c r="H315">
        <v>3</v>
      </c>
      <c r="I315" t="s">
        <v>1405</v>
      </c>
      <c r="J315"/>
      <c r="K315" s="436"/>
      <c r="L315" s="436"/>
      <c r="M315" s="436"/>
      <c r="N315" s="436"/>
      <c r="O315" s="436"/>
      <c r="P315" s="436"/>
      <c r="Q315" s="436"/>
      <c r="R315" s="436"/>
      <c r="S315" s="436"/>
      <c r="T315" s="292" t="str">
        <f t="shared" si="28"/>
        <v>トラック・バス</v>
      </c>
      <c r="U315" s="283" t="str">
        <f t="shared" si="29"/>
        <v>LPG</v>
      </c>
      <c r="V315" s="283" t="str">
        <f t="shared" si="30"/>
        <v>2.5～3.5 t</v>
      </c>
      <c r="W315" s="283" t="str">
        <f t="shared" si="31"/>
        <v>H21</v>
      </c>
      <c r="X315" s="284" t="str">
        <f t="shared" si="31"/>
        <v>MLF</v>
      </c>
      <c r="Y315" s="271" t="s">
        <v>1769</v>
      </c>
      <c r="Z315" s="283">
        <f t="shared" si="32"/>
        <v>3.5000000000000003E-2</v>
      </c>
      <c r="AA315" s="283">
        <f t="shared" si="32"/>
        <v>0</v>
      </c>
      <c r="AB315" s="340">
        <f t="shared" si="32"/>
        <v>3</v>
      </c>
      <c r="AN315" s="435" t="s">
        <v>2531</v>
      </c>
    </row>
    <row r="316" spans="1:41">
      <c r="A316" t="str">
        <f t="shared" si="33"/>
        <v>貨3LRBF</v>
      </c>
      <c r="B316" t="s">
        <v>2030</v>
      </c>
      <c r="C316" t="s">
        <v>1935</v>
      </c>
      <c r="D316" t="s">
        <v>2382</v>
      </c>
      <c r="E316" t="s">
        <v>323</v>
      </c>
      <c r="F316">
        <v>1.7500000000000002E-2</v>
      </c>
      <c r="G316">
        <v>0</v>
      </c>
      <c r="H316">
        <v>3</v>
      </c>
      <c r="I316" t="s">
        <v>263</v>
      </c>
      <c r="J316"/>
      <c r="T316" s="292" t="str">
        <f t="shared" si="28"/>
        <v>トラック・バス</v>
      </c>
      <c r="U316" s="283" t="str">
        <f t="shared" si="29"/>
        <v>LPG</v>
      </c>
      <c r="V316" s="283" t="str">
        <f t="shared" si="30"/>
        <v>2.5～3.5 t</v>
      </c>
      <c r="W316" s="283" t="str">
        <f t="shared" si="31"/>
        <v>H21</v>
      </c>
      <c r="X316" s="284" t="str">
        <f t="shared" si="31"/>
        <v>RBF</v>
      </c>
      <c r="Y316" s="271" t="s">
        <v>2262</v>
      </c>
      <c r="Z316" s="283">
        <f t="shared" si="32"/>
        <v>1.7500000000000002E-2</v>
      </c>
      <c r="AA316" s="283">
        <f t="shared" si="32"/>
        <v>0</v>
      </c>
      <c r="AB316" s="340">
        <f t="shared" si="32"/>
        <v>3</v>
      </c>
      <c r="AN316" s="47" t="s">
        <v>2532</v>
      </c>
    </row>
    <row r="317" spans="1:41">
      <c r="A317" t="str">
        <f t="shared" si="33"/>
        <v>貨3LRAF</v>
      </c>
      <c r="B317" t="s">
        <v>2030</v>
      </c>
      <c r="C317" t="s">
        <v>1935</v>
      </c>
      <c r="D317" t="s">
        <v>2382</v>
      </c>
      <c r="E317" t="s">
        <v>325</v>
      </c>
      <c r="F317">
        <v>1.7500000000000002E-2</v>
      </c>
      <c r="G317">
        <v>0</v>
      </c>
      <c r="H317">
        <v>3</v>
      </c>
      <c r="I317" t="s">
        <v>239</v>
      </c>
      <c r="J317"/>
      <c r="T317" s="292" t="str">
        <f t="shared" si="28"/>
        <v>トラック・バス</v>
      </c>
      <c r="U317" s="283" t="str">
        <f t="shared" si="29"/>
        <v>LPG</v>
      </c>
      <c r="V317" s="283" t="str">
        <f t="shared" si="30"/>
        <v>2.5～3.5 t</v>
      </c>
      <c r="W317" s="283" t="str">
        <f t="shared" si="31"/>
        <v>H21</v>
      </c>
      <c r="X317" s="284" t="str">
        <f t="shared" si="31"/>
        <v>RAF</v>
      </c>
      <c r="Y317" s="271" t="s">
        <v>2262</v>
      </c>
      <c r="Z317" s="283">
        <f t="shared" si="32"/>
        <v>1.7500000000000002E-2</v>
      </c>
      <c r="AA317" s="283">
        <f t="shared" si="32"/>
        <v>0</v>
      </c>
      <c r="AB317" s="340">
        <f t="shared" si="32"/>
        <v>3</v>
      </c>
      <c r="AN317" s="47" t="s">
        <v>2533</v>
      </c>
    </row>
    <row r="318" spans="1:41">
      <c r="A318" t="str">
        <f t="shared" si="33"/>
        <v>貨3LRLF</v>
      </c>
      <c r="B318" t="s">
        <v>2030</v>
      </c>
      <c r="C318" t="s">
        <v>1935</v>
      </c>
      <c r="D318" t="s">
        <v>2382</v>
      </c>
      <c r="E318" t="s">
        <v>2550</v>
      </c>
      <c r="F318">
        <v>1.7500000000000002E-2</v>
      </c>
      <c r="G318">
        <v>0</v>
      </c>
      <c r="H318">
        <v>3</v>
      </c>
      <c r="I318" t="s">
        <v>1405</v>
      </c>
      <c r="J318"/>
      <c r="T318" s="292" t="str">
        <f t="shared" si="28"/>
        <v>トラック・バス</v>
      </c>
      <c r="U318" s="283" t="str">
        <f t="shared" si="29"/>
        <v>LPG</v>
      </c>
      <c r="V318" s="283" t="str">
        <f t="shared" si="30"/>
        <v>2.5～3.5 t</v>
      </c>
      <c r="W318" s="283" t="str">
        <f t="shared" si="31"/>
        <v>H21</v>
      </c>
      <c r="X318" s="284" t="str">
        <f t="shared" si="31"/>
        <v>RLF</v>
      </c>
      <c r="Y318" s="271" t="s">
        <v>2262</v>
      </c>
      <c r="Z318" s="283">
        <f t="shared" si="32"/>
        <v>1.7500000000000002E-2</v>
      </c>
      <c r="AA318" s="283">
        <f t="shared" si="32"/>
        <v>0</v>
      </c>
      <c r="AB318" s="340">
        <f t="shared" si="32"/>
        <v>3</v>
      </c>
      <c r="AN318" s="47" t="s">
        <v>1618</v>
      </c>
    </row>
    <row r="319" spans="1:41">
      <c r="A319" t="str">
        <f t="shared" si="33"/>
        <v>貨3LQBF</v>
      </c>
      <c r="B319" t="s">
        <v>2030</v>
      </c>
      <c r="C319" t="s">
        <v>1935</v>
      </c>
      <c r="D319" t="s">
        <v>2382</v>
      </c>
      <c r="E319" t="s">
        <v>327</v>
      </c>
      <c r="F319">
        <v>6.3E-2</v>
      </c>
      <c r="G319">
        <v>0</v>
      </c>
      <c r="H319">
        <v>3</v>
      </c>
      <c r="I319" t="s">
        <v>232</v>
      </c>
      <c r="J319"/>
      <c r="T319" s="292" t="str">
        <f t="shared" si="28"/>
        <v>トラック・バス</v>
      </c>
      <c r="U319" s="283" t="str">
        <f t="shared" si="29"/>
        <v>LPG</v>
      </c>
      <c r="V319" s="283" t="str">
        <f t="shared" si="30"/>
        <v>2.5～3.5 t</v>
      </c>
      <c r="W319" s="283" t="str">
        <f t="shared" si="31"/>
        <v>H21</v>
      </c>
      <c r="X319" s="284" t="str">
        <f t="shared" si="31"/>
        <v>QBF</v>
      </c>
      <c r="Y319" s="271" t="s">
        <v>1762</v>
      </c>
      <c r="Z319" s="283">
        <f t="shared" si="32"/>
        <v>6.3E-2</v>
      </c>
      <c r="AA319" s="283">
        <f t="shared" si="32"/>
        <v>0</v>
      </c>
      <c r="AB319" s="340">
        <f t="shared" si="32"/>
        <v>3</v>
      </c>
      <c r="AN319" s="47" t="s">
        <v>2534</v>
      </c>
    </row>
    <row r="320" spans="1:41">
      <c r="A320" t="str">
        <f t="shared" si="33"/>
        <v>貨3LQAF</v>
      </c>
      <c r="B320" t="s">
        <v>2030</v>
      </c>
      <c r="C320" t="s">
        <v>1935</v>
      </c>
      <c r="D320" t="s">
        <v>2382</v>
      </c>
      <c r="E320" t="s">
        <v>329</v>
      </c>
      <c r="F320">
        <v>6.3E-2</v>
      </c>
      <c r="G320">
        <v>0</v>
      </c>
      <c r="H320">
        <v>3</v>
      </c>
      <c r="I320" t="s">
        <v>239</v>
      </c>
      <c r="J320"/>
      <c r="T320" s="292" t="str">
        <f t="shared" si="28"/>
        <v>トラック・バス</v>
      </c>
      <c r="U320" s="283" t="str">
        <f t="shared" si="29"/>
        <v>LPG</v>
      </c>
      <c r="V320" s="283" t="str">
        <f t="shared" si="30"/>
        <v>2.5～3.5 t</v>
      </c>
      <c r="W320" s="283" t="str">
        <f t="shared" si="31"/>
        <v>H21</v>
      </c>
      <c r="X320" s="284" t="str">
        <f t="shared" si="31"/>
        <v>QAF</v>
      </c>
      <c r="Y320" s="271" t="s">
        <v>1762</v>
      </c>
      <c r="Z320" s="283">
        <f t="shared" si="32"/>
        <v>6.3E-2</v>
      </c>
      <c r="AA320" s="283">
        <f t="shared" si="32"/>
        <v>0</v>
      </c>
      <c r="AB320" s="340">
        <f t="shared" si="32"/>
        <v>3</v>
      </c>
      <c r="AN320" s="266" t="s">
        <v>2535</v>
      </c>
    </row>
    <row r="321" spans="1:40">
      <c r="A321" t="str">
        <f t="shared" si="33"/>
        <v>貨3LQLF</v>
      </c>
      <c r="B321" t="s">
        <v>2030</v>
      </c>
      <c r="C321" t="s">
        <v>1935</v>
      </c>
      <c r="D321" t="s">
        <v>2382</v>
      </c>
      <c r="E321" t="s">
        <v>2542</v>
      </c>
      <c r="F321">
        <v>6.3E-2</v>
      </c>
      <c r="G321">
        <v>0</v>
      </c>
      <c r="H321">
        <v>3</v>
      </c>
      <c r="I321" t="s">
        <v>1405</v>
      </c>
      <c r="J321"/>
      <c r="T321" s="292" t="str">
        <f t="shared" si="28"/>
        <v>トラック・バス</v>
      </c>
      <c r="U321" s="283" t="str">
        <f t="shared" si="29"/>
        <v>LPG</v>
      </c>
      <c r="V321" s="283" t="str">
        <f t="shared" si="30"/>
        <v>2.5～3.5 t</v>
      </c>
      <c r="W321" s="283" t="str">
        <f t="shared" si="31"/>
        <v>H21</v>
      </c>
      <c r="X321" s="284" t="str">
        <f t="shared" si="31"/>
        <v>QLF</v>
      </c>
      <c r="Y321" s="271" t="s">
        <v>1762</v>
      </c>
      <c r="Z321" s="283">
        <f t="shared" si="32"/>
        <v>6.3E-2</v>
      </c>
      <c r="AA321" s="283">
        <f t="shared" si="32"/>
        <v>0</v>
      </c>
      <c r="AB321" s="340">
        <f t="shared" si="32"/>
        <v>3</v>
      </c>
      <c r="AN321" s="47" t="s">
        <v>2536</v>
      </c>
    </row>
    <row r="322" spans="1:40">
      <c r="A322" t="str">
        <f t="shared" si="33"/>
        <v>貨3L3BF</v>
      </c>
      <c r="B322" t="s">
        <v>2030</v>
      </c>
      <c r="C322" t="s">
        <v>1935</v>
      </c>
      <c r="D322" t="s">
        <v>2750</v>
      </c>
      <c r="E322" t="s">
        <v>2583</v>
      </c>
      <c r="F322">
        <v>7.0000000000000007E-2</v>
      </c>
      <c r="G322">
        <v>0</v>
      </c>
      <c r="H322">
        <v>3</v>
      </c>
      <c r="I322" t="s">
        <v>232</v>
      </c>
      <c r="J322"/>
      <c r="T322" s="292" t="str">
        <f t="shared" si="28"/>
        <v>トラック・バス</v>
      </c>
      <c r="U322" s="283" t="str">
        <f t="shared" si="29"/>
        <v>LPG</v>
      </c>
      <c r="V322" s="283" t="str">
        <f t="shared" si="30"/>
        <v>2.5～3.5 t</v>
      </c>
      <c r="W322" s="283" t="str">
        <f t="shared" si="31"/>
        <v>H30</v>
      </c>
      <c r="X322" s="284" t="str">
        <f t="shared" si="31"/>
        <v>3BF</v>
      </c>
      <c r="Y322" s="271"/>
      <c r="Z322" s="283">
        <f t="shared" si="32"/>
        <v>7.0000000000000007E-2</v>
      </c>
      <c r="AA322" s="283">
        <f t="shared" si="32"/>
        <v>0</v>
      </c>
      <c r="AB322" s="340">
        <f t="shared" si="32"/>
        <v>3</v>
      </c>
      <c r="AN322" s="47" t="s">
        <v>1075</v>
      </c>
    </row>
    <row r="323" spans="1:40">
      <c r="A323" t="str">
        <f t="shared" si="33"/>
        <v>貨3L3AF</v>
      </c>
      <c r="B323" t="s">
        <v>2030</v>
      </c>
      <c r="C323" t="s">
        <v>1935</v>
      </c>
      <c r="D323" t="s">
        <v>2750</v>
      </c>
      <c r="E323" t="s">
        <v>2580</v>
      </c>
      <c r="F323">
        <v>3.5000000000000003E-2</v>
      </c>
      <c r="G323">
        <v>0</v>
      </c>
      <c r="H323">
        <v>3</v>
      </c>
      <c r="I323" t="s">
        <v>239</v>
      </c>
      <c r="J323"/>
      <c r="T323" s="292" t="str">
        <f t="shared" si="28"/>
        <v>トラック・バス</v>
      </c>
      <c r="U323" s="283" t="str">
        <f t="shared" si="29"/>
        <v>LPG</v>
      </c>
      <c r="V323" s="283" t="str">
        <f t="shared" si="30"/>
        <v>2.5～3.5 t</v>
      </c>
      <c r="W323" s="283" t="str">
        <f t="shared" si="31"/>
        <v>H30</v>
      </c>
      <c r="X323" s="284" t="str">
        <f t="shared" si="31"/>
        <v>3AF</v>
      </c>
      <c r="Y323" s="271"/>
      <c r="Z323" s="283">
        <f t="shared" si="32"/>
        <v>3.5000000000000003E-2</v>
      </c>
      <c r="AA323" s="283">
        <f t="shared" si="32"/>
        <v>0</v>
      </c>
      <c r="AB323" s="340">
        <f t="shared" si="32"/>
        <v>3</v>
      </c>
      <c r="AN323" s="47" t="s">
        <v>1067</v>
      </c>
    </row>
    <row r="324" spans="1:40">
      <c r="A324" t="str">
        <f t="shared" si="33"/>
        <v>貨3L3LF</v>
      </c>
      <c r="B324" t="s">
        <v>2030</v>
      </c>
      <c r="C324" t="s">
        <v>1935</v>
      </c>
      <c r="D324" t="s">
        <v>2750</v>
      </c>
      <c r="E324" t="s">
        <v>2604</v>
      </c>
      <c r="F324">
        <v>1.7500000000000002E-2</v>
      </c>
      <c r="G324">
        <v>0</v>
      </c>
      <c r="H324">
        <v>3</v>
      </c>
      <c r="I324" t="s">
        <v>1405</v>
      </c>
      <c r="J324"/>
      <c r="T324" s="292" t="str">
        <f t="shared" si="28"/>
        <v>トラック・バス</v>
      </c>
      <c r="U324" s="283" t="str">
        <f t="shared" si="29"/>
        <v>LPG</v>
      </c>
      <c r="V324" s="283" t="str">
        <f t="shared" si="30"/>
        <v>2.5～3.5 t</v>
      </c>
      <c r="W324" s="283" t="str">
        <f t="shared" si="31"/>
        <v>H30</v>
      </c>
      <c r="X324" s="284" t="str">
        <f t="shared" si="31"/>
        <v>3LF</v>
      </c>
      <c r="Y324" s="271"/>
      <c r="Z324" s="283">
        <f t="shared" si="32"/>
        <v>1.7500000000000002E-2</v>
      </c>
      <c r="AA324" s="283">
        <f t="shared" si="32"/>
        <v>0</v>
      </c>
      <c r="AB324" s="340">
        <f t="shared" si="32"/>
        <v>3</v>
      </c>
      <c r="AN324" s="47" t="s">
        <v>1077</v>
      </c>
    </row>
    <row r="325" spans="1:40">
      <c r="A325" t="str">
        <f t="shared" si="33"/>
        <v>貨3L4BF</v>
      </c>
      <c r="B325" t="s">
        <v>2030</v>
      </c>
      <c r="C325" t="s">
        <v>1935</v>
      </c>
      <c r="D325" t="s">
        <v>2750</v>
      </c>
      <c r="E325" t="s">
        <v>2613</v>
      </c>
      <c r="F325">
        <v>5.2500000000000005E-2</v>
      </c>
      <c r="G325">
        <v>0</v>
      </c>
      <c r="H325">
        <v>3</v>
      </c>
      <c r="I325" t="s">
        <v>232</v>
      </c>
      <c r="J325"/>
      <c r="T325" s="292" t="str">
        <f t="shared" ref="T325:T388" si="34">IF(LEFT(C325,1)="貨","トラック・バス","乗用車")</f>
        <v>トラック・バス</v>
      </c>
      <c r="U325" s="283" t="str">
        <f t="shared" ref="U325:U388" si="35">VLOOKUP(RIGHT(C325,1),$AL$4:$AM$8,2,FALSE)</f>
        <v>LPG</v>
      </c>
      <c r="V325" s="283" t="str">
        <f t="shared" ref="V325:V388" si="36">VLOOKUP(VALUE(MID(C325,2,1)),$AL$10:$AM$15,2,FALSE)</f>
        <v>2.5～3.5 t</v>
      </c>
      <c r="W325" s="283" t="str">
        <f t="shared" ref="W325:X388" si="37">D325</f>
        <v>H30</v>
      </c>
      <c r="X325" s="284" t="str">
        <f t="shared" si="37"/>
        <v>4BF</v>
      </c>
      <c r="Y325" s="271" t="s">
        <v>1769</v>
      </c>
      <c r="Z325" s="283">
        <f t="shared" ref="Z325:AB388" si="38">F325</f>
        <v>5.2500000000000005E-2</v>
      </c>
      <c r="AA325" s="283">
        <f t="shared" si="38"/>
        <v>0</v>
      </c>
      <c r="AB325" s="340">
        <f t="shared" si="38"/>
        <v>3</v>
      </c>
      <c r="AN325" s="47" t="s">
        <v>1069</v>
      </c>
    </row>
    <row r="326" spans="1:40">
      <c r="A326" t="str">
        <f t="shared" si="33"/>
        <v>貨3L4AF</v>
      </c>
      <c r="B326" t="s">
        <v>2030</v>
      </c>
      <c r="C326" t="s">
        <v>1935</v>
      </c>
      <c r="D326" t="s">
        <v>2750</v>
      </c>
      <c r="E326" t="s">
        <v>2610</v>
      </c>
      <c r="F326">
        <v>5.2499999999999998E-2</v>
      </c>
      <c r="G326">
        <v>0</v>
      </c>
      <c r="H326">
        <v>3</v>
      </c>
      <c r="I326" t="s">
        <v>239</v>
      </c>
      <c r="J326"/>
      <c r="T326" s="292" t="str">
        <f t="shared" si="34"/>
        <v>トラック・バス</v>
      </c>
      <c r="U326" s="283" t="str">
        <f t="shared" si="35"/>
        <v>LPG</v>
      </c>
      <c r="V326" s="283" t="str">
        <f t="shared" si="36"/>
        <v>2.5～3.5 t</v>
      </c>
      <c r="W326" s="283" t="str">
        <f t="shared" si="37"/>
        <v>H30</v>
      </c>
      <c r="X326" s="284" t="str">
        <f t="shared" si="37"/>
        <v>4AF</v>
      </c>
      <c r="Y326" s="271" t="s">
        <v>1769</v>
      </c>
      <c r="Z326" s="283">
        <f t="shared" si="38"/>
        <v>5.2499999999999998E-2</v>
      </c>
      <c r="AA326" s="283">
        <f t="shared" si="38"/>
        <v>0</v>
      </c>
      <c r="AB326" s="340">
        <f t="shared" si="38"/>
        <v>3</v>
      </c>
      <c r="AN326" s="47" t="s">
        <v>136</v>
      </c>
    </row>
    <row r="327" spans="1:40">
      <c r="A327" t="str">
        <f t="shared" ref="A327:A390" si="39">CONCATENATE(C327,E327)</f>
        <v>貨3L4LF</v>
      </c>
      <c r="B327" t="s">
        <v>2030</v>
      </c>
      <c r="C327" t="s">
        <v>1935</v>
      </c>
      <c r="D327" t="s">
        <v>2750</v>
      </c>
      <c r="E327" t="s">
        <v>2634</v>
      </c>
      <c r="F327">
        <v>5.2499999999999998E-2</v>
      </c>
      <c r="G327">
        <v>0</v>
      </c>
      <c r="H327">
        <v>3</v>
      </c>
      <c r="I327" t="s">
        <v>1405</v>
      </c>
      <c r="J327"/>
      <c r="T327" s="292" t="str">
        <f t="shared" si="34"/>
        <v>トラック・バス</v>
      </c>
      <c r="U327" s="283" t="str">
        <f t="shared" si="35"/>
        <v>LPG</v>
      </c>
      <c r="V327" s="283" t="str">
        <f t="shared" si="36"/>
        <v>2.5～3.5 t</v>
      </c>
      <c r="W327" s="283" t="str">
        <f t="shared" si="37"/>
        <v>H30</v>
      </c>
      <c r="X327" s="284" t="str">
        <f t="shared" si="37"/>
        <v>4LF</v>
      </c>
      <c r="Y327" s="271" t="s">
        <v>1769</v>
      </c>
      <c r="Z327" s="283">
        <f t="shared" si="38"/>
        <v>5.2499999999999998E-2</v>
      </c>
      <c r="AA327" s="283">
        <f t="shared" si="38"/>
        <v>0</v>
      </c>
      <c r="AB327" s="340">
        <f t="shared" si="38"/>
        <v>3</v>
      </c>
      <c r="AN327" s="47" t="s">
        <v>391</v>
      </c>
    </row>
    <row r="328" spans="1:40">
      <c r="A328" t="str">
        <f t="shared" si="39"/>
        <v>貨3L5BF</v>
      </c>
      <c r="B328" t="s">
        <v>2030</v>
      </c>
      <c r="C328" t="s">
        <v>1935</v>
      </c>
      <c r="D328" t="s">
        <v>2750</v>
      </c>
      <c r="E328" t="s">
        <v>2643</v>
      </c>
      <c r="F328">
        <v>3.5000000000000003E-2</v>
      </c>
      <c r="G328">
        <v>0</v>
      </c>
      <c r="H328">
        <v>3</v>
      </c>
      <c r="I328" t="s">
        <v>2200</v>
      </c>
      <c r="J328"/>
      <c r="T328" s="292" t="str">
        <f t="shared" si="34"/>
        <v>トラック・バス</v>
      </c>
      <c r="U328" s="283" t="str">
        <f t="shared" si="35"/>
        <v>LPG</v>
      </c>
      <c r="V328" s="283" t="str">
        <f t="shared" si="36"/>
        <v>2.5～3.5 t</v>
      </c>
      <c r="W328" s="283" t="str">
        <f t="shared" si="37"/>
        <v>H30</v>
      </c>
      <c r="X328" s="284" t="str">
        <f t="shared" si="37"/>
        <v>5BF</v>
      </c>
      <c r="Y328" s="271" t="s">
        <v>2262</v>
      </c>
      <c r="Z328" s="283">
        <f t="shared" si="38"/>
        <v>3.5000000000000003E-2</v>
      </c>
      <c r="AA328" s="283">
        <f t="shared" si="38"/>
        <v>0</v>
      </c>
      <c r="AB328" s="340">
        <f t="shared" si="38"/>
        <v>3</v>
      </c>
      <c r="AN328" s="47" t="s">
        <v>393</v>
      </c>
    </row>
    <row r="329" spans="1:40">
      <c r="A329" t="str">
        <f t="shared" si="39"/>
        <v>貨3L5AF</v>
      </c>
      <c r="B329" t="s">
        <v>2030</v>
      </c>
      <c r="C329" t="s">
        <v>1935</v>
      </c>
      <c r="D329" t="s">
        <v>2750</v>
      </c>
      <c r="E329" t="s">
        <v>2640</v>
      </c>
      <c r="F329">
        <v>3.5000000000000003E-2</v>
      </c>
      <c r="G329">
        <v>0</v>
      </c>
      <c r="H329">
        <v>3</v>
      </c>
      <c r="I329" t="s">
        <v>239</v>
      </c>
      <c r="J329"/>
      <c r="T329" s="292" t="str">
        <f t="shared" si="34"/>
        <v>トラック・バス</v>
      </c>
      <c r="U329" s="283" t="str">
        <f t="shared" si="35"/>
        <v>LPG</v>
      </c>
      <c r="V329" s="283" t="str">
        <f t="shared" si="36"/>
        <v>2.5～3.5 t</v>
      </c>
      <c r="W329" s="283" t="str">
        <f t="shared" si="37"/>
        <v>H30</v>
      </c>
      <c r="X329" s="284" t="str">
        <f t="shared" si="37"/>
        <v>5AF</v>
      </c>
      <c r="Y329" s="271" t="s">
        <v>2262</v>
      </c>
      <c r="Z329" s="283">
        <f t="shared" si="38"/>
        <v>3.5000000000000003E-2</v>
      </c>
      <c r="AA329" s="283">
        <f t="shared" si="38"/>
        <v>0</v>
      </c>
      <c r="AB329" s="340">
        <f t="shared" si="38"/>
        <v>3</v>
      </c>
      <c r="AN329" s="436" t="s">
        <v>1031</v>
      </c>
    </row>
    <row r="330" spans="1:40">
      <c r="A330" t="str">
        <f t="shared" si="39"/>
        <v>貨3L5LF</v>
      </c>
      <c r="B330" t="s">
        <v>2030</v>
      </c>
      <c r="C330" t="s">
        <v>1935</v>
      </c>
      <c r="D330" t="s">
        <v>2750</v>
      </c>
      <c r="E330" t="s">
        <v>2664</v>
      </c>
      <c r="F330">
        <v>3.5000000000000003E-2</v>
      </c>
      <c r="G330">
        <v>0</v>
      </c>
      <c r="H330">
        <v>3</v>
      </c>
      <c r="I330" t="s">
        <v>1405</v>
      </c>
      <c r="J330"/>
      <c r="T330" s="292" t="str">
        <f t="shared" si="34"/>
        <v>トラック・バス</v>
      </c>
      <c r="U330" s="283" t="str">
        <f t="shared" si="35"/>
        <v>LPG</v>
      </c>
      <c r="V330" s="283" t="str">
        <f t="shared" si="36"/>
        <v>2.5～3.5 t</v>
      </c>
      <c r="W330" s="283" t="str">
        <f t="shared" si="37"/>
        <v>H30</v>
      </c>
      <c r="X330" s="284" t="str">
        <f t="shared" si="37"/>
        <v>5LF</v>
      </c>
      <c r="Y330" s="271" t="s">
        <v>2262</v>
      </c>
      <c r="Z330" s="283">
        <f t="shared" si="38"/>
        <v>3.5000000000000003E-2</v>
      </c>
      <c r="AA330" s="283">
        <f t="shared" si="38"/>
        <v>0</v>
      </c>
      <c r="AB330" s="340">
        <f t="shared" si="38"/>
        <v>3</v>
      </c>
      <c r="AN330" s="47" t="s">
        <v>1035</v>
      </c>
    </row>
    <row r="331" spans="1:40">
      <c r="A331" t="str">
        <f t="shared" si="39"/>
        <v>貨3L6BF</v>
      </c>
      <c r="B331" t="s">
        <v>2030</v>
      </c>
      <c r="C331" t="s">
        <v>1935</v>
      </c>
      <c r="D331" t="s">
        <v>2750</v>
      </c>
      <c r="E331" t="s">
        <v>2673</v>
      </c>
      <c r="F331">
        <v>1.7500000000000002E-2</v>
      </c>
      <c r="G331">
        <v>0</v>
      </c>
      <c r="H331">
        <v>3</v>
      </c>
      <c r="I331" t="s">
        <v>2202</v>
      </c>
      <c r="J331"/>
      <c r="T331" s="292" t="str">
        <f t="shared" si="34"/>
        <v>トラック・バス</v>
      </c>
      <c r="U331" s="283" t="str">
        <f t="shared" si="35"/>
        <v>LPG</v>
      </c>
      <c r="V331" s="283" t="str">
        <f t="shared" si="36"/>
        <v>2.5～3.5 t</v>
      </c>
      <c r="W331" s="283" t="str">
        <f t="shared" si="37"/>
        <v>H30</v>
      </c>
      <c r="X331" s="284" t="str">
        <f t="shared" si="37"/>
        <v>6BF</v>
      </c>
      <c r="Y331" s="271" t="s">
        <v>2758</v>
      </c>
      <c r="Z331" s="283">
        <f t="shared" si="38"/>
        <v>1.7500000000000002E-2</v>
      </c>
      <c r="AA331" s="283">
        <f t="shared" si="38"/>
        <v>0</v>
      </c>
      <c r="AB331" s="340">
        <f t="shared" si="38"/>
        <v>3</v>
      </c>
      <c r="AN331" s="47" t="s">
        <v>1231</v>
      </c>
    </row>
    <row r="332" spans="1:40">
      <c r="A332" t="str">
        <f t="shared" si="39"/>
        <v>貨3L6AF</v>
      </c>
      <c r="B332" t="s">
        <v>2030</v>
      </c>
      <c r="C332" t="s">
        <v>1935</v>
      </c>
      <c r="D332" t="s">
        <v>2750</v>
      </c>
      <c r="E332" t="s">
        <v>2670</v>
      </c>
      <c r="F332">
        <v>1.7500000000000002E-2</v>
      </c>
      <c r="G332">
        <v>0</v>
      </c>
      <c r="H332">
        <v>3</v>
      </c>
      <c r="I332" t="s">
        <v>239</v>
      </c>
      <c r="J332"/>
      <c r="T332" s="292" t="str">
        <f t="shared" si="34"/>
        <v>トラック・バス</v>
      </c>
      <c r="U332" s="283" t="str">
        <f t="shared" si="35"/>
        <v>LPG</v>
      </c>
      <c r="V332" s="283" t="str">
        <f t="shared" si="36"/>
        <v>2.5～3.5 t</v>
      </c>
      <c r="W332" s="283" t="str">
        <f t="shared" si="37"/>
        <v>H30</v>
      </c>
      <c r="X332" s="284" t="str">
        <f t="shared" si="37"/>
        <v>6AF</v>
      </c>
      <c r="Y332" s="271" t="s">
        <v>2758</v>
      </c>
      <c r="Z332" s="283">
        <f t="shared" si="38"/>
        <v>1.7500000000000002E-2</v>
      </c>
      <c r="AA332" s="283">
        <f t="shared" si="38"/>
        <v>0</v>
      </c>
      <c r="AB332" s="340">
        <f t="shared" si="38"/>
        <v>3</v>
      </c>
      <c r="AN332" s="47" t="s">
        <v>1233</v>
      </c>
    </row>
    <row r="333" spans="1:40">
      <c r="A333" t="str">
        <f t="shared" si="39"/>
        <v>貨3L6LF</v>
      </c>
      <c r="B333" t="s">
        <v>2030</v>
      </c>
      <c r="C333" t="s">
        <v>1935</v>
      </c>
      <c r="D333" t="s">
        <v>2750</v>
      </c>
      <c r="E333" t="s">
        <v>2694</v>
      </c>
      <c r="F333">
        <v>1.7500000000000002E-2</v>
      </c>
      <c r="G333">
        <v>0</v>
      </c>
      <c r="H333">
        <v>3</v>
      </c>
      <c r="I333" t="s">
        <v>1405</v>
      </c>
      <c r="J333"/>
      <c r="T333" s="292" t="str">
        <f t="shared" si="34"/>
        <v>トラック・バス</v>
      </c>
      <c r="U333" s="283" t="str">
        <f t="shared" si="35"/>
        <v>LPG</v>
      </c>
      <c r="V333" s="283" t="str">
        <f t="shared" si="36"/>
        <v>2.5～3.5 t</v>
      </c>
      <c r="W333" s="283" t="str">
        <f t="shared" si="37"/>
        <v>H30</v>
      </c>
      <c r="X333" s="284" t="str">
        <f t="shared" si="37"/>
        <v>6LF</v>
      </c>
      <c r="Y333" s="271" t="s">
        <v>2758</v>
      </c>
      <c r="Z333" s="283">
        <f t="shared" si="38"/>
        <v>1.7500000000000002E-2</v>
      </c>
      <c r="AA333" s="283">
        <f t="shared" si="38"/>
        <v>0</v>
      </c>
      <c r="AB333" s="340">
        <f t="shared" si="38"/>
        <v>3</v>
      </c>
      <c r="AN333" s="436" t="s">
        <v>1033</v>
      </c>
    </row>
    <row r="334" spans="1:40">
      <c r="A334" t="str">
        <f t="shared" si="39"/>
        <v>貨4L-</v>
      </c>
      <c r="B334" t="s">
        <v>2031</v>
      </c>
      <c r="C334" t="s">
        <v>1936</v>
      </c>
      <c r="D334" t="s">
        <v>2458</v>
      </c>
      <c r="E334" t="s">
        <v>2457</v>
      </c>
      <c r="F334">
        <v>1.17</v>
      </c>
      <c r="G334">
        <v>0</v>
      </c>
      <c r="H334">
        <v>3</v>
      </c>
      <c r="I334" t="s">
        <v>232</v>
      </c>
      <c r="J334"/>
      <c r="T334" s="292" t="str">
        <f t="shared" si="34"/>
        <v>トラック・バス</v>
      </c>
      <c r="U334" s="283" t="str">
        <f t="shared" si="35"/>
        <v>LPG</v>
      </c>
      <c r="V334" s="283" t="str">
        <f t="shared" si="36"/>
        <v>3.5 t～</v>
      </c>
      <c r="W334" s="283" t="str">
        <f t="shared" si="37"/>
        <v>S54前</v>
      </c>
      <c r="X334" s="284" t="str">
        <f t="shared" si="37"/>
        <v>-</v>
      </c>
      <c r="Y334" s="271"/>
      <c r="Z334" s="283">
        <f t="shared" si="38"/>
        <v>1.17</v>
      </c>
      <c r="AA334" s="283">
        <f t="shared" si="38"/>
        <v>0</v>
      </c>
      <c r="AB334" s="340">
        <f t="shared" si="38"/>
        <v>3</v>
      </c>
      <c r="AN334" s="47" t="s">
        <v>1037</v>
      </c>
    </row>
    <row r="335" spans="1:40">
      <c r="A335" t="str">
        <f t="shared" si="39"/>
        <v>貨4LJ</v>
      </c>
      <c r="B335" t="s">
        <v>2031</v>
      </c>
      <c r="C335" t="s">
        <v>1936</v>
      </c>
      <c r="D335" t="s">
        <v>0</v>
      </c>
      <c r="E335" t="s">
        <v>7</v>
      </c>
      <c r="F335">
        <v>0.83</v>
      </c>
      <c r="G335">
        <v>0</v>
      </c>
      <c r="H335">
        <v>3</v>
      </c>
      <c r="I335" t="s">
        <v>232</v>
      </c>
      <c r="J335"/>
      <c r="T335" s="292" t="str">
        <f t="shared" si="34"/>
        <v>トラック・バス</v>
      </c>
      <c r="U335" s="283" t="str">
        <f t="shared" si="35"/>
        <v>LPG</v>
      </c>
      <c r="V335" s="283" t="str">
        <f t="shared" si="36"/>
        <v>3.5 t～</v>
      </c>
      <c r="W335" s="283" t="str">
        <f t="shared" si="37"/>
        <v>S54</v>
      </c>
      <c r="X335" s="284" t="str">
        <f t="shared" si="37"/>
        <v>J</v>
      </c>
      <c r="Y335" s="271"/>
      <c r="Z335" s="283">
        <f t="shared" si="38"/>
        <v>0.83</v>
      </c>
      <c r="AA335" s="283">
        <f t="shared" si="38"/>
        <v>0</v>
      </c>
      <c r="AB335" s="340">
        <f t="shared" si="38"/>
        <v>3</v>
      </c>
      <c r="AN335" s="47" t="s">
        <v>2537</v>
      </c>
    </row>
    <row r="336" spans="1:40">
      <c r="A336" t="str">
        <f t="shared" si="39"/>
        <v>貨4LM</v>
      </c>
      <c r="B336" t="s">
        <v>2031</v>
      </c>
      <c r="C336" t="s">
        <v>1936</v>
      </c>
      <c r="D336" t="s">
        <v>24</v>
      </c>
      <c r="E336" t="s">
        <v>25</v>
      </c>
      <c r="F336">
        <v>0.56999999999999995</v>
      </c>
      <c r="G336">
        <v>0</v>
      </c>
      <c r="H336">
        <v>3</v>
      </c>
      <c r="I336" t="s">
        <v>232</v>
      </c>
      <c r="J336"/>
      <c r="T336" s="292" t="str">
        <f t="shared" si="34"/>
        <v>トラック・バス</v>
      </c>
      <c r="U336" s="283" t="str">
        <f t="shared" si="35"/>
        <v>LPG</v>
      </c>
      <c r="V336" s="283" t="str">
        <f t="shared" si="36"/>
        <v>3.5 t～</v>
      </c>
      <c r="W336" s="283" t="str">
        <f t="shared" si="37"/>
        <v>S57</v>
      </c>
      <c r="X336" s="284" t="str">
        <f t="shared" si="37"/>
        <v>M</v>
      </c>
      <c r="Y336" s="271"/>
      <c r="Z336" s="283">
        <f t="shared" si="38"/>
        <v>0.56999999999999995</v>
      </c>
      <c r="AA336" s="283">
        <f t="shared" si="38"/>
        <v>0</v>
      </c>
      <c r="AB336" s="340">
        <f t="shared" si="38"/>
        <v>3</v>
      </c>
      <c r="AN336" s="47" t="s">
        <v>2538</v>
      </c>
    </row>
    <row r="337" spans="1:41">
      <c r="A337" t="str">
        <f t="shared" si="39"/>
        <v>貨4LT</v>
      </c>
      <c r="B337" t="s">
        <v>2031</v>
      </c>
      <c r="C337" t="s">
        <v>1936</v>
      </c>
      <c r="D337" t="s">
        <v>18</v>
      </c>
      <c r="E337" t="s">
        <v>19</v>
      </c>
      <c r="F337">
        <v>0.49</v>
      </c>
      <c r="G337">
        <v>0</v>
      </c>
      <c r="H337">
        <v>3</v>
      </c>
      <c r="I337" t="s">
        <v>232</v>
      </c>
      <c r="J337"/>
      <c r="T337" s="292" t="str">
        <f t="shared" si="34"/>
        <v>トラック・バス</v>
      </c>
      <c r="U337" s="283" t="str">
        <f t="shared" si="35"/>
        <v>LPG</v>
      </c>
      <c r="V337" s="283" t="str">
        <f t="shared" si="36"/>
        <v>3.5 t～</v>
      </c>
      <c r="W337" s="283" t="str">
        <f t="shared" si="37"/>
        <v>H元</v>
      </c>
      <c r="X337" s="284" t="str">
        <f t="shared" si="37"/>
        <v>T</v>
      </c>
      <c r="Y337" s="271"/>
      <c r="Z337" s="283">
        <f t="shared" si="38"/>
        <v>0.49</v>
      </c>
      <c r="AA337" s="283">
        <f t="shared" si="38"/>
        <v>0</v>
      </c>
      <c r="AB337" s="340">
        <f t="shared" si="38"/>
        <v>3</v>
      </c>
      <c r="AN337" s="47" t="s">
        <v>137</v>
      </c>
    </row>
    <row r="338" spans="1:41">
      <c r="A338" t="str">
        <f t="shared" si="39"/>
        <v>貨4LZ</v>
      </c>
      <c r="B338" t="s">
        <v>2031</v>
      </c>
      <c r="C338" t="s">
        <v>1936</v>
      </c>
      <c r="D338" t="s">
        <v>1998</v>
      </c>
      <c r="E338" t="s">
        <v>26</v>
      </c>
      <c r="F338">
        <v>0.4</v>
      </c>
      <c r="G338">
        <v>0</v>
      </c>
      <c r="H338">
        <v>3</v>
      </c>
      <c r="I338" t="s">
        <v>232</v>
      </c>
      <c r="J338"/>
      <c r="T338" s="292" t="str">
        <f t="shared" si="34"/>
        <v>トラック・バス</v>
      </c>
      <c r="U338" s="283" t="str">
        <f t="shared" si="35"/>
        <v>LPG</v>
      </c>
      <c r="V338" s="283" t="str">
        <f t="shared" si="36"/>
        <v>3.5 t～</v>
      </c>
      <c r="W338" s="283" t="str">
        <f t="shared" si="37"/>
        <v>H4</v>
      </c>
      <c r="X338" s="284" t="str">
        <f t="shared" si="37"/>
        <v>Z</v>
      </c>
      <c r="Y338" s="271"/>
      <c r="Z338" s="283">
        <f t="shared" si="38"/>
        <v>0.4</v>
      </c>
      <c r="AA338" s="283">
        <f t="shared" si="38"/>
        <v>0</v>
      </c>
      <c r="AB338" s="340">
        <f t="shared" si="38"/>
        <v>3</v>
      </c>
      <c r="AN338" s="266" t="s">
        <v>138</v>
      </c>
    </row>
    <row r="339" spans="1:41">
      <c r="A339" t="str">
        <f t="shared" si="39"/>
        <v>貨4LGB</v>
      </c>
      <c r="B339" t="s">
        <v>2031</v>
      </c>
      <c r="C339" t="s">
        <v>1936</v>
      </c>
      <c r="D339" t="s">
        <v>1999</v>
      </c>
      <c r="E339" t="s">
        <v>50</v>
      </c>
      <c r="F339">
        <v>0.33</v>
      </c>
      <c r="G339">
        <v>0</v>
      </c>
      <c r="H339">
        <v>3</v>
      </c>
      <c r="I339" t="s">
        <v>232</v>
      </c>
      <c r="J339"/>
      <c r="T339" s="292" t="str">
        <f t="shared" si="34"/>
        <v>トラック・バス</v>
      </c>
      <c r="U339" s="283" t="str">
        <f t="shared" si="35"/>
        <v>LPG</v>
      </c>
      <c r="V339" s="283" t="str">
        <f t="shared" si="36"/>
        <v>3.5 t～</v>
      </c>
      <c r="W339" s="283" t="str">
        <f t="shared" si="37"/>
        <v>H7,H10</v>
      </c>
      <c r="X339" s="284" t="str">
        <f t="shared" si="37"/>
        <v>GB</v>
      </c>
      <c r="Y339" s="271"/>
      <c r="Z339" s="283">
        <f t="shared" si="38"/>
        <v>0.33</v>
      </c>
      <c r="AA339" s="283">
        <f t="shared" si="38"/>
        <v>0</v>
      </c>
      <c r="AB339" s="340">
        <f t="shared" si="38"/>
        <v>3</v>
      </c>
      <c r="AD339" s="266"/>
      <c r="AE339" s="266"/>
      <c r="AF339" s="266"/>
      <c r="AG339" s="266"/>
      <c r="AH339" s="266"/>
      <c r="AI339" s="266"/>
      <c r="AN339" s="436" t="s">
        <v>139</v>
      </c>
    </row>
    <row r="340" spans="1:41">
      <c r="A340" t="str">
        <f t="shared" si="39"/>
        <v>貨4LGE</v>
      </c>
      <c r="B340" t="s">
        <v>2031</v>
      </c>
      <c r="C340" t="s">
        <v>1936</v>
      </c>
      <c r="D340" t="s">
        <v>1999</v>
      </c>
      <c r="E340" t="s">
        <v>52</v>
      </c>
      <c r="F340">
        <v>0.33</v>
      </c>
      <c r="G340">
        <v>0</v>
      </c>
      <c r="H340">
        <v>3</v>
      </c>
      <c r="I340" t="s">
        <v>232</v>
      </c>
      <c r="J340"/>
      <c r="T340" s="292" t="str">
        <f t="shared" si="34"/>
        <v>トラック・バス</v>
      </c>
      <c r="U340" s="283" t="str">
        <f t="shared" si="35"/>
        <v>LPG</v>
      </c>
      <c r="V340" s="283" t="str">
        <f t="shared" si="36"/>
        <v>3.5 t～</v>
      </c>
      <c r="W340" s="283" t="str">
        <f t="shared" si="37"/>
        <v>H7,H10</v>
      </c>
      <c r="X340" s="284" t="str">
        <f t="shared" si="37"/>
        <v>GE</v>
      </c>
      <c r="Y340" s="271"/>
      <c r="Z340" s="283">
        <f t="shared" si="38"/>
        <v>0.33</v>
      </c>
      <c r="AA340" s="283">
        <f t="shared" si="38"/>
        <v>0</v>
      </c>
      <c r="AB340" s="340">
        <f t="shared" si="38"/>
        <v>3</v>
      </c>
      <c r="AN340" s="436" t="s">
        <v>140</v>
      </c>
    </row>
    <row r="341" spans="1:41" s="266" customFormat="1">
      <c r="A341" t="str">
        <f t="shared" si="39"/>
        <v>貨4LHJ</v>
      </c>
      <c r="B341" t="s">
        <v>2031</v>
      </c>
      <c r="C341" t="s">
        <v>1936</v>
      </c>
      <c r="D341" t="s">
        <v>1999</v>
      </c>
      <c r="E341" t="s">
        <v>60</v>
      </c>
      <c r="F341">
        <v>0.16500000000000001</v>
      </c>
      <c r="G341">
        <v>0</v>
      </c>
      <c r="H341">
        <v>3</v>
      </c>
      <c r="I341" t="s">
        <v>239</v>
      </c>
      <c r="J341"/>
      <c r="K341" s="47"/>
      <c r="L341" s="47"/>
      <c r="M341" s="47"/>
      <c r="N341" s="47"/>
      <c r="O341" s="47"/>
      <c r="P341" s="47"/>
      <c r="Q341" s="47"/>
      <c r="R341" s="47"/>
      <c r="S341" s="47"/>
      <c r="T341" s="292" t="str">
        <f t="shared" si="34"/>
        <v>トラック・バス</v>
      </c>
      <c r="U341" s="283" t="str">
        <f t="shared" si="35"/>
        <v>LPG</v>
      </c>
      <c r="V341" s="283" t="str">
        <f t="shared" si="36"/>
        <v>3.5 t～</v>
      </c>
      <c r="W341" s="283" t="str">
        <f t="shared" si="37"/>
        <v>H7,H10</v>
      </c>
      <c r="X341" s="284" t="str">
        <f t="shared" si="37"/>
        <v>HJ</v>
      </c>
      <c r="Y341" s="271"/>
      <c r="Z341" s="283">
        <f t="shared" si="38"/>
        <v>0.16500000000000001</v>
      </c>
      <c r="AA341" s="283">
        <f t="shared" si="38"/>
        <v>0</v>
      </c>
      <c r="AB341" s="340">
        <f t="shared" si="38"/>
        <v>3</v>
      </c>
      <c r="AN341" s="47" t="s">
        <v>1039</v>
      </c>
      <c r="AO341" s="47"/>
    </row>
    <row r="342" spans="1:41">
      <c r="A342" t="str">
        <f t="shared" si="39"/>
        <v>貨4LGL</v>
      </c>
      <c r="B342" t="s">
        <v>2031</v>
      </c>
      <c r="C342" t="s">
        <v>1936</v>
      </c>
      <c r="D342" t="s">
        <v>21</v>
      </c>
      <c r="E342" t="s">
        <v>58</v>
      </c>
      <c r="F342">
        <v>0.1</v>
      </c>
      <c r="G342">
        <v>0</v>
      </c>
      <c r="H342">
        <v>3</v>
      </c>
      <c r="I342" t="s">
        <v>232</v>
      </c>
      <c r="J342"/>
      <c r="T342" s="292" t="str">
        <f t="shared" si="34"/>
        <v>トラック・バス</v>
      </c>
      <c r="U342" s="283" t="str">
        <f t="shared" si="35"/>
        <v>LPG</v>
      </c>
      <c r="V342" s="283" t="str">
        <f t="shared" si="36"/>
        <v>3.5 t～</v>
      </c>
      <c r="W342" s="283" t="str">
        <f t="shared" si="37"/>
        <v>H13</v>
      </c>
      <c r="X342" s="284" t="str">
        <f t="shared" si="37"/>
        <v>GL</v>
      </c>
      <c r="Y342" s="271"/>
      <c r="Z342" s="283">
        <f t="shared" si="38"/>
        <v>0.1</v>
      </c>
      <c r="AA342" s="283">
        <f t="shared" si="38"/>
        <v>0</v>
      </c>
      <c r="AB342" s="340">
        <f t="shared" si="38"/>
        <v>3</v>
      </c>
      <c r="AN342" s="436" t="s">
        <v>141</v>
      </c>
    </row>
    <row r="343" spans="1:41" s="266" customFormat="1">
      <c r="A343" t="str">
        <f t="shared" si="39"/>
        <v>貨4LHR</v>
      </c>
      <c r="B343" t="s">
        <v>2031</v>
      </c>
      <c r="C343" t="s">
        <v>1936</v>
      </c>
      <c r="D343" t="s">
        <v>21</v>
      </c>
      <c r="E343" t="s">
        <v>69</v>
      </c>
      <c r="F343">
        <v>0.05</v>
      </c>
      <c r="G343">
        <v>0</v>
      </c>
      <c r="H343">
        <v>3</v>
      </c>
      <c r="I343" t="s">
        <v>239</v>
      </c>
      <c r="J343"/>
      <c r="K343" s="47"/>
      <c r="L343" s="47"/>
      <c r="M343" s="47"/>
      <c r="N343" s="47"/>
      <c r="O343" s="47"/>
      <c r="P343" s="47"/>
      <c r="Q343" s="47"/>
      <c r="R343" s="47"/>
      <c r="S343" s="47"/>
      <c r="T343" s="292" t="str">
        <f t="shared" si="34"/>
        <v>トラック・バス</v>
      </c>
      <c r="U343" s="283" t="str">
        <f t="shared" si="35"/>
        <v>LPG</v>
      </c>
      <c r="V343" s="283" t="str">
        <f t="shared" si="36"/>
        <v>3.5 t～</v>
      </c>
      <c r="W343" s="283" t="str">
        <f t="shared" si="37"/>
        <v>H13</v>
      </c>
      <c r="X343" s="284" t="str">
        <f t="shared" si="37"/>
        <v>HR</v>
      </c>
      <c r="Y343" s="271"/>
      <c r="Z343" s="283">
        <f t="shared" si="38"/>
        <v>0.05</v>
      </c>
      <c r="AA343" s="283">
        <f t="shared" si="38"/>
        <v>0</v>
      </c>
      <c r="AB343" s="340">
        <f t="shared" si="38"/>
        <v>3</v>
      </c>
      <c r="AN343" s="47" t="s">
        <v>1043</v>
      </c>
      <c r="AO343" s="47"/>
    </row>
    <row r="344" spans="1:41">
      <c r="A344" t="str">
        <f t="shared" si="39"/>
        <v>貨4LTD</v>
      </c>
      <c r="B344" t="s">
        <v>2031</v>
      </c>
      <c r="C344" t="s">
        <v>1936</v>
      </c>
      <c r="D344" t="s">
        <v>21</v>
      </c>
      <c r="E344" t="s">
        <v>82</v>
      </c>
      <c r="F344">
        <v>7.4999999999999997E-2</v>
      </c>
      <c r="G344">
        <v>0</v>
      </c>
      <c r="H344">
        <v>3</v>
      </c>
      <c r="I344" t="s">
        <v>232</v>
      </c>
      <c r="J344"/>
      <c r="T344" s="292" t="str">
        <f t="shared" si="34"/>
        <v>トラック・バス</v>
      </c>
      <c r="U344" s="283" t="str">
        <f t="shared" si="35"/>
        <v>LPG</v>
      </c>
      <c r="V344" s="283" t="str">
        <f t="shared" si="36"/>
        <v>3.5 t～</v>
      </c>
      <c r="W344" s="283" t="str">
        <f t="shared" si="37"/>
        <v>H13</v>
      </c>
      <c r="X344" s="284" t="str">
        <f t="shared" si="37"/>
        <v>TD</v>
      </c>
      <c r="Y344" s="271" t="s">
        <v>244</v>
      </c>
      <c r="Z344" s="283">
        <f t="shared" si="38"/>
        <v>7.4999999999999997E-2</v>
      </c>
      <c r="AA344" s="283">
        <f t="shared" si="38"/>
        <v>0</v>
      </c>
      <c r="AB344" s="340">
        <f t="shared" si="38"/>
        <v>3</v>
      </c>
      <c r="AN344" s="47" t="s">
        <v>142</v>
      </c>
    </row>
    <row r="345" spans="1:41" s="266" customFormat="1" ht="13.75" customHeight="1">
      <c r="A345" t="str">
        <f t="shared" si="39"/>
        <v>貨4LXD</v>
      </c>
      <c r="B345" t="s">
        <v>2031</v>
      </c>
      <c r="C345" t="s">
        <v>1936</v>
      </c>
      <c r="D345" t="s">
        <v>21</v>
      </c>
      <c r="E345" t="s">
        <v>96</v>
      </c>
      <c r="F345">
        <v>7.4999999999999997E-2</v>
      </c>
      <c r="G345">
        <v>0</v>
      </c>
      <c r="H345">
        <v>3</v>
      </c>
      <c r="I345" t="s">
        <v>239</v>
      </c>
      <c r="J345"/>
      <c r="K345" s="47"/>
      <c r="L345" s="47"/>
      <c r="M345" s="47"/>
      <c r="N345" s="47"/>
      <c r="O345" s="47"/>
      <c r="P345" s="47"/>
      <c r="Q345" s="47"/>
      <c r="R345" s="47"/>
      <c r="S345" s="47"/>
      <c r="T345" s="292" t="str">
        <f t="shared" si="34"/>
        <v>トラック・バス</v>
      </c>
      <c r="U345" s="283" t="str">
        <f t="shared" si="35"/>
        <v>LPG</v>
      </c>
      <c r="V345" s="283" t="str">
        <f t="shared" si="36"/>
        <v>3.5 t～</v>
      </c>
      <c r="W345" s="283" t="str">
        <f t="shared" si="37"/>
        <v>H13</v>
      </c>
      <c r="X345" s="284" t="str">
        <f t="shared" si="37"/>
        <v>XD</v>
      </c>
      <c r="Y345" s="271" t="s">
        <v>244</v>
      </c>
      <c r="Z345" s="283">
        <f t="shared" si="38"/>
        <v>7.4999999999999997E-2</v>
      </c>
      <c r="AA345" s="283">
        <f t="shared" si="38"/>
        <v>0</v>
      </c>
      <c r="AB345" s="340">
        <f t="shared" si="38"/>
        <v>3</v>
      </c>
      <c r="AN345" s="47" t="s">
        <v>1235</v>
      </c>
      <c r="AO345" s="47"/>
    </row>
    <row r="346" spans="1:41">
      <c r="A346" t="str">
        <f t="shared" si="39"/>
        <v>貨4LLD</v>
      </c>
      <c r="B346" t="s">
        <v>2031</v>
      </c>
      <c r="C346" t="s">
        <v>1936</v>
      </c>
      <c r="D346" t="s">
        <v>21</v>
      </c>
      <c r="E346" t="s">
        <v>73</v>
      </c>
      <c r="F346">
        <v>0.05</v>
      </c>
      <c r="G346">
        <v>0</v>
      </c>
      <c r="H346">
        <v>3</v>
      </c>
      <c r="I346" t="s">
        <v>232</v>
      </c>
      <c r="J346"/>
      <c r="T346" s="292" t="str">
        <f t="shared" si="34"/>
        <v>トラック・バス</v>
      </c>
      <c r="U346" s="283" t="str">
        <f t="shared" si="35"/>
        <v>LPG</v>
      </c>
      <c r="V346" s="283" t="str">
        <f t="shared" si="36"/>
        <v>3.5 t～</v>
      </c>
      <c r="W346" s="283" t="str">
        <f t="shared" si="37"/>
        <v>H13</v>
      </c>
      <c r="X346" s="284" t="str">
        <f t="shared" si="37"/>
        <v>LD</v>
      </c>
      <c r="Y346" s="271" t="s">
        <v>247</v>
      </c>
      <c r="Z346" s="283">
        <f t="shared" si="38"/>
        <v>0.05</v>
      </c>
      <c r="AA346" s="283">
        <f t="shared" si="38"/>
        <v>0</v>
      </c>
      <c r="AB346" s="340">
        <f t="shared" si="38"/>
        <v>3</v>
      </c>
      <c r="AN346" s="47" t="s">
        <v>143</v>
      </c>
    </row>
    <row r="347" spans="1:41" s="266" customFormat="1">
      <c r="A347" t="str">
        <f t="shared" si="39"/>
        <v>貨4LYD</v>
      </c>
      <c r="B347" t="s">
        <v>2031</v>
      </c>
      <c r="C347" t="s">
        <v>1936</v>
      </c>
      <c r="D347" t="s">
        <v>21</v>
      </c>
      <c r="E347" t="s">
        <v>100</v>
      </c>
      <c r="F347">
        <v>0.05</v>
      </c>
      <c r="G347">
        <v>0</v>
      </c>
      <c r="H347">
        <v>3</v>
      </c>
      <c r="I347" t="s">
        <v>239</v>
      </c>
      <c r="J347"/>
      <c r="T347" s="292" t="str">
        <f t="shared" si="34"/>
        <v>トラック・バス</v>
      </c>
      <c r="U347" s="283" t="str">
        <f t="shared" si="35"/>
        <v>LPG</v>
      </c>
      <c r="V347" s="283" t="str">
        <f t="shared" si="36"/>
        <v>3.5 t～</v>
      </c>
      <c r="W347" s="283" t="str">
        <f t="shared" si="37"/>
        <v>H13</v>
      </c>
      <c r="X347" s="284" t="str">
        <f t="shared" si="37"/>
        <v>YD</v>
      </c>
      <c r="Y347" s="271" t="s">
        <v>247</v>
      </c>
      <c r="Z347" s="283">
        <f t="shared" si="38"/>
        <v>0.05</v>
      </c>
      <c r="AA347" s="283">
        <f t="shared" si="38"/>
        <v>0</v>
      </c>
      <c r="AB347" s="340">
        <f t="shared" si="38"/>
        <v>3</v>
      </c>
      <c r="AN347" s="47" t="s">
        <v>1237</v>
      </c>
      <c r="AO347" s="47"/>
    </row>
    <row r="348" spans="1:41">
      <c r="A348" t="str">
        <f t="shared" si="39"/>
        <v>貨4LUD</v>
      </c>
      <c r="B348" t="s">
        <v>2031</v>
      </c>
      <c r="C348" t="s">
        <v>1936</v>
      </c>
      <c r="D348" t="s">
        <v>21</v>
      </c>
      <c r="E348" t="s">
        <v>89</v>
      </c>
      <c r="F348">
        <v>2.5000000000000001E-2</v>
      </c>
      <c r="G348">
        <v>0</v>
      </c>
      <c r="H348">
        <v>3</v>
      </c>
      <c r="I348" t="s">
        <v>232</v>
      </c>
      <c r="J348"/>
      <c r="T348" s="292" t="str">
        <f t="shared" si="34"/>
        <v>トラック・バス</v>
      </c>
      <c r="U348" s="283" t="str">
        <f t="shared" si="35"/>
        <v>LPG</v>
      </c>
      <c r="V348" s="283" t="str">
        <f t="shared" si="36"/>
        <v>3.5 t～</v>
      </c>
      <c r="W348" s="283" t="str">
        <f t="shared" si="37"/>
        <v>H13</v>
      </c>
      <c r="X348" s="284" t="str">
        <f t="shared" si="37"/>
        <v>UD</v>
      </c>
      <c r="Y348" s="271" t="s">
        <v>250</v>
      </c>
      <c r="Z348" s="283">
        <f t="shared" si="38"/>
        <v>2.5000000000000001E-2</v>
      </c>
      <c r="AA348" s="283">
        <f t="shared" si="38"/>
        <v>0</v>
      </c>
      <c r="AB348" s="340">
        <f t="shared" si="38"/>
        <v>3</v>
      </c>
      <c r="AN348" s="47" t="s">
        <v>144</v>
      </c>
    </row>
    <row r="349" spans="1:41" s="266" customFormat="1">
      <c r="A349" t="str">
        <f t="shared" si="39"/>
        <v>貨4LZD</v>
      </c>
      <c r="B349" t="s">
        <v>2031</v>
      </c>
      <c r="C349" t="s">
        <v>1936</v>
      </c>
      <c r="D349" t="s">
        <v>21</v>
      </c>
      <c r="E349" t="s">
        <v>104</v>
      </c>
      <c r="F349">
        <v>2.5000000000000001E-2</v>
      </c>
      <c r="G349">
        <v>0</v>
      </c>
      <c r="H349">
        <v>3</v>
      </c>
      <c r="I349" t="s">
        <v>239</v>
      </c>
      <c r="J349"/>
      <c r="T349" s="292" t="str">
        <f t="shared" si="34"/>
        <v>トラック・バス</v>
      </c>
      <c r="U349" s="283" t="str">
        <f t="shared" si="35"/>
        <v>LPG</v>
      </c>
      <c r="V349" s="283" t="str">
        <f t="shared" si="36"/>
        <v>3.5 t～</v>
      </c>
      <c r="W349" s="283" t="str">
        <f t="shared" si="37"/>
        <v>H13</v>
      </c>
      <c r="X349" s="284" t="str">
        <f t="shared" si="37"/>
        <v>ZD</v>
      </c>
      <c r="Y349" s="271" t="s">
        <v>250</v>
      </c>
      <c r="Z349" s="283">
        <f t="shared" si="38"/>
        <v>2.5000000000000001E-2</v>
      </c>
      <c r="AA349" s="283">
        <f t="shared" si="38"/>
        <v>0</v>
      </c>
      <c r="AB349" s="340">
        <f t="shared" si="38"/>
        <v>3</v>
      </c>
      <c r="AN349" s="47" t="s">
        <v>145</v>
      </c>
      <c r="AO349" s="47"/>
    </row>
    <row r="350" spans="1:41">
      <c r="A350" t="str">
        <f t="shared" si="39"/>
        <v>貨4LABG</v>
      </c>
      <c r="B350" t="s">
        <v>2031</v>
      </c>
      <c r="C350" t="s">
        <v>1936</v>
      </c>
      <c r="D350" t="s">
        <v>1979</v>
      </c>
      <c r="E350" t="s">
        <v>381</v>
      </c>
      <c r="F350">
        <v>0.05</v>
      </c>
      <c r="G350">
        <v>0</v>
      </c>
      <c r="H350">
        <v>3</v>
      </c>
      <c r="I350" t="s">
        <v>232</v>
      </c>
      <c r="J350"/>
      <c r="T350" s="292" t="str">
        <f t="shared" si="34"/>
        <v>トラック・バス</v>
      </c>
      <c r="U350" s="283" t="str">
        <f t="shared" si="35"/>
        <v>LPG</v>
      </c>
      <c r="V350" s="283" t="str">
        <f t="shared" si="36"/>
        <v>3.5 t～</v>
      </c>
      <c r="W350" s="283" t="str">
        <f t="shared" si="37"/>
        <v>H17</v>
      </c>
      <c r="X350" s="284" t="str">
        <f t="shared" si="37"/>
        <v>ABG</v>
      </c>
      <c r="Y350" s="271"/>
      <c r="Z350" s="283">
        <f t="shared" si="38"/>
        <v>0.05</v>
      </c>
      <c r="AA350" s="283">
        <f t="shared" si="38"/>
        <v>0</v>
      </c>
      <c r="AB350" s="340">
        <f t="shared" si="38"/>
        <v>3</v>
      </c>
      <c r="AN350" s="436" t="s">
        <v>146</v>
      </c>
    </row>
    <row r="351" spans="1:41" s="266" customFormat="1">
      <c r="A351" t="str">
        <f t="shared" si="39"/>
        <v>貨4LAAG</v>
      </c>
      <c r="B351" t="s">
        <v>2031</v>
      </c>
      <c r="C351" t="s">
        <v>1936</v>
      </c>
      <c r="D351" t="s">
        <v>1979</v>
      </c>
      <c r="E351" t="s">
        <v>383</v>
      </c>
      <c r="F351">
        <v>2.5000000000000001E-2</v>
      </c>
      <c r="G351">
        <v>0</v>
      </c>
      <c r="H351">
        <v>3</v>
      </c>
      <c r="I351" t="s">
        <v>239</v>
      </c>
      <c r="J351"/>
      <c r="T351" s="292" t="str">
        <f t="shared" si="34"/>
        <v>トラック・バス</v>
      </c>
      <c r="U351" s="283" t="str">
        <f t="shared" si="35"/>
        <v>LPG</v>
      </c>
      <c r="V351" s="283" t="str">
        <f t="shared" si="36"/>
        <v>3.5 t～</v>
      </c>
      <c r="W351" s="283" t="str">
        <f t="shared" si="37"/>
        <v>H17</v>
      </c>
      <c r="X351" s="284" t="str">
        <f t="shared" si="37"/>
        <v>AAG</v>
      </c>
      <c r="Y351" s="271"/>
      <c r="Z351" s="283">
        <f t="shared" si="38"/>
        <v>2.5000000000000001E-2</v>
      </c>
      <c r="AA351" s="283">
        <f t="shared" si="38"/>
        <v>0</v>
      </c>
      <c r="AB351" s="340">
        <f t="shared" si="38"/>
        <v>3</v>
      </c>
      <c r="AN351" s="47" t="s">
        <v>1041</v>
      </c>
      <c r="AO351" s="47"/>
    </row>
    <row r="352" spans="1:41">
      <c r="A352" t="str">
        <f t="shared" si="39"/>
        <v>貨4LALG</v>
      </c>
      <c r="B352" t="s">
        <v>2031</v>
      </c>
      <c r="C352" t="s">
        <v>1936</v>
      </c>
      <c r="D352" t="s">
        <v>1979</v>
      </c>
      <c r="E352" t="s">
        <v>2791</v>
      </c>
      <c r="F352">
        <v>1.2500000000000001E-2</v>
      </c>
      <c r="G352">
        <v>0</v>
      </c>
      <c r="H352">
        <v>3</v>
      </c>
      <c r="I352" t="s">
        <v>2490</v>
      </c>
      <c r="J352"/>
      <c r="T352" s="292" t="str">
        <f t="shared" si="34"/>
        <v>トラック・バス</v>
      </c>
      <c r="U352" s="283" t="str">
        <f t="shared" si="35"/>
        <v>LPG</v>
      </c>
      <c r="V352" s="283" t="str">
        <f t="shared" si="36"/>
        <v>3.5 t～</v>
      </c>
      <c r="W352" s="283" t="str">
        <f t="shared" si="37"/>
        <v>H17</v>
      </c>
      <c r="X352" s="284" t="str">
        <f t="shared" si="37"/>
        <v>ALG</v>
      </c>
      <c r="Y352" s="271"/>
      <c r="Z352" s="283">
        <f t="shared" si="38"/>
        <v>1.2500000000000001E-2</v>
      </c>
      <c r="AA352" s="283">
        <f t="shared" si="38"/>
        <v>0</v>
      </c>
      <c r="AB352" s="340">
        <f t="shared" si="38"/>
        <v>3</v>
      </c>
      <c r="AN352" s="436" t="s">
        <v>147</v>
      </c>
    </row>
    <row r="353" spans="1:41" s="266" customFormat="1">
      <c r="A353" t="str">
        <f t="shared" si="39"/>
        <v>貨4LBAG</v>
      </c>
      <c r="B353" t="s">
        <v>2031</v>
      </c>
      <c r="C353" t="s">
        <v>1936</v>
      </c>
      <c r="D353" t="s">
        <v>1979</v>
      </c>
      <c r="E353" t="s">
        <v>2001</v>
      </c>
      <c r="F353">
        <v>4.4999999999999998E-2</v>
      </c>
      <c r="G353">
        <v>0</v>
      </c>
      <c r="H353">
        <v>3</v>
      </c>
      <c r="I353" t="s">
        <v>239</v>
      </c>
      <c r="J353"/>
      <c r="T353" s="292" t="str">
        <f t="shared" si="34"/>
        <v>トラック・バス</v>
      </c>
      <c r="U353" s="283" t="str">
        <f t="shared" si="35"/>
        <v>LPG</v>
      </c>
      <c r="V353" s="283" t="str">
        <f t="shared" si="36"/>
        <v>3.5 t～</v>
      </c>
      <c r="W353" s="283" t="str">
        <f t="shared" si="37"/>
        <v>H17</v>
      </c>
      <c r="X353" s="284" t="str">
        <f t="shared" si="37"/>
        <v>BAG</v>
      </c>
      <c r="Y353" s="271" t="s">
        <v>2398</v>
      </c>
      <c r="Z353" s="283">
        <f t="shared" si="38"/>
        <v>4.4999999999999998E-2</v>
      </c>
      <c r="AA353" s="283">
        <f t="shared" si="38"/>
        <v>0</v>
      </c>
      <c r="AB353" s="340">
        <f t="shared" si="38"/>
        <v>3</v>
      </c>
      <c r="AN353" s="47" t="s">
        <v>1045</v>
      </c>
      <c r="AO353" s="47"/>
    </row>
    <row r="354" spans="1:41">
      <c r="A354" t="str">
        <f t="shared" si="39"/>
        <v>貨4LBBG</v>
      </c>
      <c r="B354" t="s">
        <v>2031</v>
      </c>
      <c r="C354" t="s">
        <v>1936</v>
      </c>
      <c r="D354" t="s">
        <v>1979</v>
      </c>
      <c r="E354" t="s">
        <v>2002</v>
      </c>
      <c r="F354">
        <v>4.4999999999999998E-2</v>
      </c>
      <c r="G354">
        <v>0</v>
      </c>
      <c r="H354">
        <v>3</v>
      </c>
      <c r="I354" t="s">
        <v>232</v>
      </c>
      <c r="J354"/>
      <c r="T354" s="292" t="str">
        <f t="shared" si="34"/>
        <v>トラック・バス</v>
      </c>
      <c r="U354" s="283" t="str">
        <f t="shared" si="35"/>
        <v>LPG</v>
      </c>
      <c r="V354" s="283" t="str">
        <f t="shared" si="36"/>
        <v>3.5 t～</v>
      </c>
      <c r="W354" s="283" t="str">
        <f t="shared" si="37"/>
        <v>H17</v>
      </c>
      <c r="X354" s="284" t="str">
        <f t="shared" si="37"/>
        <v>BBG</v>
      </c>
      <c r="Y354" s="271" t="s">
        <v>2398</v>
      </c>
      <c r="Z354" s="283">
        <f t="shared" si="38"/>
        <v>4.4999999999999998E-2</v>
      </c>
      <c r="AA354" s="283">
        <f t="shared" si="38"/>
        <v>0</v>
      </c>
      <c r="AB354" s="340">
        <f t="shared" si="38"/>
        <v>3</v>
      </c>
      <c r="AD354" s="266"/>
      <c r="AE354" s="266"/>
      <c r="AF354" s="266"/>
      <c r="AG354" s="266"/>
      <c r="AH354" s="266"/>
      <c r="AI354" s="266"/>
      <c r="AN354" s="436" t="s">
        <v>148</v>
      </c>
    </row>
    <row r="355" spans="1:41" s="266" customFormat="1">
      <c r="A355" t="str">
        <f t="shared" si="39"/>
        <v>貨4LBLG</v>
      </c>
      <c r="B355" t="s">
        <v>2031</v>
      </c>
      <c r="C355" t="s">
        <v>1936</v>
      </c>
      <c r="D355" t="s">
        <v>1979</v>
      </c>
      <c r="E355" t="s">
        <v>2781</v>
      </c>
      <c r="F355">
        <v>4.4999999999999998E-2</v>
      </c>
      <c r="G355">
        <v>0</v>
      </c>
      <c r="H355">
        <v>3</v>
      </c>
      <c r="I355" t="s">
        <v>1405</v>
      </c>
      <c r="J355"/>
      <c r="T355" s="292" t="str">
        <f t="shared" si="34"/>
        <v>トラック・バス</v>
      </c>
      <c r="U355" s="283" t="str">
        <f t="shared" si="35"/>
        <v>LPG</v>
      </c>
      <c r="V355" s="283" t="str">
        <f t="shared" si="36"/>
        <v>3.5 t～</v>
      </c>
      <c r="W355" s="283" t="str">
        <f t="shared" si="37"/>
        <v>H17</v>
      </c>
      <c r="X355" s="284" t="str">
        <f t="shared" si="37"/>
        <v>BLG</v>
      </c>
      <c r="Y355" s="271" t="s">
        <v>2398</v>
      </c>
      <c r="Z355" s="283">
        <f t="shared" si="38"/>
        <v>4.4999999999999998E-2</v>
      </c>
      <c r="AA355" s="283">
        <f t="shared" si="38"/>
        <v>0</v>
      </c>
      <c r="AB355" s="340">
        <f t="shared" si="38"/>
        <v>3</v>
      </c>
      <c r="AN355" s="47" t="s">
        <v>2539</v>
      </c>
      <c r="AO355" s="47"/>
    </row>
    <row r="356" spans="1:41" s="266" customFormat="1">
      <c r="A356" t="str">
        <f t="shared" si="39"/>
        <v>貨4LNAG</v>
      </c>
      <c r="B356" t="s">
        <v>2031</v>
      </c>
      <c r="C356" t="s">
        <v>1936</v>
      </c>
      <c r="D356" t="s">
        <v>1979</v>
      </c>
      <c r="E356" t="s">
        <v>391</v>
      </c>
      <c r="F356">
        <v>4.4999999999999998E-2</v>
      </c>
      <c r="G356">
        <v>0</v>
      </c>
      <c r="H356">
        <v>3</v>
      </c>
      <c r="I356" t="s">
        <v>239</v>
      </c>
      <c r="J356"/>
      <c r="K356" s="47"/>
      <c r="L356" s="47"/>
      <c r="M356" s="47"/>
      <c r="N356" s="47"/>
      <c r="O356" s="47"/>
      <c r="P356" s="47"/>
      <c r="Q356" s="47"/>
      <c r="R356" s="47"/>
      <c r="S356" s="47"/>
      <c r="T356" s="292" t="str">
        <f t="shared" si="34"/>
        <v>トラック・バス</v>
      </c>
      <c r="U356" s="283" t="str">
        <f t="shared" si="35"/>
        <v>LPG</v>
      </c>
      <c r="V356" s="283" t="str">
        <f t="shared" si="36"/>
        <v>3.5 t～</v>
      </c>
      <c r="W356" s="283" t="str">
        <f t="shared" si="37"/>
        <v>H17</v>
      </c>
      <c r="X356" s="284" t="str">
        <f t="shared" si="37"/>
        <v>NAG</v>
      </c>
      <c r="Y356" s="271" t="s">
        <v>2398</v>
      </c>
      <c r="Z356" s="283">
        <f t="shared" si="38"/>
        <v>4.4999999999999998E-2</v>
      </c>
      <c r="AA356" s="283">
        <f t="shared" si="38"/>
        <v>0</v>
      </c>
      <c r="AB356" s="340">
        <f t="shared" si="38"/>
        <v>3</v>
      </c>
      <c r="AN356" s="47" t="s">
        <v>149</v>
      </c>
      <c r="AO356" s="47"/>
    </row>
    <row r="357" spans="1:41" s="266" customFormat="1">
      <c r="A357" t="str">
        <f t="shared" si="39"/>
        <v>貨4LNBG</v>
      </c>
      <c r="B357" t="s">
        <v>2031</v>
      </c>
      <c r="C357" t="s">
        <v>1936</v>
      </c>
      <c r="D357" t="s">
        <v>1979</v>
      </c>
      <c r="E357" t="s">
        <v>393</v>
      </c>
      <c r="F357">
        <v>4.4999999999999998E-2</v>
      </c>
      <c r="G357">
        <v>0</v>
      </c>
      <c r="H357">
        <v>3</v>
      </c>
      <c r="I357" t="s">
        <v>232</v>
      </c>
      <c r="J357"/>
      <c r="T357" s="292" t="str">
        <f t="shared" si="34"/>
        <v>トラック・バス</v>
      </c>
      <c r="U357" s="283" t="str">
        <f t="shared" si="35"/>
        <v>LPG</v>
      </c>
      <c r="V357" s="283" t="str">
        <f t="shared" si="36"/>
        <v>3.5 t～</v>
      </c>
      <c r="W357" s="283" t="str">
        <f t="shared" si="37"/>
        <v>H17</v>
      </c>
      <c r="X357" s="284" t="str">
        <f t="shared" si="37"/>
        <v>NBG</v>
      </c>
      <c r="Y357" s="271" t="s">
        <v>2398</v>
      </c>
      <c r="Z357" s="283">
        <f t="shared" si="38"/>
        <v>4.4999999999999998E-2</v>
      </c>
      <c r="AA357" s="283">
        <f t="shared" si="38"/>
        <v>0</v>
      </c>
      <c r="AB357" s="340">
        <f t="shared" si="38"/>
        <v>3</v>
      </c>
      <c r="AN357" s="47" t="s">
        <v>2540</v>
      </c>
      <c r="AO357" s="47"/>
    </row>
    <row r="358" spans="1:41" s="266" customFormat="1">
      <c r="A358" t="str">
        <f t="shared" si="39"/>
        <v>貨4LNLG</v>
      </c>
      <c r="B358" t="s">
        <v>2031</v>
      </c>
      <c r="C358" t="s">
        <v>1936</v>
      </c>
      <c r="D358" t="s">
        <v>1979</v>
      </c>
      <c r="E358" t="s">
        <v>2792</v>
      </c>
      <c r="F358">
        <v>4.4999999999999998E-2</v>
      </c>
      <c r="G358">
        <v>0</v>
      </c>
      <c r="H358">
        <v>3</v>
      </c>
      <c r="I358" t="s">
        <v>1405</v>
      </c>
      <c r="J358"/>
      <c r="K358" s="47"/>
      <c r="L358" s="47"/>
      <c r="M358" s="47"/>
      <c r="N358" s="47"/>
      <c r="O358" s="47"/>
      <c r="P358" s="47"/>
      <c r="Q358" s="47"/>
      <c r="R358" s="47"/>
      <c r="S358" s="47"/>
      <c r="T358" s="292" t="str">
        <f t="shared" si="34"/>
        <v>トラック・バス</v>
      </c>
      <c r="U358" s="283" t="str">
        <f t="shared" si="35"/>
        <v>LPG</v>
      </c>
      <c r="V358" s="283" t="str">
        <f t="shared" si="36"/>
        <v>3.5 t～</v>
      </c>
      <c r="W358" s="283" t="str">
        <f t="shared" si="37"/>
        <v>H17</v>
      </c>
      <c r="X358" s="284" t="str">
        <f t="shared" si="37"/>
        <v>NLG</v>
      </c>
      <c r="Y358" s="271" t="s">
        <v>2398</v>
      </c>
      <c r="Z358" s="283">
        <f t="shared" si="38"/>
        <v>4.4999999999999998E-2</v>
      </c>
      <c r="AA358" s="283">
        <f t="shared" si="38"/>
        <v>0</v>
      </c>
      <c r="AB358" s="340">
        <f t="shared" si="38"/>
        <v>3</v>
      </c>
      <c r="AN358" s="47" t="s">
        <v>150</v>
      </c>
      <c r="AO358" s="47"/>
    </row>
    <row r="359" spans="1:41" s="266" customFormat="1">
      <c r="A359" t="str">
        <f t="shared" si="39"/>
        <v>貨4LPLG</v>
      </c>
      <c r="B359" t="s">
        <v>2031</v>
      </c>
      <c r="C359" t="s">
        <v>1936</v>
      </c>
      <c r="D359" t="s">
        <v>1979</v>
      </c>
      <c r="E359" t="s">
        <v>2783</v>
      </c>
      <c r="F359">
        <v>0.05</v>
      </c>
      <c r="G359">
        <v>0</v>
      </c>
      <c r="H359">
        <v>3</v>
      </c>
      <c r="I359" t="s">
        <v>1405</v>
      </c>
      <c r="J359"/>
      <c r="T359" s="292" t="str">
        <f t="shared" si="34"/>
        <v>トラック・バス</v>
      </c>
      <c r="U359" s="283" t="str">
        <f t="shared" si="35"/>
        <v>LPG</v>
      </c>
      <c r="V359" s="283" t="str">
        <f t="shared" si="36"/>
        <v>3.5 t～</v>
      </c>
      <c r="W359" s="283" t="str">
        <f t="shared" si="37"/>
        <v>H17</v>
      </c>
      <c r="X359" s="284" t="str">
        <f t="shared" si="37"/>
        <v>PLG</v>
      </c>
      <c r="Y359" s="271" t="s">
        <v>2401</v>
      </c>
      <c r="Z359" s="283">
        <f t="shared" si="38"/>
        <v>0.05</v>
      </c>
      <c r="AA359" s="283">
        <f t="shared" si="38"/>
        <v>0</v>
      </c>
      <c r="AB359" s="340">
        <f t="shared" si="38"/>
        <v>3</v>
      </c>
      <c r="AN359" s="47" t="s">
        <v>151</v>
      </c>
      <c r="AO359" s="47"/>
    </row>
    <row r="360" spans="1:41" s="266" customFormat="1">
      <c r="A360" t="str">
        <f t="shared" si="39"/>
        <v>貨4LLBG</v>
      </c>
      <c r="B360" t="s">
        <v>2031</v>
      </c>
      <c r="C360" t="s">
        <v>1936</v>
      </c>
      <c r="D360" t="s">
        <v>2382</v>
      </c>
      <c r="E360" t="s">
        <v>395</v>
      </c>
      <c r="F360">
        <v>0.05</v>
      </c>
      <c r="G360">
        <v>0</v>
      </c>
      <c r="H360">
        <v>3</v>
      </c>
      <c r="I360" t="s">
        <v>232</v>
      </c>
      <c r="J360"/>
      <c r="K360" s="47"/>
      <c r="L360" s="47"/>
      <c r="M360" s="47"/>
      <c r="N360" s="47"/>
      <c r="O360" s="47"/>
      <c r="P360" s="47"/>
      <c r="Q360" s="47"/>
      <c r="R360" s="47"/>
      <c r="S360" s="47"/>
      <c r="T360" s="292" t="str">
        <f t="shared" si="34"/>
        <v>トラック・バス</v>
      </c>
      <c r="U360" s="283" t="str">
        <f t="shared" si="35"/>
        <v>LPG</v>
      </c>
      <c r="V360" s="283" t="str">
        <f t="shared" si="36"/>
        <v>3.5 t～</v>
      </c>
      <c r="W360" s="283" t="str">
        <f t="shared" si="37"/>
        <v>H21</v>
      </c>
      <c r="X360" s="284" t="str">
        <f t="shared" si="37"/>
        <v>LBG</v>
      </c>
      <c r="Y360" s="271"/>
      <c r="Z360" s="283">
        <f t="shared" si="38"/>
        <v>0.05</v>
      </c>
      <c r="AA360" s="283">
        <f t="shared" si="38"/>
        <v>0</v>
      </c>
      <c r="AB360" s="340">
        <f t="shared" si="38"/>
        <v>3</v>
      </c>
      <c r="AN360" s="47" t="s">
        <v>152</v>
      </c>
      <c r="AO360" s="47"/>
    </row>
    <row r="361" spans="1:41" s="266" customFormat="1">
      <c r="A361" t="str">
        <f t="shared" si="39"/>
        <v>貨4LLAG</v>
      </c>
      <c r="B361" t="s">
        <v>2031</v>
      </c>
      <c r="C361" t="s">
        <v>1936</v>
      </c>
      <c r="D361" t="s">
        <v>2382</v>
      </c>
      <c r="E361" t="s">
        <v>397</v>
      </c>
      <c r="F361">
        <v>2.5000000000000001E-2</v>
      </c>
      <c r="G361">
        <v>0</v>
      </c>
      <c r="H361">
        <v>3</v>
      </c>
      <c r="I361" t="s">
        <v>239</v>
      </c>
      <c r="J361"/>
      <c r="T361" s="292" t="str">
        <f t="shared" si="34"/>
        <v>トラック・バス</v>
      </c>
      <c r="U361" s="283" t="str">
        <f t="shared" si="35"/>
        <v>LPG</v>
      </c>
      <c r="V361" s="283" t="str">
        <f t="shared" si="36"/>
        <v>3.5 t～</v>
      </c>
      <c r="W361" s="283" t="str">
        <f t="shared" si="37"/>
        <v>H21</v>
      </c>
      <c r="X361" s="284" t="str">
        <f t="shared" si="37"/>
        <v>LAG</v>
      </c>
      <c r="Y361" s="271"/>
      <c r="Z361" s="283">
        <f t="shared" si="38"/>
        <v>2.5000000000000001E-2</v>
      </c>
      <c r="AA361" s="283">
        <f t="shared" si="38"/>
        <v>0</v>
      </c>
      <c r="AB361" s="340">
        <f t="shared" si="38"/>
        <v>3</v>
      </c>
      <c r="AN361" s="47" t="s">
        <v>153</v>
      </c>
      <c r="AO361" s="47"/>
    </row>
    <row r="362" spans="1:41" s="266" customFormat="1">
      <c r="A362" t="str">
        <f t="shared" si="39"/>
        <v>貨4LLLG</v>
      </c>
      <c r="B362" t="s">
        <v>2031</v>
      </c>
      <c r="C362" t="s">
        <v>1936</v>
      </c>
      <c r="D362" t="s">
        <v>2382</v>
      </c>
      <c r="E362" t="s">
        <v>2525</v>
      </c>
      <c r="F362">
        <v>1.2500000000000001E-2</v>
      </c>
      <c r="G362">
        <v>0</v>
      </c>
      <c r="H362">
        <v>3</v>
      </c>
      <c r="I362" t="s">
        <v>1405</v>
      </c>
      <c r="J362"/>
      <c r="T362" s="292" t="str">
        <f t="shared" si="34"/>
        <v>トラック・バス</v>
      </c>
      <c r="U362" s="283" t="str">
        <f t="shared" si="35"/>
        <v>LPG</v>
      </c>
      <c r="V362" s="283" t="str">
        <f t="shared" si="36"/>
        <v>3.5 t～</v>
      </c>
      <c r="W362" s="283" t="str">
        <f t="shared" si="37"/>
        <v>H21</v>
      </c>
      <c r="X362" s="284" t="str">
        <f t="shared" si="37"/>
        <v>LLG</v>
      </c>
      <c r="Y362" s="271"/>
      <c r="Z362" s="283">
        <f t="shared" si="38"/>
        <v>1.2500000000000001E-2</v>
      </c>
      <c r="AA362" s="283">
        <f t="shared" si="38"/>
        <v>0</v>
      </c>
      <c r="AB362" s="340">
        <f t="shared" si="38"/>
        <v>3</v>
      </c>
      <c r="AD362" s="450"/>
      <c r="AE362" s="450"/>
      <c r="AF362" s="450"/>
      <c r="AG362" s="450"/>
      <c r="AH362" s="450"/>
      <c r="AI362" s="450"/>
      <c r="AN362" s="47" t="s">
        <v>31</v>
      </c>
      <c r="AO362" s="47"/>
    </row>
    <row r="363" spans="1:41" s="266" customFormat="1">
      <c r="A363" t="str">
        <f t="shared" si="39"/>
        <v>貨4LMBG</v>
      </c>
      <c r="B363" t="s">
        <v>2031</v>
      </c>
      <c r="C363" t="s">
        <v>1936</v>
      </c>
      <c r="D363" t="s">
        <v>2382</v>
      </c>
      <c r="E363" t="s">
        <v>399</v>
      </c>
      <c r="F363">
        <v>2.5000000000000001E-2</v>
      </c>
      <c r="G363">
        <v>0</v>
      </c>
      <c r="H363">
        <v>3</v>
      </c>
      <c r="I363" t="s">
        <v>260</v>
      </c>
      <c r="J363"/>
      <c r="T363" s="292" t="str">
        <f t="shared" si="34"/>
        <v>トラック・バス</v>
      </c>
      <c r="U363" s="283" t="str">
        <f t="shared" si="35"/>
        <v>LPG</v>
      </c>
      <c r="V363" s="283" t="str">
        <f t="shared" si="36"/>
        <v>3.5 t～</v>
      </c>
      <c r="W363" s="283" t="str">
        <f t="shared" si="37"/>
        <v>H21</v>
      </c>
      <c r="X363" s="284" t="str">
        <f t="shared" si="37"/>
        <v>MBG</v>
      </c>
      <c r="Y363" s="271" t="s">
        <v>2727</v>
      </c>
      <c r="Z363" s="283">
        <f t="shared" si="38"/>
        <v>2.5000000000000001E-2</v>
      </c>
      <c r="AA363" s="283">
        <f t="shared" si="38"/>
        <v>0</v>
      </c>
      <c r="AB363" s="340">
        <f t="shared" si="38"/>
        <v>3</v>
      </c>
      <c r="AD363" s="450"/>
      <c r="AE363" s="450"/>
      <c r="AF363" s="450"/>
      <c r="AG363" s="450"/>
      <c r="AH363" s="450"/>
      <c r="AI363" s="450"/>
      <c r="AN363" s="47" t="s">
        <v>1436</v>
      </c>
      <c r="AO363" s="47"/>
    </row>
    <row r="364" spans="1:41" s="450" customFormat="1">
      <c r="A364" t="str">
        <f t="shared" si="39"/>
        <v>貨4LMAG</v>
      </c>
      <c r="B364" t="s">
        <v>2031</v>
      </c>
      <c r="C364" t="s">
        <v>1936</v>
      </c>
      <c r="D364" t="s">
        <v>2382</v>
      </c>
      <c r="E364" t="s">
        <v>401</v>
      </c>
      <c r="F364">
        <v>2.5000000000000001E-2</v>
      </c>
      <c r="G364">
        <v>0</v>
      </c>
      <c r="H364">
        <v>3</v>
      </c>
      <c r="I364" t="s">
        <v>239</v>
      </c>
      <c r="J364"/>
      <c r="K364" s="266"/>
      <c r="L364" s="266"/>
      <c r="M364" s="266"/>
      <c r="N364" s="266"/>
      <c r="O364" s="266"/>
      <c r="P364" s="266"/>
      <c r="Q364" s="266"/>
      <c r="R364" s="266"/>
      <c r="S364" s="266"/>
      <c r="T364" s="292" t="str">
        <f t="shared" si="34"/>
        <v>トラック・バス</v>
      </c>
      <c r="U364" s="283" t="str">
        <f t="shared" si="35"/>
        <v>LPG</v>
      </c>
      <c r="V364" s="283" t="str">
        <f t="shared" si="36"/>
        <v>3.5 t～</v>
      </c>
      <c r="W364" s="283" t="str">
        <f t="shared" si="37"/>
        <v>H21</v>
      </c>
      <c r="X364" s="284" t="str">
        <f t="shared" si="37"/>
        <v>MAG</v>
      </c>
      <c r="Y364" s="271" t="s">
        <v>2727</v>
      </c>
      <c r="Z364" s="283">
        <f t="shared" si="38"/>
        <v>2.5000000000000001E-2</v>
      </c>
      <c r="AA364" s="283">
        <f t="shared" si="38"/>
        <v>0</v>
      </c>
      <c r="AB364" s="340">
        <f t="shared" si="38"/>
        <v>3</v>
      </c>
      <c r="AN364" s="47" t="s">
        <v>283</v>
      </c>
      <c r="AO364" s="47"/>
    </row>
    <row r="365" spans="1:41" s="450" customFormat="1">
      <c r="A365" t="str">
        <f t="shared" si="39"/>
        <v>貨4LMLG</v>
      </c>
      <c r="B365" t="s">
        <v>2031</v>
      </c>
      <c r="C365" t="s">
        <v>1936</v>
      </c>
      <c r="D365" t="s">
        <v>2382</v>
      </c>
      <c r="E365" t="s">
        <v>2533</v>
      </c>
      <c r="F365">
        <v>2.5000000000000001E-2</v>
      </c>
      <c r="G365">
        <v>0</v>
      </c>
      <c r="H365">
        <v>3</v>
      </c>
      <c r="I365" t="s">
        <v>1405</v>
      </c>
      <c r="J365"/>
      <c r="K365" s="266"/>
      <c r="L365" s="266"/>
      <c r="M365" s="266"/>
      <c r="N365" s="266"/>
      <c r="O365" s="266"/>
      <c r="P365" s="266"/>
      <c r="Q365" s="266"/>
      <c r="R365" s="266"/>
      <c r="S365" s="266"/>
      <c r="T365" s="292" t="str">
        <f t="shared" si="34"/>
        <v>トラック・バス</v>
      </c>
      <c r="U365" s="283" t="str">
        <f t="shared" si="35"/>
        <v>LPG</v>
      </c>
      <c r="V365" s="283" t="str">
        <f t="shared" si="36"/>
        <v>3.5 t～</v>
      </c>
      <c r="W365" s="283" t="str">
        <f t="shared" si="37"/>
        <v>H21</v>
      </c>
      <c r="X365" s="284" t="str">
        <f t="shared" si="37"/>
        <v>MLG</v>
      </c>
      <c r="Y365" s="271" t="s">
        <v>2727</v>
      </c>
      <c r="Z365" s="283">
        <f t="shared" si="38"/>
        <v>2.5000000000000001E-2</v>
      </c>
      <c r="AA365" s="283">
        <f t="shared" si="38"/>
        <v>0</v>
      </c>
      <c r="AB365" s="340">
        <f t="shared" si="38"/>
        <v>3</v>
      </c>
      <c r="AN365" s="47" t="s">
        <v>329</v>
      </c>
      <c r="AO365" s="47"/>
    </row>
    <row r="366" spans="1:41" s="450" customFormat="1">
      <c r="A366" t="str">
        <f t="shared" si="39"/>
        <v>貨4LRBG</v>
      </c>
      <c r="B366" t="s">
        <v>2031</v>
      </c>
      <c r="C366" t="s">
        <v>1936</v>
      </c>
      <c r="D366" t="s">
        <v>2382</v>
      </c>
      <c r="E366" t="s">
        <v>403</v>
      </c>
      <c r="F366">
        <v>1.2500000000000001E-2</v>
      </c>
      <c r="G366">
        <v>0</v>
      </c>
      <c r="H366">
        <v>3</v>
      </c>
      <c r="I366" t="s">
        <v>263</v>
      </c>
      <c r="J366"/>
      <c r="K366" s="266"/>
      <c r="L366" s="266"/>
      <c r="M366" s="266"/>
      <c r="N366" s="266"/>
      <c r="O366" s="266"/>
      <c r="P366" s="266"/>
      <c r="Q366" s="266"/>
      <c r="R366" s="266"/>
      <c r="S366" s="266"/>
      <c r="T366" s="292" t="str">
        <f t="shared" si="34"/>
        <v>トラック・バス</v>
      </c>
      <c r="U366" s="283" t="str">
        <f t="shared" si="35"/>
        <v>LPG</v>
      </c>
      <c r="V366" s="283" t="str">
        <f t="shared" si="36"/>
        <v>3.5 t～</v>
      </c>
      <c r="W366" s="283" t="str">
        <f t="shared" si="37"/>
        <v>H21</v>
      </c>
      <c r="X366" s="284" t="str">
        <f t="shared" si="37"/>
        <v>RBG</v>
      </c>
      <c r="Y366" s="271" t="s">
        <v>2262</v>
      </c>
      <c r="Z366" s="283">
        <f t="shared" si="38"/>
        <v>1.2500000000000001E-2</v>
      </c>
      <c r="AA366" s="283">
        <f t="shared" si="38"/>
        <v>0</v>
      </c>
      <c r="AB366" s="340">
        <f t="shared" si="38"/>
        <v>3</v>
      </c>
      <c r="AD366" s="47"/>
      <c r="AE366" s="47"/>
      <c r="AF366" s="47"/>
      <c r="AG366" s="47"/>
      <c r="AH366" s="47"/>
      <c r="AI366" s="47"/>
      <c r="AN366" s="47" t="s">
        <v>409</v>
      </c>
      <c r="AO366" s="47"/>
    </row>
    <row r="367" spans="1:41" s="450" customFormat="1">
      <c r="A367" t="str">
        <f t="shared" si="39"/>
        <v>貨4LRAG</v>
      </c>
      <c r="B367" t="s">
        <v>2031</v>
      </c>
      <c r="C367" t="s">
        <v>1936</v>
      </c>
      <c r="D367" t="s">
        <v>2382</v>
      </c>
      <c r="E367" t="s">
        <v>405</v>
      </c>
      <c r="F367">
        <v>1.2500000000000001E-2</v>
      </c>
      <c r="G367">
        <v>0</v>
      </c>
      <c r="H367">
        <v>3</v>
      </c>
      <c r="I367" t="s">
        <v>239</v>
      </c>
      <c r="J367"/>
      <c r="K367" s="266"/>
      <c r="L367" s="266"/>
      <c r="M367" s="266"/>
      <c r="N367" s="266"/>
      <c r="O367" s="266"/>
      <c r="P367" s="266"/>
      <c r="Q367" s="266"/>
      <c r="R367" s="266"/>
      <c r="S367" s="266"/>
      <c r="T367" s="292" t="str">
        <f t="shared" si="34"/>
        <v>トラック・バス</v>
      </c>
      <c r="U367" s="283" t="str">
        <f t="shared" si="35"/>
        <v>LPG</v>
      </c>
      <c r="V367" s="283" t="str">
        <f t="shared" si="36"/>
        <v>3.5 t～</v>
      </c>
      <c r="W367" s="283" t="str">
        <f t="shared" si="37"/>
        <v>H21</v>
      </c>
      <c r="X367" s="284" t="str">
        <f t="shared" si="37"/>
        <v>RAG</v>
      </c>
      <c r="Y367" s="271" t="s">
        <v>2262</v>
      </c>
      <c r="Z367" s="283">
        <f t="shared" si="38"/>
        <v>1.2500000000000001E-2</v>
      </c>
      <c r="AA367" s="283">
        <f t="shared" si="38"/>
        <v>0</v>
      </c>
      <c r="AB367" s="340">
        <f t="shared" si="38"/>
        <v>3</v>
      </c>
      <c r="AD367" s="47"/>
      <c r="AE367" s="47"/>
      <c r="AF367" s="47"/>
      <c r="AG367" s="47"/>
      <c r="AH367" s="47"/>
      <c r="AI367" s="47"/>
      <c r="AN367" s="47" t="s">
        <v>1434</v>
      </c>
      <c r="AO367" s="47"/>
    </row>
    <row r="368" spans="1:41">
      <c r="A368" t="str">
        <f t="shared" si="39"/>
        <v>貨4LRLG</v>
      </c>
      <c r="B368" t="s">
        <v>2031</v>
      </c>
      <c r="C368" t="s">
        <v>1936</v>
      </c>
      <c r="D368" t="s">
        <v>2382</v>
      </c>
      <c r="E368" t="s">
        <v>2551</v>
      </c>
      <c r="F368">
        <v>1.2500000000000001E-2</v>
      </c>
      <c r="G368">
        <v>0</v>
      </c>
      <c r="H368">
        <v>3</v>
      </c>
      <c r="I368" t="s">
        <v>1405</v>
      </c>
      <c r="J368"/>
      <c r="K368" s="266"/>
      <c r="L368" s="266"/>
      <c r="M368" s="266"/>
      <c r="N368" s="266"/>
      <c r="O368" s="266"/>
      <c r="P368" s="266"/>
      <c r="Q368" s="266"/>
      <c r="R368" s="266"/>
      <c r="S368" s="266"/>
      <c r="T368" s="292" t="str">
        <f t="shared" si="34"/>
        <v>トラック・バス</v>
      </c>
      <c r="U368" s="283" t="str">
        <f t="shared" si="35"/>
        <v>LPG</v>
      </c>
      <c r="V368" s="283" t="str">
        <f t="shared" si="36"/>
        <v>3.5 t～</v>
      </c>
      <c r="W368" s="283" t="str">
        <f t="shared" si="37"/>
        <v>H21</v>
      </c>
      <c r="X368" s="284" t="str">
        <f t="shared" si="37"/>
        <v>RLG</v>
      </c>
      <c r="Y368" s="271" t="s">
        <v>2262</v>
      </c>
      <c r="Z368" s="283">
        <f t="shared" si="38"/>
        <v>1.2500000000000001E-2</v>
      </c>
      <c r="AA368" s="283">
        <f t="shared" si="38"/>
        <v>0</v>
      </c>
      <c r="AB368" s="340">
        <f t="shared" si="38"/>
        <v>3</v>
      </c>
      <c r="AN368" s="47" t="s">
        <v>281</v>
      </c>
    </row>
    <row r="369" spans="1:40">
      <c r="A369" t="str">
        <f t="shared" si="39"/>
        <v>貨4LQBG</v>
      </c>
      <c r="B369" t="s">
        <v>2031</v>
      </c>
      <c r="C369" t="s">
        <v>1936</v>
      </c>
      <c r="D369" t="s">
        <v>2382</v>
      </c>
      <c r="E369" t="s">
        <v>407</v>
      </c>
      <c r="F369">
        <v>4.4999999999999998E-2</v>
      </c>
      <c r="G369">
        <v>0</v>
      </c>
      <c r="H369">
        <v>3</v>
      </c>
      <c r="I369" t="s">
        <v>232</v>
      </c>
      <c r="J369"/>
      <c r="K369" s="266"/>
      <c r="L369" s="266"/>
      <c r="M369" s="266"/>
      <c r="N369" s="266"/>
      <c r="O369" s="266"/>
      <c r="P369" s="266"/>
      <c r="Q369" s="266"/>
      <c r="R369" s="266"/>
      <c r="S369" s="266"/>
      <c r="T369" s="292" t="str">
        <f t="shared" si="34"/>
        <v>トラック・バス</v>
      </c>
      <c r="U369" s="283" t="str">
        <f t="shared" si="35"/>
        <v>LPG</v>
      </c>
      <c r="V369" s="283" t="str">
        <f t="shared" si="36"/>
        <v>3.5 t～</v>
      </c>
      <c r="W369" s="283" t="str">
        <f t="shared" si="37"/>
        <v>H21</v>
      </c>
      <c r="X369" s="284" t="str">
        <f t="shared" si="37"/>
        <v>QBG</v>
      </c>
      <c r="Y369" s="271" t="s">
        <v>1762</v>
      </c>
      <c r="Z369" s="283">
        <f t="shared" si="38"/>
        <v>4.4999999999999998E-2</v>
      </c>
      <c r="AA369" s="283">
        <f t="shared" si="38"/>
        <v>0</v>
      </c>
      <c r="AB369" s="340">
        <f t="shared" si="38"/>
        <v>3</v>
      </c>
      <c r="AN369" s="47" t="s">
        <v>327</v>
      </c>
    </row>
    <row r="370" spans="1:40">
      <c r="A370" t="str">
        <f t="shared" si="39"/>
        <v>貨4LQAG</v>
      </c>
      <c r="B370" t="s">
        <v>2031</v>
      </c>
      <c r="C370" t="s">
        <v>1936</v>
      </c>
      <c r="D370" t="s">
        <v>2382</v>
      </c>
      <c r="E370" t="s">
        <v>409</v>
      </c>
      <c r="F370">
        <v>4.4999999999999998E-2</v>
      </c>
      <c r="G370">
        <v>0</v>
      </c>
      <c r="H370">
        <v>3</v>
      </c>
      <c r="I370" t="s">
        <v>239</v>
      </c>
      <c r="J370"/>
      <c r="K370" s="450"/>
      <c r="L370" s="450"/>
      <c r="M370" s="450"/>
      <c r="N370" s="450"/>
      <c r="O370" s="450"/>
      <c r="P370" s="450"/>
      <c r="Q370" s="450"/>
      <c r="R370" s="450"/>
      <c r="S370" s="450"/>
      <c r="T370" s="292" t="str">
        <f t="shared" si="34"/>
        <v>トラック・バス</v>
      </c>
      <c r="U370" s="283" t="str">
        <f t="shared" si="35"/>
        <v>LPG</v>
      </c>
      <c r="V370" s="283" t="str">
        <f t="shared" si="36"/>
        <v>3.5 t～</v>
      </c>
      <c r="W370" s="283" t="str">
        <f t="shared" si="37"/>
        <v>H21</v>
      </c>
      <c r="X370" s="284" t="str">
        <f t="shared" si="37"/>
        <v>QAG</v>
      </c>
      <c r="Y370" s="271" t="s">
        <v>1762</v>
      </c>
      <c r="Z370" s="283">
        <f t="shared" si="38"/>
        <v>4.4999999999999998E-2</v>
      </c>
      <c r="AA370" s="283">
        <f t="shared" si="38"/>
        <v>0</v>
      </c>
      <c r="AB370" s="340">
        <f t="shared" si="38"/>
        <v>3</v>
      </c>
      <c r="AN370" s="47" t="s">
        <v>407</v>
      </c>
    </row>
    <row r="371" spans="1:40">
      <c r="A371" t="str">
        <f t="shared" si="39"/>
        <v>貨4LQLG</v>
      </c>
      <c r="B371" t="s">
        <v>2031</v>
      </c>
      <c r="C371" t="s">
        <v>1936</v>
      </c>
      <c r="D371" t="s">
        <v>2382</v>
      </c>
      <c r="E371" t="s">
        <v>2543</v>
      </c>
      <c r="F371">
        <v>4.4999999999999998E-2</v>
      </c>
      <c r="G371">
        <v>0</v>
      </c>
      <c r="H371">
        <v>3</v>
      </c>
      <c r="I371" t="s">
        <v>1405</v>
      </c>
      <c r="J371"/>
      <c r="K371" s="450"/>
      <c r="L371" s="450"/>
      <c r="M371" s="450"/>
      <c r="N371" s="450"/>
      <c r="O371" s="450"/>
      <c r="P371" s="450"/>
      <c r="Q371" s="450"/>
      <c r="R371" s="450"/>
      <c r="S371" s="450"/>
      <c r="T371" s="292" t="str">
        <f t="shared" si="34"/>
        <v>トラック・バス</v>
      </c>
      <c r="U371" s="283" t="str">
        <f t="shared" si="35"/>
        <v>LPG</v>
      </c>
      <c r="V371" s="283" t="str">
        <f t="shared" si="36"/>
        <v>3.5 t～</v>
      </c>
      <c r="W371" s="283" t="str">
        <f t="shared" si="37"/>
        <v>H21</v>
      </c>
      <c r="X371" s="284" t="str">
        <f t="shared" si="37"/>
        <v>QLG</v>
      </c>
      <c r="Y371" s="271" t="s">
        <v>1762</v>
      </c>
      <c r="Z371" s="283">
        <f t="shared" si="38"/>
        <v>4.4999999999999998E-2</v>
      </c>
      <c r="AA371" s="283">
        <f t="shared" si="38"/>
        <v>0</v>
      </c>
      <c r="AB371" s="340">
        <f t="shared" si="38"/>
        <v>3</v>
      </c>
      <c r="AN371" s="47" t="s">
        <v>1648</v>
      </c>
    </row>
    <row r="372" spans="1:40">
      <c r="A372" t="str">
        <f t="shared" si="39"/>
        <v>貨1軽-</v>
      </c>
      <c r="B372" t="s">
        <v>2045</v>
      </c>
      <c r="C372" t="s">
        <v>2043</v>
      </c>
      <c r="D372" t="s">
        <v>2458</v>
      </c>
      <c r="E372" t="s">
        <v>2457</v>
      </c>
      <c r="F372">
        <v>1.7</v>
      </c>
      <c r="G372">
        <v>0.2</v>
      </c>
      <c r="H372">
        <v>2.58</v>
      </c>
      <c r="I372" t="s">
        <v>1973</v>
      </c>
      <c r="J372"/>
      <c r="K372" s="450"/>
      <c r="L372" s="450"/>
      <c r="M372" s="450"/>
      <c r="N372" s="450"/>
      <c r="O372" s="450"/>
      <c r="P372" s="450"/>
      <c r="Q372" s="450"/>
      <c r="R372" s="450"/>
      <c r="S372" s="450"/>
      <c r="T372" s="292" t="str">
        <f t="shared" si="34"/>
        <v>トラック・バス</v>
      </c>
      <c r="U372" s="283" t="str">
        <f t="shared" si="35"/>
        <v>軽油</v>
      </c>
      <c r="V372" s="283" t="str">
        <f t="shared" si="36"/>
        <v>～1.7 t</v>
      </c>
      <c r="W372" s="283" t="str">
        <f t="shared" si="37"/>
        <v>S54前</v>
      </c>
      <c r="X372" s="284" t="str">
        <f t="shared" si="37"/>
        <v>-</v>
      </c>
      <c r="Y372" s="271"/>
      <c r="Z372" s="283">
        <f t="shared" si="38"/>
        <v>1.7</v>
      </c>
      <c r="AA372" s="283">
        <f t="shared" si="38"/>
        <v>0.2</v>
      </c>
      <c r="AB372" s="340">
        <f t="shared" si="38"/>
        <v>2.58</v>
      </c>
      <c r="AN372" s="266" t="s">
        <v>663</v>
      </c>
    </row>
    <row r="373" spans="1:40">
      <c r="A373" t="str">
        <f t="shared" si="39"/>
        <v>貨1軽K</v>
      </c>
      <c r="B373" t="s">
        <v>2045</v>
      </c>
      <c r="C373" t="s">
        <v>2043</v>
      </c>
      <c r="D373" t="s">
        <v>0</v>
      </c>
      <c r="E373" t="s">
        <v>6</v>
      </c>
      <c r="F373">
        <v>1.52</v>
      </c>
      <c r="G373">
        <v>0.2</v>
      </c>
      <c r="H373">
        <v>2.58</v>
      </c>
      <c r="I373" t="s">
        <v>1973</v>
      </c>
      <c r="J373"/>
      <c r="K373" s="450"/>
      <c r="L373" s="450"/>
      <c r="M373" s="450"/>
      <c r="N373" s="450"/>
      <c r="O373" s="450"/>
      <c r="P373" s="450"/>
      <c r="Q373" s="450"/>
      <c r="R373" s="450"/>
      <c r="S373" s="450"/>
      <c r="T373" s="292" t="str">
        <f t="shared" si="34"/>
        <v>トラック・バス</v>
      </c>
      <c r="U373" s="283" t="str">
        <f t="shared" si="35"/>
        <v>軽油</v>
      </c>
      <c r="V373" s="283" t="str">
        <f t="shared" si="36"/>
        <v>～1.7 t</v>
      </c>
      <c r="W373" s="283" t="str">
        <f t="shared" si="37"/>
        <v>S54</v>
      </c>
      <c r="X373" s="284" t="str">
        <f t="shared" si="37"/>
        <v>K</v>
      </c>
      <c r="Y373" s="271"/>
      <c r="Z373" s="283">
        <f t="shared" si="38"/>
        <v>1.52</v>
      </c>
      <c r="AA373" s="283">
        <f t="shared" si="38"/>
        <v>0.2</v>
      </c>
      <c r="AB373" s="340">
        <f t="shared" si="38"/>
        <v>2.58</v>
      </c>
      <c r="AN373" s="266" t="s">
        <v>896</v>
      </c>
    </row>
    <row r="374" spans="1:40">
      <c r="A374" t="str">
        <f t="shared" si="39"/>
        <v>貨1軽N</v>
      </c>
      <c r="B374" t="s">
        <v>2045</v>
      </c>
      <c r="C374" t="s">
        <v>2043</v>
      </c>
      <c r="D374" t="s">
        <v>8</v>
      </c>
      <c r="E374" t="s">
        <v>136</v>
      </c>
      <c r="F374">
        <v>1.3</v>
      </c>
      <c r="G374">
        <v>0.2</v>
      </c>
      <c r="H374">
        <v>2.58</v>
      </c>
      <c r="I374" t="s">
        <v>1973</v>
      </c>
      <c r="J374"/>
      <c r="T374" s="292" t="str">
        <f t="shared" si="34"/>
        <v>トラック・バス</v>
      </c>
      <c r="U374" s="283" t="str">
        <f t="shared" si="35"/>
        <v>軽油</v>
      </c>
      <c r="V374" s="283" t="str">
        <f t="shared" si="36"/>
        <v>～1.7 t</v>
      </c>
      <c r="W374" s="283" t="str">
        <f t="shared" si="37"/>
        <v>S57,S58</v>
      </c>
      <c r="X374" s="284" t="str">
        <f t="shared" si="37"/>
        <v>N</v>
      </c>
      <c r="Y374" s="271"/>
      <c r="Z374" s="283">
        <f t="shared" si="38"/>
        <v>1.3</v>
      </c>
      <c r="AA374" s="283">
        <f t="shared" si="38"/>
        <v>0.2</v>
      </c>
      <c r="AB374" s="340">
        <f t="shared" si="38"/>
        <v>2.58</v>
      </c>
      <c r="AN374" s="47" t="s">
        <v>2363</v>
      </c>
    </row>
    <row r="375" spans="1:40">
      <c r="A375" t="str">
        <f t="shared" si="39"/>
        <v>貨1軽P</v>
      </c>
      <c r="B375" t="s">
        <v>2045</v>
      </c>
      <c r="C375" t="s">
        <v>2043</v>
      </c>
      <c r="D375" t="s">
        <v>8</v>
      </c>
      <c r="E375" t="s">
        <v>137</v>
      </c>
      <c r="F375">
        <v>1.3</v>
      </c>
      <c r="G375">
        <v>0.2</v>
      </c>
      <c r="H375">
        <v>2.58</v>
      </c>
      <c r="I375" t="s">
        <v>1973</v>
      </c>
      <c r="J375"/>
      <c r="T375" s="292" t="str">
        <f t="shared" si="34"/>
        <v>トラック・バス</v>
      </c>
      <c r="U375" s="283" t="str">
        <f t="shared" si="35"/>
        <v>軽油</v>
      </c>
      <c r="V375" s="283" t="str">
        <f t="shared" si="36"/>
        <v>～1.7 t</v>
      </c>
      <c r="W375" s="283" t="str">
        <f t="shared" si="37"/>
        <v>S57,S58</v>
      </c>
      <c r="X375" s="284" t="str">
        <f t="shared" si="37"/>
        <v>P</v>
      </c>
      <c r="Y375" s="271"/>
      <c r="Z375" s="283">
        <f t="shared" si="38"/>
        <v>1.3</v>
      </c>
      <c r="AA375" s="283">
        <f t="shared" si="38"/>
        <v>0.2</v>
      </c>
      <c r="AB375" s="340">
        <f t="shared" si="38"/>
        <v>2.58</v>
      </c>
      <c r="AN375" s="47" t="s">
        <v>1642</v>
      </c>
    </row>
    <row r="376" spans="1:40">
      <c r="A376" t="str">
        <f t="shared" si="39"/>
        <v>貨1軽S</v>
      </c>
      <c r="B376" t="s">
        <v>2045</v>
      </c>
      <c r="C376" t="s">
        <v>2043</v>
      </c>
      <c r="D376" t="s">
        <v>11</v>
      </c>
      <c r="E376" t="s">
        <v>12</v>
      </c>
      <c r="F376">
        <v>0.9</v>
      </c>
      <c r="G376">
        <v>0.2</v>
      </c>
      <c r="H376">
        <v>2.58</v>
      </c>
      <c r="I376" t="s">
        <v>1973</v>
      </c>
      <c r="J376"/>
      <c r="T376" s="292" t="str">
        <f t="shared" si="34"/>
        <v>トラック・バス</v>
      </c>
      <c r="U376" s="283" t="str">
        <f t="shared" si="35"/>
        <v>軽油</v>
      </c>
      <c r="V376" s="283" t="str">
        <f t="shared" si="36"/>
        <v>～1.7 t</v>
      </c>
      <c r="W376" s="283" t="str">
        <f t="shared" si="37"/>
        <v>S63</v>
      </c>
      <c r="X376" s="284" t="str">
        <f t="shared" si="37"/>
        <v>S</v>
      </c>
      <c r="Y376" s="271"/>
      <c r="Z376" s="283">
        <f t="shared" si="38"/>
        <v>0.9</v>
      </c>
      <c r="AA376" s="283">
        <f t="shared" si="38"/>
        <v>0.2</v>
      </c>
      <c r="AB376" s="340">
        <f t="shared" si="38"/>
        <v>2.58</v>
      </c>
      <c r="AN376" s="47" t="s">
        <v>655</v>
      </c>
    </row>
    <row r="377" spans="1:40">
      <c r="A377" t="str">
        <f t="shared" si="39"/>
        <v>貨1軽KA</v>
      </c>
      <c r="B377" t="s">
        <v>2045</v>
      </c>
      <c r="C377" t="s">
        <v>2043</v>
      </c>
      <c r="D377" t="s">
        <v>2032</v>
      </c>
      <c r="E377" t="s">
        <v>14</v>
      </c>
      <c r="F377">
        <v>0.6</v>
      </c>
      <c r="G377">
        <v>0.2</v>
      </c>
      <c r="H377">
        <v>2.58</v>
      </c>
      <c r="I377" t="s">
        <v>1973</v>
      </c>
      <c r="J377"/>
      <c r="T377" s="292" t="str">
        <f t="shared" si="34"/>
        <v>トラック・バス</v>
      </c>
      <c r="U377" s="283" t="str">
        <f t="shared" si="35"/>
        <v>軽油</v>
      </c>
      <c r="V377" s="283" t="str">
        <f t="shared" si="36"/>
        <v>～1.7 t</v>
      </c>
      <c r="W377" s="283" t="str">
        <f t="shared" si="37"/>
        <v>H5</v>
      </c>
      <c r="X377" s="284" t="str">
        <f t="shared" si="37"/>
        <v>KA</v>
      </c>
      <c r="Y377" s="271"/>
      <c r="Z377" s="283">
        <f t="shared" si="38"/>
        <v>0.6</v>
      </c>
      <c r="AA377" s="283">
        <f t="shared" si="38"/>
        <v>0.2</v>
      </c>
      <c r="AB377" s="340">
        <f t="shared" si="38"/>
        <v>2.58</v>
      </c>
      <c r="AN377" s="266" t="s">
        <v>888</v>
      </c>
    </row>
    <row r="378" spans="1:40">
      <c r="A378" t="str">
        <f t="shared" si="39"/>
        <v>貨1軽KE</v>
      </c>
      <c r="B378" t="s">
        <v>2045</v>
      </c>
      <c r="C378" t="s">
        <v>2043</v>
      </c>
      <c r="D378" t="s">
        <v>2033</v>
      </c>
      <c r="E378" t="s">
        <v>118</v>
      </c>
      <c r="F378">
        <v>0.4</v>
      </c>
      <c r="G378">
        <v>0.08</v>
      </c>
      <c r="H378">
        <v>2.58</v>
      </c>
      <c r="I378" t="s">
        <v>1973</v>
      </c>
      <c r="J378"/>
      <c r="T378" s="292" t="str">
        <f t="shared" si="34"/>
        <v>トラック・バス</v>
      </c>
      <c r="U378" s="283" t="str">
        <f t="shared" si="35"/>
        <v>軽油</v>
      </c>
      <c r="V378" s="283" t="str">
        <f t="shared" si="36"/>
        <v>～1.7 t</v>
      </c>
      <c r="W378" s="283" t="str">
        <f t="shared" si="37"/>
        <v>H9</v>
      </c>
      <c r="X378" s="284" t="str">
        <f t="shared" si="37"/>
        <v>KE</v>
      </c>
      <c r="Y378" s="271"/>
      <c r="Z378" s="283">
        <f t="shared" si="38"/>
        <v>0.4</v>
      </c>
      <c r="AA378" s="283">
        <f t="shared" si="38"/>
        <v>0.08</v>
      </c>
      <c r="AB378" s="340">
        <f t="shared" si="38"/>
        <v>2.58</v>
      </c>
      <c r="AN378" s="47" t="s">
        <v>2359</v>
      </c>
    </row>
    <row r="379" spans="1:40">
      <c r="A379" t="str">
        <f t="shared" si="39"/>
        <v>貨1軽HA</v>
      </c>
      <c r="B379" t="s">
        <v>2045</v>
      </c>
      <c r="C379" t="s">
        <v>2043</v>
      </c>
      <c r="D379" t="s">
        <v>2033</v>
      </c>
      <c r="E379" t="s">
        <v>105</v>
      </c>
      <c r="F379">
        <v>0.2</v>
      </c>
      <c r="G379">
        <v>0.04</v>
      </c>
      <c r="H379">
        <v>2.58</v>
      </c>
      <c r="I379" t="s">
        <v>239</v>
      </c>
      <c r="J379"/>
      <c r="T379" s="292" t="str">
        <f t="shared" si="34"/>
        <v>トラック・バス</v>
      </c>
      <c r="U379" s="283" t="str">
        <f t="shared" si="35"/>
        <v>軽油</v>
      </c>
      <c r="V379" s="283" t="str">
        <f t="shared" si="36"/>
        <v>～1.7 t</v>
      </c>
      <c r="W379" s="283" t="str">
        <f t="shared" si="37"/>
        <v>H9</v>
      </c>
      <c r="X379" s="284" t="str">
        <f t="shared" si="37"/>
        <v>HA</v>
      </c>
      <c r="Y379" s="271"/>
      <c r="Z379" s="283">
        <f t="shared" si="38"/>
        <v>0.2</v>
      </c>
      <c r="AA379" s="283">
        <f t="shared" si="38"/>
        <v>0.04</v>
      </c>
      <c r="AB379" s="340">
        <f t="shared" si="38"/>
        <v>2.58</v>
      </c>
      <c r="AN379" s="47" t="s">
        <v>1690</v>
      </c>
    </row>
    <row r="380" spans="1:40">
      <c r="A380" t="str">
        <f t="shared" si="39"/>
        <v>貨1軽KP</v>
      </c>
      <c r="B380" t="s">
        <v>2045</v>
      </c>
      <c r="C380" t="s">
        <v>2043</v>
      </c>
      <c r="D380" t="s">
        <v>16</v>
      </c>
      <c r="E380" t="s">
        <v>127</v>
      </c>
      <c r="F380">
        <v>0.28000000000000003</v>
      </c>
      <c r="G380">
        <v>5.1999999999999998E-2</v>
      </c>
      <c r="H380">
        <v>2.58</v>
      </c>
      <c r="I380" t="s">
        <v>1973</v>
      </c>
      <c r="J380"/>
      <c r="T380" s="292" t="str">
        <f t="shared" si="34"/>
        <v>トラック・バス</v>
      </c>
      <c r="U380" s="283" t="str">
        <f t="shared" si="35"/>
        <v>軽油</v>
      </c>
      <c r="V380" s="283" t="str">
        <f t="shared" si="36"/>
        <v>～1.7 t</v>
      </c>
      <c r="W380" s="283" t="str">
        <f t="shared" si="37"/>
        <v>H14</v>
      </c>
      <c r="X380" s="284" t="str">
        <f t="shared" si="37"/>
        <v>KP</v>
      </c>
      <c r="Y380" s="271"/>
      <c r="Z380" s="283">
        <f t="shared" si="38"/>
        <v>0.28000000000000003</v>
      </c>
      <c r="AA380" s="283">
        <f t="shared" si="38"/>
        <v>5.1999999999999998E-2</v>
      </c>
      <c r="AB380" s="340">
        <f t="shared" si="38"/>
        <v>2.58</v>
      </c>
      <c r="AN380" s="436" t="s">
        <v>1159</v>
      </c>
    </row>
    <row r="381" spans="1:40">
      <c r="A381" t="str">
        <f t="shared" si="39"/>
        <v>貨1軽HW</v>
      </c>
      <c r="B381" t="s">
        <v>2045</v>
      </c>
      <c r="C381" t="s">
        <v>2043</v>
      </c>
      <c r="D381" t="s">
        <v>16</v>
      </c>
      <c r="E381" t="s">
        <v>114</v>
      </c>
      <c r="F381">
        <v>0.14000000000000001</v>
      </c>
      <c r="G381">
        <v>2.5999999999999999E-2</v>
      </c>
      <c r="H381">
        <v>2.58</v>
      </c>
      <c r="I381" t="s">
        <v>239</v>
      </c>
      <c r="J381"/>
      <c r="T381" s="292" t="str">
        <f t="shared" si="34"/>
        <v>トラック・バス</v>
      </c>
      <c r="U381" s="283" t="str">
        <f t="shared" si="35"/>
        <v>軽油</v>
      </c>
      <c r="V381" s="283" t="str">
        <f t="shared" si="36"/>
        <v>～1.7 t</v>
      </c>
      <c r="W381" s="283" t="str">
        <f t="shared" si="37"/>
        <v>H14</v>
      </c>
      <c r="X381" s="284" t="str">
        <f t="shared" si="37"/>
        <v>HW</v>
      </c>
      <c r="Y381" s="271"/>
      <c r="Z381" s="283">
        <f t="shared" si="38"/>
        <v>0.14000000000000001</v>
      </c>
      <c r="AA381" s="283">
        <f t="shared" si="38"/>
        <v>2.5999999999999999E-2</v>
      </c>
      <c r="AB381" s="340">
        <f t="shared" si="38"/>
        <v>2.58</v>
      </c>
      <c r="AN381" s="47" t="s">
        <v>1192</v>
      </c>
    </row>
    <row r="382" spans="1:40">
      <c r="A382" t="str">
        <f t="shared" si="39"/>
        <v>貨1軽TH</v>
      </c>
      <c r="B382" t="s">
        <v>2045</v>
      </c>
      <c r="C382" t="s">
        <v>2043</v>
      </c>
      <c r="D382" t="s">
        <v>16</v>
      </c>
      <c r="E382" t="s">
        <v>154</v>
      </c>
      <c r="F382">
        <v>0.21</v>
      </c>
      <c r="G382">
        <v>3.9E-2</v>
      </c>
      <c r="H382">
        <v>2.58</v>
      </c>
      <c r="I382" t="s">
        <v>1973</v>
      </c>
      <c r="J382"/>
      <c r="T382" s="292" t="str">
        <f t="shared" si="34"/>
        <v>トラック・バス</v>
      </c>
      <c r="U382" s="283" t="str">
        <f t="shared" si="35"/>
        <v>軽油</v>
      </c>
      <c r="V382" s="283" t="str">
        <f t="shared" si="36"/>
        <v>～1.7 t</v>
      </c>
      <c r="W382" s="283" t="str">
        <f t="shared" si="37"/>
        <v>H14</v>
      </c>
      <c r="X382" s="284" t="str">
        <f t="shared" si="37"/>
        <v>TH</v>
      </c>
      <c r="Y382" s="271" t="s">
        <v>244</v>
      </c>
      <c r="Z382" s="283">
        <f t="shared" si="38"/>
        <v>0.21</v>
      </c>
      <c r="AA382" s="283">
        <f t="shared" si="38"/>
        <v>3.9E-2</v>
      </c>
      <c r="AB382" s="340">
        <f t="shared" si="38"/>
        <v>2.58</v>
      </c>
      <c r="AN382" s="47" t="s">
        <v>2369</v>
      </c>
    </row>
    <row r="383" spans="1:40">
      <c r="A383" t="str">
        <f t="shared" si="39"/>
        <v>貨1軽XH</v>
      </c>
      <c r="B383" t="s">
        <v>2045</v>
      </c>
      <c r="C383" t="s">
        <v>2043</v>
      </c>
      <c r="D383" t="s">
        <v>16</v>
      </c>
      <c r="E383" t="s">
        <v>183</v>
      </c>
      <c r="F383">
        <v>0.21</v>
      </c>
      <c r="G383">
        <v>3.9E-2</v>
      </c>
      <c r="H383">
        <v>2.58</v>
      </c>
      <c r="I383" t="s">
        <v>239</v>
      </c>
      <c r="J383"/>
      <c r="T383" s="292" t="str">
        <f t="shared" si="34"/>
        <v>トラック・バス</v>
      </c>
      <c r="U383" s="283" t="str">
        <f t="shared" si="35"/>
        <v>軽油</v>
      </c>
      <c r="V383" s="283" t="str">
        <f t="shared" si="36"/>
        <v>～1.7 t</v>
      </c>
      <c r="W383" s="283" t="str">
        <f t="shared" si="37"/>
        <v>H14</v>
      </c>
      <c r="X383" s="284" t="str">
        <f t="shared" si="37"/>
        <v>XH</v>
      </c>
      <c r="Y383" s="271" t="s">
        <v>244</v>
      </c>
      <c r="Z383" s="283">
        <f t="shared" si="38"/>
        <v>0.21</v>
      </c>
      <c r="AA383" s="283">
        <f t="shared" si="38"/>
        <v>3.9E-2</v>
      </c>
      <c r="AB383" s="340">
        <f t="shared" si="38"/>
        <v>2.58</v>
      </c>
      <c r="AN383" s="47" t="s">
        <v>1688</v>
      </c>
    </row>
    <row r="384" spans="1:40">
      <c r="A384" t="str">
        <f t="shared" si="39"/>
        <v>貨1軽LH</v>
      </c>
      <c r="B384" t="s">
        <v>2045</v>
      </c>
      <c r="C384" t="s">
        <v>2043</v>
      </c>
      <c r="D384" t="s">
        <v>16</v>
      </c>
      <c r="E384" t="s">
        <v>131</v>
      </c>
      <c r="F384">
        <v>0.14000000000000001</v>
      </c>
      <c r="G384">
        <v>2.5999999999999999E-2</v>
      </c>
      <c r="H384">
        <v>2.58</v>
      </c>
      <c r="I384" t="s">
        <v>1973</v>
      </c>
      <c r="J384"/>
      <c r="T384" s="292" t="str">
        <f t="shared" si="34"/>
        <v>トラック・バス</v>
      </c>
      <c r="U384" s="283" t="str">
        <f t="shared" si="35"/>
        <v>軽油</v>
      </c>
      <c r="V384" s="283" t="str">
        <f t="shared" si="36"/>
        <v>～1.7 t</v>
      </c>
      <c r="W384" s="283" t="str">
        <f t="shared" si="37"/>
        <v>H14</v>
      </c>
      <c r="X384" s="284" t="str">
        <f t="shared" si="37"/>
        <v>LH</v>
      </c>
      <c r="Y384" s="271" t="s">
        <v>247</v>
      </c>
      <c r="Z384" s="283">
        <f t="shared" si="38"/>
        <v>0.14000000000000001</v>
      </c>
      <c r="AA384" s="283">
        <f t="shared" si="38"/>
        <v>2.5999999999999999E-2</v>
      </c>
      <c r="AB384" s="340">
        <f t="shared" si="38"/>
        <v>2.58</v>
      </c>
      <c r="AN384" s="266" t="s">
        <v>1157</v>
      </c>
    </row>
    <row r="385" spans="1:41">
      <c r="A385" t="str">
        <f t="shared" si="39"/>
        <v>貨1軽YH</v>
      </c>
      <c r="B385" t="s">
        <v>2045</v>
      </c>
      <c r="C385" t="s">
        <v>2043</v>
      </c>
      <c r="D385" t="s">
        <v>16</v>
      </c>
      <c r="E385" t="s">
        <v>189</v>
      </c>
      <c r="F385">
        <v>0.14000000000000001</v>
      </c>
      <c r="G385">
        <v>2.5999999999999999E-2</v>
      </c>
      <c r="H385">
        <v>2.58</v>
      </c>
      <c r="I385" t="s">
        <v>239</v>
      </c>
      <c r="J385"/>
      <c r="T385" s="292" t="str">
        <f t="shared" si="34"/>
        <v>トラック・バス</v>
      </c>
      <c r="U385" s="283" t="str">
        <f t="shared" si="35"/>
        <v>軽油</v>
      </c>
      <c r="V385" s="283" t="str">
        <f t="shared" si="36"/>
        <v>～1.7 t</v>
      </c>
      <c r="W385" s="283" t="str">
        <f t="shared" si="37"/>
        <v>H14</v>
      </c>
      <c r="X385" s="284" t="str">
        <f t="shared" si="37"/>
        <v>YH</v>
      </c>
      <c r="Y385" s="271" t="s">
        <v>247</v>
      </c>
      <c r="Z385" s="283">
        <f t="shared" si="38"/>
        <v>0.14000000000000001</v>
      </c>
      <c r="AA385" s="283">
        <f t="shared" si="38"/>
        <v>2.5999999999999999E-2</v>
      </c>
      <c r="AB385" s="340">
        <f t="shared" si="38"/>
        <v>2.58</v>
      </c>
      <c r="AN385" s="47" t="s">
        <v>1190</v>
      </c>
    </row>
    <row r="386" spans="1:41">
      <c r="A386" t="str">
        <f t="shared" si="39"/>
        <v>貨1軽UH</v>
      </c>
      <c r="B386" t="s">
        <v>2045</v>
      </c>
      <c r="C386" t="s">
        <v>2043</v>
      </c>
      <c r="D386" t="s">
        <v>16</v>
      </c>
      <c r="E386" t="s">
        <v>160</v>
      </c>
      <c r="F386">
        <v>7.0000000000000007E-2</v>
      </c>
      <c r="G386">
        <v>1.2999999999999999E-2</v>
      </c>
      <c r="H386">
        <v>2.58</v>
      </c>
      <c r="I386" t="s">
        <v>1973</v>
      </c>
      <c r="J386"/>
      <c r="T386" s="292" t="str">
        <f t="shared" si="34"/>
        <v>トラック・バス</v>
      </c>
      <c r="U386" s="283" t="str">
        <f t="shared" si="35"/>
        <v>軽油</v>
      </c>
      <c r="V386" s="283" t="str">
        <f t="shared" si="36"/>
        <v>～1.7 t</v>
      </c>
      <c r="W386" s="283" t="str">
        <f t="shared" si="37"/>
        <v>H14</v>
      </c>
      <c r="X386" s="284" t="str">
        <f t="shared" si="37"/>
        <v>UH</v>
      </c>
      <c r="Y386" s="271" t="s">
        <v>250</v>
      </c>
      <c r="Z386" s="283">
        <f t="shared" si="38"/>
        <v>7.0000000000000007E-2</v>
      </c>
      <c r="AA386" s="283">
        <f t="shared" si="38"/>
        <v>1.2999999999999999E-2</v>
      </c>
      <c r="AB386" s="340">
        <f t="shared" si="38"/>
        <v>2.58</v>
      </c>
      <c r="AN386" s="47" t="s">
        <v>2368</v>
      </c>
    </row>
    <row r="387" spans="1:41">
      <c r="A387" t="str">
        <f t="shared" si="39"/>
        <v>貨1軽ZH</v>
      </c>
      <c r="B387" t="s">
        <v>2045</v>
      </c>
      <c r="C387" t="s">
        <v>2043</v>
      </c>
      <c r="D387" t="s">
        <v>16</v>
      </c>
      <c r="E387" t="s">
        <v>194</v>
      </c>
      <c r="F387">
        <v>7.0000000000000007E-2</v>
      </c>
      <c r="G387">
        <v>1.2999999999999999E-2</v>
      </c>
      <c r="H387">
        <v>2.58</v>
      </c>
      <c r="I387" t="s">
        <v>239</v>
      </c>
      <c r="J387"/>
      <c r="T387" s="292" t="str">
        <f t="shared" si="34"/>
        <v>トラック・バス</v>
      </c>
      <c r="U387" s="283" t="str">
        <f t="shared" si="35"/>
        <v>軽油</v>
      </c>
      <c r="V387" s="283" t="str">
        <f t="shared" si="36"/>
        <v>～1.7 t</v>
      </c>
      <c r="W387" s="283" t="str">
        <f t="shared" si="37"/>
        <v>H14</v>
      </c>
      <c r="X387" s="284" t="str">
        <f t="shared" si="37"/>
        <v>ZH</v>
      </c>
      <c r="Y387" s="271" t="s">
        <v>250</v>
      </c>
      <c r="Z387" s="283">
        <f t="shared" si="38"/>
        <v>7.0000000000000007E-2</v>
      </c>
      <c r="AA387" s="283">
        <f t="shared" si="38"/>
        <v>1.2999999999999999E-2</v>
      </c>
      <c r="AB387" s="340">
        <f t="shared" si="38"/>
        <v>2.58</v>
      </c>
      <c r="AN387" s="47" t="s">
        <v>1718</v>
      </c>
    </row>
    <row r="388" spans="1:41">
      <c r="A388" t="str">
        <f t="shared" si="39"/>
        <v>貨1軽ADE</v>
      </c>
      <c r="B388" t="s">
        <v>2045</v>
      </c>
      <c r="C388" t="s">
        <v>2043</v>
      </c>
      <c r="D388" t="s">
        <v>1979</v>
      </c>
      <c r="E388" t="s">
        <v>562</v>
      </c>
      <c r="F388">
        <v>0.14000000000000001</v>
      </c>
      <c r="G388">
        <v>1.2999999999999999E-2</v>
      </c>
      <c r="H388">
        <v>2.58</v>
      </c>
      <c r="I388" t="s">
        <v>2340</v>
      </c>
      <c r="J388"/>
      <c r="T388" s="292" t="str">
        <f t="shared" si="34"/>
        <v>トラック・バス</v>
      </c>
      <c r="U388" s="283" t="str">
        <f t="shared" si="35"/>
        <v>軽油</v>
      </c>
      <c r="V388" s="283" t="str">
        <f t="shared" si="36"/>
        <v>～1.7 t</v>
      </c>
      <c r="W388" s="283" t="str">
        <f t="shared" si="37"/>
        <v>H17</v>
      </c>
      <c r="X388" s="284" t="str">
        <f t="shared" si="37"/>
        <v>ADE</v>
      </c>
      <c r="Y388" s="271"/>
      <c r="Z388" s="283">
        <f t="shared" si="38"/>
        <v>0.14000000000000001</v>
      </c>
      <c r="AA388" s="283">
        <f t="shared" si="38"/>
        <v>1.2999999999999999E-2</v>
      </c>
      <c r="AB388" s="340">
        <f t="shared" si="38"/>
        <v>2.58</v>
      </c>
      <c r="AN388" s="266" t="s">
        <v>1294</v>
      </c>
    </row>
    <row r="389" spans="1:41">
      <c r="A389" t="str">
        <f t="shared" si="39"/>
        <v>貨1軽ACE</v>
      </c>
      <c r="B389" t="s">
        <v>2045</v>
      </c>
      <c r="C389" t="s">
        <v>2043</v>
      </c>
      <c r="D389" t="s">
        <v>1979</v>
      </c>
      <c r="E389" t="s">
        <v>566</v>
      </c>
      <c r="F389">
        <v>7.0000000000000007E-2</v>
      </c>
      <c r="G389">
        <v>6.4999999999999997E-3</v>
      </c>
      <c r="H389">
        <v>2.58</v>
      </c>
      <c r="I389" t="s">
        <v>239</v>
      </c>
      <c r="J389"/>
      <c r="T389" s="292" t="str">
        <f t="shared" ref="T389:T452" si="40">IF(LEFT(C389,1)="貨","トラック・バス","乗用車")</f>
        <v>トラック・バス</v>
      </c>
      <c r="U389" s="283" t="str">
        <f t="shared" ref="U389:U452" si="41">VLOOKUP(RIGHT(C389,1),$AL$4:$AM$8,2,FALSE)</f>
        <v>軽油</v>
      </c>
      <c r="V389" s="283" t="str">
        <f t="shared" ref="V389:V452" si="42">VLOOKUP(VALUE(MID(C389,2,1)),$AL$10:$AM$15,2,FALSE)</f>
        <v>～1.7 t</v>
      </c>
      <c r="W389" s="283" t="str">
        <f t="shared" ref="W389:X452" si="43">D389</f>
        <v>H17</v>
      </c>
      <c r="X389" s="284" t="str">
        <f t="shared" si="43"/>
        <v>ACE</v>
      </c>
      <c r="Y389" s="271"/>
      <c r="Z389" s="283">
        <f t="shared" ref="Z389:AB452" si="44">F389</f>
        <v>7.0000000000000007E-2</v>
      </c>
      <c r="AA389" s="283">
        <f t="shared" si="44"/>
        <v>6.4999999999999997E-3</v>
      </c>
      <c r="AB389" s="340">
        <f t="shared" si="44"/>
        <v>2.58</v>
      </c>
      <c r="AN389" s="435" t="s">
        <v>1325</v>
      </c>
    </row>
    <row r="390" spans="1:41">
      <c r="A390" t="str">
        <f t="shared" si="39"/>
        <v>貨1軽AME</v>
      </c>
      <c r="B390" t="s">
        <v>2045</v>
      </c>
      <c r="C390" t="s">
        <v>2043</v>
      </c>
      <c r="D390" t="s">
        <v>1979</v>
      </c>
      <c r="E390" t="s">
        <v>2793</v>
      </c>
      <c r="F390">
        <v>3.5000000000000003E-2</v>
      </c>
      <c r="G390">
        <v>3.2499999999999999E-3</v>
      </c>
      <c r="H390">
        <v>2.58</v>
      </c>
      <c r="I390" t="s">
        <v>2490</v>
      </c>
      <c r="J390"/>
      <c r="T390" s="292" t="str">
        <f t="shared" si="40"/>
        <v>トラック・バス</v>
      </c>
      <c r="U390" s="283" t="str">
        <f t="shared" si="41"/>
        <v>軽油</v>
      </c>
      <c r="V390" s="283" t="str">
        <f t="shared" si="42"/>
        <v>～1.7 t</v>
      </c>
      <c r="W390" s="283" t="str">
        <f t="shared" si="43"/>
        <v>H17</v>
      </c>
      <c r="X390" s="284" t="str">
        <f t="shared" si="43"/>
        <v>AME</v>
      </c>
      <c r="Y390" s="271"/>
      <c r="Z390" s="283">
        <f t="shared" si="44"/>
        <v>3.5000000000000003E-2</v>
      </c>
      <c r="AA390" s="283">
        <f t="shared" si="44"/>
        <v>3.2499999999999999E-3</v>
      </c>
      <c r="AB390" s="340">
        <f t="shared" si="44"/>
        <v>2.58</v>
      </c>
      <c r="AD390" s="266"/>
      <c r="AE390" s="266"/>
      <c r="AF390" s="266"/>
      <c r="AG390" s="266"/>
      <c r="AH390" s="266"/>
      <c r="AI390" s="266"/>
      <c r="AN390" s="47" t="s">
        <v>1375</v>
      </c>
    </row>
    <row r="391" spans="1:41">
      <c r="A391" t="str">
        <f t="shared" ref="A391:A396" si="45">CONCATENATE(C391,E391)</f>
        <v>貨1軽CCE</v>
      </c>
      <c r="B391" t="s">
        <v>2045</v>
      </c>
      <c r="C391" t="s">
        <v>2043</v>
      </c>
      <c r="D391" t="s">
        <v>1979</v>
      </c>
      <c r="E391" t="s">
        <v>2039</v>
      </c>
      <c r="F391">
        <v>7.0000000000000007E-2</v>
      </c>
      <c r="G391">
        <v>6.4999999999999997E-3</v>
      </c>
      <c r="H391">
        <v>2.58</v>
      </c>
      <c r="I391" t="s">
        <v>239</v>
      </c>
      <c r="J391"/>
      <c r="T391" s="292" t="str">
        <f t="shared" si="40"/>
        <v>トラック・バス</v>
      </c>
      <c r="U391" s="283" t="str">
        <f t="shared" si="41"/>
        <v>軽油</v>
      </c>
      <c r="V391" s="283" t="str">
        <f t="shared" si="42"/>
        <v>～1.7 t</v>
      </c>
      <c r="W391" s="283" t="str">
        <f t="shared" si="43"/>
        <v>H17</v>
      </c>
      <c r="X391" s="284" t="str">
        <f t="shared" si="43"/>
        <v>CCE</v>
      </c>
      <c r="Y391" s="271" t="s">
        <v>2261</v>
      </c>
      <c r="Z391" s="283">
        <f t="shared" si="44"/>
        <v>7.0000000000000007E-2</v>
      </c>
      <c r="AA391" s="283">
        <f t="shared" si="44"/>
        <v>6.4999999999999997E-3</v>
      </c>
      <c r="AB391" s="340">
        <f t="shared" si="44"/>
        <v>2.58</v>
      </c>
      <c r="AN391" s="47" t="s">
        <v>1716</v>
      </c>
    </row>
    <row r="392" spans="1:41" s="266" customFormat="1">
      <c r="A392" t="str">
        <f t="shared" si="45"/>
        <v>貨1軽CDE</v>
      </c>
      <c r="B392" t="s">
        <v>2045</v>
      </c>
      <c r="C392" t="s">
        <v>2043</v>
      </c>
      <c r="D392" t="s">
        <v>1979</v>
      </c>
      <c r="E392" t="s">
        <v>2040</v>
      </c>
      <c r="F392">
        <v>7.0000000000000007E-2</v>
      </c>
      <c r="G392">
        <v>6.4999999999999997E-3</v>
      </c>
      <c r="H392">
        <v>2.58</v>
      </c>
      <c r="I392" t="s">
        <v>2340</v>
      </c>
      <c r="J392"/>
      <c r="K392" s="47"/>
      <c r="L392" s="47"/>
      <c r="M392" s="47"/>
      <c r="N392" s="47"/>
      <c r="O392" s="47"/>
      <c r="P392" s="47"/>
      <c r="Q392" s="47"/>
      <c r="R392" s="47"/>
      <c r="S392" s="47"/>
      <c r="T392" s="292" t="str">
        <f t="shared" si="40"/>
        <v>トラック・バス</v>
      </c>
      <c r="U392" s="283" t="str">
        <f t="shared" si="41"/>
        <v>軽油</v>
      </c>
      <c r="V392" s="283" t="str">
        <f t="shared" si="42"/>
        <v>～1.7 t</v>
      </c>
      <c r="W392" s="283" t="str">
        <f t="shared" si="43"/>
        <v>H17</v>
      </c>
      <c r="X392" s="284" t="str">
        <f t="shared" si="43"/>
        <v>CDE</v>
      </c>
      <c r="Y392" s="271" t="s">
        <v>2261</v>
      </c>
      <c r="Z392" s="283">
        <f t="shared" si="44"/>
        <v>7.0000000000000007E-2</v>
      </c>
      <c r="AA392" s="283">
        <f t="shared" si="44"/>
        <v>6.4999999999999997E-3</v>
      </c>
      <c r="AB392" s="340">
        <f t="shared" si="44"/>
        <v>2.58</v>
      </c>
      <c r="AN392" s="436" t="s">
        <v>1292</v>
      </c>
      <c r="AO392" s="47"/>
    </row>
    <row r="393" spans="1:41">
      <c r="A393" t="str">
        <f t="shared" si="45"/>
        <v>貨1軽CME</v>
      </c>
      <c r="B393" t="s">
        <v>2045</v>
      </c>
      <c r="C393" t="s">
        <v>2043</v>
      </c>
      <c r="D393" t="s">
        <v>1979</v>
      </c>
      <c r="E393" t="s">
        <v>2794</v>
      </c>
      <c r="F393">
        <v>7.0000000000000007E-2</v>
      </c>
      <c r="G393">
        <v>6.4999999999999997E-3</v>
      </c>
      <c r="H393">
        <v>2.58</v>
      </c>
      <c r="I393" t="s">
        <v>1405</v>
      </c>
      <c r="J393"/>
      <c r="T393" s="292" t="str">
        <f t="shared" si="40"/>
        <v>トラック・バス</v>
      </c>
      <c r="U393" s="283" t="str">
        <f t="shared" si="41"/>
        <v>軽油</v>
      </c>
      <c r="V393" s="283" t="str">
        <f t="shared" si="42"/>
        <v>～1.7 t</v>
      </c>
      <c r="W393" s="283" t="str">
        <f t="shared" si="43"/>
        <v>H17</v>
      </c>
      <c r="X393" s="284" t="str">
        <f t="shared" si="43"/>
        <v>CME</v>
      </c>
      <c r="Y393" s="271" t="s">
        <v>2261</v>
      </c>
      <c r="Z393" s="283">
        <f t="shared" si="44"/>
        <v>7.0000000000000007E-2</v>
      </c>
      <c r="AA393" s="283">
        <f t="shared" si="44"/>
        <v>6.4999999999999997E-3</v>
      </c>
      <c r="AB393" s="340">
        <f t="shared" si="44"/>
        <v>2.58</v>
      </c>
      <c r="AN393" s="47" t="s">
        <v>1323</v>
      </c>
    </row>
    <row r="394" spans="1:41" s="266" customFormat="1">
      <c r="A394" t="str">
        <f t="shared" si="45"/>
        <v>貨1軽DCE</v>
      </c>
      <c r="B394" t="s">
        <v>2045</v>
      </c>
      <c r="C394" t="s">
        <v>2043</v>
      </c>
      <c r="D394" t="s">
        <v>1979</v>
      </c>
      <c r="E394" t="s">
        <v>2041</v>
      </c>
      <c r="F394">
        <v>3.5000000000000003E-2</v>
      </c>
      <c r="G394">
        <v>3.2499999999999999E-3</v>
      </c>
      <c r="H394">
        <v>2.58</v>
      </c>
      <c r="I394" t="s">
        <v>239</v>
      </c>
      <c r="J394"/>
      <c r="K394" s="47"/>
      <c r="L394" s="47"/>
      <c r="M394" s="47"/>
      <c r="N394" s="47"/>
      <c r="O394" s="47"/>
      <c r="P394" s="47"/>
      <c r="Q394" s="47"/>
      <c r="R394" s="47"/>
      <c r="S394" s="47"/>
      <c r="T394" s="292" t="str">
        <f t="shared" si="40"/>
        <v>トラック・バス</v>
      </c>
      <c r="U394" s="283" t="str">
        <f t="shared" si="41"/>
        <v>軽油</v>
      </c>
      <c r="V394" s="283" t="str">
        <f t="shared" si="42"/>
        <v>～1.7 t</v>
      </c>
      <c r="W394" s="283" t="str">
        <f t="shared" si="43"/>
        <v>H17</v>
      </c>
      <c r="X394" s="284" t="str">
        <f t="shared" si="43"/>
        <v>DCE</v>
      </c>
      <c r="Y394" s="271" t="s">
        <v>2262</v>
      </c>
      <c r="Z394" s="283">
        <f t="shared" si="44"/>
        <v>3.5000000000000003E-2</v>
      </c>
      <c r="AA394" s="283">
        <f t="shared" si="44"/>
        <v>3.2499999999999999E-3</v>
      </c>
      <c r="AB394" s="340">
        <f t="shared" si="44"/>
        <v>2.58</v>
      </c>
      <c r="AN394" s="47" t="s">
        <v>1373</v>
      </c>
      <c r="AO394" s="47"/>
    </row>
    <row r="395" spans="1:41">
      <c r="A395" t="str">
        <f t="shared" si="45"/>
        <v>貨1軽DDE</v>
      </c>
      <c r="B395" t="s">
        <v>2045</v>
      </c>
      <c r="C395" t="s">
        <v>2043</v>
      </c>
      <c r="D395" t="s">
        <v>1979</v>
      </c>
      <c r="E395" t="s">
        <v>2042</v>
      </c>
      <c r="F395">
        <v>3.5000000000000003E-2</v>
      </c>
      <c r="G395">
        <v>3.2499999999999999E-3</v>
      </c>
      <c r="H395">
        <v>2.58</v>
      </c>
      <c r="I395" t="s">
        <v>2340</v>
      </c>
      <c r="J395"/>
      <c r="T395" s="292" t="str">
        <f t="shared" si="40"/>
        <v>トラック・バス</v>
      </c>
      <c r="U395" s="283" t="str">
        <f t="shared" si="41"/>
        <v>軽油</v>
      </c>
      <c r="V395" s="283" t="str">
        <f t="shared" si="42"/>
        <v>～1.7 t</v>
      </c>
      <c r="W395" s="283" t="str">
        <f t="shared" si="43"/>
        <v>H17</v>
      </c>
      <c r="X395" s="284" t="str">
        <f t="shared" si="43"/>
        <v>DDE</v>
      </c>
      <c r="Y395" s="271" t="s">
        <v>2262</v>
      </c>
      <c r="Z395" s="283">
        <f t="shared" si="44"/>
        <v>3.5000000000000003E-2</v>
      </c>
      <c r="AA395" s="283">
        <f t="shared" si="44"/>
        <v>3.2499999999999999E-3</v>
      </c>
      <c r="AB395" s="340">
        <f t="shared" si="44"/>
        <v>2.58</v>
      </c>
      <c r="AN395" s="47" t="s">
        <v>2364</v>
      </c>
    </row>
    <row r="396" spans="1:41" s="266" customFormat="1">
      <c r="A396" t="str">
        <f t="shared" si="45"/>
        <v>貨1軽DME</v>
      </c>
      <c r="B396" t="s">
        <v>2045</v>
      </c>
      <c r="C396" t="s">
        <v>2043</v>
      </c>
      <c r="D396" t="s">
        <v>1979</v>
      </c>
      <c r="E396" t="s">
        <v>2795</v>
      </c>
      <c r="F396">
        <v>3.5000000000000003E-2</v>
      </c>
      <c r="G396">
        <v>3.2499999999999999E-3</v>
      </c>
      <c r="H396">
        <v>2.58</v>
      </c>
      <c r="I396" t="s">
        <v>1405</v>
      </c>
      <c r="J396"/>
      <c r="K396" s="47"/>
      <c r="L396" s="47"/>
      <c r="M396" s="47"/>
      <c r="N396" s="47"/>
      <c r="O396" s="47"/>
      <c r="P396" s="47"/>
      <c r="Q396" s="47"/>
      <c r="R396" s="47"/>
      <c r="S396" s="47"/>
      <c r="T396" s="292" t="str">
        <f t="shared" si="40"/>
        <v>トラック・バス</v>
      </c>
      <c r="U396" s="283" t="str">
        <f t="shared" si="41"/>
        <v>軽油</v>
      </c>
      <c r="V396" s="283" t="str">
        <f t="shared" si="42"/>
        <v>～1.7 t</v>
      </c>
      <c r="W396" s="283" t="str">
        <f t="shared" si="43"/>
        <v>H17</v>
      </c>
      <c r="X396" s="284" t="str">
        <f t="shared" si="43"/>
        <v>DME</v>
      </c>
      <c r="Y396" s="271" t="s">
        <v>2262</v>
      </c>
      <c r="Z396" s="283">
        <f t="shared" si="44"/>
        <v>3.5000000000000003E-2</v>
      </c>
      <c r="AA396" s="283">
        <f t="shared" si="44"/>
        <v>3.2499999999999999E-3</v>
      </c>
      <c r="AB396" s="340">
        <f t="shared" si="44"/>
        <v>2.58</v>
      </c>
      <c r="AN396" s="47" t="s">
        <v>2360</v>
      </c>
      <c r="AO396" s="47"/>
    </row>
    <row r="397" spans="1:41">
      <c r="A397" t="str">
        <f>CONCATENATE(C397,E397)</f>
        <v>貨1軽LDE</v>
      </c>
      <c r="B397" t="s">
        <v>2045</v>
      </c>
      <c r="C397" t="s">
        <v>2043</v>
      </c>
      <c r="D397" t="s">
        <v>2382</v>
      </c>
      <c r="E397" t="s">
        <v>606</v>
      </c>
      <c r="F397">
        <v>0.08</v>
      </c>
      <c r="G397">
        <v>5.0000000000000001E-3</v>
      </c>
      <c r="H397">
        <v>2.58</v>
      </c>
      <c r="I397" t="s">
        <v>607</v>
      </c>
      <c r="J397"/>
      <c r="T397" s="292" t="str">
        <f t="shared" si="40"/>
        <v>トラック・バス</v>
      </c>
      <c r="U397" s="283" t="str">
        <f t="shared" si="41"/>
        <v>軽油</v>
      </c>
      <c r="V397" s="283" t="str">
        <f t="shared" si="42"/>
        <v>～1.7 t</v>
      </c>
      <c r="W397" s="283" t="str">
        <f t="shared" si="43"/>
        <v>H21</v>
      </c>
      <c r="X397" s="284" t="str">
        <f t="shared" si="43"/>
        <v>LDE</v>
      </c>
      <c r="Y397" s="271"/>
      <c r="Z397" s="283">
        <f t="shared" si="44"/>
        <v>0.08</v>
      </c>
      <c r="AA397" s="283">
        <f t="shared" si="44"/>
        <v>5.0000000000000001E-3</v>
      </c>
      <c r="AB397" s="340">
        <f t="shared" si="44"/>
        <v>2.58</v>
      </c>
      <c r="AN397" s="47" t="s">
        <v>1439</v>
      </c>
    </row>
    <row r="398" spans="1:41" s="266" customFormat="1">
      <c r="A398" t="str">
        <f>CONCATENATE(C398,E398)</f>
        <v>貨1軽LCE</v>
      </c>
      <c r="B398" t="s">
        <v>2045</v>
      </c>
      <c r="C398" t="s">
        <v>2043</v>
      </c>
      <c r="D398" t="s">
        <v>2382</v>
      </c>
      <c r="E398" t="s">
        <v>615</v>
      </c>
      <c r="F398">
        <v>0.04</v>
      </c>
      <c r="G398">
        <v>2.5000000000000001E-3</v>
      </c>
      <c r="H398">
        <v>2.58</v>
      </c>
      <c r="I398" t="s">
        <v>239</v>
      </c>
      <c r="J398"/>
      <c r="T398" s="292" t="str">
        <f t="shared" si="40"/>
        <v>トラック・バス</v>
      </c>
      <c r="U398" s="283" t="str">
        <f t="shared" si="41"/>
        <v>軽油</v>
      </c>
      <c r="V398" s="283" t="str">
        <f t="shared" si="42"/>
        <v>～1.7 t</v>
      </c>
      <c r="W398" s="283" t="str">
        <f t="shared" si="43"/>
        <v>H21</v>
      </c>
      <c r="X398" s="284" t="str">
        <f t="shared" si="43"/>
        <v>LCE</v>
      </c>
      <c r="Y398" s="271"/>
      <c r="Z398" s="283">
        <f t="shared" si="44"/>
        <v>0.04</v>
      </c>
      <c r="AA398" s="283">
        <f t="shared" si="44"/>
        <v>2.5000000000000001E-3</v>
      </c>
      <c r="AB398" s="340">
        <f t="shared" si="44"/>
        <v>2.58</v>
      </c>
      <c r="AN398" s="47" t="s">
        <v>2541</v>
      </c>
      <c r="AO398" s="47"/>
    </row>
    <row r="399" spans="1:41">
      <c r="A399" t="str">
        <f t="shared" ref="A399:A408" si="46">CONCATENATE(C399,E399)</f>
        <v>貨1軽LME</v>
      </c>
      <c r="B399" t="s">
        <v>2045</v>
      </c>
      <c r="C399" t="s">
        <v>2043</v>
      </c>
      <c r="D399" t="s">
        <v>2382</v>
      </c>
      <c r="E399" t="s">
        <v>2796</v>
      </c>
      <c r="F399">
        <v>0.02</v>
      </c>
      <c r="G399">
        <v>1.25E-3</v>
      </c>
      <c r="H399">
        <v>2.58</v>
      </c>
      <c r="I399" t="s">
        <v>2490</v>
      </c>
      <c r="J399"/>
      <c r="T399" s="292" t="str">
        <f t="shared" si="40"/>
        <v>トラック・バス</v>
      </c>
      <c r="U399" s="283" t="str">
        <f t="shared" si="41"/>
        <v>軽油</v>
      </c>
      <c r="V399" s="283" t="str">
        <f t="shared" si="42"/>
        <v>～1.7 t</v>
      </c>
      <c r="W399" s="283" t="str">
        <f t="shared" si="43"/>
        <v>H21</v>
      </c>
      <c r="X399" s="284" t="str">
        <f t="shared" si="43"/>
        <v>LME</v>
      </c>
      <c r="Y399" s="271"/>
      <c r="Z399" s="283">
        <f t="shared" si="44"/>
        <v>0.02</v>
      </c>
      <c r="AA399" s="283">
        <f t="shared" si="44"/>
        <v>1.25E-3</v>
      </c>
      <c r="AB399" s="340">
        <f t="shared" si="44"/>
        <v>2.58</v>
      </c>
      <c r="AN399" s="47" t="s">
        <v>2542</v>
      </c>
    </row>
    <row r="400" spans="1:41" s="266" customFormat="1">
      <c r="A400" t="str">
        <f t="shared" si="46"/>
        <v>貨1軽MDE</v>
      </c>
      <c r="B400" t="s">
        <v>2045</v>
      </c>
      <c r="C400" t="s">
        <v>2043</v>
      </c>
      <c r="D400" t="s">
        <v>2382</v>
      </c>
      <c r="E400" t="s">
        <v>623</v>
      </c>
      <c r="F400">
        <v>0.04</v>
      </c>
      <c r="G400">
        <v>2.5000000000000001E-3</v>
      </c>
      <c r="H400">
        <v>2.58</v>
      </c>
      <c r="I400" t="s">
        <v>607</v>
      </c>
      <c r="J400"/>
      <c r="T400" s="292" t="str">
        <f t="shared" si="40"/>
        <v>トラック・バス</v>
      </c>
      <c r="U400" s="283" t="str">
        <f t="shared" si="41"/>
        <v>軽油</v>
      </c>
      <c r="V400" s="283" t="str">
        <f t="shared" si="42"/>
        <v>～1.7 t</v>
      </c>
      <c r="W400" s="283" t="str">
        <f t="shared" si="43"/>
        <v>H21</v>
      </c>
      <c r="X400" s="284" t="str">
        <f t="shared" si="43"/>
        <v>MDE</v>
      </c>
      <c r="Y400" s="271" t="s">
        <v>2261</v>
      </c>
      <c r="Z400" s="283">
        <f t="shared" si="44"/>
        <v>0.04</v>
      </c>
      <c r="AA400" s="283">
        <f t="shared" si="44"/>
        <v>2.5000000000000001E-3</v>
      </c>
      <c r="AB400" s="340">
        <f t="shared" si="44"/>
        <v>2.58</v>
      </c>
      <c r="AN400" s="266" t="s">
        <v>2543</v>
      </c>
      <c r="AO400" s="47"/>
    </row>
    <row r="401" spans="1:41">
      <c r="A401" t="str">
        <f t="shared" si="46"/>
        <v>貨1軽MCE</v>
      </c>
      <c r="B401" t="s">
        <v>2045</v>
      </c>
      <c r="C401" t="s">
        <v>2043</v>
      </c>
      <c r="D401" t="s">
        <v>2382</v>
      </c>
      <c r="E401" t="s">
        <v>631</v>
      </c>
      <c r="F401">
        <v>0.04</v>
      </c>
      <c r="G401">
        <v>2.5000000000000001E-3</v>
      </c>
      <c r="H401">
        <v>2.58</v>
      </c>
      <c r="I401" t="s">
        <v>239</v>
      </c>
      <c r="J401"/>
      <c r="T401" s="292" t="str">
        <f t="shared" si="40"/>
        <v>トラック・バス</v>
      </c>
      <c r="U401" s="283" t="str">
        <f t="shared" si="41"/>
        <v>軽油</v>
      </c>
      <c r="V401" s="283" t="str">
        <f t="shared" si="42"/>
        <v>～1.7 t</v>
      </c>
      <c r="W401" s="283" t="str">
        <f t="shared" si="43"/>
        <v>H21</v>
      </c>
      <c r="X401" s="284" t="str">
        <f t="shared" si="43"/>
        <v>MCE</v>
      </c>
      <c r="Y401" s="271" t="s">
        <v>2261</v>
      </c>
      <c r="Z401" s="283">
        <f t="shared" si="44"/>
        <v>0.04</v>
      </c>
      <c r="AA401" s="283">
        <f t="shared" si="44"/>
        <v>2.5000000000000001E-3</v>
      </c>
      <c r="AB401" s="340">
        <f t="shared" si="44"/>
        <v>2.58</v>
      </c>
      <c r="AN401" s="47" t="s">
        <v>1654</v>
      </c>
    </row>
    <row r="402" spans="1:41" s="266" customFormat="1">
      <c r="A402" t="str">
        <f t="shared" si="46"/>
        <v>貨1軽MME</v>
      </c>
      <c r="B402" t="s">
        <v>2045</v>
      </c>
      <c r="C402" t="s">
        <v>2043</v>
      </c>
      <c r="D402" t="s">
        <v>2382</v>
      </c>
      <c r="E402" t="s">
        <v>2797</v>
      </c>
      <c r="F402">
        <v>0.04</v>
      </c>
      <c r="G402">
        <v>2.5000000000000001E-3</v>
      </c>
      <c r="H402">
        <v>2.58</v>
      </c>
      <c r="I402" t="s">
        <v>2490</v>
      </c>
      <c r="J402"/>
      <c r="T402" s="292" t="str">
        <f t="shared" si="40"/>
        <v>トラック・バス</v>
      </c>
      <c r="U402" s="283" t="str">
        <f t="shared" si="41"/>
        <v>軽油</v>
      </c>
      <c r="V402" s="283" t="str">
        <f t="shared" si="42"/>
        <v>～1.7 t</v>
      </c>
      <c r="W402" s="283" t="str">
        <f t="shared" si="43"/>
        <v>H21</v>
      </c>
      <c r="X402" s="284" t="str">
        <f t="shared" si="43"/>
        <v>MME</v>
      </c>
      <c r="Y402" s="271" t="s">
        <v>1769</v>
      </c>
      <c r="Z402" s="283">
        <f t="shared" si="44"/>
        <v>0.04</v>
      </c>
      <c r="AA402" s="283">
        <f t="shared" si="44"/>
        <v>2.5000000000000001E-3</v>
      </c>
      <c r="AB402" s="340">
        <f t="shared" si="44"/>
        <v>2.58</v>
      </c>
      <c r="AN402" s="266" t="s">
        <v>2544</v>
      </c>
      <c r="AO402" s="47"/>
    </row>
    <row r="403" spans="1:41">
      <c r="A403" t="str">
        <f t="shared" si="46"/>
        <v>貨1軽RDE</v>
      </c>
      <c r="B403" t="s">
        <v>2045</v>
      </c>
      <c r="C403" t="s">
        <v>2043</v>
      </c>
      <c r="D403" t="s">
        <v>2382</v>
      </c>
      <c r="E403" t="s">
        <v>639</v>
      </c>
      <c r="F403">
        <v>0.02</v>
      </c>
      <c r="G403">
        <v>1.25E-3</v>
      </c>
      <c r="H403">
        <v>2.58</v>
      </c>
      <c r="I403" t="s">
        <v>607</v>
      </c>
      <c r="J403"/>
      <c r="T403" s="292" t="str">
        <f t="shared" si="40"/>
        <v>トラック・バス</v>
      </c>
      <c r="U403" s="283" t="str">
        <f t="shared" si="41"/>
        <v>軽油</v>
      </c>
      <c r="V403" s="283" t="str">
        <f t="shared" si="42"/>
        <v>～1.7 t</v>
      </c>
      <c r="W403" s="283" t="str">
        <f t="shared" si="43"/>
        <v>H21</v>
      </c>
      <c r="X403" s="284" t="str">
        <f t="shared" si="43"/>
        <v>RDE</v>
      </c>
      <c r="Y403" s="271" t="s">
        <v>2262</v>
      </c>
      <c r="Z403" s="283">
        <f t="shared" si="44"/>
        <v>0.02</v>
      </c>
      <c r="AA403" s="283">
        <f t="shared" si="44"/>
        <v>1.25E-3</v>
      </c>
      <c r="AB403" s="340">
        <f t="shared" si="44"/>
        <v>2.58</v>
      </c>
      <c r="AN403" s="266" t="s">
        <v>2545</v>
      </c>
    </row>
    <row r="404" spans="1:41" s="266" customFormat="1">
      <c r="A404" t="str">
        <f t="shared" si="46"/>
        <v>貨1軽RCE</v>
      </c>
      <c r="B404" t="s">
        <v>2045</v>
      </c>
      <c r="C404" t="s">
        <v>2043</v>
      </c>
      <c r="D404" t="s">
        <v>2382</v>
      </c>
      <c r="E404" t="s">
        <v>647</v>
      </c>
      <c r="F404">
        <v>0.02</v>
      </c>
      <c r="G404">
        <v>1.25E-3</v>
      </c>
      <c r="H404">
        <v>2.58</v>
      </c>
      <c r="I404" t="s">
        <v>239</v>
      </c>
      <c r="J404"/>
      <c r="T404" s="292" t="str">
        <f t="shared" si="40"/>
        <v>トラック・バス</v>
      </c>
      <c r="U404" s="283" t="str">
        <f t="shared" si="41"/>
        <v>軽油</v>
      </c>
      <c r="V404" s="283" t="str">
        <f t="shared" si="42"/>
        <v>～1.7 t</v>
      </c>
      <c r="W404" s="283" t="str">
        <f t="shared" si="43"/>
        <v>H21</v>
      </c>
      <c r="X404" s="284" t="str">
        <f t="shared" si="43"/>
        <v>RCE</v>
      </c>
      <c r="Y404" s="271" t="s">
        <v>2262</v>
      </c>
      <c r="Z404" s="283">
        <f t="shared" si="44"/>
        <v>0.02</v>
      </c>
      <c r="AA404" s="283">
        <f t="shared" si="44"/>
        <v>1.25E-3</v>
      </c>
      <c r="AB404" s="340">
        <f t="shared" si="44"/>
        <v>2.58</v>
      </c>
      <c r="AN404" s="436" t="s">
        <v>2546</v>
      </c>
      <c r="AO404" s="47"/>
    </row>
    <row r="405" spans="1:41">
      <c r="A405" t="str">
        <f t="shared" si="46"/>
        <v>貨1軽RME</v>
      </c>
      <c r="B405" t="s">
        <v>2045</v>
      </c>
      <c r="C405" t="s">
        <v>2043</v>
      </c>
      <c r="D405" t="s">
        <v>2382</v>
      </c>
      <c r="E405" t="s">
        <v>2798</v>
      </c>
      <c r="F405">
        <v>0.02</v>
      </c>
      <c r="G405">
        <v>1.25E-3</v>
      </c>
      <c r="H405">
        <v>2.58</v>
      </c>
      <c r="I405" t="s">
        <v>2490</v>
      </c>
      <c r="J405"/>
      <c r="T405" s="292" t="str">
        <f t="shared" si="40"/>
        <v>トラック・バス</v>
      </c>
      <c r="U405" s="283" t="str">
        <f t="shared" si="41"/>
        <v>軽油</v>
      </c>
      <c r="V405" s="283" t="str">
        <f t="shared" si="42"/>
        <v>～1.7 t</v>
      </c>
      <c r="W405" s="283" t="str">
        <f t="shared" si="43"/>
        <v>H21</v>
      </c>
      <c r="X405" s="284" t="str">
        <f t="shared" si="43"/>
        <v>RME</v>
      </c>
      <c r="Y405" s="271" t="s">
        <v>1770</v>
      </c>
      <c r="Z405" s="283">
        <f t="shared" si="44"/>
        <v>0.02</v>
      </c>
      <c r="AA405" s="283">
        <f t="shared" si="44"/>
        <v>1.25E-3</v>
      </c>
      <c r="AB405" s="340">
        <f t="shared" si="44"/>
        <v>2.58</v>
      </c>
      <c r="AD405" s="266"/>
      <c r="AE405" s="266"/>
      <c r="AF405" s="266"/>
      <c r="AG405" s="266"/>
      <c r="AH405" s="266"/>
      <c r="AI405" s="266"/>
      <c r="AN405" s="47" t="s">
        <v>2365</v>
      </c>
    </row>
    <row r="406" spans="1:41" s="266" customFormat="1">
      <c r="A406" t="str">
        <f t="shared" si="46"/>
        <v>貨1軽QDE</v>
      </c>
      <c r="B406" t="s">
        <v>2045</v>
      </c>
      <c r="C406" t="s">
        <v>2043</v>
      </c>
      <c r="D406" t="s">
        <v>2382</v>
      </c>
      <c r="E406" t="s">
        <v>655</v>
      </c>
      <c r="F406">
        <v>7.2000000000000008E-2</v>
      </c>
      <c r="G406">
        <v>4.5000000000000005E-3</v>
      </c>
      <c r="H406">
        <v>2.58</v>
      </c>
      <c r="I406" t="s">
        <v>607</v>
      </c>
      <c r="J406"/>
      <c r="T406" s="292" t="str">
        <f t="shared" si="40"/>
        <v>トラック・バス</v>
      </c>
      <c r="U406" s="283" t="str">
        <f t="shared" si="41"/>
        <v>軽油</v>
      </c>
      <c r="V406" s="283" t="str">
        <f t="shared" si="42"/>
        <v>～1.7 t</v>
      </c>
      <c r="W406" s="283" t="str">
        <f t="shared" si="43"/>
        <v>H21</v>
      </c>
      <c r="X406" s="284" t="str">
        <f t="shared" si="43"/>
        <v>QDE</v>
      </c>
      <c r="Y406" s="271" t="s">
        <v>1762</v>
      </c>
      <c r="Z406" s="283">
        <f t="shared" si="44"/>
        <v>7.2000000000000008E-2</v>
      </c>
      <c r="AA406" s="283">
        <f t="shared" si="44"/>
        <v>4.5000000000000005E-3</v>
      </c>
      <c r="AB406" s="340">
        <f t="shared" si="44"/>
        <v>2.58</v>
      </c>
      <c r="AN406" s="47" t="s">
        <v>2361</v>
      </c>
      <c r="AO406" s="47"/>
    </row>
    <row r="407" spans="1:41" s="266" customFormat="1">
      <c r="A407" t="str">
        <f t="shared" si="46"/>
        <v>貨1軽QCE</v>
      </c>
      <c r="B407" t="s">
        <v>2045</v>
      </c>
      <c r="C407" t="s">
        <v>2043</v>
      </c>
      <c r="D407" t="s">
        <v>2382</v>
      </c>
      <c r="E407" t="s">
        <v>663</v>
      </c>
      <c r="F407">
        <v>7.2000000000000008E-2</v>
      </c>
      <c r="G407">
        <v>4.5000000000000005E-3</v>
      </c>
      <c r="H407">
        <v>2.58</v>
      </c>
      <c r="I407" t="s">
        <v>239</v>
      </c>
      <c r="J407"/>
      <c r="K407" s="47"/>
      <c r="L407" s="47"/>
      <c r="M407" s="47"/>
      <c r="N407" s="47"/>
      <c r="O407" s="47"/>
      <c r="P407" s="47"/>
      <c r="Q407" s="47"/>
      <c r="R407" s="47"/>
      <c r="S407" s="47"/>
      <c r="T407" s="292" t="str">
        <f t="shared" si="40"/>
        <v>トラック・バス</v>
      </c>
      <c r="U407" s="283" t="str">
        <f t="shared" si="41"/>
        <v>軽油</v>
      </c>
      <c r="V407" s="283" t="str">
        <f t="shared" si="42"/>
        <v>～1.7 t</v>
      </c>
      <c r="W407" s="283" t="str">
        <f t="shared" si="43"/>
        <v>H21</v>
      </c>
      <c r="X407" s="284" t="str">
        <f t="shared" si="43"/>
        <v>QCE</v>
      </c>
      <c r="Y407" s="271" t="s">
        <v>1762</v>
      </c>
      <c r="Z407" s="283">
        <f t="shared" si="44"/>
        <v>7.2000000000000008E-2</v>
      </c>
      <c r="AA407" s="283">
        <f t="shared" si="44"/>
        <v>4.5000000000000005E-3</v>
      </c>
      <c r="AB407" s="340">
        <f t="shared" si="44"/>
        <v>2.58</v>
      </c>
      <c r="AN407" s="436" t="s">
        <v>2366</v>
      </c>
      <c r="AO407" s="47"/>
    </row>
    <row r="408" spans="1:41" s="266" customFormat="1">
      <c r="A408" t="str">
        <f t="shared" si="46"/>
        <v>貨1軽QME</v>
      </c>
      <c r="B408" t="s">
        <v>2045</v>
      </c>
      <c r="C408" t="s">
        <v>2043</v>
      </c>
      <c r="D408" t="s">
        <v>2382</v>
      </c>
      <c r="E408" t="s">
        <v>2799</v>
      </c>
      <c r="F408">
        <v>7.1999999999999995E-2</v>
      </c>
      <c r="G408">
        <v>4.4999999999999997E-3</v>
      </c>
      <c r="H408">
        <v>2.58</v>
      </c>
      <c r="I408" t="s">
        <v>2490</v>
      </c>
      <c r="J408"/>
      <c r="T408" s="292" t="str">
        <f t="shared" si="40"/>
        <v>トラック・バス</v>
      </c>
      <c r="U408" s="283" t="str">
        <f t="shared" si="41"/>
        <v>軽油</v>
      </c>
      <c r="V408" s="283" t="str">
        <f t="shared" si="42"/>
        <v>～1.7 t</v>
      </c>
      <c r="W408" s="283" t="str">
        <f t="shared" si="43"/>
        <v>H21</v>
      </c>
      <c r="X408" s="284" t="str">
        <f t="shared" si="43"/>
        <v>QME</v>
      </c>
      <c r="Y408" s="271" t="s">
        <v>1762</v>
      </c>
      <c r="Z408" s="283">
        <f t="shared" si="44"/>
        <v>7.1999999999999995E-2</v>
      </c>
      <c r="AA408" s="283">
        <f t="shared" si="44"/>
        <v>4.4999999999999997E-3</v>
      </c>
      <c r="AB408" s="340">
        <f t="shared" si="44"/>
        <v>2.58</v>
      </c>
      <c r="AN408" s="47" t="s">
        <v>2362</v>
      </c>
      <c r="AO408" s="47"/>
    </row>
    <row r="409" spans="1:41" s="266" customFormat="1">
      <c r="A409" t="str">
        <f>CONCATENATE(C409,E409)</f>
        <v>貨1軽3DE</v>
      </c>
      <c r="B409" t="s">
        <v>2045</v>
      </c>
      <c r="C409" t="s">
        <v>2043</v>
      </c>
      <c r="D409" t="s">
        <v>2744</v>
      </c>
      <c r="E409" t="s">
        <v>2800</v>
      </c>
      <c r="F409">
        <v>0.15</v>
      </c>
      <c r="G409">
        <v>5.0000000000000001E-3</v>
      </c>
      <c r="H409">
        <v>2.58</v>
      </c>
      <c r="I409" t="s">
        <v>1971</v>
      </c>
      <c r="J409"/>
      <c r="K409" s="47"/>
      <c r="L409" s="47"/>
      <c r="M409" s="47"/>
      <c r="N409" s="47"/>
      <c r="O409" s="47"/>
      <c r="P409" s="47"/>
      <c r="Q409" s="47"/>
      <c r="R409" s="47"/>
      <c r="S409" s="47"/>
      <c r="T409" s="292" t="str">
        <f t="shared" si="40"/>
        <v>トラック・バス</v>
      </c>
      <c r="U409" s="283" t="str">
        <f t="shared" si="41"/>
        <v>軽油</v>
      </c>
      <c r="V409" s="283" t="str">
        <f t="shared" si="42"/>
        <v>～1.7 t</v>
      </c>
      <c r="W409" s="283" t="str">
        <f t="shared" si="43"/>
        <v>H30</v>
      </c>
      <c r="X409" s="284" t="str">
        <f t="shared" si="43"/>
        <v>3DE</v>
      </c>
      <c r="Y409" s="271"/>
      <c r="Z409" s="283">
        <f t="shared" si="44"/>
        <v>0.15</v>
      </c>
      <c r="AA409" s="283">
        <f t="shared" si="44"/>
        <v>5.0000000000000001E-3</v>
      </c>
      <c r="AB409" s="340">
        <f t="shared" si="44"/>
        <v>2.58</v>
      </c>
      <c r="AN409" s="436" t="s">
        <v>2547</v>
      </c>
      <c r="AO409" s="47"/>
    </row>
    <row r="410" spans="1:41" s="266" customFormat="1">
      <c r="A410" t="str">
        <f>CONCATENATE(C410,E410)</f>
        <v>貨1軽3CE</v>
      </c>
      <c r="B410" t="s">
        <v>2045</v>
      </c>
      <c r="C410" t="s">
        <v>2043</v>
      </c>
      <c r="D410" t="s">
        <v>2744</v>
      </c>
      <c r="E410" t="s">
        <v>2801</v>
      </c>
      <c r="F410">
        <v>7.4999999999999997E-2</v>
      </c>
      <c r="G410">
        <v>2.5000000000000001E-3</v>
      </c>
      <c r="H410">
        <v>2.58</v>
      </c>
      <c r="I410" t="s">
        <v>239</v>
      </c>
      <c r="J410"/>
      <c r="T410" s="292" t="str">
        <f t="shared" si="40"/>
        <v>トラック・バス</v>
      </c>
      <c r="U410" s="283" t="str">
        <f t="shared" si="41"/>
        <v>軽油</v>
      </c>
      <c r="V410" s="283" t="str">
        <f t="shared" si="42"/>
        <v>～1.7 t</v>
      </c>
      <c r="W410" s="283" t="str">
        <f t="shared" si="43"/>
        <v>H30</v>
      </c>
      <c r="X410" s="284" t="str">
        <f t="shared" si="43"/>
        <v>3CE</v>
      </c>
      <c r="Y410" s="271"/>
      <c r="Z410" s="283">
        <f t="shared" si="44"/>
        <v>7.4999999999999997E-2</v>
      </c>
      <c r="AA410" s="283">
        <f t="shared" si="44"/>
        <v>2.5000000000000001E-3</v>
      </c>
      <c r="AB410" s="340">
        <f t="shared" si="44"/>
        <v>2.58</v>
      </c>
      <c r="AN410" s="47" t="s">
        <v>2548</v>
      </c>
      <c r="AO410" s="47"/>
    </row>
    <row r="411" spans="1:41" s="266" customFormat="1">
      <c r="A411" t="str">
        <f>CONCATENATE(C411,E411)</f>
        <v>貨1軽3ME</v>
      </c>
      <c r="B411" t="s">
        <v>2045</v>
      </c>
      <c r="C411" t="s">
        <v>2043</v>
      </c>
      <c r="D411" t="s">
        <v>2746</v>
      </c>
      <c r="E411" t="s">
        <v>2802</v>
      </c>
      <c r="F411">
        <v>3.7499999999999999E-2</v>
      </c>
      <c r="G411">
        <v>1.25E-3</v>
      </c>
      <c r="H411">
        <v>2.58</v>
      </c>
      <c r="I411" t="s">
        <v>2490</v>
      </c>
      <c r="J411"/>
      <c r="K411" s="47"/>
      <c r="L411" s="47"/>
      <c r="M411" s="47"/>
      <c r="N411" s="47"/>
      <c r="O411" s="47"/>
      <c r="P411" s="47"/>
      <c r="Q411" s="47"/>
      <c r="R411" s="47"/>
      <c r="S411" s="47"/>
      <c r="T411" s="292" t="str">
        <f t="shared" si="40"/>
        <v>トラック・バス</v>
      </c>
      <c r="U411" s="283" t="str">
        <f t="shared" si="41"/>
        <v>軽油</v>
      </c>
      <c r="V411" s="283" t="str">
        <f t="shared" si="42"/>
        <v>～1.7 t</v>
      </c>
      <c r="W411" s="283" t="str">
        <f t="shared" si="43"/>
        <v>H30</v>
      </c>
      <c r="X411" s="284" t="str">
        <f t="shared" si="43"/>
        <v>3ME</v>
      </c>
      <c r="Y411" s="271"/>
      <c r="Z411" s="283">
        <f t="shared" si="44"/>
        <v>3.7499999999999999E-2</v>
      </c>
      <c r="AA411" s="283">
        <f t="shared" si="44"/>
        <v>1.25E-3</v>
      </c>
      <c r="AB411" s="340">
        <f t="shared" si="44"/>
        <v>2.58</v>
      </c>
      <c r="AN411" s="47" t="s">
        <v>78</v>
      </c>
      <c r="AO411" s="47"/>
    </row>
    <row r="412" spans="1:41" s="266" customFormat="1">
      <c r="A412" t="str">
        <f>CONCATENATE(C412,E412)</f>
        <v>貨1軽4DE</v>
      </c>
      <c r="B412" t="s">
        <v>2045</v>
      </c>
      <c r="C412" t="s">
        <v>2043</v>
      </c>
      <c r="D412" t="s">
        <v>2748</v>
      </c>
      <c r="E412" t="s">
        <v>2803</v>
      </c>
      <c r="F412">
        <v>0.11249999999999999</v>
      </c>
      <c r="G412">
        <v>3.7499999999999999E-3</v>
      </c>
      <c r="H412">
        <v>2.58</v>
      </c>
      <c r="I412" t="s">
        <v>1971</v>
      </c>
      <c r="J412"/>
      <c r="T412" s="292" t="str">
        <f t="shared" si="40"/>
        <v>トラック・バス</v>
      </c>
      <c r="U412" s="283" t="str">
        <f t="shared" si="41"/>
        <v>軽油</v>
      </c>
      <c r="V412" s="283" t="str">
        <f t="shared" si="42"/>
        <v>～1.7 t</v>
      </c>
      <c r="W412" s="283" t="str">
        <f t="shared" si="43"/>
        <v>H30</v>
      </c>
      <c r="X412" s="284" t="str">
        <f t="shared" si="43"/>
        <v>4DE</v>
      </c>
      <c r="Y412" s="271" t="s">
        <v>1769</v>
      </c>
      <c r="Z412" s="283">
        <f t="shared" si="44"/>
        <v>0.11249999999999999</v>
      </c>
      <c r="AA412" s="283">
        <f t="shared" si="44"/>
        <v>3.7499999999999999E-3</v>
      </c>
      <c r="AB412" s="340">
        <f t="shared" si="44"/>
        <v>2.58</v>
      </c>
      <c r="AN412" s="47" t="s">
        <v>1430</v>
      </c>
      <c r="AO412" s="47"/>
    </row>
    <row r="413" spans="1:41" s="266" customFormat="1">
      <c r="A413" t="str">
        <f>CONCATENATE(C413,E413)</f>
        <v>貨1軽4CE</v>
      </c>
      <c r="B413" t="s">
        <v>2045</v>
      </c>
      <c r="C413" t="s">
        <v>2043</v>
      </c>
      <c r="D413" t="s">
        <v>2748</v>
      </c>
      <c r="E413" t="s">
        <v>2804</v>
      </c>
      <c r="F413">
        <v>0.11249999999999999</v>
      </c>
      <c r="G413">
        <v>3.7499999999999999E-3</v>
      </c>
      <c r="H413">
        <v>2.58</v>
      </c>
      <c r="I413" t="s">
        <v>239</v>
      </c>
      <c r="J413"/>
      <c r="T413" s="292" t="str">
        <f t="shared" si="40"/>
        <v>トラック・バス</v>
      </c>
      <c r="U413" s="283" t="str">
        <f t="shared" si="41"/>
        <v>軽油</v>
      </c>
      <c r="V413" s="283" t="str">
        <f t="shared" si="42"/>
        <v>～1.7 t</v>
      </c>
      <c r="W413" s="283" t="str">
        <f t="shared" si="43"/>
        <v>H30</v>
      </c>
      <c r="X413" s="284" t="str">
        <f t="shared" si="43"/>
        <v>4CE</v>
      </c>
      <c r="Y413" s="271" t="s">
        <v>1769</v>
      </c>
      <c r="Z413" s="283">
        <f t="shared" si="44"/>
        <v>0.11249999999999999</v>
      </c>
      <c r="AA413" s="283">
        <f t="shared" si="44"/>
        <v>3.7499999999999999E-3</v>
      </c>
      <c r="AB413" s="340">
        <f t="shared" si="44"/>
        <v>2.58</v>
      </c>
      <c r="AD413" s="436"/>
      <c r="AE413" s="436"/>
      <c r="AF413" s="436"/>
      <c r="AG413" s="436"/>
      <c r="AH413" s="436"/>
      <c r="AI413" s="436"/>
      <c r="AN413" s="435" t="s">
        <v>279</v>
      </c>
      <c r="AO413" s="47"/>
    </row>
    <row r="414" spans="1:41" s="266" customFormat="1">
      <c r="A414" t="str">
        <f t="shared" ref="A414:A477" si="47">CONCATENATE(C414,E414)</f>
        <v>貨1軽4ME</v>
      </c>
      <c r="B414" t="s">
        <v>2045</v>
      </c>
      <c r="C414" t="s">
        <v>2043</v>
      </c>
      <c r="D414" t="s">
        <v>2748</v>
      </c>
      <c r="E414" t="s">
        <v>2805</v>
      </c>
      <c r="F414">
        <v>0.11249999999999999</v>
      </c>
      <c r="G414">
        <v>3.7499999999999999E-3</v>
      </c>
      <c r="H414">
        <v>2.58</v>
      </c>
      <c r="I414" t="s">
        <v>1405</v>
      </c>
      <c r="J414"/>
      <c r="T414" s="292" t="str">
        <f t="shared" si="40"/>
        <v>トラック・バス</v>
      </c>
      <c r="U414" s="283" t="str">
        <f t="shared" si="41"/>
        <v>軽油</v>
      </c>
      <c r="V414" s="283" t="str">
        <f t="shared" si="42"/>
        <v>～1.7 t</v>
      </c>
      <c r="W414" s="283" t="str">
        <f t="shared" si="43"/>
        <v>H30</v>
      </c>
      <c r="X414" s="284" t="str">
        <f t="shared" si="43"/>
        <v>4ME</v>
      </c>
      <c r="Y414" s="271" t="s">
        <v>1769</v>
      </c>
      <c r="Z414" s="283">
        <f t="shared" si="44"/>
        <v>0.11249999999999999</v>
      </c>
      <c r="AA414" s="283">
        <f t="shared" si="44"/>
        <v>3.7499999999999999E-3</v>
      </c>
      <c r="AB414" s="340">
        <f t="shared" si="44"/>
        <v>2.58</v>
      </c>
      <c r="AD414" s="436"/>
      <c r="AE414" s="436"/>
      <c r="AF414" s="436"/>
      <c r="AG414" s="436"/>
      <c r="AH414" s="436"/>
      <c r="AI414" s="436"/>
      <c r="AN414" s="47" t="s">
        <v>325</v>
      </c>
      <c r="AO414" s="47"/>
    </row>
    <row r="415" spans="1:41" s="436" customFormat="1">
      <c r="A415" t="str">
        <f t="shared" si="47"/>
        <v>貨1軽5DE</v>
      </c>
      <c r="B415" t="s">
        <v>2045</v>
      </c>
      <c r="C415" t="s">
        <v>2043</v>
      </c>
      <c r="D415" t="s">
        <v>2750</v>
      </c>
      <c r="E415" t="s">
        <v>2806</v>
      </c>
      <c r="F415">
        <v>7.4999999999999997E-2</v>
      </c>
      <c r="G415">
        <v>2.5000000000000001E-3</v>
      </c>
      <c r="H415">
        <v>2.58</v>
      </c>
      <c r="I415" t="s">
        <v>1971</v>
      </c>
      <c r="J415"/>
      <c r="K415" s="266"/>
      <c r="L415" s="266"/>
      <c r="M415" s="266"/>
      <c r="N415" s="266"/>
      <c r="O415" s="266"/>
      <c r="P415" s="266"/>
      <c r="Q415" s="266"/>
      <c r="R415" s="266"/>
      <c r="S415" s="266"/>
      <c r="T415" s="292" t="str">
        <f t="shared" si="40"/>
        <v>トラック・バス</v>
      </c>
      <c r="U415" s="283" t="str">
        <f t="shared" si="41"/>
        <v>軽油</v>
      </c>
      <c r="V415" s="283" t="str">
        <f t="shared" si="42"/>
        <v>～1.7 t</v>
      </c>
      <c r="W415" s="283" t="str">
        <f t="shared" si="43"/>
        <v>H30</v>
      </c>
      <c r="X415" s="284" t="str">
        <f t="shared" si="43"/>
        <v>5DE</v>
      </c>
      <c r="Y415" s="271" t="s">
        <v>2262</v>
      </c>
      <c r="Z415" s="283">
        <f t="shared" si="44"/>
        <v>7.4999999999999997E-2</v>
      </c>
      <c r="AA415" s="283">
        <f t="shared" si="44"/>
        <v>2.5000000000000001E-3</v>
      </c>
      <c r="AB415" s="340">
        <f t="shared" si="44"/>
        <v>2.58</v>
      </c>
      <c r="AN415" s="47" t="s">
        <v>405</v>
      </c>
      <c r="AO415" s="47"/>
    </row>
    <row r="416" spans="1:41" s="436" customFormat="1">
      <c r="A416" t="str">
        <f t="shared" si="47"/>
        <v>貨1軽5CE</v>
      </c>
      <c r="B416" t="s">
        <v>2045</v>
      </c>
      <c r="C416" t="s">
        <v>2043</v>
      </c>
      <c r="D416" t="s">
        <v>2748</v>
      </c>
      <c r="E416" t="s">
        <v>2807</v>
      </c>
      <c r="F416">
        <v>7.4999999999999997E-2</v>
      </c>
      <c r="G416">
        <v>2.5000000000000001E-3</v>
      </c>
      <c r="H416">
        <v>2.58</v>
      </c>
      <c r="I416" t="s">
        <v>239</v>
      </c>
      <c r="J416"/>
      <c r="K416" s="266"/>
      <c r="L416" s="266"/>
      <c r="M416" s="266"/>
      <c r="N416" s="266"/>
      <c r="O416" s="266"/>
      <c r="P416" s="266"/>
      <c r="Q416" s="266"/>
      <c r="R416" s="266"/>
      <c r="S416" s="266"/>
      <c r="T416" s="292" t="str">
        <f t="shared" si="40"/>
        <v>トラック・バス</v>
      </c>
      <c r="U416" s="283" t="str">
        <f t="shared" si="41"/>
        <v>軽油</v>
      </c>
      <c r="V416" s="283" t="str">
        <f t="shared" si="42"/>
        <v>～1.7 t</v>
      </c>
      <c r="W416" s="283" t="str">
        <f t="shared" si="43"/>
        <v>H30</v>
      </c>
      <c r="X416" s="284" t="str">
        <f t="shared" si="43"/>
        <v>5CE</v>
      </c>
      <c r="Y416" s="271" t="s">
        <v>2262</v>
      </c>
      <c r="Z416" s="283">
        <f t="shared" si="44"/>
        <v>7.4999999999999997E-2</v>
      </c>
      <c r="AA416" s="283">
        <f t="shared" si="44"/>
        <v>2.5000000000000001E-3</v>
      </c>
      <c r="AB416" s="340">
        <f t="shared" si="44"/>
        <v>2.58</v>
      </c>
      <c r="AN416" s="47" t="s">
        <v>1428</v>
      </c>
      <c r="AO416" s="47"/>
    </row>
    <row r="417" spans="1:41" s="436" customFormat="1">
      <c r="A417" t="str">
        <f t="shared" si="47"/>
        <v>貨1軽5ME</v>
      </c>
      <c r="B417" t="s">
        <v>2045</v>
      </c>
      <c r="C417" t="s">
        <v>2043</v>
      </c>
      <c r="D417" t="s">
        <v>2748</v>
      </c>
      <c r="E417" t="s">
        <v>2808</v>
      </c>
      <c r="F417">
        <v>7.4999999999999997E-2</v>
      </c>
      <c r="G417">
        <v>2.5000000000000001E-3</v>
      </c>
      <c r="H417">
        <v>2.58</v>
      </c>
      <c r="I417" t="s">
        <v>1405</v>
      </c>
      <c r="J417"/>
      <c r="K417" s="266"/>
      <c r="L417" s="266"/>
      <c r="M417" s="266"/>
      <c r="N417" s="266"/>
      <c r="O417" s="266"/>
      <c r="P417" s="266"/>
      <c r="Q417" s="266"/>
      <c r="R417" s="266"/>
      <c r="S417" s="266"/>
      <c r="T417" s="292" t="str">
        <f t="shared" si="40"/>
        <v>トラック・バス</v>
      </c>
      <c r="U417" s="283" t="str">
        <f t="shared" si="41"/>
        <v>軽油</v>
      </c>
      <c r="V417" s="283" t="str">
        <f t="shared" si="42"/>
        <v>～1.7 t</v>
      </c>
      <c r="W417" s="283" t="str">
        <f t="shared" si="43"/>
        <v>H30</v>
      </c>
      <c r="X417" s="284" t="str">
        <f t="shared" si="43"/>
        <v>5ME</v>
      </c>
      <c r="Y417" s="271" t="s">
        <v>2262</v>
      </c>
      <c r="Z417" s="283">
        <f t="shared" si="44"/>
        <v>7.4999999999999997E-2</v>
      </c>
      <c r="AA417" s="283">
        <f t="shared" si="44"/>
        <v>2.5000000000000001E-3</v>
      </c>
      <c r="AB417" s="340">
        <f t="shared" si="44"/>
        <v>2.58</v>
      </c>
      <c r="AN417" s="435" t="s">
        <v>277</v>
      </c>
      <c r="AO417" s="47"/>
    </row>
    <row r="418" spans="1:41" s="436" customFormat="1">
      <c r="A418" t="str">
        <f t="shared" si="47"/>
        <v>貨1軽6DE</v>
      </c>
      <c r="B418" t="s">
        <v>2045</v>
      </c>
      <c r="C418" t="s">
        <v>2043</v>
      </c>
      <c r="D418" t="s">
        <v>2748</v>
      </c>
      <c r="E418" t="s">
        <v>2809</v>
      </c>
      <c r="F418">
        <v>3.7499999999999999E-2</v>
      </c>
      <c r="G418">
        <v>1.25E-3</v>
      </c>
      <c r="H418">
        <v>2.58</v>
      </c>
      <c r="I418" t="s">
        <v>1971</v>
      </c>
      <c r="J418"/>
      <c r="K418" s="266"/>
      <c r="L418" s="266"/>
      <c r="M418" s="266"/>
      <c r="N418" s="266"/>
      <c r="O418" s="266"/>
      <c r="P418" s="266"/>
      <c r="Q418" s="266"/>
      <c r="R418" s="266"/>
      <c r="S418" s="266"/>
      <c r="T418" s="292" t="str">
        <f t="shared" si="40"/>
        <v>トラック・バス</v>
      </c>
      <c r="U418" s="283" t="str">
        <f t="shared" si="41"/>
        <v>軽油</v>
      </c>
      <c r="V418" s="283" t="str">
        <f t="shared" si="42"/>
        <v>～1.7 t</v>
      </c>
      <c r="W418" s="283" t="str">
        <f t="shared" si="43"/>
        <v>H30</v>
      </c>
      <c r="X418" s="284" t="str">
        <f t="shared" si="43"/>
        <v>6DE</v>
      </c>
      <c r="Y418" s="271" t="s">
        <v>2758</v>
      </c>
      <c r="Z418" s="283">
        <f t="shared" si="44"/>
        <v>3.7499999999999999E-2</v>
      </c>
      <c r="AA418" s="283">
        <f t="shared" si="44"/>
        <v>1.25E-3</v>
      </c>
      <c r="AB418" s="340">
        <f t="shared" si="44"/>
        <v>2.58</v>
      </c>
      <c r="AN418" s="47" t="s">
        <v>323</v>
      </c>
      <c r="AO418" s="47"/>
    </row>
    <row r="419" spans="1:41" s="436" customFormat="1">
      <c r="A419" t="str">
        <f t="shared" si="47"/>
        <v>貨1軽6CE</v>
      </c>
      <c r="B419" t="s">
        <v>2045</v>
      </c>
      <c r="C419" t="s">
        <v>2043</v>
      </c>
      <c r="D419" t="s">
        <v>2750</v>
      </c>
      <c r="E419" t="s">
        <v>2810</v>
      </c>
      <c r="F419">
        <v>3.7499999999999999E-2</v>
      </c>
      <c r="G419">
        <v>1.25E-3</v>
      </c>
      <c r="H419">
        <v>2.58</v>
      </c>
      <c r="I419" t="s">
        <v>239</v>
      </c>
      <c r="J419"/>
      <c r="K419" s="266"/>
      <c r="L419" s="266"/>
      <c r="M419" s="266"/>
      <c r="N419" s="266"/>
      <c r="O419" s="266"/>
      <c r="P419" s="266"/>
      <c r="Q419" s="266"/>
      <c r="R419" s="266"/>
      <c r="S419" s="266"/>
      <c r="T419" s="292" t="str">
        <f t="shared" si="40"/>
        <v>トラック・バス</v>
      </c>
      <c r="U419" s="283" t="str">
        <f t="shared" si="41"/>
        <v>軽油</v>
      </c>
      <c r="V419" s="283" t="str">
        <f t="shared" si="42"/>
        <v>～1.7 t</v>
      </c>
      <c r="W419" s="283" t="str">
        <f t="shared" si="43"/>
        <v>H30</v>
      </c>
      <c r="X419" s="284" t="str">
        <f t="shared" si="43"/>
        <v>6CE</v>
      </c>
      <c r="Y419" s="271" t="s">
        <v>2758</v>
      </c>
      <c r="Z419" s="283">
        <f t="shared" si="44"/>
        <v>3.7499999999999999E-2</v>
      </c>
      <c r="AA419" s="283">
        <f t="shared" si="44"/>
        <v>1.25E-3</v>
      </c>
      <c r="AB419" s="340">
        <f t="shared" si="44"/>
        <v>2.58</v>
      </c>
      <c r="AN419" s="47" t="s">
        <v>403</v>
      </c>
      <c r="AO419" s="47"/>
    </row>
    <row r="420" spans="1:41" s="436" customFormat="1">
      <c r="A420" t="str">
        <f t="shared" si="47"/>
        <v>貨1軽6ME</v>
      </c>
      <c r="B420" t="s">
        <v>2045</v>
      </c>
      <c r="C420" t="s">
        <v>2043</v>
      </c>
      <c r="D420" t="s">
        <v>2748</v>
      </c>
      <c r="E420" t="s">
        <v>2811</v>
      </c>
      <c r="F420">
        <v>3.7499999999999999E-2</v>
      </c>
      <c r="G420">
        <v>1.25E-3</v>
      </c>
      <c r="H420">
        <v>2.58</v>
      </c>
      <c r="I420" t="s">
        <v>1405</v>
      </c>
      <c r="J420"/>
      <c r="K420" s="266"/>
      <c r="L420" s="266"/>
      <c r="M420" s="266"/>
      <c r="N420" s="266"/>
      <c r="O420" s="266"/>
      <c r="P420" s="266"/>
      <c r="Q420" s="266"/>
      <c r="R420" s="266"/>
      <c r="S420" s="266"/>
      <c r="T420" s="292" t="str">
        <f t="shared" si="40"/>
        <v>トラック・バス</v>
      </c>
      <c r="U420" s="283" t="str">
        <f t="shared" si="41"/>
        <v>軽油</v>
      </c>
      <c r="V420" s="283" t="str">
        <f t="shared" si="42"/>
        <v>～1.7 t</v>
      </c>
      <c r="W420" s="283" t="str">
        <f t="shared" si="43"/>
        <v>H30</v>
      </c>
      <c r="X420" s="284" t="str">
        <f t="shared" si="43"/>
        <v>6ME</v>
      </c>
      <c r="Y420" s="271" t="s">
        <v>2758</v>
      </c>
      <c r="Z420" s="283">
        <f t="shared" si="44"/>
        <v>3.7499999999999999E-2</v>
      </c>
      <c r="AA420" s="283">
        <f t="shared" si="44"/>
        <v>1.25E-3</v>
      </c>
      <c r="AB420" s="340">
        <f t="shared" si="44"/>
        <v>2.58</v>
      </c>
      <c r="AN420" s="47" t="s">
        <v>1630</v>
      </c>
      <c r="AO420" s="47"/>
    </row>
    <row r="421" spans="1:41" s="436" customFormat="1">
      <c r="A421" t="str">
        <f t="shared" si="47"/>
        <v>貨2軽-</v>
      </c>
      <c r="B421" t="s">
        <v>2054</v>
      </c>
      <c r="C421" t="s">
        <v>2053</v>
      </c>
      <c r="D421" t="s">
        <v>2458</v>
      </c>
      <c r="E421" t="s">
        <v>2457</v>
      </c>
      <c r="F421">
        <v>2.83</v>
      </c>
      <c r="G421">
        <v>0.25</v>
      </c>
      <c r="H421">
        <v>2.58</v>
      </c>
      <c r="I421" t="s">
        <v>1973</v>
      </c>
      <c r="J421"/>
      <c r="T421" s="292" t="str">
        <f t="shared" si="40"/>
        <v>トラック・バス</v>
      </c>
      <c r="U421" s="283" t="str">
        <f t="shared" si="41"/>
        <v>軽油</v>
      </c>
      <c r="V421" s="283" t="str">
        <f t="shared" si="42"/>
        <v>1.7～2.5 t</v>
      </c>
      <c r="W421" s="283" t="str">
        <f t="shared" si="43"/>
        <v>S54前</v>
      </c>
      <c r="X421" s="284" t="str">
        <f t="shared" si="43"/>
        <v>-</v>
      </c>
      <c r="Y421" s="271"/>
      <c r="Z421" s="283">
        <f t="shared" si="44"/>
        <v>2.83</v>
      </c>
      <c r="AA421" s="283">
        <f t="shared" si="44"/>
        <v>0.25</v>
      </c>
      <c r="AB421" s="340">
        <f t="shared" si="44"/>
        <v>2.58</v>
      </c>
      <c r="AN421" s="47" t="s">
        <v>647</v>
      </c>
      <c r="AO421" s="47"/>
    </row>
    <row r="422" spans="1:41" s="436" customFormat="1">
      <c r="A422" t="str">
        <f t="shared" si="47"/>
        <v>貨2軽K</v>
      </c>
      <c r="B422" t="s">
        <v>2054</v>
      </c>
      <c r="C422" t="s">
        <v>2053</v>
      </c>
      <c r="D422" t="s">
        <v>0</v>
      </c>
      <c r="E422" t="s">
        <v>6</v>
      </c>
      <c r="F422">
        <v>2.5299999999999998</v>
      </c>
      <c r="G422">
        <v>0.25</v>
      </c>
      <c r="H422">
        <v>2.58</v>
      </c>
      <c r="I422" t="s">
        <v>1973</v>
      </c>
      <c r="J422"/>
      <c r="T422" s="292" t="str">
        <f t="shared" si="40"/>
        <v>トラック・バス</v>
      </c>
      <c r="U422" s="283" t="str">
        <f t="shared" si="41"/>
        <v>軽油</v>
      </c>
      <c r="V422" s="283" t="str">
        <f t="shared" si="42"/>
        <v>1.7～2.5 t</v>
      </c>
      <c r="W422" s="283" t="str">
        <f t="shared" si="43"/>
        <v>S54</v>
      </c>
      <c r="X422" s="284" t="str">
        <f t="shared" si="43"/>
        <v>K</v>
      </c>
      <c r="Y422" s="271"/>
      <c r="Z422" s="283">
        <f t="shared" si="44"/>
        <v>2.5299999999999998</v>
      </c>
      <c r="AA422" s="283">
        <f t="shared" si="44"/>
        <v>0.25</v>
      </c>
      <c r="AB422" s="340">
        <f t="shared" si="44"/>
        <v>2.58</v>
      </c>
      <c r="AN422" s="266" t="s">
        <v>880</v>
      </c>
      <c r="AO422" s="47"/>
    </row>
    <row r="423" spans="1:41" s="436" customFormat="1">
      <c r="A423" t="str">
        <f t="shared" si="47"/>
        <v>貨2軽N</v>
      </c>
      <c r="B423" t="s">
        <v>2054</v>
      </c>
      <c r="C423" t="s">
        <v>2053</v>
      </c>
      <c r="D423" t="s">
        <v>8</v>
      </c>
      <c r="E423" t="s">
        <v>136</v>
      </c>
      <c r="F423">
        <v>2.16</v>
      </c>
      <c r="G423">
        <v>0.25</v>
      </c>
      <c r="H423">
        <v>2.58</v>
      </c>
      <c r="I423" t="s">
        <v>1973</v>
      </c>
      <c r="J423"/>
      <c r="T423" s="292" t="str">
        <f t="shared" si="40"/>
        <v>トラック・バス</v>
      </c>
      <c r="U423" s="283" t="str">
        <f t="shared" si="41"/>
        <v>軽油</v>
      </c>
      <c r="V423" s="283" t="str">
        <f t="shared" si="42"/>
        <v>1.7～2.5 t</v>
      </c>
      <c r="W423" s="283" t="str">
        <f t="shared" si="43"/>
        <v>S57,S58</v>
      </c>
      <c r="X423" s="284" t="str">
        <f t="shared" si="43"/>
        <v>N</v>
      </c>
      <c r="Y423" s="271"/>
      <c r="Z423" s="283">
        <f t="shared" si="44"/>
        <v>2.16</v>
      </c>
      <c r="AA423" s="283">
        <f t="shared" si="44"/>
        <v>0.25</v>
      </c>
      <c r="AB423" s="340">
        <f t="shared" si="44"/>
        <v>2.58</v>
      </c>
      <c r="AN423" s="436" t="s">
        <v>1087</v>
      </c>
      <c r="AO423" s="47"/>
    </row>
    <row r="424" spans="1:41" s="436" customFormat="1">
      <c r="A424" t="str">
        <f t="shared" si="47"/>
        <v>貨2軽P</v>
      </c>
      <c r="B424" t="s">
        <v>2054</v>
      </c>
      <c r="C424" t="s">
        <v>2053</v>
      </c>
      <c r="D424" t="s">
        <v>8</v>
      </c>
      <c r="E424" t="s">
        <v>137</v>
      </c>
      <c r="F424">
        <v>2.16</v>
      </c>
      <c r="G424">
        <v>0.25</v>
      </c>
      <c r="H424">
        <v>2.58</v>
      </c>
      <c r="I424" t="s">
        <v>1973</v>
      </c>
      <c r="J424"/>
      <c r="T424" s="292" t="str">
        <f t="shared" si="40"/>
        <v>トラック・バス</v>
      </c>
      <c r="U424" s="283" t="str">
        <f t="shared" si="41"/>
        <v>軽油</v>
      </c>
      <c r="V424" s="283" t="str">
        <f t="shared" si="42"/>
        <v>1.7～2.5 t</v>
      </c>
      <c r="W424" s="283" t="str">
        <f t="shared" si="43"/>
        <v>S57,S58</v>
      </c>
      <c r="X424" s="284" t="str">
        <f t="shared" si="43"/>
        <v>P</v>
      </c>
      <c r="Y424" s="271"/>
      <c r="Z424" s="283">
        <f t="shared" si="44"/>
        <v>2.16</v>
      </c>
      <c r="AA424" s="283">
        <f t="shared" si="44"/>
        <v>0.25</v>
      </c>
      <c r="AB424" s="340">
        <f t="shared" si="44"/>
        <v>2.58</v>
      </c>
      <c r="AN424" s="47" t="s">
        <v>1624</v>
      </c>
      <c r="AO424" s="47"/>
    </row>
    <row r="425" spans="1:41" s="436" customFormat="1">
      <c r="A425" t="str">
        <f t="shared" si="47"/>
        <v>貨2軽S</v>
      </c>
      <c r="B425" t="s">
        <v>2054</v>
      </c>
      <c r="C425" t="s">
        <v>2053</v>
      </c>
      <c r="D425" t="s">
        <v>11</v>
      </c>
      <c r="E425" t="s">
        <v>12</v>
      </c>
      <c r="F425">
        <v>1.93</v>
      </c>
      <c r="G425">
        <v>0.25</v>
      </c>
      <c r="H425">
        <v>2.58</v>
      </c>
      <c r="I425" t="s">
        <v>1973</v>
      </c>
      <c r="J425"/>
      <c r="T425" s="292" t="str">
        <f t="shared" si="40"/>
        <v>トラック・バス</v>
      </c>
      <c r="U425" s="283" t="str">
        <f t="shared" si="41"/>
        <v>軽油</v>
      </c>
      <c r="V425" s="283" t="str">
        <f t="shared" si="42"/>
        <v>1.7～2.5 t</v>
      </c>
      <c r="W425" s="283" t="str">
        <f t="shared" si="43"/>
        <v>S63</v>
      </c>
      <c r="X425" s="284" t="str">
        <f t="shared" si="43"/>
        <v>S</v>
      </c>
      <c r="Y425" s="271"/>
      <c r="Z425" s="283">
        <f t="shared" si="44"/>
        <v>1.93</v>
      </c>
      <c r="AA425" s="283">
        <f t="shared" si="44"/>
        <v>0.25</v>
      </c>
      <c r="AB425" s="340">
        <f t="shared" si="44"/>
        <v>2.58</v>
      </c>
      <c r="AD425" s="47"/>
      <c r="AE425" s="47"/>
      <c r="AF425" s="47"/>
      <c r="AG425" s="47"/>
      <c r="AH425" s="47"/>
      <c r="AI425" s="47"/>
      <c r="AN425" s="266" t="s">
        <v>639</v>
      </c>
      <c r="AO425" s="47"/>
    </row>
    <row r="426" spans="1:41" s="436" customFormat="1">
      <c r="A426" t="str">
        <f t="shared" si="47"/>
        <v>貨2軽KB</v>
      </c>
      <c r="B426" t="s">
        <v>2054</v>
      </c>
      <c r="C426" t="s">
        <v>2053</v>
      </c>
      <c r="D426" t="s">
        <v>2032</v>
      </c>
      <c r="E426" t="s">
        <v>17</v>
      </c>
      <c r="F426">
        <v>1.3</v>
      </c>
      <c r="G426">
        <v>0.25</v>
      </c>
      <c r="H426">
        <v>2.58</v>
      </c>
      <c r="I426" t="s">
        <v>1973</v>
      </c>
      <c r="J426"/>
      <c r="T426" s="292" t="str">
        <f t="shared" si="40"/>
        <v>トラック・バス</v>
      </c>
      <c r="U426" s="283" t="str">
        <f t="shared" si="41"/>
        <v>軽油</v>
      </c>
      <c r="V426" s="283" t="str">
        <f t="shared" si="42"/>
        <v>1.7～2.5 t</v>
      </c>
      <c r="W426" s="283" t="str">
        <f t="shared" si="43"/>
        <v>H5</v>
      </c>
      <c r="X426" s="284" t="str">
        <f t="shared" si="43"/>
        <v>KB</v>
      </c>
      <c r="Y426" s="271"/>
      <c r="Z426" s="283">
        <f t="shared" si="44"/>
        <v>1.3</v>
      </c>
      <c r="AA426" s="283">
        <f t="shared" si="44"/>
        <v>0.25</v>
      </c>
      <c r="AB426" s="340">
        <f t="shared" si="44"/>
        <v>2.58</v>
      </c>
      <c r="AD426" s="47"/>
      <c r="AE426" s="47"/>
      <c r="AF426" s="47"/>
      <c r="AG426" s="47"/>
      <c r="AH426" s="47"/>
      <c r="AI426" s="47"/>
      <c r="AN426" s="266" t="s">
        <v>872</v>
      </c>
      <c r="AO426" s="47"/>
    </row>
    <row r="427" spans="1:41">
      <c r="A427" t="str">
        <f t="shared" si="47"/>
        <v>貨2軽KF</v>
      </c>
      <c r="B427" t="s">
        <v>2054</v>
      </c>
      <c r="C427" t="s">
        <v>2053</v>
      </c>
      <c r="D427" t="s">
        <v>2046</v>
      </c>
      <c r="E427" t="s">
        <v>119</v>
      </c>
      <c r="F427">
        <v>0.7</v>
      </c>
      <c r="G427">
        <v>0.09</v>
      </c>
      <c r="H427">
        <v>2.58</v>
      </c>
      <c r="I427" t="s">
        <v>1973</v>
      </c>
      <c r="J427"/>
      <c r="K427" s="436"/>
      <c r="L427" s="436"/>
      <c r="M427" s="436"/>
      <c r="N427" s="436"/>
      <c r="O427" s="436"/>
      <c r="P427" s="436"/>
      <c r="Q427" s="436"/>
      <c r="R427" s="436"/>
      <c r="S427" s="436"/>
      <c r="T427" s="292" t="str">
        <f t="shared" si="40"/>
        <v>トラック・バス</v>
      </c>
      <c r="U427" s="283" t="str">
        <f t="shared" si="41"/>
        <v>軽油</v>
      </c>
      <c r="V427" s="283" t="str">
        <f t="shared" si="42"/>
        <v>1.7～2.5 t</v>
      </c>
      <c r="W427" s="283" t="str">
        <f t="shared" si="43"/>
        <v>H9・H10</v>
      </c>
      <c r="X427" s="284" t="str">
        <f t="shared" si="43"/>
        <v>KF</v>
      </c>
      <c r="Y427" s="271"/>
      <c r="Z427" s="283">
        <f t="shared" si="44"/>
        <v>0.7</v>
      </c>
      <c r="AA427" s="283">
        <f t="shared" si="44"/>
        <v>0.09</v>
      </c>
      <c r="AB427" s="340">
        <f t="shared" si="44"/>
        <v>2.58</v>
      </c>
      <c r="AN427" s="436" t="s">
        <v>1079</v>
      </c>
    </row>
    <row r="428" spans="1:41">
      <c r="A428" t="str">
        <f t="shared" si="47"/>
        <v>貨2軽HB</v>
      </c>
      <c r="B428" t="s">
        <v>2054</v>
      </c>
      <c r="C428" t="s">
        <v>2053</v>
      </c>
      <c r="D428" t="s">
        <v>2046</v>
      </c>
      <c r="E428" t="s">
        <v>106</v>
      </c>
      <c r="F428">
        <v>0.35</v>
      </c>
      <c r="G428">
        <v>4.4999999999999998E-2</v>
      </c>
      <c r="H428">
        <v>2.58</v>
      </c>
      <c r="I428" t="s">
        <v>239</v>
      </c>
      <c r="J428"/>
      <c r="K428" s="436"/>
      <c r="L428" s="436"/>
      <c r="M428" s="436"/>
      <c r="N428" s="436"/>
      <c r="O428" s="436"/>
      <c r="P428" s="436"/>
      <c r="Q428" s="436"/>
      <c r="R428" s="436"/>
      <c r="S428" s="436"/>
      <c r="T428" s="292" t="str">
        <f t="shared" si="40"/>
        <v>トラック・バス</v>
      </c>
      <c r="U428" s="283" t="str">
        <f t="shared" si="41"/>
        <v>軽油</v>
      </c>
      <c r="V428" s="283" t="str">
        <f t="shared" si="42"/>
        <v>1.7～2.5 t</v>
      </c>
      <c r="W428" s="283" t="str">
        <f t="shared" si="43"/>
        <v>H9・H10</v>
      </c>
      <c r="X428" s="284" t="str">
        <f t="shared" si="43"/>
        <v>HB</v>
      </c>
      <c r="Y428" s="271"/>
      <c r="Z428" s="283">
        <f t="shared" si="44"/>
        <v>0.35</v>
      </c>
      <c r="AA428" s="283">
        <f t="shared" si="44"/>
        <v>4.4999999999999998E-2</v>
      </c>
      <c r="AB428" s="340">
        <f t="shared" si="44"/>
        <v>2.58</v>
      </c>
      <c r="AN428" s="47" t="s">
        <v>1686</v>
      </c>
    </row>
    <row r="429" spans="1:41">
      <c r="A429" t="str">
        <f t="shared" si="47"/>
        <v>貨2軽KJ</v>
      </c>
      <c r="B429" t="s">
        <v>2054</v>
      </c>
      <c r="C429" t="s">
        <v>2053</v>
      </c>
      <c r="D429" t="s">
        <v>2046</v>
      </c>
      <c r="E429" t="s">
        <v>122</v>
      </c>
      <c r="F429">
        <v>0.7</v>
      </c>
      <c r="G429">
        <v>0.09</v>
      </c>
      <c r="H429">
        <v>2.58</v>
      </c>
      <c r="I429" t="s">
        <v>1973</v>
      </c>
      <c r="J429"/>
      <c r="K429" s="436"/>
      <c r="L429" s="436"/>
      <c r="M429" s="436"/>
      <c r="N429" s="436"/>
      <c r="O429" s="436"/>
      <c r="P429" s="436"/>
      <c r="Q429" s="436"/>
      <c r="R429" s="436"/>
      <c r="S429" s="436"/>
      <c r="T429" s="292" t="str">
        <f t="shared" si="40"/>
        <v>トラック・バス</v>
      </c>
      <c r="U429" s="283" t="str">
        <f t="shared" si="41"/>
        <v>軽油</v>
      </c>
      <c r="V429" s="283" t="str">
        <f t="shared" si="42"/>
        <v>1.7～2.5 t</v>
      </c>
      <c r="W429" s="283" t="str">
        <f t="shared" si="43"/>
        <v>H9・H10</v>
      </c>
      <c r="X429" s="284" t="str">
        <f t="shared" si="43"/>
        <v>KJ</v>
      </c>
      <c r="Y429" s="271"/>
      <c r="Z429" s="283">
        <f t="shared" si="44"/>
        <v>0.7</v>
      </c>
      <c r="AA429" s="283">
        <f t="shared" si="44"/>
        <v>0.09</v>
      </c>
      <c r="AB429" s="340">
        <f t="shared" si="44"/>
        <v>2.58</v>
      </c>
      <c r="AN429" s="436" t="s">
        <v>1155</v>
      </c>
    </row>
    <row r="430" spans="1:41">
      <c r="A430" t="str">
        <f t="shared" si="47"/>
        <v>貨2軽HE</v>
      </c>
      <c r="B430" t="s">
        <v>2054</v>
      </c>
      <c r="C430" t="s">
        <v>2053</v>
      </c>
      <c r="D430" t="s">
        <v>2046</v>
      </c>
      <c r="E430" t="s">
        <v>109</v>
      </c>
      <c r="F430">
        <v>0.35</v>
      </c>
      <c r="G430">
        <v>4.4999999999999998E-2</v>
      </c>
      <c r="H430">
        <v>2.58</v>
      </c>
      <c r="I430" t="s">
        <v>239</v>
      </c>
      <c r="J430"/>
      <c r="K430" s="436"/>
      <c r="L430" s="436"/>
      <c r="M430" s="436"/>
      <c r="N430" s="436"/>
      <c r="O430" s="436"/>
      <c r="P430" s="436"/>
      <c r="Q430" s="436"/>
      <c r="R430" s="436"/>
      <c r="S430" s="436"/>
      <c r="T430" s="292" t="str">
        <f t="shared" si="40"/>
        <v>トラック・バス</v>
      </c>
      <c r="U430" s="283" t="str">
        <f t="shared" si="41"/>
        <v>軽油</v>
      </c>
      <c r="V430" s="283" t="str">
        <f t="shared" si="42"/>
        <v>1.7～2.5 t</v>
      </c>
      <c r="W430" s="283" t="str">
        <f t="shared" si="43"/>
        <v>H9・H10</v>
      </c>
      <c r="X430" s="284" t="str">
        <f t="shared" si="43"/>
        <v>HE</v>
      </c>
      <c r="Y430" s="271"/>
      <c r="Z430" s="283">
        <f t="shared" si="44"/>
        <v>0.35</v>
      </c>
      <c r="AA430" s="283">
        <f t="shared" si="44"/>
        <v>4.4999999999999998E-2</v>
      </c>
      <c r="AB430" s="340">
        <f t="shared" si="44"/>
        <v>2.58</v>
      </c>
      <c r="AN430" s="266" t="s">
        <v>1188</v>
      </c>
    </row>
    <row r="431" spans="1:41">
      <c r="A431" t="str">
        <f t="shared" si="47"/>
        <v>貨2軽DD</v>
      </c>
      <c r="B431" t="s">
        <v>2054</v>
      </c>
      <c r="C431" t="s">
        <v>2053</v>
      </c>
      <c r="D431" t="s">
        <v>2046</v>
      </c>
      <c r="E431" t="s">
        <v>681</v>
      </c>
      <c r="F431">
        <v>0.52500000000000002</v>
      </c>
      <c r="G431">
        <v>6.7500000000000004E-2</v>
      </c>
      <c r="H431">
        <v>2.58</v>
      </c>
      <c r="I431" t="s">
        <v>1973</v>
      </c>
      <c r="J431"/>
      <c r="K431" s="436"/>
      <c r="L431" s="436"/>
      <c r="M431" s="436"/>
      <c r="N431" s="436"/>
      <c r="O431" s="436"/>
      <c r="P431" s="436"/>
      <c r="Q431" s="436"/>
      <c r="R431" s="436"/>
      <c r="S431" s="436"/>
      <c r="T431" s="292" t="str">
        <f t="shared" si="40"/>
        <v>トラック・バス</v>
      </c>
      <c r="U431" s="283" t="str">
        <f t="shared" si="41"/>
        <v>軽油</v>
      </c>
      <c r="V431" s="283" t="str">
        <f t="shared" si="42"/>
        <v>1.7～2.5 t</v>
      </c>
      <c r="W431" s="283" t="str">
        <f t="shared" si="43"/>
        <v>H9・H10</v>
      </c>
      <c r="X431" s="284" t="str">
        <f t="shared" si="43"/>
        <v>DD</v>
      </c>
      <c r="Y431" s="271" t="s">
        <v>1765</v>
      </c>
      <c r="Z431" s="283">
        <f t="shared" si="44"/>
        <v>0.52500000000000002</v>
      </c>
      <c r="AA431" s="283">
        <f t="shared" si="44"/>
        <v>6.7500000000000004E-2</v>
      </c>
      <c r="AB431" s="340">
        <f t="shared" si="44"/>
        <v>2.58</v>
      </c>
      <c r="AN431" s="47" t="s">
        <v>1249</v>
      </c>
    </row>
    <row r="432" spans="1:41">
      <c r="A432" t="str">
        <f t="shared" si="47"/>
        <v>貨2軽WD</v>
      </c>
      <c r="B432" t="s">
        <v>2054</v>
      </c>
      <c r="C432" t="s">
        <v>2053</v>
      </c>
      <c r="D432" t="s">
        <v>2046</v>
      </c>
      <c r="E432" t="s">
        <v>683</v>
      </c>
      <c r="F432">
        <v>0.52500000000000002</v>
      </c>
      <c r="G432">
        <v>6.7500000000000004E-2</v>
      </c>
      <c r="H432">
        <v>2.58</v>
      </c>
      <c r="I432" t="s">
        <v>239</v>
      </c>
      <c r="J432"/>
      <c r="K432" s="436"/>
      <c r="L432" s="436"/>
      <c r="M432" s="436"/>
      <c r="N432" s="436"/>
      <c r="O432" s="436"/>
      <c r="P432" s="436"/>
      <c r="Q432" s="436"/>
      <c r="R432" s="436"/>
      <c r="S432" s="436"/>
      <c r="T432" s="292" t="str">
        <f t="shared" si="40"/>
        <v>トラック・バス</v>
      </c>
      <c r="U432" s="283" t="str">
        <f t="shared" si="41"/>
        <v>軽油</v>
      </c>
      <c r="V432" s="283" t="str">
        <f t="shared" si="42"/>
        <v>1.7～2.5 t</v>
      </c>
      <c r="W432" s="283" t="str">
        <f t="shared" si="43"/>
        <v>H9・H10</v>
      </c>
      <c r="X432" s="284" t="str">
        <f t="shared" si="43"/>
        <v>WD</v>
      </c>
      <c r="Y432" s="271" t="s">
        <v>1765</v>
      </c>
      <c r="Z432" s="283">
        <f t="shared" si="44"/>
        <v>0.52500000000000002</v>
      </c>
      <c r="AA432" s="283">
        <f t="shared" si="44"/>
        <v>6.7500000000000004E-2</v>
      </c>
      <c r="AB432" s="340">
        <f t="shared" si="44"/>
        <v>2.58</v>
      </c>
      <c r="AN432" s="47" t="s">
        <v>1684</v>
      </c>
    </row>
    <row r="433" spans="1:40">
      <c r="A433" t="str">
        <f t="shared" si="47"/>
        <v>貨2軽DE</v>
      </c>
      <c r="B433" t="s">
        <v>2054</v>
      </c>
      <c r="C433" t="s">
        <v>2053</v>
      </c>
      <c r="D433" t="s">
        <v>2046</v>
      </c>
      <c r="E433" t="s">
        <v>685</v>
      </c>
      <c r="F433">
        <v>0.35</v>
      </c>
      <c r="G433">
        <v>4.4999999999999998E-2</v>
      </c>
      <c r="H433">
        <v>2.58</v>
      </c>
      <c r="I433" t="s">
        <v>1973</v>
      </c>
      <c r="J433"/>
      <c r="T433" s="292" t="str">
        <f t="shared" si="40"/>
        <v>トラック・バス</v>
      </c>
      <c r="U433" s="283" t="str">
        <f t="shared" si="41"/>
        <v>軽油</v>
      </c>
      <c r="V433" s="283" t="str">
        <f t="shared" si="42"/>
        <v>1.7～2.5 t</v>
      </c>
      <c r="W433" s="283" t="str">
        <f t="shared" si="43"/>
        <v>H9・H10</v>
      </c>
      <c r="X433" s="284" t="str">
        <f t="shared" si="43"/>
        <v>DE</v>
      </c>
      <c r="Y433" s="271" t="s">
        <v>1766</v>
      </c>
      <c r="Z433" s="283">
        <f t="shared" si="44"/>
        <v>0.35</v>
      </c>
      <c r="AA433" s="283">
        <f t="shared" si="44"/>
        <v>4.4999999999999998E-2</v>
      </c>
      <c r="AB433" s="340">
        <f t="shared" si="44"/>
        <v>2.58</v>
      </c>
      <c r="AN433" s="436" t="s">
        <v>1153</v>
      </c>
    </row>
    <row r="434" spans="1:40">
      <c r="A434" t="str">
        <f t="shared" si="47"/>
        <v>貨2軽WE</v>
      </c>
      <c r="B434" t="s">
        <v>2054</v>
      </c>
      <c r="C434" t="s">
        <v>2053</v>
      </c>
      <c r="D434" t="s">
        <v>2046</v>
      </c>
      <c r="E434" t="s">
        <v>687</v>
      </c>
      <c r="F434">
        <v>0.35</v>
      </c>
      <c r="G434">
        <v>4.4999999999999998E-2</v>
      </c>
      <c r="H434">
        <v>2.58</v>
      </c>
      <c r="I434" t="s">
        <v>239</v>
      </c>
      <c r="J434"/>
      <c r="T434" s="292" t="str">
        <f t="shared" si="40"/>
        <v>トラック・バス</v>
      </c>
      <c r="U434" s="283" t="str">
        <f t="shared" si="41"/>
        <v>軽油</v>
      </c>
      <c r="V434" s="283" t="str">
        <f t="shared" si="42"/>
        <v>1.7～2.5 t</v>
      </c>
      <c r="W434" s="283" t="str">
        <f t="shared" si="43"/>
        <v>H9・H10</v>
      </c>
      <c r="X434" s="284" t="str">
        <f t="shared" si="43"/>
        <v>WE</v>
      </c>
      <c r="Y434" s="271" t="s">
        <v>1766</v>
      </c>
      <c r="Z434" s="283">
        <f t="shared" si="44"/>
        <v>0.35</v>
      </c>
      <c r="AA434" s="283">
        <f t="shared" si="44"/>
        <v>4.4999999999999998E-2</v>
      </c>
      <c r="AB434" s="340">
        <f t="shared" si="44"/>
        <v>2.58</v>
      </c>
      <c r="AN434" s="47" t="s">
        <v>1186</v>
      </c>
    </row>
    <row r="435" spans="1:40">
      <c r="A435" t="str">
        <f t="shared" si="47"/>
        <v>貨2軽DF</v>
      </c>
      <c r="B435" t="s">
        <v>2054</v>
      </c>
      <c r="C435" t="s">
        <v>2053</v>
      </c>
      <c r="D435" t="s">
        <v>2046</v>
      </c>
      <c r="E435" t="s">
        <v>689</v>
      </c>
      <c r="F435">
        <v>0.17499999999999999</v>
      </c>
      <c r="G435">
        <v>2.2499999999999999E-2</v>
      </c>
      <c r="H435">
        <v>2.58</v>
      </c>
      <c r="I435" t="s">
        <v>1973</v>
      </c>
      <c r="J435"/>
      <c r="T435" s="292" t="str">
        <f t="shared" si="40"/>
        <v>トラック・バス</v>
      </c>
      <c r="U435" s="283" t="str">
        <f t="shared" si="41"/>
        <v>軽油</v>
      </c>
      <c r="V435" s="283" t="str">
        <f t="shared" si="42"/>
        <v>1.7～2.5 t</v>
      </c>
      <c r="W435" s="283" t="str">
        <f t="shared" si="43"/>
        <v>H9・H10</v>
      </c>
      <c r="X435" s="284" t="str">
        <f t="shared" si="43"/>
        <v>DF</v>
      </c>
      <c r="Y435" s="271" t="s">
        <v>1767</v>
      </c>
      <c r="Z435" s="283">
        <f t="shared" si="44"/>
        <v>0.17499999999999999</v>
      </c>
      <c r="AA435" s="283">
        <f t="shared" si="44"/>
        <v>2.2499999999999999E-2</v>
      </c>
      <c r="AB435" s="340">
        <f t="shared" si="44"/>
        <v>2.58</v>
      </c>
      <c r="AN435" s="47" t="s">
        <v>1247</v>
      </c>
    </row>
    <row r="436" spans="1:40">
      <c r="A436" t="str">
        <f t="shared" si="47"/>
        <v>貨2軽WF</v>
      </c>
      <c r="B436" t="s">
        <v>2054</v>
      </c>
      <c r="C436" t="s">
        <v>2053</v>
      </c>
      <c r="D436" t="s">
        <v>2046</v>
      </c>
      <c r="E436" t="s">
        <v>691</v>
      </c>
      <c r="F436">
        <v>0.17499999999999999</v>
      </c>
      <c r="G436">
        <v>2.2499999999999999E-2</v>
      </c>
      <c r="H436">
        <v>2.58</v>
      </c>
      <c r="I436" t="s">
        <v>239</v>
      </c>
      <c r="J436"/>
      <c r="T436" s="292" t="str">
        <f t="shared" si="40"/>
        <v>トラック・バス</v>
      </c>
      <c r="U436" s="283" t="str">
        <f t="shared" si="41"/>
        <v>軽油</v>
      </c>
      <c r="V436" s="283" t="str">
        <f t="shared" si="42"/>
        <v>1.7～2.5 t</v>
      </c>
      <c r="W436" s="283" t="str">
        <f t="shared" si="43"/>
        <v>H9・H10</v>
      </c>
      <c r="X436" s="284" t="str">
        <f t="shared" si="43"/>
        <v>WF</v>
      </c>
      <c r="Y436" s="271" t="s">
        <v>1767</v>
      </c>
      <c r="Z436" s="283">
        <f t="shared" si="44"/>
        <v>0.17499999999999999</v>
      </c>
      <c r="AA436" s="283">
        <f t="shared" si="44"/>
        <v>2.2499999999999999E-2</v>
      </c>
      <c r="AB436" s="340">
        <f t="shared" si="44"/>
        <v>2.58</v>
      </c>
      <c r="AN436" s="47" t="s">
        <v>1714</v>
      </c>
    </row>
    <row r="437" spans="1:40">
      <c r="A437" t="str">
        <f t="shared" si="47"/>
        <v>貨2軽DN</v>
      </c>
      <c r="B437" t="s">
        <v>2054</v>
      </c>
      <c r="C437" t="s">
        <v>2053</v>
      </c>
      <c r="D437" t="s">
        <v>2046</v>
      </c>
      <c r="E437" t="s">
        <v>693</v>
      </c>
      <c r="F437">
        <v>0.52500000000000002</v>
      </c>
      <c r="G437">
        <v>6.7500000000000004E-2</v>
      </c>
      <c r="H437">
        <v>2.58</v>
      </c>
      <c r="I437" t="s">
        <v>1973</v>
      </c>
      <c r="J437"/>
      <c r="T437" s="292" t="str">
        <f t="shared" si="40"/>
        <v>トラック・バス</v>
      </c>
      <c r="U437" s="283" t="str">
        <f t="shared" si="41"/>
        <v>軽油</v>
      </c>
      <c r="V437" s="283" t="str">
        <f t="shared" si="42"/>
        <v>1.7～2.5 t</v>
      </c>
      <c r="W437" s="283" t="str">
        <f t="shared" si="43"/>
        <v>H9・H10</v>
      </c>
      <c r="X437" s="284" t="str">
        <f t="shared" si="43"/>
        <v>DN</v>
      </c>
      <c r="Y437" s="271" t="s">
        <v>1765</v>
      </c>
      <c r="Z437" s="283">
        <f t="shared" si="44"/>
        <v>0.52500000000000002</v>
      </c>
      <c r="AA437" s="283">
        <f t="shared" si="44"/>
        <v>6.7500000000000004E-2</v>
      </c>
      <c r="AB437" s="340">
        <f t="shared" si="44"/>
        <v>2.58</v>
      </c>
      <c r="AN437" s="266" t="s">
        <v>1290</v>
      </c>
    </row>
    <row r="438" spans="1:40">
      <c r="A438" t="str">
        <f t="shared" si="47"/>
        <v>貨2軽WN</v>
      </c>
      <c r="B438" t="s">
        <v>2054</v>
      </c>
      <c r="C438" t="s">
        <v>2053</v>
      </c>
      <c r="D438" t="s">
        <v>2046</v>
      </c>
      <c r="E438" t="s">
        <v>695</v>
      </c>
      <c r="F438">
        <v>0.52500000000000002</v>
      </c>
      <c r="G438">
        <v>6.7500000000000004E-2</v>
      </c>
      <c r="H438">
        <v>2.58</v>
      </c>
      <c r="I438" t="s">
        <v>239</v>
      </c>
      <c r="J438"/>
      <c r="T438" s="292" t="str">
        <f t="shared" si="40"/>
        <v>トラック・バス</v>
      </c>
      <c r="U438" s="283" t="str">
        <f t="shared" si="41"/>
        <v>軽油</v>
      </c>
      <c r="V438" s="283" t="str">
        <f t="shared" si="42"/>
        <v>1.7～2.5 t</v>
      </c>
      <c r="W438" s="283" t="str">
        <f t="shared" si="43"/>
        <v>H9・H10</v>
      </c>
      <c r="X438" s="284" t="str">
        <f t="shared" si="43"/>
        <v>WN</v>
      </c>
      <c r="Y438" s="271" t="s">
        <v>1765</v>
      </c>
      <c r="Z438" s="283">
        <f t="shared" si="44"/>
        <v>0.52500000000000002</v>
      </c>
      <c r="AA438" s="283">
        <f t="shared" si="44"/>
        <v>6.7500000000000004E-2</v>
      </c>
      <c r="AB438" s="340">
        <f t="shared" si="44"/>
        <v>2.58</v>
      </c>
      <c r="AN438" s="435" t="s">
        <v>1321</v>
      </c>
    </row>
    <row r="439" spans="1:40">
      <c r="A439" t="str">
        <f t="shared" si="47"/>
        <v>貨2軽DP</v>
      </c>
      <c r="B439" t="s">
        <v>2054</v>
      </c>
      <c r="C439" t="s">
        <v>2053</v>
      </c>
      <c r="D439" t="s">
        <v>2046</v>
      </c>
      <c r="E439" t="s">
        <v>697</v>
      </c>
      <c r="F439">
        <v>0.35</v>
      </c>
      <c r="G439">
        <v>4.4999999999999998E-2</v>
      </c>
      <c r="H439">
        <v>2.58</v>
      </c>
      <c r="I439" t="s">
        <v>1973</v>
      </c>
      <c r="J439"/>
      <c r="T439" s="292" t="str">
        <f t="shared" si="40"/>
        <v>トラック・バス</v>
      </c>
      <c r="U439" s="283" t="str">
        <f t="shared" si="41"/>
        <v>軽油</v>
      </c>
      <c r="V439" s="283" t="str">
        <f t="shared" si="42"/>
        <v>1.7～2.5 t</v>
      </c>
      <c r="W439" s="283" t="str">
        <f t="shared" si="43"/>
        <v>H9・H10</v>
      </c>
      <c r="X439" s="284" t="str">
        <f t="shared" si="43"/>
        <v>DP</v>
      </c>
      <c r="Y439" s="271" t="s">
        <v>1766</v>
      </c>
      <c r="Z439" s="283">
        <f t="shared" si="44"/>
        <v>0.35</v>
      </c>
      <c r="AA439" s="283">
        <f t="shared" si="44"/>
        <v>4.4999999999999998E-2</v>
      </c>
      <c r="AB439" s="340">
        <f t="shared" si="44"/>
        <v>2.58</v>
      </c>
      <c r="AN439" s="47" t="s">
        <v>1371</v>
      </c>
    </row>
    <row r="440" spans="1:40">
      <c r="A440" t="str">
        <f t="shared" si="47"/>
        <v>貨2軽WP</v>
      </c>
      <c r="B440" t="s">
        <v>2054</v>
      </c>
      <c r="C440" t="s">
        <v>2053</v>
      </c>
      <c r="D440" t="s">
        <v>2046</v>
      </c>
      <c r="E440" t="s">
        <v>699</v>
      </c>
      <c r="F440">
        <v>0.35</v>
      </c>
      <c r="G440">
        <v>4.4999999999999998E-2</v>
      </c>
      <c r="H440">
        <v>2.58</v>
      </c>
      <c r="I440" t="s">
        <v>239</v>
      </c>
      <c r="J440"/>
      <c r="T440" s="292" t="str">
        <f t="shared" si="40"/>
        <v>トラック・バス</v>
      </c>
      <c r="U440" s="283" t="str">
        <f t="shared" si="41"/>
        <v>軽油</v>
      </c>
      <c r="V440" s="283" t="str">
        <f t="shared" si="42"/>
        <v>1.7～2.5 t</v>
      </c>
      <c r="W440" s="283" t="str">
        <f t="shared" si="43"/>
        <v>H9・H10</v>
      </c>
      <c r="X440" s="284" t="str">
        <f t="shared" si="43"/>
        <v>WP</v>
      </c>
      <c r="Y440" s="271" t="s">
        <v>1766</v>
      </c>
      <c r="Z440" s="283">
        <f t="shared" si="44"/>
        <v>0.35</v>
      </c>
      <c r="AA440" s="283">
        <f t="shared" si="44"/>
        <v>4.4999999999999998E-2</v>
      </c>
      <c r="AB440" s="340">
        <f t="shared" si="44"/>
        <v>2.58</v>
      </c>
      <c r="AN440" s="47" t="s">
        <v>1712</v>
      </c>
    </row>
    <row r="441" spans="1:40">
      <c r="A441" t="str">
        <f t="shared" si="47"/>
        <v>貨2軽DQ</v>
      </c>
      <c r="B441" t="s">
        <v>2054</v>
      </c>
      <c r="C441" t="s">
        <v>2053</v>
      </c>
      <c r="D441" t="s">
        <v>2046</v>
      </c>
      <c r="E441" t="s">
        <v>701</v>
      </c>
      <c r="F441">
        <v>0.17499999999999999</v>
      </c>
      <c r="G441">
        <v>2.2499999999999999E-2</v>
      </c>
      <c r="H441">
        <v>2.58</v>
      </c>
      <c r="I441" t="s">
        <v>1973</v>
      </c>
      <c r="J441"/>
      <c r="T441" s="292" t="str">
        <f t="shared" si="40"/>
        <v>トラック・バス</v>
      </c>
      <c r="U441" s="283" t="str">
        <f t="shared" si="41"/>
        <v>軽油</v>
      </c>
      <c r="V441" s="283" t="str">
        <f t="shared" si="42"/>
        <v>1.7～2.5 t</v>
      </c>
      <c r="W441" s="283" t="str">
        <f t="shared" si="43"/>
        <v>H9・H10</v>
      </c>
      <c r="X441" s="284" t="str">
        <f t="shared" si="43"/>
        <v>DQ</v>
      </c>
      <c r="Y441" s="271" t="s">
        <v>1767</v>
      </c>
      <c r="Z441" s="283">
        <f t="shared" si="44"/>
        <v>0.17499999999999999</v>
      </c>
      <c r="AA441" s="283">
        <f t="shared" si="44"/>
        <v>2.2499999999999999E-2</v>
      </c>
      <c r="AB441" s="340">
        <f t="shared" si="44"/>
        <v>2.58</v>
      </c>
      <c r="AN441" s="436" t="s">
        <v>1288</v>
      </c>
    </row>
    <row r="442" spans="1:40">
      <c r="A442" t="str">
        <f t="shared" si="47"/>
        <v>貨2軽WQ</v>
      </c>
      <c r="B442" t="s">
        <v>2054</v>
      </c>
      <c r="C442" t="s">
        <v>2053</v>
      </c>
      <c r="D442" t="s">
        <v>2046</v>
      </c>
      <c r="E442" t="s">
        <v>703</v>
      </c>
      <c r="F442">
        <v>0.17499999999999999</v>
      </c>
      <c r="G442">
        <v>2.2499999999999999E-2</v>
      </c>
      <c r="H442">
        <v>2.58</v>
      </c>
      <c r="I442" t="s">
        <v>239</v>
      </c>
      <c r="J442"/>
      <c r="T442" s="292" t="str">
        <f t="shared" si="40"/>
        <v>トラック・バス</v>
      </c>
      <c r="U442" s="283" t="str">
        <f t="shared" si="41"/>
        <v>軽油</v>
      </c>
      <c r="V442" s="283" t="str">
        <f t="shared" si="42"/>
        <v>1.7～2.5 t</v>
      </c>
      <c r="W442" s="283" t="str">
        <f t="shared" si="43"/>
        <v>H9・H10</v>
      </c>
      <c r="X442" s="284" t="str">
        <f t="shared" si="43"/>
        <v>WQ</v>
      </c>
      <c r="Y442" s="271" t="s">
        <v>1767</v>
      </c>
      <c r="Z442" s="283">
        <f t="shared" si="44"/>
        <v>0.17499999999999999</v>
      </c>
      <c r="AA442" s="283">
        <f t="shared" si="44"/>
        <v>2.2499999999999999E-2</v>
      </c>
      <c r="AB442" s="340">
        <f t="shared" si="44"/>
        <v>2.58</v>
      </c>
      <c r="AN442" s="47" t="s">
        <v>1319</v>
      </c>
    </row>
    <row r="443" spans="1:40">
      <c r="A443" t="str">
        <f t="shared" si="47"/>
        <v>貨2軽KQ</v>
      </c>
      <c r="B443" t="s">
        <v>2054</v>
      </c>
      <c r="C443" t="s">
        <v>2053</v>
      </c>
      <c r="D443" t="s">
        <v>20</v>
      </c>
      <c r="E443" t="s">
        <v>128</v>
      </c>
      <c r="F443">
        <v>0.49</v>
      </c>
      <c r="G443">
        <v>0.06</v>
      </c>
      <c r="H443">
        <v>2.58</v>
      </c>
      <c r="I443" t="s">
        <v>1973</v>
      </c>
      <c r="J443"/>
      <c r="T443" s="292" t="str">
        <f t="shared" si="40"/>
        <v>トラック・バス</v>
      </c>
      <c r="U443" s="283" t="str">
        <f t="shared" si="41"/>
        <v>軽油</v>
      </c>
      <c r="V443" s="283" t="str">
        <f t="shared" si="42"/>
        <v>1.7～2.5 t</v>
      </c>
      <c r="W443" s="283" t="str">
        <f t="shared" si="43"/>
        <v>H15</v>
      </c>
      <c r="X443" s="284" t="str">
        <f t="shared" si="43"/>
        <v>KQ</v>
      </c>
      <c r="Y443" s="271"/>
      <c r="Z443" s="283">
        <f t="shared" si="44"/>
        <v>0.49</v>
      </c>
      <c r="AA443" s="283">
        <f t="shared" si="44"/>
        <v>0.06</v>
      </c>
      <c r="AB443" s="340">
        <f t="shared" si="44"/>
        <v>2.58</v>
      </c>
      <c r="AN443" s="47" t="s">
        <v>1369</v>
      </c>
    </row>
    <row r="444" spans="1:40">
      <c r="A444" t="str">
        <f t="shared" si="47"/>
        <v>貨2軽HX</v>
      </c>
      <c r="B444" t="s">
        <v>2054</v>
      </c>
      <c r="C444" t="s">
        <v>2053</v>
      </c>
      <c r="D444" t="s">
        <v>20</v>
      </c>
      <c r="E444" t="s">
        <v>115</v>
      </c>
      <c r="F444">
        <v>0.245</v>
      </c>
      <c r="G444">
        <v>0.03</v>
      </c>
      <c r="H444">
        <v>2.58</v>
      </c>
      <c r="I444" t="s">
        <v>239</v>
      </c>
      <c r="J444"/>
      <c r="T444" s="292" t="str">
        <f t="shared" si="40"/>
        <v>トラック・バス</v>
      </c>
      <c r="U444" s="283" t="str">
        <f t="shared" si="41"/>
        <v>軽油</v>
      </c>
      <c r="V444" s="283" t="str">
        <f t="shared" si="42"/>
        <v>1.7～2.5 t</v>
      </c>
      <c r="W444" s="283" t="str">
        <f t="shared" si="43"/>
        <v>H15</v>
      </c>
      <c r="X444" s="284" t="str">
        <f t="shared" si="43"/>
        <v>HX</v>
      </c>
      <c r="Y444" s="271"/>
      <c r="Z444" s="283">
        <f t="shared" si="44"/>
        <v>0.245</v>
      </c>
      <c r="AA444" s="283">
        <f t="shared" si="44"/>
        <v>0.03</v>
      </c>
      <c r="AB444" s="340">
        <f t="shared" si="44"/>
        <v>2.58</v>
      </c>
      <c r="AN444" s="436" t="s">
        <v>1089</v>
      </c>
    </row>
    <row r="445" spans="1:40">
      <c r="A445" t="str">
        <f t="shared" si="47"/>
        <v>貨2軽TJ</v>
      </c>
      <c r="B445" t="s">
        <v>2054</v>
      </c>
      <c r="C445" t="s">
        <v>2053</v>
      </c>
      <c r="D445" t="s">
        <v>20</v>
      </c>
      <c r="E445" t="s">
        <v>155</v>
      </c>
      <c r="F445">
        <v>0.36749999999999999</v>
      </c>
      <c r="G445">
        <v>4.4999999999999998E-2</v>
      </c>
      <c r="H445">
        <v>2.58</v>
      </c>
      <c r="I445" t="s">
        <v>1973</v>
      </c>
      <c r="J445"/>
      <c r="T445" s="292" t="str">
        <f t="shared" si="40"/>
        <v>トラック・バス</v>
      </c>
      <c r="U445" s="283" t="str">
        <f t="shared" si="41"/>
        <v>軽油</v>
      </c>
      <c r="V445" s="283" t="str">
        <f t="shared" si="42"/>
        <v>1.7～2.5 t</v>
      </c>
      <c r="W445" s="283" t="str">
        <f t="shared" si="43"/>
        <v>H15</v>
      </c>
      <c r="X445" s="284" t="str">
        <f t="shared" si="43"/>
        <v>TJ</v>
      </c>
      <c r="Y445" s="271" t="s">
        <v>1765</v>
      </c>
      <c r="Z445" s="283">
        <f t="shared" si="44"/>
        <v>0.36749999999999999</v>
      </c>
      <c r="AA445" s="283">
        <f t="shared" si="44"/>
        <v>4.4999999999999998E-2</v>
      </c>
      <c r="AB445" s="340">
        <f t="shared" si="44"/>
        <v>2.58</v>
      </c>
      <c r="AN445" s="436" t="s">
        <v>1081</v>
      </c>
    </row>
    <row r="446" spans="1:40">
      <c r="A446" t="str">
        <f t="shared" si="47"/>
        <v>貨2軽XJ</v>
      </c>
      <c r="B446" t="s">
        <v>2054</v>
      </c>
      <c r="C446" t="s">
        <v>2053</v>
      </c>
      <c r="D446" t="s">
        <v>20</v>
      </c>
      <c r="E446" t="s">
        <v>184</v>
      </c>
      <c r="F446">
        <v>0.36749999999999999</v>
      </c>
      <c r="G446">
        <v>4.4999999999999998E-2</v>
      </c>
      <c r="H446">
        <v>2.58</v>
      </c>
      <c r="I446" t="s">
        <v>239</v>
      </c>
      <c r="J446"/>
      <c r="T446" s="292" t="str">
        <f t="shared" si="40"/>
        <v>トラック・バス</v>
      </c>
      <c r="U446" s="283" t="str">
        <f t="shared" si="41"/>
        <v>軽油</v>
      </c>
      <c r="V446" s="283" t="str">
        <f t="shared" si="42"/>
        <v>1.7～2.5 t</v>
      </c>
      <c r="W446" s="283" t="str">
        <f t="shared" si="43"/>
        <v>H15</v>
      </c>
      <c r="X446" s="284" t="str">
        <f t="shared" si="43"/>
        <v>XJ</v>
      </c>
      <c r="Y446" s="271" t="s">
        <v>1765</v>
      </c>
      <c r="Z446" s="283">
        <f t="shared" si="44"/>
        <v>0.36749999999999999</v>
      </c>
      <c r="AA446" s="283">
        <f t="shared" si="44"/>
        <v>4.4999999999999998E-2</v>
      </c>
      <c r="AB446" s="340">
        <f t="shared" si="44"/>
        <v>2.58</v>
      </c>
      <c r="AN446" s="47" t="s">
        <v>1432</v>
      </c>
    </row>
    <row r="447" spans="1:40">
      <c r="A447" t="str">
        <f t="shared" si="47"/>
        <v>貨2軽LJ</v>
      </c>
      <c r="B447" t="s">
        <v>2054</v>
      </c>
      <c r="C447" t="s">
        <v>2053</v>
      </c>
      <c r="D447" t="s">
        <v>20</v>
      </c>
      <c r="E447" t="s">
        <v>132</v>
      </c>
      <c r="F447">
        <v>0.245</v>
      </c>
      <c r="G447">
        <v>0.03</v>
      </c>
      <c r="H447">
        <v>2.58</v>
      </c>
      <c r="I447" t="s">
        <v>1973</v>
      </c>
      <c r="J447"/>
      <c r="T447" s="292" t="str">
        <f t="shared" si="40"/>
        <v>トラック・バス</v>
      </c>
      <c r="U447" s="283" t="str">
        <f t="shared" si="41"/>
        <v>軽油</v>
      </c>
      <c r="V447" s="283" t="str">
        <f t="shared" si="42"/>
        <v>1.7～2.5 t</v>
      </c>
      <c r="W447" s="283" t="str">
        <f t="shared" si="43"/>
        <v>H15</v>
      </c>
      <c r="X447" s="284" t="str">
        <f t="shared" si="43"/>
        <v>LJ</v>
      </c>
      <c r="Y447" s="271" t="s">
        <v>1766</v>
      </c>
      <c r="Z447" s="283">
        <f t="shared" si="44"/>
        <v>0.245</v>
      </c>
      <c r="AA447" s="283">
        <f t="shared" si="44"/>
        <v>0.03</v>
      </c>
      <c r="AB447" s="340">
        <f t="shared" si="44"/>
        <v>2.58</v>
      </c>
      <c r="AN447" s="47" t="s">
        <v>2549</v>
      </c>
    </row>
    <row r="448" spans="1:40">
      <c r="A448" t="str">
        <f t="shared" si="47"/>
        <v>貨2軽YJ</v>
      </c>
      <c r="B448" t="s">
        <v>2054</v>
      </c>
      <c r="C448" t="s">
        <v>2053</v>
      </c>
      <c r="D448" t="s">
        <v>20</v>
      </c>
      <c r="E448" t="s">
        <v>190</v>
      </c>
      <c r="F448">
        <v>0.245</v>
      </c>
      <c r="G448">
        <v>0.03</v>
      </c>
      <c r="H448">
        <v>2.58</v>
      </c>
      <c r="I448" t="s">
        <v>239</v>
      </c>
      <c r="J448"/>
      <c r="T448" s="292" t="str">
        <f t="shared" si="40"/>
        <v>トラック・バス</v>
      </c>
      <c r="U448" s="283" t="str">
        <f t="shared" si="41"/>
        <v>軽油</v>
      </c>
      <c r="V448" s="283" t="str">
        <f t="shared" si="42"/>
        <v>1.7～2.5 t</v>
      </c>
      <c r="W448" s="283" t="str">
        <f t="shared" si="43"/>
        <v>H15</v>
      </c>
      <c r="X448" s="284" t="str">
        <f t="shared" si="43"/>
        <v>YJ</v>
      </c>
      <c r="Y448" s="271" t="s">
        <v>1766</v>
      </c>
      <c r="Z448" s="283">
        <f t="shared" si="44"/>
        <v>0.245</v>
      </c>
      <c r="AA448" s="283">
        <f t="shared" si="44"/>
        <v>0.03</v>
      </c>
      <c r="AB448" s="340">
        <f t="shared" si="44"/>
        <v>2.58</v>
      </c>
      <c r="AN448" s="47" t="s">
        <v>2550</v>
      </c>
    </row>
    <row r="449" spans="1:40">
      <c r="A449" t="str">
        <f t="shared" si="47"/>
        <v>貨2軽UJ</v>
      </c>
      <c r="B449" t="s">
        <v>2054</v>
      </c>
      <c r="C449" t="s">
        <v>2053</v>
      </c>
      <c r="D449" t="s">
        <v>20</v>
      </c>
      <c r="E449" t="s">
        <v>161</v>
      </c>
      <c r="F449">
        <v>0.1225</v>
      </c>
      <c r="G449">
        <v>1.4999999999999999E-2</v>
      </c>
      <c r="H449">
        <v>2.58</v>
      </c>
      <c r="I449" t="s">
        <v>1973</v>
      </c>
      <c r="J449"/>
      <c r="T449" s="292" t="str">
        <f t="shared" si="40"/>
        <v>トラック・バス</v>
      </c>
      <c r="U449" s="283" t="str">
        <f t="shared" si="41"/>
        <v>軽油</v>
      </c>
      <c r="V449" s="283" t="str">
        <f t="shared" si="42"/>
        <v>1.7～2.5 t</v>
      </c>
      <c r="W449" s="283" t="str">
        <f t="shared" si="43"/>
        <v>H15</v>
      </c>
      <c r="X449" s="284" t="str">
        <f t="shared" si="43"/>
        <v>UJ</v>
      </c>
      <c r="Y449" s="271" t="s">
        <v>1767</v>
      </c>
      <c r="Z449" s="283">
        <f t="shared" si="44"/>
        <v>0.1225</v>
      </c>
      <c r="AA449" s="283">
        <f t="shared" si="44"/>
        <v>1.4999999999999999E-2</v>
      </c>
      <c r="AB449" s="340">
        <f t="shared" si="44"/>
        <v>2.58</v>
      </c>
      <c r="AN449" s="47" t="s">
        <v>2551</v>
      </c>
    </row>
    <row r="450" spans="1:40">
      <c r="A450" t="str">
        <f t="shared" si="47"/>
        <v>貨2軽ZJ</v>
      </c>
      <c r="B450" t="s">
        <v>2054</v>
      </c>
      <c r="C450" t="s">
        <v>2053</v>
      </c>
      <c r="D450" t="s">
        <v>20</v>
      </c>
      <c r="E450" t="s">
        <v>195</v>
      </c>
      <c r="F450">
        <v>0.1225</v>
      </c>
      <c r="G450">
        <v>1.4999999999999999E-2</v>
      </c>
      <c r="H450">
        <v>2.58</v>
      </c>
      <c r="I450" t="s">
        <v>239</v>
      </c>
      <c r="J450"/>
      <c r="T450" s="292" t="str">
        <f t="shared" si="40"/>
        <v>トラック・バス</v>
      </c>
      <c r="U450" s="283" t="str">
        <f t="shared" si="41"/>
        <v>軽油</v>
      </c>
      <c r="V450" s="283" t="str">
        <f t="shared" si="42"/>
        <v>1.7～2.5 t</v>
      </c>
      <c r="W450" s="283" t="str">
        <f t="shared" si="43"/>
        <v>H15</v>
      </c>
      <c r="X450" s="284" t="str">
        <f t="shared" si="43"/>
        <v>ZJ</v>
      </c>
      <c r="Y450" s="271" t="s">
        <v>1767</v>
      </c>
      <c r="Z450" s="283">
        <f t="shared" si="44"/>
        <v>0.1225</v>
      </c>
      <c r="AA450" s="283">
        <f t="shared" si="44"/>
        <v>1.4999999999999999E-2</v>
      </c>
      <c r="AB450" s="340">
        <f t="shared" si="44"/>
        <v>2.58</v>
      </c>
      <c r="AN450" s="47" t="s">
        <v>1636</v>
      </c>
    </row>
    <row r="451" spans="1:40">
      <c r="A451" t="str">
        <f t="shared" si="47"/>
        <v>貨2軽ADF</v>
      </c>
      <c r="B451" t="s">
        <v>2054</v>
      </c>
      <c r="C451" t="s">
        <v>2053</v>
      </c>
      <c r="D451" t="s">
        <v>1979</v>
      </c>
      <c r="E451" t="s">
        <v>713</v>
      </c>
      <c r="F451">
        <v>0.25</v>
      </c>
      <c r="G451">
        <v>1.4999999999999999E-2</v>
      </c>
      <c r="H451">
        <v>2.58</v>
      </c>
      <c r="I451" t="s">
        <v>2340</v>
      </c>
      <c r="J451"/>
      <c r="T451" s="292" t="str">
        <f t="shared" si="40"/>
        <v>トラック・バス</v>
      </c>
      <c r="U451" s="283" t="str">
        <f t="shared" si="41"/>
        <v>軽油</v>
      </c>
      <c r="V451" s="283" t="str">
        <f t="shared" si="42"/>
        <v>1.7～2.5 t</v>
      </c>
      <c r="W451" s="283" t="str">
        <f t="shared" si="43"/>
        <v>H17</v>
      </c>
      <c r="X451" s="284" t="str">
        <f t="shared" si="43"/>
        <v>ADF</v>
      </c>
      <c r="Y451" s="271"/>
      <c r="Z451" s="283">
        <f t="shared" si="44"/>
        <v>0.25</v>
      </c>
      <c r="AA451" s="283">
        <f t="shared" si="44"/>
        <v>1.4999999999999999E-2</v>
      </c>
      <c r="AB451" s="340">
        <f t="shared" si="44"/>
        <v>2.58</v>
      </c>
      <c r="AN451" s="266" t="s">
        <v>2552</v>
      </c>
    </row>
    <row r="452" spans="1:40">
      <c r="A452" t="str">
        <f t="shared" si="47"/>
        <v>貨2軽ACF</v>
      </c>
      <c r="B452" t="s">
        <v>2054</v>
      </c>
      <c r="C452" t="s">
        <v>2053</v>
      </c>
      <c r="D452" t="s">
        <v>1979</v>
      </c>
      <c r="E452" t="s">
        <v>717</v>
      </c>
      <c r="F452">
        <v>0.125</v>
      </c>
      <c r="G452">
        <v>7.4999999999999997E-3</v>
      </c>
      <c r="H452">
        <v>2.58</v>
      </c>
      <c r="I452" t="s">
        <v>239</v>
      </c>
      <c r="J452"/>
      <c r="T452" s="292" t="str">
        <f t="shared" si="40"/>
        <v>トラック・バス</v>
      </c>
      <c r="U452" s="283" t="str">
        <f t="shared" si="41"/>
        <v>軽油</v>
      </c>
      <c r="V452" s="283" t="str">
        <f t="shared" si="42"/>
        <v>1.7～2.5 t</v>
      </c>
      <c r="W452" s="283" t="str">
        <f t="shared" si="43"/>
        <v>H17</v>
      </c>
      <c r="X452" s="284" t="str">
        <f t="shared" si="43"/>
        <v>ACF</v>
      </c>
      <c r="Y452" s="271"/>
      <c r="Z452" s="283">
        <f t="shared" si="44"/>
        <v>0.125</v>
      </c>
      <c r="AA452" s="283">
        <f t="shared" si="44"/>
        <v>7.4999999999999997E-3</v>
      </c>
      <c r="AB452" s="340">
        <f t="shared" si="44"/>
        <v>2.58</v>
      </c>
      <c r="AN452" s="266" t="s">
        <v>2553</v>
      </c>
    </row>
    <row r="453" spans="1:40">
      <c r="A453" t="str">
        <f t="shared" si="47"/>
        <v>貨2軽AMF</v>
      </c>
      <c r="B453" t="s">
        <v>2054</v>
      </c>
      <c r="C453" t="s">
        <v>2053</v>
      </c>
      <c r="D453" t="s">
        <v>1979</v>
      </c>
      <c r="E453" t="s">
        <v>2812</v>
      </c>
      <c r="F453">
        <v>6.25E-2</v>
      </c>
      <c r="G453">
        <v>3.7499999999999999E-3</v>
      </c>
      <c r="H453">
        <v>2.58</v>
      </c>
      <c r="I453" t="s">
        <v>2490</v>
      </c>
      <c r="J453"/>
      <c r="T453" s="292" t="str">
        <f t="shared" ref="T453:T516" si="48">IF(LEFT(C453,1)="貨","トラック・バス","乗用車")</f>
        <v>トラック・バス</v>
      </c>
      <c r="U453" s="283" t="str">
        <f t="shared" ref="U453:U516" si="49">VLOOKUP(RIGHT(C453,1),$AL$4:$AM$8,2,FALSE)</f>
        <v>軽油</v>
      </c>
      <c r="V453" s="283" t="str">
        <f t="shared" ref="V453:V516" si="50">VLOOKUP(VALUE(MID(C453,2,1)),$AL$10:$AM$15,2,FALSE)</f>
        <v>1.7～2.5 t</v>
      </c>
      <c r="W453" s="283" t="str">
        <f t="shared" ref="W453:X516" si="51">D453</f>
        <v>H17</v>
      </c>
      <c r="X453" s="284" t="str">
        <f t="shared" si="51"/>
        <v>AMF</v>
      </c>
      <c r="Y453" s="271"/>
      <c r="Z453" s="283">
        <f t="shared" ref="Z453:AB516" si="52">F453</f>
        <v>6.25E-2</v>
      </c>
      <c r="AA453" s="283">
        <f t="shared" si="52"/>
        <v>3.7499999999999999E-3</v>
      </c>
      <c r="AB453" s="340">
        <f t="shared" si="52"/>
        <v>2.58</v>
      </c>
      <c r="AN453" s="47" t="s">
        <v>2554</v>
      </c>
    </row>
    <row r="454" spans="1:40">
      <c r="A454" t="str">
        <f t="shared" si="47"/>
        <v>貨2軽CCF</v>
      </c>
      <c r="B454" t="s">
        <v>2054</v>
      </c>
      <c r="C454" t="s">
        <v>2053</v>
      </c>
      <c r="D454" t="s">
        <v>1979</v>
      </c>
      <c r="E454" t="s">
        <v>2049</v>
      </c>
      <c r="F454">
        <v>0.125</v>
      </c>
      <c r="G454">
        <v>7.4999999999999997E-3</v>
      </c>
      <c r="H454">
        <v>2.58</v>
      </c>
      <c r="I454" t="s">
        <v>239</v>
      </c>
      <c r="J454"/>
      <c r="T454" s="292" t="str">
        <f t="shared" si="48"/>
        <v>トラック・バス</v>
      </c>
      <c r="U454" s="283" t="str">
        <f t="shared" si="49"/>
        <v>軽油</v>
      </c>
      <c r="V454" s="283" t="str">
        <f t="shared" si="50"/>
        <v>1.7～2.5 t</v>
      </c>
      <c r="W454" s="283" t="str">
        <f t="shared" si="51"/>
        <v>H17</v>
      </c>
      <c r="X454" s="284" t="str">
        <f t="shared" si="51"/>
        <v>CCF</v>
      </c>
      <c r="Y454" s="271" t="s">
        <v>2261</v>
      </c>
      <c r="Z454" s="283">
        <f t="shared" si="52"/>
        <v>0.125</v>
      </c>
      <c r="AA454" s="283">
        <f t="shared" si="52"/>
        <v>7.4999999999999997E-3</v>
      </c>
      <c r="AB454" s="340">
        <f t="shared" si="52"/>
        <v>2.58</v>
      </c>
      <c r="AN454" s="47" t="s">
        <v>1091</v>
      </c>
    </row>
    <row r="455" spans="1:40">
      <c r="A455" t="str">
        <f t="shared" si="47"/>
        <v>貨2軽CDF</v>
      </c>
      <c r="B455" t="s">
        <v>2054</v>
      </c>
      <c r="C455" t="s">
        <v>2053</v>
      </c>
      <c r="D455" t="s">
        <v>1979</v>
      </c>
      <c r="E455" t="s">
        <v>2050</v>
      </c>
      <c r="F455">
        <v>0.125</v>
      </c>
      <c r="G455">
        <v>7.4999999999999997E-3</v>
      </c>
      <c r="H455">
        <v>2.58</v>
      </c>
      <c r="I455" t="s">
        <v>2340</v>
      </c>
      <c r="J455"/>
      <c r="T455" s="292" t="str">
        <f t="shared" si="48"/>
        <v>トラック・バス</v>
      </c>
      <c r="U455" s="283" t="str">
        <f t="shared" si="49"/>
        <v>軽油</v>
      </c>
      <c r="V455" s="283" t="str">
        <f t="shared" si="50"/>
        <v>1.7～2.5 t</v>
      </c>
      <c r="W455" s="283" t="str">
        <f t="shared" si="51"/>
        <v>H17</v>
      </c>
      <c r="X455" s="284" t="str">
        <f t="shared" si="51"/>
        <v>CDF</v>
      </c>
      <c r="Y455" s="271" t="s">
        <v>2261</v>
      </c>
      <c r="Z455" s="283">
        <f t="shared" si="52"/>
        <v>0.125</v>
      </c>
      <c r="AA455" s="283">
        <f t="shared" si="52"/>
        <v>7.4999999999999997E-3</v>
      </c>
      <c r="AB455" s="340">
        <f t="shared" si="52"/>
        <v>2.58</v>
      </c>
      <c r="AN455" s="436" t="s">
        <v>1083</v>
      </c>
    </row>
    <row r="456" spans="1:40">
      <c r="A456" t="str">
        <f t="shared" si="47"/>
        <v>貨2軽CMF</v>
      </c>
      <c r="B456" t="s">
        <v>2054</v>
      </c>
      <c r="C456" t="s">
        <v>2053</v>
      </c>
      <c r="D456" t="s">
        <v>1979</v>
      </c>
      <c r="E456" t="s">
        <v>2813</v>
      </c>
      <c r="F456">
        <v>0.125</v>
      </c>
      <c r="G456">
        <v>7.4999999999999997E-3</v>
      </c>
      <c r="H456">
        <v>2.58</v>
      </c>
      <c r="I456" t="s">
        <v>1405</v>
      </c>
      <c r="J456"/>
      <c r="T456" s="292" t="str">
        <f t="shared" si="48"/>
        <v>トラック・バス</v>
      </c>
      <c r="U456" s="283" t="str">
        <f t="shared" si="49"/>
        <v>軽油</v>
      </c>
      <c r="V456" s="283" t="str">
        <f t="shared" si="50"/>
        <v>1.7～2.5 t</v>
      </c>
      <c r="W456" s="283" t="str">
        <f t="shared" si="51"/>
        <v>H17</v>
      </c>
      <c r="X456" s="284" t="str">
        <f t="shared" si="51"/>
        <v>CMF</v>
      </c>
      <c r="Y456" s="271" t="s">
        <v>2261</v>
      </c>
      <c r="Z456" s="283">
        <f t="shared" si="52"/>
        <v>0.125</v>
      </c>
      <c r="AA456" s="283">
        <f t="shared" si="52"/>
        <v>7.4999999999999997E-3</v>
      </c>
      <c r="AB456" s="340">
        <f t="shared" si="52"/>
        <v>2.58</v>
      </c>
      <c r="AN456" s="47" t="s">
        <v>1093</v>
      </c>
    </row>
    <row r="457" spans="1:40">
      <c r="A457" t="str">
        <f t="shared" si="47"/>
        <v>貨2軽DCF</v>
      </c>
      <c r="B457" t="s">
        <v>2054</v>
      </c>
      <c r="C457" t="s">
        <v>2053</v>
      </c>
      <c r="D457" t="s">
        <v>1979</v>
      </c>
      <c r="E457" t="s">
        <v>2051</v>
      </c>
      <c r="F457">
        <v>6.25E-2</v>
      </c>
      <c r="G457">
        <v>3.7499999999999999E-3</v>
      </c>
      <c r="H457">
        <v>2.58</v>
      </c>
      <c r="I457" t="s">
        <v>239</v>
      </c>
      <c r="J457"/>
      <c r="T457" s="292" t="str">
        <f t="shared" si="48"/>
        <v>トラック・バス</v>
      </c>
      <c r="U457" s="283" t="str">
        <f t="shared" si="49"/>
        <v>軽油</v>
      </c>
      <c r="V457" s="283" t="str">
        <f t="shared" si="50"/>
        <v>1.7～2.5 t</v>
      </c>
      <c r="W457" s="283" t="str">
        <f t="shared" si="51"/>
        <v>H17</v>
      </c>
      <c r="X457" s="284" t="str">
        <f t="shared" si="51"/>
        <v>DCF</v>
      </c>
      <c r="Y457" s="271" t="s">
        <v>2262</v>
      </c>
      <c r="Z457" s="283">
        <f t="shared" si="52"/>
        <v>6.25E-2</v>
      </c>
      <c r="AA457" s="283">
        <f t="shared" si="52"/>
        <v>3.7499999999999999E-3</v>
      </c>
      <c r="AB457" s="340">
        <f t="shared" si="52"/>
        <v>2.58</v>
      </c>
      <c r="AN457" s="436" t="s">
        <v>1085</v>
      </c>
    </row>
    <row r="458" spans="1:40">
      <c r="A458" t="str">
        <f t="shared" si="47"/>
        <v>貨2軽DDF</v>
      </c>
      <c r="B458" t="s">
        <v>2054</v>
      </c>
      <c r="C458" t="s">
        <v>2053</v>
      </c>
      <c r="D458" t="s">
        <v>1979</v>
      </c>
      <c r="E458" t="s">
        <v>2052</v>
      </c>
      <c r="F458">
        <v>6.25E-2</v>
      </c>
      <c r="G458">
        <v>3.7499999999999999E-3</v>
      </c>
      <c r="H458">
        <v>2.58</v>
      </c>
      <c r="I458" t="s">
        <v>2340</v>
      </c>
      <c r="J458"/>
      <c r="T458" s="292" t="str">
        <f t="shared" si="48"/>
        <v>トラック・バス</v>
      </c>
      <c r="U458" s="283" t="str">
        <f t="shared" si="49"/>
        <v>軽油</v>
      </c>
      <c r="V458" s="283" t="str">
        <f t="shared" si="50"/>
        <v>1.7～2.5 t</v>
      </c>
      <c r="W458" s="283" t="str">
        <f t="shared" si="51"/>
        <v>H17</v>
      </c>
      <c r="X458" s="284" t="str">
        <f t="shared" si="51"/>
        <v>DDF</v>
      </c>
      <c r="Y458" s="271" t="s">
        <v>2262</v>
      </c>
      <c r="Z458" s="283">
        <f t="shared" si="52"/>
        <v>6.25E-2</v>
      </c>
      <c r="AA458" s="283">
        <f t="shared" si="52"/>
        <v>3.7499999999999999E-3</v>
      </c>
      <c r="AB458" s="340">
        <f t="shared" si="52"/>
        <v>2.58</v>
      </c>
      <c r="AN458" s="47" t="s">
        <v>12</v>
      </c>
    </row>
    <row r="459" spans="1:40">
      <c r="A459" t="str">
        <f t="shared" si="47"/>
        <v>貨2軽DMF</v>
      </c>
      <c r="B459" t="s">
        <v>2054</v>
      </c>
      <c r="C459" t="s">
        <v>2053</v>
      </c>
      <c r="D459" t="s">
        <v>1979</v>
      </c>
      <c r="E459" t="s">
        <v>2814</v>
      </c>
      <c r="F459">
        <v>6.25E-2</v>
      </c>
      <c r="G459">
        <v>3.7499999999999999E-3</v>
      </c>
      <c r="H459">
        <v>2.58</v>
      </c>
      <c r="I459" t="s">
        <v>1405</v>
      </c>
      <c r="J459"/>
      <c r="T459" s="292" t="str">
        <f t="shared" si="48"/>
        <v>トラック・バス</v>
      </c>
      <c r="U459" s="283" t="str">
        <f t="shared" si="49"/>
        <v>軽油</v>
      </c>
      <c r="V459" s="283" t="str">
        <f t="shared" si="50"/>
        <v>1.7～2.5 t</v>
      </c>
      <c r="W459" s="283" t="str">
        <f t="shared" si="51"/>
        <v>H17</v>
      </c>
      <c r="X459" s="284" t="str">
        <f t="shared" si="51"/>
        <v>DMF</v>
      </c>
      <c r="Y459" s="271" t="s">
        <v>2262</v>
      </c>
      <c r="Z459" s="283">
        <f t="shared" si="52"/>
        <v>6.25E-2</v>
      </c>
      <c r="AA459" s="283">
        <f t="shared" si="52"/>
        <v>3.7499999999999999E-3</v>
      </c>
      <c r="AB459" s="340">
        <f t="shared" si="52"/>
        <v>2.58</v>
      </c>
      <c r="AN459" s="47" t="s">
        <v>763</v>
      </c>
    </row>
    <row r="460" spans="1:40">
      <c r="A460" t="str">
        <f t="shared" si="47"/>
        <v>貨2軽SDF</v>
      </c>
      <c r="B460" t="s">
        <v>2054</v>
      </c>
      <c r="C460" t="s">
        <v>2053</v>
      </c>
      <c r="D460" t="s">
        <v>2390</v>
      </c>
      <c r="E460" t="s">
        <v>755</v>
      </c>
      <c r="F460">
        <v>0.15</v>
      </c>
      <c r="G460">
        <v>7.0000000000000001E-3</v>
      </c>
      <c r="H460">
        <v>2.58</v>
      </c>
      <c r="I460" t="s">
        <v>607</v>
      </c>
      <c r="J460"/>
      <c r="T460" s="292" t="str">
        <f t="shared" si="48"/>
        <v>トラック・バス</v>
      </c>
      <c r="U460" s="283" t="str">
        <f t="shared" si="49"/>
        <v>軽油</v>
      </c>
      <c r="V460" s="283" t="str">
        <f t="shared" si="50"/>
        <v>1.7～2.5 t</v>
      </c>
      <c r="W460" s="283" t="str">
        <f t="shared" si="51"/>
        <v>H22</v>
      </c>
      <c r="X460" s="284" t="str">
        <f t="shared" si="51"/>
        <v>SDF</v>
      </c>
      <c r="Y460" s="271"/>
      <c r="Z460" s="283">
        <f t="shared" si="52"/>
        <v>0.15</v>
      </c>
      <c r="AA460" s="283">
        <f t="shared" si="52"/>
        <v>7.0000000000000001E-3</v>
      </c>
      <c r="AB460" s="340">
        <f t="shared" si="52"/>
        <v>2.58</v>
      </c>
      <c r="AN460" s="47" t="s">
        <v>1103</v>
      </c>
    </row>
    <row r="461" spans="1:40">
      <c r="A461" t="str">
        <f t="shared" si="47"/>
        <v>貨2軽SCF</v>
      </c>
      <c r="B461" t="s">
        <v>2054</v>
      </c>
      <c r="C461" t="s">
        <v>2053</v>
      </c>
      <c r="D461" t="s">
        <v>2390</v>
      </c>
      <c r="E461" t="s">
        <v>763</v>
      </c>
      <c r="F461">
        <v>7.4999999999999997E-2</v>
      </c>
      <c r="G461">
        <v>3.5000000000000001E-3</v>
      </c>
      <c r="H461">
        <v>2.58</v>
      </c>
      <c r="I461" t="s">
        <v>239</v>
      </c>
      <c r="J461"/>
      <c r="T461" s="292" t="str">
        <f t="shared" si="48"/>
        <v>トラック・バス</v>
      </c>
      <c r="U461" s="283" t="str">
        <f t="shared" si="49"/>
        <v>軽油</v>
      </c>
      <c r="V461" s="283" t="str">
        <f t="shared" si="50"/>
        <v>1.7～2.5 t</v>
      </c>
      <c r="W461" s="283" t="str">
        <f t="shared" si="51"/>
        <v>H22</v>
      </c>
      <c r="X461" s="284" t="str">
        <f t="shared" si="51"/>
        <v>SCF</v>
      </c>
      <c r="Y461" s="271"/>
      <c r="Z461" s="283">
        <f t="shared" si="52"/>
        <v>7.4999999999999997E-2</v>
      </c>
      <c r="AA461" s="283">
        <f t="shared" si="52"/>
        <v>3.5000000000000001E-3</v>
      </c>
      <c r="AB461" s="340">
        <f t="shared" si="52"/>
        <v>2.58</v>
      </c>
      <c r="AN461" s="47" t="s">
        <v>755</v>
      </c>
    </row>
    <row r="462" spans="1:40">
      <c r="A462" t="str">
        <f t="shared" si="47"/>
        <v>貨2軽SMF</v>
      </c>
      <c r="B462" t="s">
        <v>2054</v>
      </c>
      <c r="C462" t="s">
        <v>2053</v>
      </c>
      <c r="D462" t="s">
        <v>2390</v>
      </c>
      <c r="E462" t="s">
        <v>2815</v>
      </c>
      <c r="F462">
        <v>3.7499999999999999E-2</v>
      </c>
      <c r="G462">
        <v>1.75E-3</v>
      </c>
      <c r="H462">
        <v>2.58</v>
      </c>
      <c r="I462" t="s">
        <v>2490</v>
      </c>
      <c r="J462"/>
      <c r="T462" s="292" t="str">
        <f t="shared" si="48"/>
        <v>トラック・バス</v>
      </c>
      <c r="U462" s="283" t="str">
        <f t="shared" si="49"/>
        <v>軽油</v>
      </c>
      <c r="V462" s="283" t="str">
        <f t="shared" si="50"/>
        <v>1.7～2.5 t</v>
      </c>
      <c r="W462" s="283" t="str">
        <f t="shared" si="51"/>
        <v>H22</v>
      </c>
      <c r="X462" s="284" t="str">
        <f t="shared" si="51"/>
        <v>SMF</v>
      </c>
      <c r="Y462" s="271"/>
      <c r="Z462" s="283">
        <f t="shared" si="52"/>
        <v>3.7499999999999999E-2</v>
      </c>
      <c r="AA462" s="283">
        <f t="shared" si="52"/>
        <v>1.75E-3</v>
      </c>
      <c r="AB462" s="340">
        <f t="shared" si="52"/>
        <v>2.58</v>
      </c>
      <c r="AN462" s="436" t="s">
        <v>1095</v>
      </c>
    </row>
    <row r="463" spans="1:40">
      <c r="A463" t="str">
        <f t="shared" si="47"/>
        <v>貨2軽TDF</v>
      </c>
      <c r="B463" t="s">
        <v>2054</v>
      </c>
      <c r="C463" t="s">
        <v>2053</v>
      </c>
      <c r="D463" t="s">
        <v>2390</v>
      </c>
      <c r="E463" t="s">
        <v>771</v>
      </c>
      <c r="F463">
        <v>0.13500000000000001</v>
      </c>
      <c r="G463">
        <v>6.3E-3</v>
      </c>
      <c r="H463">
        <v>2.58</v>
      </c>
      <c r="I463" t="s">
        <v>607</v>
      </c>
      <c r="J463"/>
      <c r="T463" s="292" t="str">
        <f t="shared" si="48"/>
        <v>トラック・バス</v>
      </c>
      <c r="U463" s="283" t="str">
        <f t="shared" si="49"/>
        <v>軽油</v>
      </c>
      <c r="V463" s="283" t="str">
        <f t="shared" si="50"/>
        <v>1.7～2.5 t</v>
      </c>
      <c r="W463" s="283" t="str">
        <f t="shared" si="51"/>
        <v>H22</v>
      </c>
      <c r="X463" s="284" t="str">
        <f t="shared" si="51"/>
        <v>TDF</v>
      </c>
      <c r="Y463" s="271" t="s">
        <v>1762</v>
      </c>
      <c r="Z463" s="283">
        <f t="shared" si="52"/>
        <v>0.13500000000000001</v>
      </c>
      <c r="AA463" s="283">
        <f t="shared" si="52"/>
        <v>6.3E-3</v>
      </c>
      <c r="AB463" s="340">
        <f t="shared" si="52"/>
        <v>2.58</v>
      </c>
      <c r="AN463" s="47" t="s">
        <v>1253</v>
      </c>
    </row>
    <row r="464" spans="1:40" ht="13.75" customHeight="1">
      <c r="A464" t="str">
        <f t="shared" si="47"/>
        <v>貨2軽TCF</v>
      </c>
      <c r="B464" t="s">
        <v>2054</v>
      </c>
      <c r="C464" t="s">
        <v>2053</v>
      </c>
      <c r="D464" t="s">
        <v>2390</v>
      </c>
      <c r="E464" t="s">
        <v>779</v>
      </c>
      <c r="F464">
        <v>0.13500000000000001</v>
      </c>
      <c r="G464">
        <v>6.3E-3</v>
      </c>
      <c r="H464">
        <v>2.58</v>
      </c>
      <c r="I464" t="s">
        <v>239</v>
      </c>
      <c r="J464"/>
      <c r="T464" s="292" t="str">
        <f t="shared" si="48"/>
        <v>トラック・バス</v>
      </c>
      <c r="U464" s="283" t="str">
        <f t="shared" si="49"/>
        <v>軽油</v>
      </c>
      <c r="V464" s="283" t="str">
        <f t="shared" si="50"/>
        <v>1.7～2.5 t</v>
      </c>
      <c r="W464" s="283" t="str">
        <f t="shared" si="51"/>
        <v>H22</v>
      </c>
      <c r="X464" s="284" t="str">
        <f t="shared" si="51"/>
        <v>TCF</v>
      </c>
      <c r="Y464" s="271" t="s">
        <v>1762</v>
      </c>
      <c r="Z464" s="283">
        <f t="shared" si="52"/>
        <v>0.13500000000000001</v>
      </c>
      <c r="AA464" s="283">
        <f t="shared" si="52"/>
        <v>6.3E-3</v>
      </c>
      <c r="AB464" s="340">
        <f t="shared" si="52"/>
        <v>2.58</v>
      </c>
      <c r="AN464" s="47" t="s">
        <v>1251</v>
      </c>
    </row>
    <row r="465" spans="1:40">
      <c r="A465" t="str">
        <f t="shared" si="47"/>
        <v>貨2軽TMF</v>
      </c>
      <c r="B465" t="s">
        <v>2054</v>
      </c>
      <c r="C465" t="s">
        <v>2053</v>
      </c>
      <c r="D465" t="s">
        <v>2390</v>
      </c>
      <c r="E465" t="s">
        <v>2816</v>
      </c>
      <c r="F465">
        <v>0.13500000000000001</v>
      </c>
      <c r="G465">
        <v>6.3E-3</v>
      </c>
      <c r="H465">
        <v>2.58</v>
      </c>
      <c r="I465" t="s">
        <v>2490</v>
      </c>
      <c r="J465"/>
      <c r="T465" s="292" t="str">
        <f t="shared" si="48"/>
        <v>トラック・バス</v>
      </c>
      <c r="U465" s="283" t="str">
        <f t="shared" si="49"/>
        <v>軽油</v>
      </c>
      <c r="V465" s="283" t="str">
        <f t="shared" si="50"/>
        <v>1.7～2.5 t</v>
      </c>
      <c r="W465" s="283" t="str">
        <f t="shared" si="51"/>
        <v>H22</v>
      </c>
      <c r="X465" s="284" t="str">
        <f t="shared" si="51"/>
        <v>TMF</v>
      </c>
      <c r="Y465" s="271" t="s">
        <v>1762</v>
      </c>
      <c r="Z465" s="283">
        <f t="shared" si="52"/>
        <v>0.13500000000000001</v>
      </c>
      <c r="AA465" s="283">
        <f t="shared" si="52"/>
        <v>6.3E-3</v>
      </c>
      <c r="AB465" s="340">
        <f t="shared" si="52"/>
        <v>2.58</v>
      </c>
      <c r="AN465" s="47" t="s">
        <v>1379</v>
      </c>
    </row>
    <row r="466" spans="1:40" ht="13.75" customHeight="1">
      <c r="A466" t="str">
        <f t="shared" si="47"/>
        <v>貨2軽3DF</v>
      </c>
      <c r="B466" t="s">
        <v>2054</v>
      </c>
      <c r="C466" t="s">
        <v>2053</v>
      </c>
      <c r="D466" t="s">
        <v>2746</v>
      </c>
      <c r="E466" t="s">
        <v>2817</v>
      </c>
      <c r="F466">
        <v>0.24</v>
      </c>
      <c r="G466">
        <v>7.0000000000000001E-3</v>
      </c>
      <c r="H466">
        <v>2.58</v>
      </c>
      <c r="I466" t="s">
        <v>1971</v>
      </c>
      <c r="J466"/>
      <c r="T466" s="292" t="str">
        <f t="shared" si="48"/>
        <v>トラック・バス</v>
      </c>
      <c r="U466" s="283" t="str">
        <f t="shared" si="49"/>
        <v>軽油</v>
      </c>
      <c r="V466" s="283" t="str">
        <f t="shared" si="50"/>
        <v>1.7～2.5 t</v>
      </c>
      <c r="W466" s="283" t="str">
        <f t="shared" si="51"/>
        <v>H30</v>
      </c>
      <c r="X466" s="284" t="str">
        <f t="shared" si="51"/>
        <v>3DF</v>
      </c>
      <c r="Y466" s="271"/>
      <c r="Z466" s="283">
        <f t="shared" si="52"/>
        <v>0.24</v>
      </c>
      <c r="AA466" s="283">
        <f t="shared" si="52"/>
        <v>7.0000000000000001E-3</v>
      </c>
      <c r="AB466" s="340">
        <f t="shared" si="52"/>
        <v>2.58</v>
      </c>
      <c r="AN466" s="47" t="s">
        <v>1377</v>
      </c>
    </row>
    <row r="467" spans="1:40">
      <c r="A467" t="str">
        <f t="shared" si="47"/>
        <v>貨2軽3CF</v>
      </c>
      <c r="B467" t="s">
        <v>2054</v>
      </c>
      <c r="C467" t="s">
        <v>2053</v>
      </c>
      <c r="D467" t="s">
        <v>2746</v>
      </c>
      <c r="E467" t="s">
        <v>2818</v>
      </c>
      <c r="F467">
        <v>0.12</v>
      </c>
      <c r="G467">
        <v>3.5000000000000001E-3</v>
      </c>
      <c r="H467">
        <v>2.58</v>
      </c>
      <c r="I467" t="s">
        <v>239</v>
      </c>
      <c r="J467"/>
      <c r="T467" s="292" t="str">
        <f t="shared" si="48"/>
        <v>トラック・バス</v>
      </c>
      <c r="U467" s="283" t="str">
        <f t="shared" si="49"/>
        <v>軽油</v>
      </c>
      <c r="V467" s="283" t="str">
        <f t="shared" si="50"/>
        <v>1.7～2.5 t</v>
      </c>
      <c r="W467" s="283" t="str">
        <f t="shared" si="51"/>
        <v>H30</v>
      </c>
      <c r="X467" s="284" t="str">
        <f t="shared" si="51"/>
        <v>3CF</v>
      </c>
      <c r="Y467" s="271"/>
      <c r="Z467" s="283">
        <f t="shared" si="52"/>
        <v>0.12</v>
      </c>
      <c r="AA467" s="283">
        <f t="shared" si="52"/>
        <v>3.5000000000000001E-3</v>
      </c>
      <c r="AB467" s="340">
        <f t="shared" si="52"/>
        <v>2.58</v>
      </c>
      <c r="AN467" s="47" t="s">
        <v>1105</v>
      </c>
    </row>
    <row r="468" spans="1:40" ht="13.75" customHeight="1">
      <c r="A468" t="str">
        <f t="shared" si="47"/>
        <v>貨2軽3MF</v>
      </c>
      <c r="B468" t="s">
        <v>2054</v>
      </c>
      <c r="C468" t="s">
        <v>2053</v>
      </c>
      <c r="D468" t="s">
        <v>2750</v>
      </c>
      <c r="E468" t="s">
        <v>2819</v>
      </c>
      <c r="F468">
        <v>0.06</v>
      </c>
      <c r="G468">
        <v>1.75E-3</v>
      </c>
      <c r="H468">
        <v>2.58</v>
      </c>
      <c r="I468" t="s">
        <v>2490</v>
      </c>
      <c r="J468"/>
      <c r="T468" s="292" t="str">
        <f t="shared" si="48"/>
        <v>トラック・バス</v>
      </c>
      <c r="U468" s="283" t="str">
        <f t="shared" si="49"/>
        <v>軽油</v>
      </c>
      <c r="V468" s="283" t="str">
        <f t="shared" si="50"/>
        <v>1.7～2.5 t</v>
      </c>
      <c r="W468" s="283" t="str">
        <f t="shared" si="51"/>
        <v>H30</v>
      </c>
      <c r="X468" s="284" t="str">
        <f t="shared" si="51"/>
        <v>3MF</v>
      </c>
      <c r="Y468" s="271"/>
      <c r="Z468" s="283">
        <f t="shared" si="52"/>
        <v>0.06</v>
      </c>
      <c r="AA468" s="283">
        <f t="shared" si="52"/>
        <v>1.75E-3</v>
      </c>
      <c r="AB468" s="340">
        <f t="shared" si="52"/>
        <v>2.58</v>
      </c>
      <c r="AN468" s="436" t="s">
        <v>1097</v>
      </c>
    </row>
    <row r="469" spans="1:40">
      <c r="A469" t="str">
        <f t="shared" si="47"/>
        <v>貨2軽4DF</v>
      </c>
      <c r="B469" t="s">
        <v>2054</v>
      </c>
      <c r="C469" t="s">
        <v>2053</v>
      </c>
      <c r="D469" t="s">
        <v>2750</v>
      </c>
      <c r="E469" t="s">
        <v>2820</v>
      </c>
      <c r="F469">
        <v>0.18</v>
      </c>
      <c r="G469">
        <v>5.2500000000000003E-3</v>
      </c>
      <c r="H469">
        <v>2.58</v>
      </c>
      <c r="I469" t="s">
        <v>1971</v>
      </c>
      <c r="J469"/>
      <c r="T469" s="292" t="str">
        <f t="shared" si="48"/>
        <v>トラック・バス</v>
      </c>
      <c r="U469" s="283" t="str">
        <f t="shared" si="49"/>
        <v>軽油</v>
      </c>
      <c r="V469" s="283" t="str">
        <f t="shared" si="50"/>
        <v>1.7～2.5 t</v>
      </c>
      <c r="W469" s="283" t="str">
        <f t="shared" si="51"/>
        <v>H30</v>
      </c>
      <c r="X469" s="284" t="str">
        <f t="shared" si="51"/>
        <v>4DF</v>
      </c>
      <c r="Y469" s="271" t="s">
        <v>1769</v>
      </c>
      <c r="Z469" s="283">
        <f t="shared" si="52"/>
        <v>0.18</v>
      </c>
      <c r="AA469" s="283">
        <f t="shared" si="52"/>
        <v>5.2500000000000003E-3</v>
      </c>
      <c r="AB469" s="340">
        <f t="shared" si="52"/>
        <v>2.58</v>
      </c>
      <c r="AN469" s="47" t="s">
        <v>2555</v>
      </c>
    </row>
    <row r="470" spans="1:40" ht="13.75" customHeight="1">
      <c r="A470" t="str">
        <f t="shared" si="47"/>
        <v>貨2軽4CF</v>
      </c>
      <c r="B470" t="s">
        <v>2054</v>
      </c>
      <c r="C470" t="s">
        <v>2053</v>
      </c>
      <c r="D470" t="s">
        <v>2750</v>
      </c>
      <c r="E470" t="s">
        <v>2821</v>
      </c>
      <c r="F470">
        <v>0.18</v>
      </c>
      <c r="G470">
        <v>5.2500000000000003E-3</v>
      </c>
      <c r="H470">
        <v>2.58</v>
      </c>
      <c r="I470" t="s">
        <v>239</v>
      </c>
      <c r="J470"/>
      <c r="T470" s="292" t="str">
        <f t="shared" si="48"/>
        <v>トラック・バス</v>
      </c>
      <c r="U470" s="283" t="str">
        <f t="shared" si="49"/>
        <v>軽油</v>
      </c>
      <c r="V470" s="283" t="str">
        <f t="shared" si="50"/>
        <v>1.7～2.5 t</v>
      </c>
      <c r="W470" s="283" t="str">
        <f t="shared" si="51"/>
        <v>H30</v>
      </c>
      <c r="X470" s="284" t="str">
        <f t="shared" si="51"/>
        <v>4CF</v>
      </c>
      <c r="Y470" s="271" t="s">
        <v>1769</v>
      </c>
      <c r="Z470" s="283">
        <f t="shared" si="52"/>
        <v>0.18</v>
      </c>
      <c r="AA470" s="283">
        <f t="shared" si="52"/>
        <v>5.2500000000000003E-3</v>
      </c>
      <c r="AB470" s="340">
        <f t="shared" si="52"/>
        <v>2.58</v>
      </c>
      <c r="AN470" s="47" t="s">
        <v>2556</v>
      </c>
    </row>
    <row r="471" spans="1:40">
      <c r="A471" t="str">
        <f t="shared" si="47"/>
        <v>貨2軽4MF</v>
      </c>
      <c r="B471" t="s">
        <v>2054</v>
      </c>
      <c r="C471" t="s">
        <v>2053</v>
      </c>
      <c r="D471" t="s">
        <v>2750</v>
      </c>
      <c r="E471" t="s">
        <v>2822</v>
      </c>
      <c r="F471">
        <v>0.18</v>
      </c>
      <c r="G471">
        <v>5.2500000000000003E-3</v>
      </c>
      <c r="H471">
        <v>2.58</v>
      </c>
      <c r="I471" t="s">
        <v>1405</v>
      </c>
      <c r="J471"/>
      <c r="T471" s="292" t="str">
        <f t="shared" si="48"/>
        <v>トラック・バス</v>
      </c>
      <c r="U471" s="283" t="str">
        <f t="shared" si="49"/>
        <v>軽油</v>
      </c>
      <c r="V471" s="283" t="str">
        <f t="shared" si="50"/>
        <v>1.7～2.5 t</v>
      </c>
      <c r="W471" s="283" t="str">
        <f t="shared" si="51"/>
        <v>H30</v>
      </c>
      <c r="X471" s="284" t="str">
        <f t="shared" si="51"/>
        <v>4MF</v>
      </c>
      <c r="Y471" s="271" t="s">
        <v>1769</v>
      </c>
      <c r="Z471" s="283">
        <f t="shared" si="52"/>
        <v>0.18</v>
      </c>
      <c r="AA471" s="283">
        <f t="shared" si="52"/>
        <v>5.2500000000000003E-3</v>
      </c>
      <c r="AB471" s="340">
        <f t="shared" si="52"/>
        <v>2.58</v>
      </c>
      <c r="AN471" s="47" t="s">
        <v>1107</v>
      </c>
    </row>
    <row r="472" spans="1:40" ht="13.75" customHeight="1">
      <c r="A472" t="str">
        <f t="shared" si="47"/>
        <v>貨2軽5DF</v>
      </c>
      <c r="B472" t="s">
        <v>2054</v>
      </c>
      <c r="C472" t="s">
        <v>2053</v>
      </c>
      <c r="D472" t="s">
        <v>2750</v>
      </c>
      <c r="E472" t="s">
        <v>2823</v>
      </c>
      <c r="F472">
        <v>0.12</v>
      </c>
      <c r="G472">
        <v>0.35</v>
      </c>
      <c r="H472">
        <v>2.58</v>
      </c>
      <c r="I472" t="s">
        <v>1971</v>
      </c>
      <c r="J472"/>
      <c r="T472" s="292" t="str">
        <f t="shared" si="48"/>
        <v>トラック・バス</v>
      </c>
      <c r="U472" s="283" t="str">
        <f t="shared" si="49"/>
        <v>軽油</v>
      </c>
      <c r="V472" s="283" t="str">
        <f t="shared" si="50"/>
        <v>1.7～2.5 t</v>
      </c>
      <c r="W472" s="283" t="str">
        <f t="shared" si="51"/>
        <v>H30</v>
      </c>
      <c r="X472" s="284" t="str">
        <f t="shared" si="51"/>
        <v>5DF</v>
      </c>
      <c r="Y472" s="271" t="s">
        <v>2262</v>
      </c>
      <c r="Z472" s="283">
        <f t="shared" si="52"/>
        <v>0.12</v>
      </c>
      <c r="AA472" s="283">
        <f t="shared" si="52"/>
        <v>0.35</v>
      </c>
      <c r="AB472" s="340">
        <f t="shared" si="52"/>
        <v>2.58</v>
      </c>
      <c r="AN472" s="436" t="s">
        <v>1099</v>
      </c>
    </row>
    <row r="473" spans="1:40">
      <c r="A473" t="str">
        <f t="shared" si="47"/>
        <v>貨2軽5CF</v>
      </c>
      <c r="B473" t="s">
        <v>2054</v>
      </c>
      <c r="C473" t="s">
        <v>2053</v>
      </c>
      <c r="D473" t="s">
        <v>2750</v>
      </c>
      <c r="E473" t="s">
        <v>2824</v>
      </c>
      <c r="F473">
        <v>0.12</v>
      </c>
      <c r="G473">
        <v>0.35</v>
      </c>
      <c r="H473">
        <v>2.58</v>
      </c>
      <c r="I473" t="s">
        <v>239</v>
      </c>
      <c r="J473"/>
      <c r="T473" s="292" t="str">
        <f t="shared" si="48"/>
        <v>トラック・バス</v>
      </c>
      <c r="U473" s="283" t="str">
        <f t="shared" si="49"/>
        <v>軽油</v>
      </c>
      <c r="V473" s="283" t="str">
        <f t="shared" si="50"/>
        <v>1.7～2.5 t</v>
      </c>
      <c r="W473" s="283" t="str">
        <f t="shared" si="51"/>
        <v>H30</v>
      </c>
      <c r="X473" s="284" t="str">
        <f t="shared" si="51"/>
        <v>5CF</v>
      </c>
      <c r="Y473" s="271" t="s">
        <v>2262</v>
      </c>
      <c r="Z473" s="283">
        <f t="shared" si="52"/>
        <v>0.12</v>
      </c>
      <c r="AA473" s="283">
        <f t="shared" si="52"/>
        <v>0.35</v>
      </c>
      <c r="AB473" s="340">
        <f t="shared" si="52"/>
        <v>2.58</v>
      </c>
      <c r="AN473" s="47" t="s">
        <v>1109</v>
      </c>
    </row>
    <row r="474" spans="1:40" ht="13.75" customHeight="1">
      <c r="A474" t="str">
        <f t="shared" si="47"/>
        <v>貨2軽5MF</v>
      </c>
      <c r="B474" t="s">
        <v>2054</v>
      </c>
      <c r="C474" t="s">
        <v>2053</v>
      </c>
      <c r="D474" t="s">
        <v>2750</v>
      </c>
      <c r="E474" t="s">
        <v>2825</v>
      </c>
      <c r="F474">
        <v>0.12</v>
      </c>
      <c r="G474">
        <v>0.35</v>
      </c>
      <c r="H474">
        <v>2.58</v>
      </c>
      <c r="I474" t="s">
        <v>1405</v>
      </c>
      <c r="J474"/>
      <c r="T474" s="292" t="str">
        <f t="shared" si="48"/>
        <v>トラック・バス</v>
      </c>
      <c r="U474" s="283" t="str">
        <f t="shared" si="49"/>
        <v>軽油</v>
      </c>
      <c r="V474" s="283" t="str">
        <f t="shared" si="50"/>
        <v>1.7～2.5 t</v>
      </c>
      <c r="W474" s="283" t="str">
        <f t="shared" si="51"/>
        <v>H30</v>
      </c>
      <c r="X474" s="284" t="str">
        <f t="shared" si="51"/>
        <v>5MF</v>
      </c>
      <c r="Y474" s="271" t="s">
        <v>2262</v>
      </c>
      <c r="Z474" s="283">
        <f t="shared" si="52"/>
        <v>0.12</v>
      </c>
      <c r="AA474" s="283">
        <f t="shared" si="52"/>
        <v>0.35</v>
      </c>
      <c r="AB474" s="340">
        <f t="shared" si="52"/>
        <v>2.58</v>
      </c>
      <c r="AN474" s="47" t="s">
        <v>1101</v>
      </c>
    </row>
    <row r="475" spans="1:40">
      <c r="A475" t="str">
        <f t="shared" si="47"/>
        <v>貨2軽6DF</v>
      </c>
      <c r="B475" t="s">
        <v>2054</v>
      </c>
      <c r="C475" t="s">
        <v>2053</v>
      </c>
      <c r="D475" t="s">
        <v>2750</v>
      </c>
      <c r="E475" t="s">
        <v>2826</v>
      </c>
      <c r="F475">
        <v>0.06</v>
      </c>
      <c r="G475">
        <v>1.75E-3</v>
      </c>
      <c r="H475">
        <v>2.58</v>
      </c>
      <c r="I475" t="s">
        <v>1971</v>
      </c>
      <c r="J475"/>
      <c r="T475" s="292" t="str">
        <f t="shared" si="48"/>
        <v>トラック・バス</v>
      </c>
      <c r="U475" s="283" t="str">
        <f t="shared" si="49"/>
        <v>軽油</v>
      </c>
      <c r="V475" s="283" t="str">
        <f t="shared" si="50"/>
        <v>1.7～2.5 t</v>
      </c>
      <c r="W475" s="283" t="str">
        <f t="shared" si="51"/>
        <v>H30</v>
      </c>
      <c r="X475" s="284" t="str">
        <f t="shared" si="51"/>
        <v>6DF</v>
      </c>
      <c r="Y475" s="271" t="s">
        <v>2758</v>
      </c>
      <c r="Z475" s="283">
        <f t="shared" si="52"/>
        <v>0.06</v>
      </c>
      <c r="AA475" s="283">
        <f t="shared" si="52"/>
        <v>1.75E-3</v>
      </c>
      <c r="AB475" s="340">
        <f t="shared" si="52"/>
        <v>2.58</v>
      </c>
      <c r="AN475" s="47" t="s">
        <v>2557</v>
      </c>
    </row>
    <row r="476" spans="1:40">
      <c r="A476" t="str">
        <f t="shared" si="47"/>
        <v>貨2軽6CF</v>
      </c>
      <c r="B476" t="s">
        <v>2054</v>
      </c>
      <c r="C476" t="s">
        <v>2053</v>
      </c>
      <c r="D476" t="s">
        <v>2750</v>
      </c>
      <c r="E476" t="s">
        <v>2827</v>
      </c>
      <c r="F476">
        <v>0.06</v>
      </c>
      <c r="G476">
        <v>1.75E-3</v>
      </c>
      <c r="H476">
        <v>2.58</v>
      </c>
      <c r="I476" t="s">
        <v>239</v>
      </c>
      <c r="J476"/>
      <c r="T476" s="292" t="str">
        <f t="shared" si="48"/>
        <v>トラック・バス</v>
      </c>
      <c r="U476" s="283" t="str">
        <f t="shared" si="49"/>
        <v>軽油</v>
      </c>
      <c r="V476" s="283" t="str">
        <f t="shared" si="50"/>
        <v>1.7～2.5 t</v>
      </c>
      <c r="W476" s="283" t="str">
        <f t="shared" si="51"/>
        <v>H30</v>
      </c>
      <c r="X476" s="284" t="str">
        <f t="shared" si="51"/>
        <v>6CF</v>
      </c>
      <c r="Y476" s="271" t="s">
        <v>2758</v>
      </c>
      <c r="Z476" s="283">
        <f t="shared" si="52"/>
        <v>0.06</v>
      </c>
      <c r="AA476" s="283">
        <f t="shared" si="52"/>
        <v>1.75E-3</v>
      </c>
      <c r="AB476" s="340">
        <f t="shared" si="52"/>
        <v>2.58</v>
      </c>
      <c r="AN476" s="47" t="s">
        <v>2558</v>
      </c>
    </row>
    <row r="477" spans="1:40">
      <c r="A477" t="str">
        <f t="shared" si="47"/>
        <v>貨2軽6MF</v>
      </c>
      <c r="B477" t="s">
        <v>2054</v>
      </c>
      <c r="C477" t="s">
        <v>2053</v>
      </c>
      <c r="D477" t="s">
        <v>2750</v>
      </c>
      <c r="E477" t="s">
        <v>2828</v>
      </c>
      <c r="F477">
        <v>0.06</v>
      </c>
      <c r="G477">
        <v>1.75E-3</v>
      </c>
      <c r="H477">
        <v>2.58</v>
      </c>
      <c r="I477" t="s">
        <v>1405</v>
      </c>
      <c r="J477"/>
      <c r="T477" s="292" t="str">
        <f t="shared" si="48"/>
        <v>トラック・バス</v>
      </c>
      <c r="U477" s="283" t="str">
        <f t="shared" si="49"/>
        <v>軽油</v>
      </c>
      <c r="V477" s="283" t="str">
        <f t="shared" si="50"/>
        <v>1.7～2.5 t</v>
      </c>
      <c r="W477" s="283" t="str">
        <f t="shared" si="51"/>
        <v>H30</v>
      </c>
      <c r="X477" s="284" t="str">
        <f t="shared" si="51"/>
        <v>6MF</v>
      </c>
      <c r="Y477" s="271" t="s">
        <v>2758</v>
      </c>
      <c r="Z477" s="283">
        <f t="shared" si="52"/>
        <v>0.06</v>
      </c>
      <c r="AA477" s="283">
        <f t="shared" si="52"/>
        <v>1.75E-3</v>
      </c>
      <c r="AB477" s="340">
        <f t="shared" si="52"/>
        <v>2.58</v>
      </c>
      <c r="AN477" s="47" t="s">
        <v>19</v>
      </c>
    </row>
    <row r="478" spans="1:40">
      <c r="A478" t="str">
        <f t="shared" ref="A478:A541" si="53">CONCATENATE(C478,E478)</f>
        <v>貨3軽-</v>
      </c>
      <c r="B478" t="s">
        <v>2067</v>
      </c>
      <c r="C478" t="s">
        <v>2066</v>
      </c>
      <c r="D478" t="s">
        <v>2458</v>
      </c>
      <c r="E478" t="s">
        <v>2457</v>
      </c>
      <c r="F478">
        <v>2.83</v>
      </c>
      <c r="G478">
        <v>0.25</v>
      </c>
      <c r="H478">
        <v>2.58</v>
      </c>
      <c r="I478" t="s">
        <v>1973</v>
      </c>
      <c r="J478"/>
      <c r="T478" s="292" t="str">
        <f t="shared" si="48"/>
        <v>トラック・バス</v>
      </c>
      <c r="U478" s="283" t="str">
        <f t="shared" si="49"/>
        <v>軽油</v>
      </c>
      <c r="V478" s="283" t="str">
        <f t="shared" si="50"/>
        <v>2.5～3.5 t</v>
      </c>
      <c r="W478" s="283" t="str">
        <f t="shared" si="51"/>
        <v>S54前</v>
      </c>
      <c r="X478" s="284" t="str">
        <f t="shared" si="51"/>
        <v>-</v>
      </c>
      <c r="Y478" s="271"/>
      <c r="Z478" s="283">
        <f t="shared" si="52"/>
        <v>2.83</v>
      </c>
      <c r="AA478" s="283">
        <f t="shared" si="52"/>
        <v>0.25</v>
      </c>
      <c r="AB478" s="340">
        <f t="shared" si="52"/>
        <v>2.58</v>
      </c>
      <c r="AN478" s="47" t="s">
        <v>79</v>
      </c>
    </row>
    <row r="479" spans="1:40">
      <c r="A479" t="str">
        <f t="shared" si="53"/>
        <v>貨3軽K</v>
      </c>
      <c r="B479" t="s">
        <v>2067</v>
      </c>
      <c r="C479" t="s">
        <v>2066</v>
      </c>
      <c r="D479" t="s">
        <v>0</v>
      </c>
      <c r="E479" t="s">
        <v>6</v>
      </c>
      <c r="F479">
        <v>2.5299999999999998</v>
      </c>
      <c r="G479">
        <v>0.25</v>
      </c>
      <c r="H479">
        <v>2.58</v>
      </c>
      <c r="I479" t="s">
        <v>1973</v>
      </c>
      <c r="J479"/>
      <c r="T479" s="292" t="str">
        <f t="shared" si="48"/>
        <v>トラック・バス</v>
      </c>
      <c r="U479" s="283" t="str">
        <f t="shared" si="49"/>
        <v>軽油</v>
      </c>
      <c r="V479" s="283" t="str">
        <f t="shared" si="50"/>
        <v>2.5～3.5 t</v>
      </c>
      <c r="W479" s="283" t="str">
        <f t="shared" si="51"/>
        <v>S54</v>
      </c>
      <c r="X479" s="284" t="str">
        <f t="shared" si="51"/>
        <v>K</v>
      </c>
      <c r="Y479" s="271"/>
      <c r="Z479" s="283">
        <f t="shared" si="52"/>
        <v>2.5299999999999998</v>
      </c>
      <c r="AA479" s="283">
        <f t="shared" si="52"/>
        <v>0.25</v>
      </c>
      <c r="AB479" s="340">
        <f t="shared" si="52"/>
        <v>2.58</v>
      </c>
      <c r="AN479" s="47" t="s">
        <v>80</v>
      </c>
    </row>
    <row r="480" spans="1:40">
      <c r="A480" t="str">
        <f t="shared" si="53"/>
        <v>貨3軽N</v>
      </c>
      <c r="B480" t="s">
        <v>2067</v>
      </c>
      <c r="C480" t="s">
        <v>2066</v>
      </c>
      <c r="D480" t="s">
        <v>8</v>
      </c>
      <c r="E480" t="s">
        <v>136</v>
      </c>
      <c r="F480">
        <v>2.16</v>
      </c>
      <c r="G480">
        <v>0.25</v>
      </c>
      <c r="H480">
        <v>2.58</v>
      </c>
      <c r="I480" t="s">
        <v>1973</v>
      </c>
      <c r="J480"/>
      <c r="T480" s="292" t="str">
        <f t="shared" si="48"/>
        <v>トラック・バス</v>
      </c>
      <c r="U480" s="283" t="str">
        <f t="shared" si="49"/>
        <v>軽油</v>
      </c>
      <c r="V480" s="283" t="str">
        <f t="shared" si="50"/>
        <v>2.5～3.5 t</v>
      </c>
      <c r="W480" s="283" t="str">
        <f t="shared" si="51"/>
        <v>S57,S58</v>
      </c>
      <c r="X480" s="284" t="str">
        <f t="shared" si="51"/>
        <v>N</v>
      </c>
      <c r="Y480" s="271"/>
      <c r="Z480" s="283">
        <f t="shared" si="52"/>
        <v>2.16</v>
      </c>
      <c r="AA480" s="283">
        <f t="shared" si="52"/>
        <v>0.25</v>
      </c>
      <c r="AB480" s="340">
        <f t="shared" si="52"/>
        <v>2.58</v>
      </c>
      <c r="AN480" s="436" t="s">
        <v>81</v>
      </c>
    </row>
    <row r="481" spans="1:40">
      <c r="A481" t="str">
        <f t="shared" si="53"/>
        <v>貨3軽P</v>
      </c>
      <c r="B481" t="s">
        <v>2067</v>
      </c>
      <c r="C481" t="s">
        <v>2066</v>
      </c>
      <c r="D481" t="s">
        <v>8</v>
      </c>
      <c r="E481" t="s">
        <v>137</v>
      </c>
      <c r="F481">
        <v>2.16</v>
      </c>
      <c r="G481">
        <v>0.25</v>
      </c>
      <c r="H481">
        <v>2.58</v>
      </c>
      <c r="I481" t="s">
        <v>1973</v>
      </c>
      <c r="J481"/>
      <c r="T481" s="292" t="str">
        <f t="shared" si="48"/>
        <v>トラック・バス</v>
      </c>
      <c r="U481" s="283" t="str">
        <f t="shared" si="49"/>
        <v>軽油</v>
      </c>
      <c r="V481" s="283" t="str">
        <f t="shared" si="50"/>
        <v>2.5～3.5 t</v>
      </c>
      <c r="W481" s="283" t="str">
        <f t="shared" si="51"/>
        <v>S57,S58</v>
      </c>
      <c r="X481" s="284" t="str">
        <f t="shared" si="51"/>
        <v>P</v>
      </c>
      <c r="Y481" s="271"/>
      <c r="Z481" s="283">
        <f t="shared" si="52"/>
        <v>2.16</v>
      </c>
      <c r="AA481" s="283">
        <f t="shared" si="52"/>
        <v>0.25</v>
      </c>
      <c r="AB481" s="340">
        <f t="shared" si="52"/>
        <v>2.58</v>
      </c>
      <c r="AN481" s="47" t="s">
        <v>779</v>
      </c>
    </row>
    <row r="482" spans="1:40">
      <c r="A482" t="str">
        <f t="shared" si="53"/>
        <v>貨3軽S</v>
      </c>
      <c r="B482" t="s">
        <v>2067</v>
      </c>
      <c r="C482" t="s">
        <v>2066</v>
      </c>
      <c r="D482" t="s">
        <v>22</v>
      </c>
      <c r="E482" t="s">
        <v>12</v>
      </c>
      <c r="F482">
        <v>1.93</v>
      </c>
      <c r="G482">
        <v>0.25</v>
      </c>
      <c r="H482">
        <v>2.58</v>
      </c>
      <c r="I482" t="s">
        <v>1973</v>
      </c>
      <c r="J482"/>
      <c r="T482" s="292" t="str">
        <f t="shared" si="48"/>
        <v>トラック・バス</v>
      </c>
      <c r="U482" s="283" t="str">
        <f t="shared" si="49"/>
        <v>軽油</v>
      </c>
      <c r="V482" s="283" t="str">
        <f t="shared" si="50"/>
        <v>2.5～3.5 t</v>
      </c>
      <c r="W482" s="283" t="str">
        <f t="shared" si="51"/>
        <v>S63,H元</v>
      </c>
      <c r="X482" s="284" t="str">
        <f t="shared" si="51"/>
        <v>S</v>
      </c>
      <c r="Y482" s="271"/>
      <c r="Z482" s="283">
        <f t="shared" si="52"/>
        <v>1.93</v>
      </c>
      <c r="AA482" s="283">
        <f t="shared" si="52"/>
        <v>0.25</v>
      </c>
      <c r="AB482" s="340">
        <f t="shared" si="52"/>
        <v>2.58</v>
      </c>
      <c r="AN482" s="436" t="s">
        <v>1119</v>
      </c>
    </row>
    <row r="483" spans="1:40">
      <c r="A483" t="str">
        <f t="shared" si="53"/>
        <v>貨3軽U</v>
      </c>
      <c r="B483" t="s">
        <v>2067</v>
      </c>
      <c r="C483" t="s">
        <v>2066</v>
      </c>
      <c r="D483" t="s">
        <v>22</v>
      </c>
      <c r="E483" t="s">
        <v>159</v>
      </c>
      <c r="F483">
        <v>1.93</v>
      </c>
      <c r="G483">
        <v>0.25</v>
      </c>
      <c r="H483">
        <v>2.58</v>
      </c>
      <c r="I483" t="s">
        <v>1973</v>
      </c>
      <c r="J483"/>
      <c r="T483" s="292" t="str">
        <f t="shared" si="48"/>
        <v>トラック・バス</v>
      </c>
      <c r="U483" s="283" t="str">
        <f t="shared" si="49"/>
        <v>軽油</v>
      </c>
      <c r="V483" s="283" t="str">
        <f t="shared" si="50"/>
        <v>2.5～3.5 t</v>
      </c>
      <c r="W483" s="283" t="str">
        <f t="shared" si="51"/>
        <v>S63,H元</v>
      </c>
      <c r="X483" s="284" t="str">
        <f t="shared" si="51"/>
        <v>U</v>
      </c>
      <c r="Y483" s="271"/>
      <c r="Z483" s="283">
        <f t="shared" si="52"/>
        <v>1.93</v>
      </c>
      <c r="AA483" s="283">
        <f t="shared" si="52"/>
        <v>0.25</v>
      </c>
      <c r="AB483" s="340">
        <f t="shared" si="52"/>
        <v>2.58</v>
      </c>
      <c r="AN483" s="436" t="s">
        <v>82</v>
      </c>
    </row>
    <row r="484" spans="1:40">
      <c r="A484" t="str">
        <f t="shared" si="53"/>
        <v>貨3軽KC</v>
      </c>
      <c r="B484" t="s">
        <v>2067</v>
      </c>
      <c r="C484" t="s">
        <v>2066</v>
      </c>
      <c r="D484" t="s">
        <v>33</v>
      </c>
      <c r="E484" t="s">
        <v>23</v>
      </c>
      <c r="F484">
        <v>1.3</v>
      </c>
      <c r="G484">
        <v>0.25</v>
      </c>
      <c r="H484">
        <v>2.58</v>
      </c>
      <c r="I484" t="s">
        <v>1973</v>
      </c>
      <c r="J484"/>
      <c r="T484" s="292" t="str">
        <f t="shared" si="48"/>
        <v>トラック・バス</v>
      </c>
      <c r="U484" s="283" t="str">
        <f t="shared" si="49"/>
        <v>軽油</v>
      </c>
      <c r="V484" s="283" t="str">
        <f t="shared" si="50"/>
        <v>2.5～3.5 t</v>
      </c>
      <c r="W484" s="283" t="str">
        <f t="shared" si="51"/>
        <v>H6</v>
      </c>
      <c r="X484" s="284" t="str">
        <f t="shared" si="51"/>
        <v>KC</v>
      </c>
      <c r="Y484" s="271"/>
      <c r="Z484" s="283">
        <f t="shared" si="52"/>
        <v>1.3</v>
      </c>
      <c r="AA484" s="283">
        <f t="shared" si="52"/>
        <v>0.25</v>
      </c>
      <c r="AB484" s="340">
        <f t="shared" si="52"/>
        <v>2.58</v>
      </c>
      <c r="AN484" s="47" t="s">
        <v>771</v>
      </c>
    </row>
    <row r="485" spans="1:40">
      <c r="A485" t="str">
        <f t="shared" si="53"/>
        <v>貨3軽KG</v>
      </c>
      <c r="B485" t="s">
        <v>2067</v>
      </c>
      <c r="C485" t="s">
        <v>2066</v>
      </c>
      <c r="D485" t="s">
        <v>2033</v>
      </c>
      <c r="E485" t="s">
        <v>120</v>
      </c>
      <c r="F485">
        <v>0.7</v>
      </c>
      <c r="G485">
        <v>0.09</v>
      </c>
      <c r="H485">
        <v>2.58</v>
      </c>
      <c r="I485" t="s">
        <v>1973</v>
      </c>
      <c r="J485"/>
      <c r="T485" s="292" t="str">
        <f t="shared" si="48"/>
        <v>トラック・バス</v>
      </c>
      <c r="U485" s="283" t="str">
        <f t="shared" si="49"/>
        <v>軽油</v>
      </c>
      <c r="V485" s="283" t="str">
        <f t="shared" si="50"/>
        <v>2.5～3.5 t</v>
      </c>
      <c r="W485" s="283" t="str">
        <f t="shared" si="51"/>
        <v>H9</v>
      </c>
      <c r="X485" s="284" t="str">
        <f t="shared" si="51"/>
        <v>KG</v>
      </c>
      <c r="Y485" s="271"/>
      <c r="Z485" s="283">
        <f t="shared" si="52"/>
        <v>0.7</v>
      </c>
      <c r="AA485" s="283">
        <f t="shared" si="52"/>
        <v>0.09</v>
      </c>
      <c r="AB485" s="340">
        <f t="shared" si="52"/>
        <v>2.58</v>
      </c>
      <c r="AN485" s="47" t="s">
        <v>1111</v>
      </c>
    </row>
    <row r="486" spans="1:40" ht="13.75" customHeight="1">
      <c r="A486" t="str">
        <f t="shared" si="53"/>
        <v>貨3軽HC</v>
      </c>
      <c r="B486" t="s">
        <v>2067</v>
      </c>
      <c r="C486" t="s">
        <v>2066</v>
      </c>
      <c r="D486" t="s">
        <v>2033</v>
      </c>
      <c r="E486" t="s">
        <v>107</v>
      </c>
      <c r="F486">
        <v>0.35</v>
      </c>
      <c r="G486">
        <v>4.4999999999999998E-2</v>
      </c>
      <c r="H486">
        <v>2.58</v>
      </c>
      <c r="I486" t="s">
        <v>239</v>
      </c>
      <c r="J486"/>
      <c r="T486" s="292" t="str">
        <f t="shared" si="48"/>
        <v>トラック・バス</v>
      </c>
      <c r="U486" s="283" t="str">
        <f t="shared" si="49"/>
        <v>軽油</v>
      </c>
      <c r="V486" s="283" t="str">
        <f t="shared" si="50"/>
        <v>2.5～3.5 t</v>
      </c>
      <c r="W486" s="283" t="str">
        <f t="shared" si="51"/>
        <v>H9</v>
      </c>
      <c r="X486" s="284" t="str">
        <f t="shared" si="51"/>
        <v>HC</v>
      </c>
      <c r="Y486" s="271"/>
      <c r="Z486" s="283">
        <f t="shared" si="52"/>
        <v>0.35</v>
      </c>
      <c r="AA486" s="283">
        <f t="shared" si="52"/>
        <v>4.4999999999999998E-2</v>
      </c>
      <c r="AB486" s="340">
        <f t="shared" si="52"/>
        <v>2.58</v>
      </c>
      <c r="AN486" s="47" t="s">
        <v>1257</v>
      </c>
    </row>
    <row r="487" spans="1:40">
      <c r="A487" t="str">
        <f t="shared" si="53"/>
        <v>貨3軽DG</v>
      </c>
      <c r="B487" t="s">
        <v>2054</v>
      </c>
      <c r="C487" t="s">
        <v>2066</v>
      </c>
      <c r="D487" t="s">
        <v>2033</v>
      </c>
      <c r="E487" t="s">
        <v>796</v>
      </c>
      <c r="F487">
        <v>0.52500000000000002</v>
      </c>
      <c r="G487">
        <v>6.7500000000000004E-2</v>
      </c>
      <c r="H487">
        <v>2.58</v>
      </c>
      <c r="I487" t="s">
        <v>1973</v>
      </c>
      <c r="J487"/>
      <c r="T487" s="292" t="str">
        <f t="shared" si="48"/>
        <v>トラック・バス</v>
      </c>
      <c r="U487" s="283" t="str">
        <f t="shared" si="49"/>
        <v>軽油</v>
      </c>
      <c r="V487" s="283" t="str">
        <f t="shared" si="50"/>
        <v>2.5～3.5 t</v>
      </c>
      <c r="W487" s="283" t="str">
        <f t="shared" si="51"/>
        <v>H9</v>
      </c>
      <c r="X487" s="284" t="str">
        <f t="shared" si="51"/>
        <v>DG</v>
      </c>
      <c r="Y487" s="271" t="s">
        <v>1765</v>
      </c>
      <c r="Z487" s="283">
        <f t="shared" si="52"/>
        <v>0.52500000000000002</v>
      </c>
      <c r="AA487" s="283">
        <f t="shared" si="52"/>
        <v>6.7500000000000004E-2</v>
      </c>
      <c r="AB487" s="340">
        <f t="shared" si="52"/>
        <v>2.58</v>
      </c>
      <c r="AN487" s="47" t="s">
        <v>1518</v>
      </c>
    </row>
    <row r="488" spans="1:40" ht="13.75" customHeight="1">
      <c r="A488" t="str">
        <f t="shared" si="53"/>
        <v>貨3軽WG</v>
      </c>
      <c r="B488" t="s">
        <v>2054</v>
      </c>
      <c r="C488" t="s">
        <v>2066</v>
      </c>
      <c r="D488" t="s">
        <v>2033</v>
      </c>
      <c r="E488" t="s">
        <v>798</v>
      </c>
      <c r="F488">
        <v>0.52500000000000002</v>
      </c>
      <c r="G488">
        <v>6.7500000000000004E-2</v>
      </c>
      <c r="H488">
        <v>2.58</v>
      </c>
      <c r="I488" t="s">
        <v>239</v>
      </c>
      <c r="J488"/>
      <c r="T488" s="292" t="str">
        <f t="shared" si="48"/>
        <v>トラック・バス</v>
      </c>
      <c r="U488" s="283" t="str">
        <f t="shared" si="49"/>
        <v>軽油</v>
      </c>
      <c r="V488" s="283" t="str">
        <f t="shared" si="50"/>
        <v>2.5～3.5 t</v>
      </c>
      <c r="W488" s="283" t="str">
        <f t="shared" si="51"/>
        <v>H9</v>
      </c>
      <c r="X488" s="284" t="str">
        <f t="shared" si="51"/>
        <v>WG</v>
      </c>
      <c r="Y488" s="271" t="s">
        <v>1765</v>
      </c>
      <c r="Z488" s="283">
        <f t="shared" si="52"/>
        <v>0.52500000000000002</v>
      </c>
      <c r="AA488" s="283">
        <f t="shared" si="52"/>
        <v>6.7500000000000004E-2</v>
      </c>
      <c r="AB488" s="340">
        <f t="shared" si="52"/>
        <v>2.58</v>
      </c>
      <c r="AN488" s="47" t="s">
        <v>1255</v>
      </c>
    </row>
    <row r="489" spans="1:40">
      <c r="A489" t="str">
        <f t="shared" si="53"/>
        <v>貨3軽DH</v>
      </c>
      <c r="B489" t="s">
        <v>2054</v>
      </c>
      <c r="C489" t="s">
        <v>2066</v>
      </c>
      <c r="D489" t="s">
        <v>2033</v>
      </c>
      <c r="E489" t="s">
        <v>800</v>
      </c>
      <c r="F489">
        <v>0.35</v>
      </c>
      <c r="G489">
        <v>4.4999999999999998E-2</v>
      </c>
      <c r="H489">
        <v>2.58</v>
      </c>
      <c r="I489" t="s">
        <v>1973</v>
      </c>
      <c r="J489"/>
      <c r="T489" s="292" t="str">
        <f t="shared" si="48"/>
        <v>トラック・バス</v>
      </c>
      <c r="U489" s="283" t="str">
        <f t="shared" si="49"/>
        <v>軽油</v>
      </c>
      <c r="V489" s="283" t="str">
        <f t="shared" si="50"/>
        <v>2.5～3.5 t</v>
      </c>
      <c r="W489" s="283" t="str">
        <f t="shared" si="51"/>
        <v>H9</v>
      </c>
      <c r="X489" s="284" t="str">
        <f t="shared" si="51"/>
        <v>DH</v>
      </c>
      <c r="Y489" s="271" t="s">
        <v>1766</v>
      </c>
      <c r="Z489" s="283">
        <f t="shared" si="52"/>
        <v>0.35</v>
      </c>
      <c r="AA489" s="283">
        <f t="shared" si="52"/>
        <v>4.4999999999999998E-2</v>
      </c>
      <c r="AB489" s="340">
        <f t="shared" si="52"/>
        <v>2.58</v>
      </c>
      <c r="AN489" s="47" t="s">
        <v>1522</v>
      </c>
    </row>
    <row r="490" spans="1:40" ht="13.75" customHeight="1">
      <c r="A490" t="str">
        <f t="shared" si="53"/>
        <v>貨3軽WH</v>
      </c>
      <c r="B490" t="s">
        <v>2054</v>
      </c>
      <c r="C490" t="s">
        <v>2066</v>
      </c>
      <c r="D490" t="s">
        <v>2033</v>
      </c>
      <c r="E490" t="s">
        <v>802</v>
      </c>
      <c r="F490">
        <v>0.35</v>
      </c>
      <c r="G490">
        <v>4.4999999999999998E-2</v>
      </c>
      <c r="H490">
        <v>2.58</v>
      </c>
      <c r="I490" t="s">
        <v>239</v>
      </c>
      <c r="J490"/>
      <c r="T490" s="292" t="str">
        <f t="shared" si="48"/>
        <v>トラック・バス</v>
      </c>
      <c r="U490" s="283" t="str">
        <f t="shared" si="49"/>
        <v>軽油</v>
      </c>
      <c r="V490" s="283" t="str">
        <f t="shared" si="50"/>
        <v>2.5～3.5 t</v>
      </c>
      <c r="W490" s="283" t="str">
        <f t="shared" si="51"/>
        <v>H9</v>
      </c>
      <c r="X490" s="284" t="str">
        <f t="shared" si="51"/>
        <v>WH</v>
      </c>
      <c r="Y490" s="271" t="s">
        <v>1766</v>
      </c>
      <c r="Z490" s="283">
        <f t="shared" si="52"/>
        <v>0.35</v>
      </c>
      <c r="AA490" s="283">
        <f t="shared" si="52"/>
        <v>4.4999999999999998E-2</v>
      </c>
      <c r="AB490" s="340">
        <f t="shared" si="52"/>
        <v>2.58</v>
      </c>
      <c r="AN490" s="47" t="s">
        <v>1383</v>
      </c>
    </row>
    <row r="491" spans="1:40">
      <c r="A491" t="str">
        <f t="shared" si="53"/>
        <v>貨3軽DJ</v>
      </c>
      <c r="B491" t="s">
        <v>2054</v>
      </c>
      <c r="C491" t="s">
        <v>2066</v>
      </c>
      <c r="D491" t="s">
        <v>2033</v>
      </c>
      <c r="E491" t="s">
        <v>804</v>
      </c>
      <c r="F491">
        <v>0.17499999999999999</v>
      </c>
      <c r="G491">
        <v>2.2499999999999999E-2</v>
      </c>
      <c r="H491">
        <v>2.58</v>
      </c>
      <c r="I491" t="s">
        <v>1973</v>
      </c>
      <c r="J491"/>
      <c r="T491" s="292" t="str">
        <f t="shared" si="48"/>
        <v>トラック・バス</v>
      </c>
      <c r="U491" s="283" t="str">
        <f t="shared" si="49"/>
        <v>軽油</v>
      </c>
      <c r="V491" s="283" t="str">
        <f t="shared" si="50"/>
        <v>2.5～3.5 t</v>
      </c>
      <c r="W491" s="283" t="str">
        <f t="shared" si="51"/>
        <v>H9</v>
      </c>
      <c r="X491" s="284" t="str">
        <f t="shared" si="51"/>
        <v>DJ</v>
      </c>
      <c r="Y491" s="271" t="s">
        <v>1767</v>
      </c>
      <c r="Z491" s="283">
        <f t="shared" si="52"/>
        <v>0.17499999999999999</v>
      </c>
      <c r="AA491" s="283">
        <f t="shared" si="52"/>
        <v>2.2499999999999999E-2</v>
      </c>
      <c r="AB491" s="340">
        <f t="shared" si="52"/>
        <v>2.58</v>
      </c>
      <c r="AN491" s="47" t="s">
        <v>154</v>
      </c>
    </row>
    <row r="492" spans="1:40" ht="13.75" customHeight="1">
      <c r="A492" t="str">
        <f t="shared" si="53"/>
        <v>貨3軽WJ</v>
      </c>
      <c r="B492" t="s">
        <v>2054</v>
      </c>
      <c r="C492" t="s">
        <v>2066</v>
      </c>
      <c r="D492" t="s">
        <v>2033</v>
      </c>
      <c r="E492" t="s">
        <v>806</v>
      </c>
      <c r="F492">
        <v>0.17499999999999999</v>
      </c>
      <c r="G492">
        <v>2.2499999999999999E-2</v>
      </c>
      <c r="H492">
        <v>2.58</v>
      </c>
      <c r="I492" t="s">
        <v>239</v>
      </c>
      <c r="J492"/>
      <c r="T492" s="292" t="str">
        <f t="shared" si="48"/>
        <v>トラック・バス</v>
      </c>
      <c r="U492" s="283" t="str">
        <f t="shared" si="49"/>
        <v>軽油</v>
      </c>
      <c r="V492" s="283" t="str">
        <f t="shared" si="50"/>
        <v>2.5～3.5 t</v>
      </c>
      <c r="W492" s="283" t="str">
        <f t="shared" si="51"/>
        <v>H9</v>
      </c>
      <c r="X492" s="284" t="str">
        <f t="shared" si="51"/>
        <v>WJ</v>
      </c>
      <c r="Y492" s="271" t="s">
        <v>1767</v>
      </c>
      <c r="Z492" s="283">
        <f t="shared" si="52"/>
        <v>0.17499999999999999</v>
      </c>
      <c r="AA492" s="283">
        <f t="shared" si="52"/>
        <v>2.2499999999999999E-2</v>
      </c>
      <c r="AB492" s="340">
        <f t="shared" si="52"/>
        <v>2.58</v>
      </c>
      <c r="AN492" s="47" t="s">
        <v>1381</v>
      </c>
    </row>
    <row r="493" spans="1:40">
      <c r="A493" t="str">
        <f t="shared" si="53"/>
        <v>貨3軽KR</v>
      </c>
      <c r="B493" t="s">
        <v>2067</v>
      </c>
      <c r="C493" t="s">
        <v>2066</v>
      </c>
      <c r="D493" t="s">
        <v>20</v>
      </c>
      <c r="E493" t="s">
        <v>129</v>
      </c>
      <c r="F493">
        <v>0.49</v>
      </c>
      <c r="G493">
        <v>0.06</v>
      </c>
      <c r="H493">
        <v>2.58</v>
      </c>
      <c r="I493" t="s">
        <v>1973</v>
      </c>
      <c r="J493"/>
      <c r="T493" s="292" t="str">
        <f t="shared" si="48"/>
        <v>トラック・バス</v>
      </c>
      <c r="U493" s="283" t="str">
        <f t="shared" si="49"/>
        <v>軽油</v>
      </c>
      <c r="V493" s="283" t="str">
        <f t="shared" si="50"/>
        <v>2.5～3.5 t</v>
      </c>
      <c r="W493" s="283" t="str">
        <f t="shared" si="51"/>
        <v>H15</v>
      </c>
      <c r="X493" s="284" t="str">
        <f t="shared" si="51"/>
        <v>KR</v>
      </c>
      <c r="Y493" s="271"/>
      <c r="Z493" s="283">
        <f t="shared" si="52"/>
        <v>0.49</v>
      </c>
      <c r="AA493" s="283">
        <f t="shared" si="52"/>
        <v>0.06</v>
      </c>
      <c r="AB493" s="340">
        <f t="shared" si="52"/>
        <v>2.58</v>
      </c>
      <c r="AN493" s="47" t="s">
        <v>155</v>
      </c>
    </row>
    <row r="494" spans="1:40" ht="13.75" customHeight="1">
      <c r="A494" t="str">
        <f t="shared" si="53"/>
        <v>貨3軽HY</v>
      </c>
      <c r="B494" t="s">
        <v>2067</v>
      </c>
      <c r="C494" t="s">
        <v>2066</v>
      </c>
      <c r="D494" t="s">
        <v>20</v>
      </c>
      <c r="E494" t="s">
        <v>116</v>
      </c>
      <c r="F494">
        <v>0.245</v>
      </c>
      <c r="G494">
        <v>0.03</v>
      </c>
      <c r="H494">
        <v>2.58</v>
      </c>
      <c r="I494" t="s">
        <v>239</v>
      </c>
      <c r="J494"/>
      <c r="T494" s="292" t="str">
        <f t="shared" si="48"/>
        <v>トラック・バス</v>
      </c>
      <c r="U494" s="283" t="str">
        <f t="shared" si="49"/>
        <v>軽油</v>
      </c>
      <c r="V494" s="283" t="str">
        <f t="shared" si="50"/>
        <v>2.5～3.5 t</v>
      </c>
      <c r="W494" s="283" t="str">
        <f t="shared" si="51"/>
        <v>H15</v>
      </c>
      <c r="X494" s="284" t="str">
        <f t="shared" si="51"/>
        <v>HY</v>
      </c>
      <c r="Y494" s="271"/>
      <c r="Z494" s="283">
        <f t="shared" si="52"/>
        <v>0.245</v>
      </c>
      <c r="AA494" s="283">
        <f t="shared" si="52"/>
        <v>0.03</v>
      </c>
      <c r="AB494" s="340">
        <f t="shared" si="52"/>
        <v>2.58</v>
      </c>
      <c r="AN494" s="436" t="s">
        <v>1121</v>
      </c>
    </row>
    <row r="495" spans="1:40">
      <c r="A495" t="str">
        <f t="shared" si="53"/>
        <v>貨3軽TK</v>
      </c>
      <c r="B495" t="s">
        <v>2067</v>
      </c>
      <c r="C495" t="s">
        <v>2066</v>
      </c>
      <c r="D495" t="s">
        <v>20</v>
      </c>
      <c r="E495" t="s">
        <v>156</v>
      </c>
      <c r="F495">
        <v>0.36749999999999999</v>
      </c>
      <c r="G495">
        <v>4.4999999999999998E-2</v>
      </c>
      <c r="H495">
        <v>2.58</v>
      </c>
      <c r="I495" t="s">
        <v>1973</v>
      </c>
      <c r="J495"/>
      <c r="T495" s="292" t="str">
        <f t="shared" si="48"/>
        <v>トラック・バス</v>
      </c>
      <c r="U495" s="283" t="str">
        <f t="shared" si="49"/>
        <v>軽油</v>
      </c>
      <c r="V495" s="283" t="str">
        <f t="shared" si="50"/>
        <v>2.5～3.5 t</v>
      </c>
      <c r="W495" s="283" t="str">
        <f t="shared" si="51"/>
        <v>H15</v>
      </c>
      <c r="X495" s="284" t="str">
        <f t="shared" si="51"/>
        <v>TK</v>
      </c>
      <c r="Y495" s="271" t="s">
        <v>1765</v>
      </c>
      <c r="Z495" s="283">
        <f t="shared" si="52"/>
        <v>0.36749999999999999</v>
      </c>
      <c r="AA495" s="283">
        <f t="shared" si="52"/>
        <v>4.4999999999999998E-2</v>
      </c>
      <c r="AB495" s="340">
        <f t="shared" si="52"/>
        <v>2.58</v>
      </c>
      <c r="AN495" s="47" t="s">
        <v>156</v>
      </c>
    </row>
    <row r="496" spans="1:40" ht="13.75" customHeight="1">
      <c r="A496" t="str">
        <f t="shared" si="53"/>
        <v>貨3軽XK</v>
      </c>
      <c r="B496" t="s">
        <v>2067</v>
      </c>
      <c r="C496" t="s">
        <v>2066</v>
      </c>
      <c r="D496" t="s">
        <v>20</v>
      </c>
      <c r="E496" t="s">
        <v>185</v>
      </c>
      <c r="F496">
        <v>0.36749999999999999</v>
      </c>
      <c r="G496">
        <v>4.4999999999999998E-2</v>
      </c>
      <c r="H496">
        <v>2.58</v>
      </c>
      <c r="I496" t="s">
        <v>239</v>
      </c>
      <c r="J496"/>
      <c r="T496" s="292" t="str">
        <f t="shared" si="48"/>
        <v>トラック・バス</v>
      </c>
      <c r="U496" s="283" t="str">
        <f t="shared" si="49"/>
        <v>軽油</v>
      </c>
      <c r="V496" s="283" t="str">
        <f t="shared" si="50"/>
        <v>2.5～3.5 t</v>
      </c>
      <c r="W496" s="283" t="str">
        <f t="shared" si="51"/>
        <v>H15</v>
      </c>
      <c r="X496" s="284" t="str">
        <f t="shared" si="51"/>
        <v>XK</v>
      </c>
      <c r="Y496" s="271" t="s">
        <v>1765</v>
      </c>
      <c r="Z496" s="283">
        <f t="shared" si="52"/>
        <v>0.36749999999999999</v>
      </c>
      <c r="AA496" s="283">
        <f t="shared" si="52"/>
        <v>4.4999999999999998E-2</v>
      </c>
      <c r="AB496" s="340">
        <f t="shared" si="52"/>
        <v>2.58</v>
      </c>
      <c r="AN496" s="47" t="s">
        <v>1113</v>
      </c>
    </row>
    <row r="497" spans="1:41">
      <c r="A497" t="str">
        <f t="shared" si="53"/>
        <v>貨3軽LK</v>
      </c>
      <c r="B497" t="s">
        <v>2067</v>
      </c>
      <c r="C497" t="s">
        <v>2066</v>
      </c>
      <c r="D497" t="s">
        <v>20</v>
      </c>
      <c r="E497" t="s">
        <v>133</v>
      </c>
      <c r="F497">
        <v>0.245</v>
      </c>
      <c r="G497">
        <v>0.03</v>
      </c>
      <c r="H497">
        <v>2.58</v>
      </c>
      <c r="I497" t="s">
        <v>1973</v>
      </c>
      <c r="J497"/>
      <c r="T497" s="292" t="str">
        <f t="shared" si="48"/>
        <v>トラック・バス</v>
      </c>
      <c r="U497" s="283" t="str">
        <f t="shared" si="49"/>
        <v>軽油</v>
      </c>
      <c r="V497" s="283" t="str">
        <f t="shared" si="50"/>
        <v>2.5～3.5 t</v>
      </c>
      <c r="W497" s="283" t="str">
        <f t="shared" si="51"/>
        <v>H15</v>
      </c>
      <c r="X497" s="284" t="str">
        <f t="shared" si="51"/>
        <v>LK</v>
      </c>
      <c r="Y497" s="271" t="s">
        <v>1766</v>
      </c>
      <c r="Z497" s="283">
        <f t="shared" si="52"/>
        <v>0.245</v>
      </c>
      <c r="AA497" s="283">
        <f t="shared" si="52"/>
        <v>0.03</v>
      </c>
      <c r="AB497" s="340">
        <f t="shared" si="52"/>
        <v>2.58</v>
      </c>
      <c r="AD497" s="266"/>
      <c r="AE497" s="266"/>
      <c r="AF497" s="266"/>
      <c r="AG497" s="266"/>
      <c r="AH497" s="266"/>
      <c r="AI497" s="266"/>
      <c r="AN497" s="47" t="s">
        <v>157</v>
      </c>
    </row>
    <row r="498" spans="1:41">
      <c r="A498" t="str">
        <f t="shared" si="53"/>
        <v>貨3軽YK</v>
      </c>
      <c r="B498" t="s">
        <v>2067</v>
      </c>
      <c r="C498" t="s">
        <v>2066</v>
      </c>
      <c r="D498" t="s">
        <v>20</v>
      </c>
      <c r="E498" t="s">
        <v>191</v>
      </c>
      <c r="F498">
        <v>0.245</v>
      </c>
      <c r="G498">
        <v>0.03</v>
      </c>
      <c r="H498">
        <v>2.58</v>
      </c>
      <c r="I498" t="s">
        <v>239</v>
      </c>
      <c r="J498"/>
      <c r="T498" s="292" t="str">
        <f t="shared" si="48"/>
        <v>トラック・バス</v>
      </c>
      <c r="U498" s="283" t="str">
        <f t="shared" si="49"/>
        <v>軽油</v>
      </c>
      <c r="V498" s="283" t="str">
        <f t="shared" si="50"/>
        <v>2.5～3.5 t</v>
      </c>
      <c r="W498" s="283" t="str">
        <f t="shared" si="51"/>
        <v>H15</v>
      </c>
      <c r="X498" s="284" t="str">
        <f t="shared" si="51"/>
        <v>YK</v>
      </c>
      <c r="Y498" s="271" t="s">
        <v>1766</v>
      </c>
      <c r="Z498" s="283">
        <f t="shared" si="52"/>
        <v>0.245</v>
      </c>
      <c r="AA498" s="283">
        <f t="shared" si="52"/>
        <v>0.03</v>
      </c>
      <c r="AB498" s="340">
        <f t="shared" si="52"/>
        <v>2.58</v>
      </c>
      <c r="AN498" s="47" t="s">
        <v>158</v>
      </c>
    </row>
    <row r="499" spans="1:41" s="266" customFormat="1">
      <c r="A499" t="str">
        <f t="shared" si="53"/>
        <v>貨3軽UK</v>
      </c>
      <c r="B499" t="s">
        <v>2067</v>
      </c>
      <c r="C499" t="s">
        <v>2066</v>
      </c>
      <c r="D499" t="s">
        <v>20</v>
      </c>
      <c r="E499" t="s">
        <v>162</v>
      </c>
      <c r="F499">
        <v>0.1225</v>
      </c>
      <c r="G499">
        <v>1.4999999999999999E-2</v>
      </c>
      <c r="H499">
        <v>2.58</v>
      </c>
      <c r="I499" t="s">
        <v>1973</v>
      </c>
      <c r="J499"/>
      <c r="K499" s="47"/>
      <c r="L499" s="47"/>
      <c r="M499" s="47"/>
      <c r="N499" s="47"/>
      <c r="O499" s="47"/>
      <c r="P499" s="47"/>
      <c r="Q499" s="47"/>
      <c r="R499" s="47"/>
      <c r="S499" s="47"/>
      <c r="T499" s="292" t="str">
        <f t="shared" si="48"/>
        <v>トラック・バス</v>
      </c>
      <c r="U499" s="283" t="str">
        <f t="shared" si="49"/>
        <v>軽油</v>
      </c>
      <c r="V499" s="283" t="str">
        <f t="shared" si="50"/>
        <v>2.5～3.5 t</v>
      </c>
      <c r="W499" s="283" t="str">
        <f t="shared" si="51"/>
        <v>H15</v>
      </c>
      <c r="X499" s="284" t="str">
        <f t="shared" si="51"/>
        <v>UK</v>
      </c>
      <c r="Y499" s="271" t="s">
        <v>1767</v>
      </c>
      <c r="Z499" s="283">
        <f t="shared" si="52"/>
        <v>0.1225</v>
      </c>
      <c r="AA499" s="283">
        <f t="shared" si="52"/>
        <v>1.4999999999999999E-2</v>
      </c>
      <c r="AB499" s="340">
        <f t="shared" si="52"/>
        <v>2.58</v>
      </c>
      <c r="AN499" s="47" t="s">
        <v>2559</v>
      </c>
      <c r="AO499" s="47"/>
    </row>
    <row r="500" spans="1:41">
      <c r="A500" t="str">
        <f t="shared" si="53"/>
        <v>貨3軽ZK</v>
      </c>
      <c r="B500" t="s">
        <v>2067</v>
      </c>
      <c r="C500" t="s">
        <v>2066</v>
      </c>
      <c r="D500" t="s">
        <v>20</v>
      </c>
      <c r="E500" t="s">
        <v>196</v>
      </c>
      <c r="F500">
        <v>0.1225</v>
      </c>
      <c r="G500">
        <v>1.4999999999999999E-2</v>
      </c>
      <c r="H500">
        <v>2.58</v>
      </c>
      <c r="I500" t="s">
        <v>239</v>
      </c>
      <c r="J500"/>
      <c r="T500" s="292" t="str">
        <f t="shared" si="48"/>
        <v>トラック・バス</v>
      </c>
      <c r="U500" s="283" t="str">
        <f t="shared" si="49"/>
        <v>軽油</v>
      </c>
      <c r="V500" s="283" t="str">
        <f t="shared" si="50"/>
        <v>2.5～3.5 t</v>
      </c>
      <c r="W500" s="283" t="str">
        <f t="shared" si="51"/>
        <v>H15</v>
      </c>
      <c r="X500" s="284" t="str">
        <f t="shared" si="51"/>
        <v>ZK</v>
      </c>
      <c r="Y500" s="271" t="s">
        <v>1767</v>
      </c>
      <c r="Z500" s="283">
        <f t="shared" si="52"/>
        <v>0.1225</v>
      </c>
      <c r="AA500" s="283">
        <f t="shared" si="52"/>
        <v>1.4999999999999999E-2</v>
      </c>
      <c r="AB500" s="340">
        <f t="shared" si="52"/>
        <v>2.58</v>
      </c>
      <c r="AN500" s="450" t="s">
        <v>2560</v>
      </c>
    </row>
    <row r="501" spans="1:41" s="266" customFormat="1">
      <c r="A501" t="str">
        <f t="shared" si="53"/>
        <v>貨3軽ADF</v>
      </c>
      <c r="B501" t="s">
        <v>2067</v>
      </c>
      <c r="C501" t="s">
        <v>2066</v>
      </c>
      <c r="D501" t="s">
        <v>1979</v>
      </c>
      <c r="E501" t="s">
        <v>713</v>
      </c>
      <c r="F501">
        <v>0.25</v>
      </c>
      <c r="G501">
        <v>1.4999999999999999E-2</v>
      </c>
      <c r="H501">
        <v>2.58</v>
      </c>
      <c r="I501" t="s">
        <v>2340</v>
      </c>
      <c r="J501"/>
      <c r="K501" s="47"/>
      <c r="L501" s="47"/>
      <c r="M501" s="47"/>
      <c r="N501" s="47"/>
      <c r="O501" s="47"/>
      <c r="P501" s="47"/>
      <c r="Q501" s="47"/>
      <c r="R501" s="47"/>
      <c r="S501" s="47"/>
      <c r="T501" s="292" t="str">
        <f t="shared" si="48"/>
        <v>トラック・バス</v>
      </c>
      <c r="U501" s="283" t="str">
        <f t="shared" si="49"/>
        <v>軽油</v>
      </c>
      <c r="V501" s="283" t="str">
        <f t="shared" si="50"/>
        <v>2.5～3.5 t</v>
      </c>
      <c r="W501" s="283" t="str">
        <f t="shared" si="51"/>
        <v>H17</v>
      </c>
      <c r="X501" s="284" t="str">
        <f t="shared" si="51"/>
        <v>ADF</v>
      </c>
      <c r="Y501" s="271"/>
      <c r="Z501" s="283">
        <f t="shared" si="52"/>
        <v>0.25</v>
      </c>
      <c r="AA501" s="283">
        <f t="shared" si="52"/>
        <v>1.4999999999999999E-2</v>
      </c>
      <c r="AB501" s="340">
        <f t="shared" si="52"/>
        <v>2.58</v>
      </c>
      <c r="AN501" s="47" t="s">
        <v>83</v>
      </c>
      <c r="AO501" s="47"/>
    </row>
    <row r="502" spans="1:41">
      <c r="A502" t="str">
        <f t="shared" si="53"/>
        <v>貨3軽ACF</v>
      </c>
      <c r="B502" t="s">
        <v>2067</v>
      </c>
      <c r="C502" t="s">
        <v>2066</v>
      </c>
      <c r="D502" t="s">
        <v>1979</v>
      </c>
      <c r="E502" t="s">
        <v>717</v>
      </c>
      <c r="F502">
        <v>0.125</v>
      </c>
      <c r="G502">
        <v>7.4999999999999997E-3</v>
      </c>
      <c r="H502">
        <v>2.58</v>
      </c>
      <c r="I502" t="s">
        <v>239</v>
      </c>
      <c r="J502"/>
      <c r="T502" s="292" t="str">
        <f t="shared" si="48"/>
        <v>トラック・バス</v>
      </c>
      <c r="U502" s="283" t="str">
        <f t="shared" si="49"/>
        <v>軽油</v>
      </c>
      <c r="V502" s="283" t="str">
        <f t="shared" si="50"/>
        <v>2.5～3.5 t</v>
      </c>
      <c r="W502" s="283" t="str">
        <f t="shared" si="51"/>
        <v>H17</v>
      </c>
      <c r="X502" s="284" t="str">
        <f t="shared" si="51"/>
        <v>ACF</v>
      </c>
      <c r="Y502" s="271"/>
      <c r="Z502" s="283">
        <f t="shared" si="52"/>
        <v>0.125</v>
      </c>
      <c r="AA502" s="283">
        <f t="shared" si="52"/>
        <v>7.4999999999999997E-3</v>
      </c>
      <c r="AB502" s="340">
        <f t="shared" si="52"/>
        <v>2.58</v>
      </c>
      <c r="AN502" s="436" t="s">
        <v>1123</v>
      </c>
    </row>
    <row r="503" spans="1:41" s="266" customFormat="1">
      <c r="A503" t="str">
        <f t="shared" si="53"/>
        <v>貨3軽AMF</v>
      </c>
      <c r="B503" t="s">
        <v>2067</v>
      </c>
      <c r="C503" t="s">
        <v>2066</v>
      </c>
      <c r="D503" t="s">
        <v>1979</v>
      </c>
      <c r="E503" t="s">
        <v>2511</v>
      </c>
      <c r="F503">
        <v>6.25E-2</v>
      </c>
      <c r="G503">
        <v>3.7499999999999999E-3</v>
      </c>
      <c r="H503">
        <v>2.58</v>
      </c>
      <c r="I503" t="s">
        <v>1405</v>
      </c>
      <c r="J503"/>
      <c r="K503" s="47"/>
      <c r="L503" s="47"/>
      <c r="M503" s="47"/>
      <c r="N503" s="47"/>
      <c r="O503" s="47"/>
      <c r="P503" s="47"/>
      <c r="Q503" s="47"/>
      <c r="R503" s="47"/>
      <c r="S503" s="47"/>
      <c r="T503" s="292" t="str">
        <f t="shared" si="48"/>
        <v>トラック・バス</v>
      </c>
      <c r="U503" s="283" t="str">
        <f t="shared" si="49"/>
        <v>軽油</v>
      </c>
      <c r="V503" s="283" t="str">
        <f t="shared" si="50"/>
        <v>2.5～3.5 t</v>
      </c>
      <c r="W503" s="283" t="str">
        <f t="shared" si="51"/>
        <v>H17</v>
      </c>
      <c r="X503" s="284" t="str">
        <f t="shared" si="51"/>
        <v>AMF</v>
      </c>
      <c r="Y503" s="271"/>
      <c r="Z503" s="283">
        <f t="shared" si="52"/>
        <v>6.25E-2</v>
      </c>
      <c r="AA503" s="283">
        <f t="shared" si="52"/>
        <v>3.7499999999999999E-3</v>
      </c>
      <c r="AB503" s="340">
        <f t="shared" si="52"/>
        <v>2.58</v>
      </c>
      <c r="AN503" s="47" t="s">
        <v>84</v>
      </c>
      <c r="AO503" s="47"/>
    </row>
    <row r="504" spans="1:41">
      <c r="A504" t="str">
        <f t="shared" si="53"/>
        <v>貨3軽CCF</v>
      </c>
      <c r="B504" t="s">
        <v>2067</v>
      </c>
      <c r="C504" t="s">
        <v>2066</v>
      </c>
      <c r="D504" t="s">
        <v>1979</v>
      </c>
      <c r="E504" t="s">
        <v>2049</v>
      </c>
      <c r="F504">
        <v>0.125</v>
      </c>
      <c r="G504">
        <v>7.4999999999999997E-3</v>
      </c>
      <c r="H504">
        <v>2.58</v>
      </c>
      <c r="I504" t="s">
        <v>239</v>
      </c>
      <c r="J504"/>
      <c r="T504" s="292" t="str">
        <f t="shared" si="48"/>
        <v>トラック・バス</v>
      </c>
      <c r="U504" s="283" t="str">
        <f t="shared" si="49"/>
        <v>軽油</v>
      </c>
      <c r="V504" s="283" t="str">
        <f t="shared" si="50"/>
        <v>2.5～3.5 t</v>
      </c>
      <c r="W504" s="283" t="str">
        <f t="shared" si="51"/>
        <v>H17</v>
      </c>
      <c r="X504" s="284" t="str">
        <f t="shared" si="51"/>
        <v>CCF</v>
      </c>
      <c r="Y504" s="271" t="s">
        <v>2727</v>
      </c>
      <c r="Z504" s="283">
        <f t="shared" si="52"/>
        <v>0.125</v>
      </c>
      <c r="AA504" s="283">
        <f t="shared" si="52"/>
        <v>7.4999999999999997E-3</v>
      </c>
      <c r="AB504" s="340">
        <f t="shared" si="52"/>
        <v>2.58</v>
      </c>
      <c r="AN504" s="47" t="s">
        <v>1115</v>
      </c>
    </row>
    <row r="505" spans="1:41" s="266" customFormat="1">
      <c r="A505" t="str">
        <f t="shared" si="53"/>
        <v>貨3軽CDF</v>
      </c>
      <c r="B505" t="s">
        <v>2067</v>
      </c>
      <c r="C505" t="s">
        <v>2066</v>
      </c>
      <c r="D505" t="s">
        <v>1979</v>
      </c>
      <c r="E505" t="s">
        <v>2050</v>
      </c>
      <c r="F505">
        <v>0.125</v>
      </c>
      <c r="G505">
        <v>7.4999999999999997E-3</v>
      </c>
      <c r="H505">
        <v>2.58</v>
      </c>
      <c r="I505" t="s">
        <v>2340</v>
      </c>
      <c r="J505"/>
      <c r="T505" s="292" t="str">
        <f t="shared" si="48"/>
        <v>トラック・バス</v>
      </c>
      <c r="U505" s="283" t="str">
        <f t="shared" si="49"/>
        <v>軽油</v>
      </c>
      <c r="V505" s="283" t="str">
        <f t="shared" si="50"/>
        <v>2.5～3.5 t</v>
      </c>
      <c r="W505" s="283" t="str">
        <f t="shared" si="51"/>
        <v>H17</v>
      </c>
      <c r="X505" s="284" t="str">
        <f t="shared" si="51"/>
        <v>CDF</v>
      </c>
      <c r="Y505" s="271" t="s">
        <v>2727</v>
      </c>
      <c r="Z505" s="283">
        <f t="shared" si="52"/>
        <v>0.125</v>
      </c>
      <c r="AA505" s="283">
        <f t="shared" si="52"/>
        <v>7.4999999999999997E-3</v>
      </c>
      <c r="AB505" s="340">
        <f t="shared" si="52"/>
        <v>2.58</v>
      </c>
      <c r="AN505" s="47" t="s">
        <v>85</v>
      </c>
      <c r="AO505" s="47"/>
    </row>
    <row r="506" spans="1:41">
      <c r="A506" t="str">
        <f t="shared" si="53"/>
        <v>貨3軽CMF</v>
      </c>
      <c r="B506" t="s">
        <v>2067</v>
      </c>
      <c r="C506" t="s">
        <v>2066</v>
      </c>
      <c r="D506" t="s">
        <v>1979</v>
      </c>
      <c r="E506" t="s">
        <v>2518</v>
      </c>
      <c r="F506">
        <v>0.125</v>
      </c>
      <c r="G506">
        <v>7.4999999999999997E-3</v>
      </c>
      <c r="H506">
        <v>2.58</v>
      </c>
      <c r="I506" t="s">
        <v>1405</v>
      </c>
      <c r="J506"/>
      <c r="T506" s="292" t="str">
        <f t="shared" si="48"/>
        <v>トラック・バス</v>
      </c>
      <c r="U506" s="283" t="str">
        <f t="shared" si="49"/>
        <v>軽油</v>
      </c>
      <c r="V506" s="283" t="str">
        <f t="shared" si="50"/>
        <v>2.5～3.5 t</v>
      </c>
      <c r="W506" s="283" t="str">
        <f t="shared" si="51"/>
        <v>H17</v>
      </c>
      <c r="X506" s="284" t="str">
        <f t="shared" si="51"/>
        <v>CMF</v>
      </c>
      <c r="Y506" s="271" t="s">
        <v>2727</v>
      </c>
      <c r="Z506" s="283">
        <f t="shared" si="52"/>
        <v>0.125</v>
      </c>
      <c r="AA506" s="283">
        <f t="shared" si="52"/>
        <v>7.4999999999999997E-3</v>
      </c>
      <c r="AB506" s="340">
        <f t="shared" si="52"/>
        <v>2.58</v>
      </c>
      <c r="AN506" s="436" t="s">
        <v>1125</v>
      </c>
    </row>
    <row r="507" spans="1:41" s="266" customFormat="1">
      <c r="A507" t="str">
        <f t="shared" si="53"/>
        <v>貨3軽DCF</v>
      </c>
      <c r="B507" t="s">
        <v>2067</v>
      </c>
      <c r="C507" t="s">
        <v>2066</v>
      </c>
      <c r="D507" t="s">
        <v>1979</v>
      </c>
      <c r="E507" t="s">
        <v>2051</v>
      </c>
      <c r="F507">
        <v>6.25E-2</v>
      </c>
      <c r="G507">
        <v>3.7499999999999999E-3</v>
      </c>
      <c r="H507">
        <v>2.58</v>
      </c>
      <c r="I507" t="s">
        <v>239</v>
      </c>
      <c r="J507"/>
      <c r="T507" s="292" t="str">
        <f t="shared" si="48"/>
        <v>トラック・バス</v>
      </c>
      <c r="U507" s="283" t="str">
        <f t="shared" si="49"/>
        <v>軽油</v>
      </c>
      <c r="V507" s="283" t="str">
        <f t="shared" si="50"/>
        <v>2.5～3.5 t</v>
      </c>
      <c r="W507" s="283" t="str">
        <f t="shared" si="51"/>
        <v>H17</v>
      </c>
      <c r="X507" s="284" t="str">
        <f t="shared" si="51"/>
        <v>DCF</v>
      </c>
      <c r="Y507" s="271" t="s">
        <v>2829</v>
      </c>
      <c r="Z507" s="283">
        <f t="shared" si="52"/>
        <v>6.25E-2</v>
      </c>
      <c r="AA507" s="283">
        <f t="shared" si="52"/>
        <v>3.7499999999999999E-3</v>
      </c>
      <c r="AB507" s="340">
        <f t="shared" si="52"/>
        <v>2.58</v>
      </c>
      <c r="AN507" s="47" t="s">
        <v>1215</v>
      </c>
      <c r="AO507" s="47"/>
    </row>
    <row r="508" spans="1:41">
      <c r="A508" t="str">
        <f t="shared" si="53"/>
        <v>貨3軽DDF</v>
      </c>
      <c r="B508" t="s">
        <v>2067</v>
      </c>
      <c r="C508" t="s">
        <v>2066</v>
      </c>
      <c r="D508" t="s">
        <v>1979</v>
      </c>
      <c r="E508" t="s">
        <v>2052</v>
      </c>
      <c r="F508">
        <v>6.25E-2</v>
      </c>
      <c r="G508">
        <v>3.7499999999999999E-3</v>
      </c>
      <c r="H508">
        <v>2.58</v>
      </c>
      <c r="I508" t="s">
        <v>2340</v>
      </c>
      <c r="J508"/>
      <c r="T508" s="292" t="str">
        <f t="shared" si="48"/>
        <v>トラック・バス</v>
      </c>
      <c r="U508" s="283" t="str">
        <f t="shared" si="49"/>
        <v>軽油</v>
      </c>
      <c r="V508" s="283" t="str">
        <f t="shared" si="50"/>
        <v>2.5～3.5 t</v>
      </c>
      <c r="W508" s="283" t="str">
        <f t="shared" si="51"/>
        <v>H17</v>
      </c>
      <c r="X508" s="284" t="str">
        <f t="shared" si="51"/>
        <v>DDF</v>
      </c>
      <c r="Y508" s="271" t="s">
        <v>2829</v>
      </c>
      <c r="Z508" s="283">
        <f t="shared" si="52"/>
        <v>6.25E-2</v>
      </c>
      <c r="AA508" s="283">
        <f t="shared" si="52"/>
        <v>3.7499999999999999E-3</v>
      </c>
      <c r="AB508" s="340">
        <f t="shared" si="52"/>
        <v>2.58</v>
      </c>
      <c r="AN508" s="436" t="s">
        <v>1117</v>
      </c>
    </row>
    <row r="509" spans="1:41" s="266" customFormat="1">
      <c r="A509" t="str">
        <f t="shared" si="53"/>
        <v>貨3軽DMF</v>
      </c>
      <c r="B509" t="s">
        <v>2067</v>
      </c>
      <c r="C509" t="s">
        <v>2066</v>
      </c>
      <c r="D509" t="s">
        <v>1979</v>
      </c>
      <c r="E509" t="s">
        <v>2522</v>
      </c>
      <c r="F509">
        <v>6.25E-2</v>
      </c>
      <c r="G509">
        <v>3.7499999999999999E-3</v>
      </c>
      <c r="H509">
        <v>2.58</v>
      </c>
      <c r="I509" t="s">
        <v>1405</v>
      </c>
      <c r="J509"/>
      <c r="T509" s="292" t="str">
        <f t="shared" si="48"/>
        <v>トラック・バス</v>
      </c>
      <c r="U509" s="283" t="str">
        <f t="shared" si="49"/>
        <v>軽油</v>
      </c>
      <c r="V509" s="283" t="str">
        <f t="shared" si="50"/>
        <v>2.5～3.5 t</v>
      </c>
      <c r="W509" s="283" t="str">
        <f t="shared" si="51"/>
        <v>H17</v>
      </c>
      <c r="X509" s="284" t="str">
        <f t="shared" si="51"/>
        <v>DMF</v>
      </c>
      <c r="Y509" s="271" t="s">
        <v>2829</v>
      </c>
      <c r="Z509" s="283">
        <f t="shared" si="52"/>
        <v>6.25E-2</v>
      </c>
      <c r="AA509" s="283">
        <f t="shared" si="52"/>
        <v>3.7499999999999999E-3</v>
      </c>
      <c r="AB509" s="340">
        <f t="shared" si="52"/>
        <v>2.58</v>
      </c>
      <c r="AN509" s="450" t="s">
        <v>2561</v>
      </c>
      <c r="AO509" s="47"/>
    </row>
    <row r="510" spans="1:41">
      <c r="A510" t="str">
        <f t="shared" si="53"/>
        <v>貨3軽LDF</v>
      </c>
      <c r="B510" t="s">
        <v>2067</v>
      </c>
      <c r="C510" t="s">
        <v>2066</v>
      </c>
      <c r="D510" t="s">
        <v>2382</v>
      </c>
      <c r="E510" t="s">
        <v>840</v>
      </c>
      <c r="F510">
        <v>0.15</v>
      </c>
      <c r="G510">
        <v>7.0000000000000001E-3</v>
      </c>
      <c r="H510">
        <v>2.58</v>
      </c>
      <c r="I510" t="s">
        <v>607</v>
      </c>
      <c r="J510"/>
      <c r="T510" s="292" t="str">
        <f t="shared" si="48"/>
        <v>トラック・バス</v>
      </c>
      <c r="U510" s="283" t="str">
        <f t="shared" si="49"/>
        <v>軽油</v>
      </c>
      <c r="V510" s="283" t="str">
        <f t="shared" si="50"/>
        <v>2.5～3.5 t</v>
      </c>
      <c r="W510" s="283" t="str">
        <f t="shared" si="51"/>
        <v>H21</v>
      </c>
      <c r="X510" s="284" t="str">
        <f t="shared" si="51"/>
        <v>LDF</v>
      </c>
      <c r="Y510" s="271"/>
      <c r="Z510" s="283">
        <f t="shared" si="52"/>
        <v>0.15</v>
      </c>
      <c r="AA510" s="283">
        <f t="shared" si="52"/>
        <v>7.0000000000000001E-3</v>
      </c>
      <c r="AB510" s="340">
        <f t="shared" si="52"/>
        <v>2.58</v>
      </c>
      <c r="AN510" s="436" t="s">
        <v>2562</v>
      </c>
    </row>
    <row r="511" spans="1:41" s="266" customFormat="1">
      <c r="A511" t="str">
        <f t="shared" si="53"/>
        <v>貨3軽LCF</v>
      </c>
      <c r="B511" t="s">
        <v>2067</v>
      </c>
      <c r="C511" t="s">
        <v>2066</v>
      </c>
      <c r="D511" t="s">
        <v>2382</v>
      </c>
      <c r="E511" t="s">
        <v>848</v>
      </c>
      <c r="F511">
        <v>7.4999999999999997E-2</v>
      </c>
      <c r="G511">
        <v>3.5000000000000001E-3</v>
      </c>
      <c r="H511">
        <v>2.58</v>
      </c>
      <c r="I511" t="s">
        <v>239</v>
      </c>
      <c r="J511"/>
      <c r="T511" s="292" t="str">
        <f t="shared" si="48"/>
        <v>トラック・バス</v>
      </c>
      <c r="U511" s="283" t="str">
        <f t="shared" si="49"/>
        <v>軽油</v>
      </c>
      <c r="V511" s="283" t="str">
        <f t="shared" si="50"/>
        <v>2.5～3.5 t</v>
      </c>
      <c r="W511" s="283" t="str">
        <f t="shared" si="51"/>
        <v>H21</v>
      </c>
      <c r="X511" s="284" t="str">
        <f t="shared" si="51"/>
        <v>LCF</v>
      </c>
      <c r="Y511" s="271"/>
      <c r="Z511" s="283">
        <f t="shared" si="52"/>
        <v>7.4999999999999997E-2</v>
      </c>
      <c r="AA511" s="283">
        <f t="shared" si="52"/>
        <v>3.5000000000000001E-3</v>
      </c>
      <c r="AB511" s="340">
        <f t="shared" si="52"/>
        <v>2.58</v>
      </c>
      <c r="AN511" s="47" t="s">
        <v>159</v>
      </c>
      <c r="AO511" s="47"/>
    </row>
    <row r="512" spans="1:41">
      <c r="A512" t="str">
        <f t="shared" si="53"/>
        <v>貨3軽LMF</v>
      </c>
      <c r="B512" t="s">
        <v>2067</v>
      </c>
      <c r="C512" t="s">
        <v>2066</v>
      </c>
      <c r="D512" t="s">
        <v>2382</v>
      </c>
      <c r="E512" t="s">
        <v>2830</v>
      </c>
      <c r="F512">
        <v>3.7499999999999999E-2</v>
      </c>
      <c r="G512">
        <v>1.75E-3</v>
      </c>
      <c r="H512">
        <v>2.58</v>
      </c>
      <c r="I512" t="s">
        <v>2490</v>
      </c>
      <c r="J512"/>
      <c r="T512" s="292" t="str">
        <f t="shared" si="48"/>
        <v>トラック・バス</v>
      </c>
      <c r="U512" s="283" t="str">
        <f t="shared" si="49"/>
        <v>軽油</v>
      </c>
      <c r="V512" s="283" t="str">
        <f t="shared" si="50"/>
        <v>2.5～3.5 t</v>
      </c>
      <c r="W512" s="283" t="str">
        <f t="shared" si="51"/>
        <v>H21</v>
      </c>
      <c r="X512" s="284" t="str">
        <f t="shared" si="51"/>
        <v>LMF</v>
      </c>
      <c r="Y512" s="271"/>
      <c r="Z512" s="283">
        <f t="shared" si="52"/>
        <v>3.7499999999999999E-2</v>
      </c>
      <c r="AA512" s="283">
        <f t="shared" si="52"/>
        <v>1.75E-3</v>
      </c>
      <c r="AB512" s="340">
        <f t="shared" si="52"/>
        <v>2.58</v>
      </c>
      <c r="AD512" s="266"/>
      <c r="AE512" s="266"/>
      <c r="AF512" s="266"/>
      <c r="AG512" s="266"/>
      <c r="AH512" s="266"/>
      <c r="AI512" s="266"/>
      <c r="AN512" s="47" t="s">
        <v>86</v>
      </c>
    </row>
    <row r="513" spans="1:41" s="266" customFormat="1">
      <c r="A513" t="str">
        <f t="shared" si="53"/>
        <v>貨3軽MDF</v>
      </c>
      <c r="B513" t="s">
        <v>2067</v>
      </c>
      <c r="C513" t="s">
        <v>2066</v>
      </c>
      <c r="D513" t="s">
        <v>2382</v>
      </c>
      <c r="E513" t="s">
        <v>856</v>
      </c>
      <c r="F513">
        <v>7.4999999999999997E-2</v>
      </c>
      <c r="G513">
        <v>3.5000000000000001E-3</v>
      </c>
      <c r="H513">
        <v>2.58</v>
      </c>
      <c r="I513" t="s">
        <v>607</v>
      </c>
      <c r="J513"/>
      <c r="T513" s="292" t="str">
        <f t="shared" si="48"/>
        <v>トラック・バス</v>
      </c>
      <c r="U513" s="283" t="str">
        <f t="shared" si="49"/>
        <v>軽油</v>
      </c>
      <c r="V513" s="283" t="str">
        <f t="shared" si="50"/>
        <v>2.5～3.5 t</v>
      </c>
      <c r="W513" s="283" t="str">
        <f t="shared" si="51"/>
        <v>H21</v>
      </c>
      <c r="X513" s="284" t="str">
        <f t="shared" si="51"/>
        <v>MDF</v>
      </c>
      <c r="Y513" s="271" t="s">
        <v>2727</v>
      </c>
      <c r="Z513" s="283">
        <f t="shared" si="52"/>
        <v>7.4999999999999997E-2</v>
      </c>
      <c r="AA513" s="283">
        <f t="shared" si="52"/>
        <v>3.5000000000000001E-3</v>
      </c>
      <c r="AB513" s="340">
        <f t="shared" si="52"/>
        <v>2.58</v>
      </c>
      <c r="AN513" s="47" t="s">
        <v>87</v>
      </c>
      <c r="AO513" s="47"/>
    </row>
    <row r="514" spans="1:41" s="266" customFormat="1">
      <c r="A514" t="str">
        <f t="shared" si="53"/>
        <v>貨3軽MCF</v>
      </c>
      <c r="B514" t="s">
        <v>2067</v>
      </c>
      <c r="C514" t="s">
        <v>2066</v>
      </c>
      <c r="D514" t="s">
        <v>2382</v>
      </c>
      <c r="E514" t="s">
        <v>864</v>
      </c>
      <c r="F514">
        <v>7.4999999999999997E-2</v>
      </c>
      <c r="G514">
        <v>3.5000000000000001E-3</v>
      </c>
      <c r="H514">
        <v>2.58</v>
      </c>
      <c r="I514" t="s">
        <v>239</v>
      </c>
      <c r="J514"/>
      <c r="K514" s="47"/>
      <c r="L514" s="47"/>
      <c r="M514" s="47"/>
      <c r="N514" s="47"/>
      <c r="O514" s="47"/>
      <c r="P514" s="47"/>
      <c r="Q514" s="47"/>
      <c r="R514" s="47"/>
      <c r="S514" s="47"/>
      <c r="T514" s="292" t="str">
        <f t="shared" si="48"/>
        <v>トラック・バス</v>
      </c>
      <c r="U514" s="283" t="str">
        <f t="shared" si="49"/>
        <v>軽油</v>
      </c>
      <c r="V514" s="283" t="str">
        <f t="shared" si="50"/>
        <v>2.5～3.5 t</v>
      </c>
      <c r="W514" s="283" t="str">
        <f t="shared" si="51"/>
        <v>H21</v>
      </c>
      <c r="X514" s="284" t="str">
        <f t="shared" si="51"/>
        <v>MCF</v>
      </c>
      <c r="Y514" s="271" t="s">
        <v>1769</v>
      </c>
      <c r="Z514" s="283">
        <f t="shared" si="52"/>
        <v>7.4999999999999997E-2</v>
      </c>
      <c r="AA514" s="283">
        <f t="shared" si="52"/>
        <v>3.5000000000000001E-3</v>
      </c>
      <c r="AB514" s="340">
        <f t="shared" si="52"/>
        <v>2.58</v>
      </c>
      <c r="AN514" s="436" t="s">
        <v>88</v>
      </c>
      <c r="AO514" s="47"/>
    </row>
    <row r="515" spans="1:41" s="266" customFormat="1">
      <c r="A515" t="str">
        <f t="shared" si="53"/>
        <v>貨3軽MMF</v>
      </c>
      <c r="B515" t="s">
        <v>2067</v>
      </c>
      <c r="C515" t="s">
        <v>2066</v>
      </c>
      <c r="D515" t="s">
        <v>2382</v>
      </c>
      <c r="E515" t="s">
        <v>2831</v>
      </c>
      <c r="F515">
        <v>7.4999999999999997E-2</v>
      </c>
      <c r="G515">
        <v>3.5000000000000001E-3</v>
      </c>
      <c r="H515">
        <v>2.58</v>
      </c>
      <c r="I515" t="s">
        <v>2490</v>
      </c>
      <c r="J515"/>
      <c r="T515" s="292" t="str">
        <f t="shared" si="48"/>
        <v>トラック・バス</v>
      </c>
      <c r="U515" s="283" t="str">
        <f t="shared" si="49"/>
        <v>軽油</v>
      </c>
      <c r="V515" s="283" t="str">
        <f t="shared" si="50"/>
        <v>2.5～3.5 t</v>
      </c>
      <c r="W515" s="283" t="str">
        <f t="shared" si="51"/>
        <v>H21</v>
      </c>
      <c r="X515" s="284" t="str">
        <f t="shared" si="51"/>
        <v>MMF</v>
      </c>
      <c r="Y515" s="271" t="s">
        <v>1769</v>
      </c>
      <c r="Z515" s="283">
        <f t="shared" si="52"/>
        <v>7.4999999999999997E-2</v>
      </c>
      <c r="AA515" s="283">
        <f t="shared" si="52"/>
        <v>3.5000000000000001E-3</v>
      </c>
      <c r="AB515" s="340">
        <f t="shared" si="52"/>
        <v>2.58</v>
      </c>
      <c r="AN515" s="47" t="s">
        <v>89</v>
      </c>
      <c r="AO515" s="47"/>
    </row>
    <row r="516" spans="1:41" s="266" customFormat="1">
      <c r="A516" t="str">
        <f t="shared" si="53"/>
        <v>貨3軽RDF</v>
      </c>
      <c r="B516" t="s">
        <v>2067</v>
      </c>
      <c r="C516" t="s">
        <v>2066</v>
      </c>
      <c r="D516" t="s">
        <v>2382</v>
      </c>
      <c r="E516" t="s">
        <v>872</v>
      </c>
      <c r="F516">
        <v>3.7499999999999999E-2</v>
      </c>
      <c r="G516">
        <v>1.75E-3</v>
      </c>
      <c r="H516">
        <v>2.58</v>
      </c>
      <c r="I516" t="s">
        <v>607</v>
      </c>
      <c r="J516"/>
      <c r="K516" s="47"/>
      <c r="L516" s="47"/>
      <c r="M516" s="47"/>
      <c r="N516" s="47"/>
      <c r="O516" s="47"/>
      <c r="P516" s="47"/>
      <c r="Q516" s="47"/>
      <c r="R516" s="47"/>
      <c r="S516" s="47"/>
      <c r="T516" s="292" t="str">
        <f t="shared" si="48"/>
        <v>トラック・バス</v>
      </c>
      <c r="U516" s="283" t="str">
        <f t="shared" si="49"/>
        <v>軽油</v>
      </c>
      <c r="V516" s="283" t="str">
        <f t="shared" si="50"/>
        <v>2.5～3.5 t</v>
      </c>
      <c r="W516" s="283" t="str">
        <f t="shared" si="51"/>
        <v>H21</v>
      </c>
      <c r="X516" s="284" t="str">
        <f t="shared" si="51"/>
        <v>RDF</v>
      </c>
      <c r="Y516" s="271" t="s">
        <v>2829</v>
      </c>
      <c r="Z516" s="283">
        <f t="shared" si="52"/>
        <v>3.7499999999999999E-2</v>
      </c>
      <c r="AA516" s="283">
        <f t="shared" si="52"/>
        <v>1.75E-3</v>
      </c>
      <c r="AB516" s="340">
        <f t="shared" si="52"/>
        <v>2.58</v>
      </c>
      <c r="AN516" s="47" t="s">
        <v>1534</v>
      </c>
      <c r="AO516" s="47"/>
    </row>
    <row r="517" spans="1:41" s="266" customFormat="1">
      <c r="A517" t="str">
        <f t="shared" si="53"/>
        <v>貨3軽RCF</v>
      </c>
      <c r="B517" t="s">
        <v>2067</v>
      </c>
      <c r="C517" t="s">
        <v>2066</v>
      </c>
      <c r="D517" t="s">
        <v>2382</v>
      </c>
      <c r="E517" t="s">
        <v>880</v>
      </c>
      <c r="F517">
        <v>3.7499999999999999E-2</v>
      </c>
      <c r="G517">
        <v>1.75E-3</v>
      </c>
      <c r="H517">
        <v>2.58</v>
      </c>
      <c r="I517" t="s">
        <v>239</v>
      </c>
      <c r="J517"/>
      <c r="T517" s="292" t="str">
        <f t="shared" ref="T517:T580" si="54">IF(LEFT(C517,1)="貨","トラック・バス","乗用車")</f>
        <v>トラック・バス</v>
      </c>
      <c r="U517" s="283" t="str">
        <f t="shared" ref="U517:U580" si="55">VLOOKUP(RIGHT(C517,1),$AL$4:$AM$8,2,FALSE)</f>
        <v>軽油</v>
      </c>
      <c r="V517" s="283" t="str">
        <f t="shared" ref="V517:V580" si="56">VLOOKUP(VALUE(MID(C517,2,1)),$AL$10:$AM$15,2,FALSE)</f>
        <v>2.5～3.5 t</v>
      </c>
      <c r="W517" s="283" t="str">
        <f t="shared" ref="W517:X580" si="57">D517</f>
        <v>H21</v>
      </c>
      <c r="X517" s="284" t="str">
        <f t="shared" si="57"/>
        <v>RCF</v>
      </c>
      <c r="Y517" s="271" t="s">
        <v>2829</v>
      </c>
      <c r="Z517" s="283">
        <f t="shared" ref="Z517:AB580" si="58">F517</f>
        <v>3.7499999999999999E-2</v>
      </c>
      <c r="AA517" s="283">
        <f t="shared" si="58"/>
        <v>1.75E-3</v>
      </c>
      <c r="AB517" s="340">
        <f t="shared" si="58"/>
        <v>2.58</v>
      </c>
      <c r="AN517" s="47" t="s">
        <v>1538</v>
      </c>
      <c r="AO517" s="47"/>
    </row>
    <row r="518" spans="1:41" s="266" customFormat="1">
      <c r="A518" t="str">
        <f t="shared" si="53"/>
        <v>貨3軽RMF</v>
      </c>
      <c r="B518" t="s">
        <v>2067</v>
      </c>
      <c r="C518" t="s">
        <v>2066</v>
      </c>
      <c r="D518" t="s">
        <v>2382</v>
      </c>
      <c r="E518" t="s">
        <v>2832</v>
      </c>
      <c r="F518">
        <v>3.7499999999999999E-2</v>
      </c>
      <c r="G518">
        <v>1.75E-3</v>
      </c>
      <c r="H518">
        <v>2.58</v>
      </c>
      <c r="I518" t="s">
        <v>2490</v>
      </c>
      <c r="J518"/>
      <c r="K518" s="47"/>
      <c r="L518" s="47"/>
      <c r="M518" s="47"/>
      <c r="N518" s="47"/>
      <c r="O518" s="47"/>
      <c r="P518" s="47"/>
      <c r="Q518" s="47"/>
      <c r="R518" s="47"/>
      <c r="S518" s="47"/>
      <c r="T518" s="292" t="str">
        <f t="shared" si="54"/>
        <v>トラック・バス</v>
      </c>
      <c r="U518" s="283" t="str">
        <f t="shared" si="55"/>
        <v>軽油</v>
      </c>
      <c r="V518" s="283" t="str">
        <f t="shared" si="56"/>
        <v>2.5～3.5 t</v>
      </c>
      <c r="W518" s="283" t="str">
        <f t="shared" si="57"/>
        <v>H21</v>
      </c>
      <c r="X518" s="284" t="str">
        <f t="shared" si="57"/>
        <v>RMF</v>
      </c>
      <c r="Y518" s="271" t="s">
        <v>1770</v>
      </c>
      <c r="Z518" s="283">
        <f t="shared" si="58"/>
        <v>3.7499999999999999E-2</v>
      </c>
      <c r="AA518" s="283">
        <f t="shared" si="58"/>
        <v>1.75E-3</v>
      </c>
      <c r="AB518" s="340">
        <f t="shared" si="58"/>
        <v>2.58</v>
      </c>
      <c r="AN518" s="47" t="s">
        <v>160</v>
      </c>
      <c r="AO518" s="47"/>
    </row>
    <row r="519" spans="1:41" s="266" customFormat="1">
      <c r="A519" t="str">
        <f t="shared" si="53"/>
        <v>貨3軽QDF</v>
      </c>
      <c r="B519" t="s">
        <v>2067</v>
      </c>
      <c r="C519" t="s">
        <v>2066</v>
      </c>
      <c r="D519" t="s">
        <v>2382</v>
      </c>
      <c r="E519" t="s">
        <v>888</v>
      </c>
      <c r="F519">
        <v>0.13500000000000001</v>
      </c>
      <c r="G519">
        <v>6.3E-3</v>
      </c>
      <c r="H519">
        <v>2.58</v>
      </c>
      <c r="I519" t="s">
        <v>607</v>
      </c>
      <c r="J519"/>
      <c r="T519" s="292" t="str">
        <f t="shared" si="54"/>
        <v>トラック・バス</v>
      </c>
      <c r="U519" s="283" t="str">
        <f t="shared" si="55"/>
        <v>軽油</v>
      </c>
      <c r="V519" s="283" t="str">
        <f t="shared" si="56"/>
        <v>2.5～3.5 t</v>
      </c>
      <c r="W519" s="283" t="str">
        <f t="shared" si="57"/>
        <v>H21</v>
      </c>
      <c r="X519" s="284" t="str">
        <f t="shared" si="57"/>
        <v>QDF</v>
      </c>
      <c r="Y519" s="271" t="s">
        <v>1762</v>
      </c>
      <c r="Z519" s="283">
        <f t="shared" si="58"/>
        <v>0.13500000000000001</v>
      </c>
      <c r="AA519" s="283">
        <f t="shared" si="58"/>
        <v>6.3E-3</v>
      </c>
      <c r="AB519" s="340">
        <f t="shared" si="58"/>
        <v>2.58</v>
      </c>
      <c r="AN519" s="47" t="s">
        <v>161</v>
      </c>
      <c r="AO519" s="47"/>
    </row>
    <row r="520" spans="1:41" s="266" customFormat="1">
      <c r="A520" t="str">
        <f t="shared" si="53"/>
        <v>貨3軽QCF</v>
      </c>
      <c r="B520" t="s">
        <v>2067</v>
      </c>
      <c r="C520" t="s">
        <v>2066</v>
      </c>
      <c r="D520" t="s">
        <v>2382</v>
      </c>
      <c r="E520" t="s">
        <v>896</v>
      </c>
      <c r="F520">
        <v>0.13500000000000001</v>
      </c>
      <c r="G520">
        <v>6.3E-3</v>
      </c>
      <c r="H520">
        <v>2.58</v>
      </c>
      <c r="I520" t="s">
        <v>239</v>
      </c>
      <c r="J520"/>
      <c r="T520" s="292" t="str">
        <f t="shared" si="54"/>
        <v>トラック・バス</v>
      </c>
      <c r="U520" s="283" t="str">
        <f t="shared" si="55"/>
        <v>軽油</v>
      </c>
      <c r="V520" s="283" t="str">
        <f t="shared" si="56"/>
        <v>2.5～3.5 t</v>
      </c>
      <c r="W520" s="283" t="str">
        <f t="shared" si="57"/>
        <v>H21</v>
      </c>
      <c r="X520" s="284" t="str">
        <f t="shared" si="57"/>
        <v>QCF</v>
      </c>
      <c r="Y520" s="271" t="s">
        <v>1762</v>
      </c>
      <c r="Z520" s="283">
        <f t="shared" si="58"/>
        <v>0.13500000000000001</v>
      </c>
      <c r="AA520" s="283">
        <f t="shared" si="58"/>
        <v>6.3E-3</v>
      </c>
      <c r="AB520" s="340">
        <f t="shared" si="58"/>
        <v>2.58</v>
      </c>
      <c r="AD520" s="436"/>
      <c r="AE520" s="436"/>
      <c r="AF520" s="436"/>
      <c r="AG520" s="436"/>
      <c r="AH520" s="436"/>
      <c r="AI520" s="436"/>
      <c r="AN520" s="47" t="s">
        <v>162</v>
      </c>
      <c r="AO520" s="47"/>
    </row>
    <row r="521" spans="1:41" s="266" customFormat="1">
      <c r="A521" t="str">
        <f t="shared" si="53"/>
        <v>貨3軽QMF</v>
      </c>
      <c r="B521" t="s">
        <v>2067</v>
      </c>
      <c r="C521" t="s">
        <v>2066</v>
      </c>
      <c r="D521" t="s">
        <v>2382</v>
      </c>
      <c r="E521" t="s">
        <v>2833</v>
      </c>
      <c r="F521">
        <v>0.13500000000000001</v>
      </c>
      <c r="G521">
        <v>6.3E-3</v>
      </c>
      <c r="H521">
        <v>2.58</v>
      </c>
      <c r="I521" t="s">
        <v>2490</v>
      </c>
      <c r="J521"/>
      <c r="T521" s="292" t="str">
        <f t="shared" si="54"/>
        <v>トラック・バス</v>
      </c>
      <c r="U521" s="283" t="str">
        <f t="shared" si="55"/>
        <v>軽油</v>
      </c>
      <c r="V521" s="283" t="str">
        <f t="shared" si="56"/>
        <v>2.5～3.5 t</v>
      </c>
      <c r="W521" s="283" t="str">
        <f t="shared" si="57"/>
        <v>H21</v>
      </c>
      <c r="X521" s="284" t="str">
        <f t="shared" si="57"/>
        <v>QMF</v>
      </c>
      <c r="Y521" s="271" t="s">
        <v>1762</v>
      </c>
      <c r="Z521" s="283">
        <f t="shared" si="58"/>
        <v>0.13500000000000001</v>
      </c>
      <c r="AA521" s="283">
        <f t="shared" si="58"/>
        <v>6.3E-3</v>
      </c>
      <c r="AB521" s="340">
        <f t="shared" si="58"/>
        <v>2.58</v>
      </c>
      <c r="AD521" s="436"/>
      <c r="AE521" s="436"/>
      <c r="AF521" s="436"/>
      <c r="AG521" s="436"/>
      <c r="AH521" s="436"/>
      <c r="AI521" s="436"/>
      <c r="AN521" s="47" t="s">
        <v>163</v>
      </c>
      <c r="AO521" s="47"/>
    </row>
    <row r="522" spans="1:41" s="436" customFormat="1">
      <c r="A522" t="str">
        <f t="shared" si="53"/>
        <v>貨3軽3DF</v>
      </c>
      <c r="B522" t="s">
        <v>2067</v>
      </c>
      <c r="C522" t="s">
        <v>2066</v>
      </c>
      <c r="D522" t="s">
        <v>2750</v>
      </c>
      <c r="E522" t="s">
        <v>2589</v>
      </c>
      <c r="F522">
        <v>0.24</v>
      </c>
      <c r="G522">
        <v>7.0000000000000001E-3</v>
      </c>
      <c r="H522">
        <v>2.58</v>
      </c>
      <c r="I522" t="s">
        <v>1971</v>
      </c>
      <c r="J522"/>
      <c r="K522" s="266"/>
      <c r="L522" s="266"/>
      <c r="M522" s="266"/>
      <c r="N522" s="266"/>
      <c r="O522" s="266"/>
      <c r="P522" s="266"/>
      <c r="Q522" s="266"/>
      <c r="R522" s="266"/>
      <c r="S522" s="266"/>
      <c r="T522" s="292" t="str">
        <f t="shared" si="54"/>
        <v>トラック・バス</v>
      </c>
      <c r="U522" s="283" t="str">
        <f t="shared" si="55"/>
        <v>軽油</v>
      </c>
      <c r="V522" s="283" t="str">
        <f t="shared" si="56"/>
        <v>2.5～3.5 t</v>
      </c>
      <c r="W522" s="283" t="str">
        <f t="shared" si="57"/>
        <v>H30</v>
      </c>
      <c r="X522" s="284" t="str">
        <f t="shared" si="57"/>
        <v>3DF</v>
      </c>
      <c r="Y522" s="271"/>
      <c r="Z522" s="283">
        <f t="shared" si="58"/>
        <v>0.24</v>
      </c>
      <c r="AA522" s="283">
        <f t="shared" si="58"/>
        <v>7.0000000000000001E-3</v>
      </c>
      <c r="AB522" s="340">
        <f t="shared" si="58"/>
        <v>2.58</v>
      </c>
      <c r="AN522" s="266" t="s">
        <v>164</v>
      </c>
      <c r="AO522" s="47"/>
    </row>
    <row r="523" spans="1:41" s="436" customFormat="1">
      <c r="A523" t="str">
        <f t="shared" si="53"/>
        <v>貨3軽3CF</v>
      </c>
      <c r="B523" t="s">
        <v>2067</v>
      </c>
      <c r="C523" t="s">
        <v>2066</v>
      </c>
      <c r="D523" t="s">
        <v>2750</v>
      </c>
      <c r="E523" t="s">
        <v>2586</v>
      </c>
      <c r="F523">
        <v>0.12</v>
      </c>
      <c r="G523">
        <v>3.5000000000000001E-3</v>
      </c>
      <c r="H523">
        <v>2.58</v>
      </c>
      <c r="I523" t="s">
        <v>239</v>
      </c>
      <c r="J523"/>
      <c r="K523" s="266"/>
      <c r="L523" s="266"/>
      <c r="M523" s="266"/>
      <c r="N523" s="266"/>
      <c r="O523" s="266"/>
      <c r="P523" s="266"/>
      <c r="Q523" s="266"/>
      <c r="R523" s="266"/>
      <c r="S523" s="266"/>
      <c r="T523" s="292" t="str">
        <f t="shared" si="54"/>
        <v>トラック・バス</v>
      </c>
      <c r="U523" s="283" t="str">
        <f t="shared" si="55"/>
        <v>軽油</v>
      </c>
      <c r="V523" s="283" t="str">
        <f t="shared" si="56"/>
        <v>2.5～3.5 t</v>
      </c>
      <c r="W523" s="283" t="str">
        <f t="shared" si="57"/>
        <v>H30</v>
      </c>
      <c r="X523" s="284" t="str">
        <f t="shared" si="57"/>
        <v>3CF</v>
      </c>
      <c r="Y523" s="271"/>
      <c r="Z523" s="283">
        <f t="shared" si="58"/>
        <v>0.12</v>
      </c>
      <c r="AA523" s="283">
        <f t="shared" si="58"/>
        <v>3.5000000000000001E-3</v>
      </c>
      <c r="AB523" s="340">
        <f t="shared" si="58"/>
        <v>2.58</v>
      </c>
      <c r="AN523" s="47" t="s">
        <v>90</v>
      </c>
      <c r="AO523" s="47"/>
    </row>
    <row r="524" spans="1:41" s="436" customFormat="1">
      <c r="A524" t="str">
        <f t="shared" si="53"/>
        <v>貨3軽3MF</v>
      </c>
      <c r="B524" t="s">
        <v>2067</v>
      </c>
      <c r="C524" t="s">
        <v>2066</v>
      </c>
      <c r="D524" t="s">
        <v>2750</v>
      </c>
      <c r="E524" t="s">
        <v>2607</v>
      </c>
      <c r="F524">
        <v>0.06</v>
      </c>
      <c r="G524">
        <v>1.75E-3</v>
      </c>
      <c r="H524">
        <v>2.58</v>
      </c>
      <c r="I524" t="s">
        <v>1405</v>
      </c>
      <c r="J524"/>
      <c r="K524" s="266"/>
      <c r="L524" s="266"/>
      <c r="M524" s="266"/>
      <c r="N524" s="266"/>
      <c r="O524" s="266"/>
      <c r="P524" s="266"/>
      <c r="Q524" s="266"/>
      <c r="R524" s="266"/>
      <c r="S524" s="266"/>
      <c r="T524" s="292" t="str">
        <f t="shared" si="54"/>
        <v>トラック・バス</v>
      </c>
      <c r="U524" s="283" t="str">
        <f t="shared" si="55"/>
        <v>軽油</v>
      </c>
      <c r="V524" s="283" t="str">
        <f t="shared" si="56"/>
        <v>2.5～3.5 t</v>
      </c>
      <c r="W524" s="283" t="str">
        <f t="shared" si="57"/>
        <v>H30</v>
      </c>
      <c r="X524" s="284" t="str">
        <f t="shared" si="57"/>
        <v>3MF</v>
      </c>
      <c r="Y524" s="271"/>
      <c r="Z524" s="283">
        <f t="shared" si="58"/>
        <v>0.06</v>
      </c>
      <c r="AA524" s="283">
        <f t="shared" si="58"/>
        <v>1.75E-3</v>
      </c>
      <c r="AB524" s="340">
        <f t="shared" si="58"/>
        <v>2.58</v>
      </c>
      <c r="AN524" s="47" t="s">
        <v>91</v>
      </c>
      <c r="AO524" s="47"/>
    </row>
    <row r="525" spans="1:41" s="436" customFormat="1">
      <c r="A525" t="str">
        <f t="shared" si="53"/>
        <v>貨3軽4DF</v>
      </c>
      <c r="B525" t="s">
        <v>2067</v>
      </c>
      <c r="C525" t="s">
        <v>2066</v>
      </c>
      <c r="D525" t="s">
        <v>2750</v>
      </c>
      <c r="E525" t="s">
        <v>2619</v>
      </c>
      <c r="F525">
        <v>0.18</v>
      </c>
      <c r="G525">
        <v>5.2500000000000003E-3</v>
      </c>
      <c r="H525">
        <v>2.58</v>
      </c>
      <c r="I525" t="s">
        <v>1971</v>
      </c>
      <c r="J525"/>
      <c r="K525" s="266"/>
      <c r="L525" s="266"/>
      <c r="M525" s="266"/>
      <c r="N525" s="266"/>
      <c r="O525" s="266"/>
      <c r="P525" s="266"/>
      <c r="Q525" s="266"/>
      <c r="R525" s="266"/>
      <c r="S525" s="266"/>
      <c r="T525" s="292" t="str">
        <f t="shared" si="54"/>
        <v>トラック・バス</v>
      </c>
      <c r="U525" s="283" t="str">
        <f t="shared" si="55"/>
        <v>軽油</v>
      </c>
      <c r="V525" s="283" t="str">
        <f t="shared" si="56"/>
        <v>2.5～3.5 t</v>
      </c>
      <c r="W525" s="283" t="str">
        <f t="shared" si="57"/>
        <v>H30</v>
      </c>
      <c r="X525" s="284" t="str">
        <f t="shared" si="57"/>
        <v>4DF</v>
      </c>
      <c r="Y525" s="271" t="s">
        <v>1769</v>
      </c>
      <c r="Z525" s="283">
        <f t="shared" si="58"/>
        <v>0.18</v>
      </c>
      <c r="AA525" s="283">
        <f t="shared" si="58"/>
        <v>5.2500000000000003E-3</v>
      </c>
      <c r="AB525" s="340">
        <f t="shared" si="58"/>
        <v>2.58</v>
      </c>
      <c r="AN525" s="47" t="s">
        <v>92</v>
      </c>
      <c r="AO525" s="47"/>
    </row>
    <row r="526" spans="1:41" s="436" customFormat="1">
      <c r="A526" t="str">
        <f t="shared" si="53"/>
        <v>貨3軽4CF</v>
      </c>
      <c r="B526" t="s">
        <v>2067</v>
      </c>
      <c r="C526" t="s">
        <v>2066</v>
      </c>
      <c r="D526" t="s">
        <v>2750</v>
      </c>
      <c r="E526" t="s">
        <v>2616</v>
      </c>
      <c r="F526">
        <v>0.18</v>
      </c>
      <c r="G526">
        <v>5.2500000000000003E-3</v>
      </c>
      <c r="H526">
        <v>2.58</v>
      </c>
      <c r="I526" t="s">
        <v>239</v>
      </c>
      <c r="J526"/>
      <c r="K526" s="266"/>
      <c r="L526" s="266"/>
      <c r="M526" s="266"/>
      <c r="N526" s="266"/>
      <c r="O526" s="266"/>
      <c r="P526" s="266"/>
      <c r="Q526" s="266"/>
      <c r="R526" s="266"/>
      <c r="S526" s="266"/>
      <c r="T526" s="292" t="str">
        <f t="shared" si="54"/>
        <v>トラック・バス</v>
      </c>
      <c r="U526" s="283" t="str">
        <f t="shared" si="55"/>
        <v>軽油</v>
      </c>
      <c r="V526" s="283" t="str">
        <f t="shared" si="56"/>
        <v>2.5～3.5 t</v>
      </c>
      <c r="W526" s="283" t="str">
        <f t="shared" si="57"/>
        <v>H30</v>
      </c>
      <c r="X526" s="284" t="str">
        <f t="shared" si="57"/>
        <v>4CF</v>
      </c>
      <c r="Y526" s="271" t="s">
        <v>1769</v>
      </c>
      <c r="Z526" s="283">
        <f t="shared" si="58"/>
        <v>0.18</v>
      </c>
      <c r="AA526" s="283">
        <f t="shared" si="58"/>
        <v>5.2500000000000003E-3</v>
      </c>
      <c r="AB526" s="340">
        <f t="shared" si="58"/>
        <v>2.58</v>
      </c>
      <c r="AN526" s="47" t="s">
        <v>1219</v>
      </c>
      <c r="AO526" s="47"/>
    </row>
    <row r="527" spans="1:41" s="436" customFormat="1">
      <c r="A527" t="str">
        <f t="shared" si="53"/>
        <v>貨3軽4MF</v>
      </c>
      <c r="B527" t="s">
        <v>2067</v>
      </c>
      <c r="C527" t="s">
        <v>2066</v>
      </c>
      <c r="D527" t="s">
        <v>2750</v>
      </c>
      <c r="E527" t="s">
        <v>2637</v>
      </c>
      <c r="F527">
        <v>0.18</v>
      </c>
      <c r="G527">
        <v>5.2500000000000003E-3</v>
      </c>
      <c r="H527">
        <v>2.58</v>
      </c>
      <c r="I527" t="s">
        <v>1405</v>
      </c>
      <c r="J527"/>
      <c r="K527" s="266"/>
      <c r="L527" s="266"/>
      <c r="M527" s="266"/>
      <c r="N527" s="266"/>
      <c r="O527" s="266"/>
      <c r="P527" s="266"/>
      <c r="Q527" s="266"/>
      <c r="R527" s="266"/>
      <c r="S527" s="266"/>
      <c r="T527" s="292" t="str">
        <f t="shared" si="54"/>
        <v>トラック・バス</v>
      </c>
      <c r="U527" s="283" t="str">
        <f t="shared" si="55"/>
        <v>軽油</v>
      </c>
      <c r="V527" s="283" t="str">
        <f t="shared" si="56"/>
        <v>2.5～3.5 t</v>
      </c>
      <c r="W527" s="283" t="str">
        <f t="shared" si="57"/>
        <v>H30</v>
      </c>
      <c r="X527" s="284" t="str">
        <f t="shared" si="57"/>
        <v>4MF</v>
      </c>
      <c r="Y527" s="271" t="s">
        <v>1769</v>
      </c>
      <c r="Z527" s="283">
        <f t="shared" si="58"/>
        <v>0.18</v>
      </c>
      <c r="AA527" s="283">
        <f t="shared" si="58"/>
        <v>5.2500000000000003E-3</v>
      </c>
      <c r="AB527" s="340">
        <f t="shared" si="58"/>
        <v>2.58</v>
      </c>
      <c r="AN527" s="266" t="s">
        <v>165</v>
      </c>
      <c r="AO527" s="47"/>
    </row>
    <row r="528" spans="1:41" s="436" customFormat="1">
      <c r="A528" t="str">
        <f t="shared" si="53"/>
        <v>貨3軽5DF</v>
      </c>
      <c r="B528" t="s">
        <v>2067</v>
      </c>
      <c r="C528" t="s">
        <v>2066</v>
      </c>
      <c r="D528" t="s">
        <v>2750</v>
      </c>
      <c r="E528" t="s">
        <v>2649</v>
      </c>
      <c r="F528">
        <v>0.12</v>
      </c>
      <c r="G528">
        <v>0.35</v>
      </c>
      <c r="H528">
        <v>2.58</v>
      </c>
      <c r="I528" t="s">
        <v>1971</v>
      </c>
      <c r="J528"/>
      <c r="T528" s="292" t="str">
        <f t="shared" si="54"/>
        <v>トラック・バス</v>
      </c>
      <c r="U528" s="283" t="str">
        <f t="shared" si="55"/>
        <v>軽油</v>
      </c>
      <c r="V528" s="283" t="str">
        <f t="shared" si="56"/>
        <v>2.5～3.5 t</v>
      </c>
      <c r="W528" s="283" t="str">
        <f t="shared" si="57"/>
        <v>H30</v>
      </c>
      <c r="X528" s="284" t="str">
        <f t="shared" si="57"/>
        <v>5DF</v>
      </c>
      <c r="Y528" s="271" t="s">
        <v>2262</v>
      </c>
      <c r="Z528" s="283">
        <f t="shared" si="58"/>
        <v>0.12</v>
      </c>
      <c r="AA528" s="283">
        <f t="shared" si="58"/>
        <v>0.35</v>
      </c>
      <c r="AB528" s="340">
        <f t="shared" si="58"/>
        <v>2.58</v>
      </c>
      <c r="AN528" s="436" t="s">
        <v>166</v>
      </c>
      <c r="AO528" s="47"/>
    </row>
    <row r="529" spans="1:41" s="436" customFormat="1">
      <c r="A529" t="str">
        <f t="shared" si="53"/>
        <v>貨3軽5CF</v>
      </c>
      <c r="B529" t="s">
        <v>2067</v>
      </c>
      <c r="C529" t="s">
        <v>2066</v>
      </c>
      <c r="D529" t="s">
        <v>2750</v>
      </c>
      <c r="E529" t="s">
        <v>2646</v>
      </c>
      <c r="F529">
        <v>0.12</v>
      </c>
      <c r="G529">
        <v>0.35</v>
      </c>
      <c r="H529">
        <v>2.58</v>
      </c>
      <c r="I529" t="s">
        <v>239</v>
      </c>
      <c r="J529"/>
      <c r="T529" s="292" t="str">
        <f t="shared" si="54"/>
        <v>トラック・バス</v>
      </c>
      <c r="U529" s="283" t="str">
        <f t="shared" si="55"/>
        <v>軽油</v>
      </c>
      <c r="V529" s="283" t="str">
        <f t="shared" si="56"/>
        <v>2.5～3.5 t</v>
      </c>
      <c r="W529" s="283" t="str">
        <f t="shared" si="57"/>
        <v>H30</v>
      </c>
      <c r="X529" s="284" t="str">
        <f t="shared" si="57"/>
        <v>5CF</v>
      </c>
      <c r="Y529" s="271" t="s">
        <v>2262</v>
      </c>
      <c r="Z529" s="283">
        <f t="shared" si="58"/>
        <v>0.12</v>
      </c>
      <c r="AA529" s="283">
        <f t="shared" si="58"/>
        <v>0.35</v>
      </c>
      <c r="AB529" s="340">
        <f t="shared" si="58"/>
        <v>2.58</v>
      </c>
      <c r="AN529" s="436" t="s">
        <v>167</v>
      </c>
      <c r="AO529" s="47"/>
    </row>
    <row r="530" spans="1:41" s="436" customFormat="1">
      <c r="A530" t="str">
        <f t="shared" si="53"/>
        <v>貨3軽5MF</v>
      </c>
      <c r="B530" t="s">
        <v>2067</v>
      </c>
      <c r="C530" t="s">
        <v>2066</v>
      </c>
      <c r="D530" t="s">
        <v>2750</v>
      </c>
      <c r="E530" t="s">
        <v>2667</v>
      </c>
      <c r="F530">
        <v>0.12</v>
      </c>
      <c r="G530">
        <v>0.35</v>
      </c>
      <c r="H530">
        <v>2.58</v>
      </c>
      <c r="I530" t="s">
        <v>1405</v>
      </c>
      <c r="J530"/>
      <c r="T530" s="292" t="str">
        <f t="shared" si="54"/>
        <v>トラック・バス</v>
      </c>
      <c r="U530" s="283" t="str">
        <f t="shared" si="55"/>
        <v>軽油</v>
      </c>
      <c r="V530" s="283" t="str">
        <f t="shared" si="56"/>
        <v>2.5～3.5 t</v>
      </c>
      <c r="W530" s="283" t="str">
        <f t="shared" si="57"/>
        <v>H30</v>
      </c>
      <c r="X530" s="284" t="str">
        <f t="shared" si="57"/>
        <v>5MF</v>
      </c>
      <c r="Y530" s="271" t="s">
        <v>2262</v>
      </c>
      <c r="Z530" s="283">
        <f t="shared" si="58"/>
        <v>0.12</v>
      </c>
      <c r="AA530" s="283">
        <f t="shared" si="58"/>
        <v>0.35</v>
      </c>
      <c r="AB530" s="340">
        <f t="shared" si="58"/>
        <v>2.58</v>
      </c>
      <c r="AN530" s="436" t="s">
        <v>168</v>
      </c>
      <c r="AO530" s="47"/>
    </row>
    <row r="531" spans="1:41" s="436" customFormat="1">
      <c r="A531" t="str">
        <f t="shared" si="53"/>
        <v>貨3軽6DF</v>
      </c>
      <c r="B531" t="s">
        <v>2067</v>
      </c>
      <c r="C531" t="s">
        <v>2066</v>
      </c>
      <c r="D531" t="s">
        <v>2750</v>
      </c>
      <c r="E531" t="s">
        <v>2679</v>
      </c>
      <c r="F531">
        <v>0.06</v>
      </c>
      <c r="G531">
        <v>1.75E-3</v>
      </c>
      <c r="H531">
        <v>2.58</v>
      </c>
      <c r="I531" t="s">
        <v>1971</v>
      </c>
      <c r="J531"/>
      <c r="T531" s="292" t="str">
        <f t="shared" si="54"/>
        <v>トラック・バス</v>
      </c>
      <c r="U531" s="283" t="str">
        <f t="shared" si="55"/>
        <v>軽油</v>
      </c>
      <c r="V531" s="283" t="str">
        <f t="shared" si="56"/>
        <v>2.5～3.5 t</v>
      </c>
      <c r="W531" s="283" t="str">
        <f t="shared" si="57"/>
        <v>H30</v>
      </c>
      <c r="X531" s="284" t="str">
        <f t="shared" si="57"/>
        <v>6DF</v>
      </c>
      <c r="Y531" s="271" t="s">
        <v>2758</v>
      </c>
      <c r="Z531" s="283">
        <f t="shared" si="58"/>
        <v>0.06</v>
      </c>
      <c r="AA531" s="283">
        <f t="shared" si="58"/>
        <v>1.75E-3</v>
      </c>
      <c r="AB531" s="340">
        <f t="shared" si="58"/>
        <v>2.58</v>
      </c>
      <c r="AN531" s="47" t="s">
        <v>169</v>
      </c>
      <c r="AO531" s="47"/>
    </row>
    <row r="532" spans="1:41" s="436" customFormat="1" ht="13.75" customHeight="1">
      <c r="A532" t="str">
        <f t="shared" si="53"/>
        <v>貨3軽6CF</v>
      </c>
      <c r="B532" t="s">
        <v>2067</v>
      </c>
      <c r="C532" t="s">
        <v>2066</v>
      </c>
      <c r="D532" t="s">
        <v>2750</v>
      </c>
      <c r="E532" t="s">
        <v>2676</v>
      </c>
      <c r="F532">
        <v>0.06</v>
      </c>
      <c r="G532">
        <v>1.75E-3</v>
      </c>
      <c r="H532">
        <v>2.58</v>
      </c>
      <c r="I532" t="s">
        <v>239</v>
      </c>
      <c r="J532"/>
      <c r="T532" s="292" t="str">
        <f t="shared" si="54"/>
        <v>トラック・バス</v>
      </c>
      <c r="U532" s="283" t="str">
        <f t="shared" si="55"/>
        <v>軽油</v>
      </c>
      <c r="V532" s="283" t="str">
        <f t="shared" si="56"/>
        <v>2.5～3.5 t</v>
      </c>
      <c r="W532" s="283" t="str">
        <f t="shared" si="57"/>
        <v>H30</v>
      </c>
      <c r="X532" s="284" t="str">
        <f t="shared" si="57"/>
        <v>6CF</v>
      </c>
      <c r="Y532" s="271" t="s">
        <v>2758</v>
      </c>
      <c r="Z532" s="283">
        <f t="shared" si="58"/>
        <v>0.06</v>
      </c>
      <c r="AA532" s="283">
        <f t="shared" si="58"/>
        <v>1.75E-3</v>
      </c>
      <c r="AB532" s="340">
        <f t="shared" si="58"/>
        <v>2.58</v>
      </c>
      <c r="AD532" s="450"/>
      <c r="AE532" s="450"/>
      <c r="AF532" s="450"/>
      <c r="AG532" s="450"/>
      <c r="AH532" s="450"/>
      <c r="AI532" s="450"/>
      <c r="AN532" s="47" t="s">
        <v>170</v>
      </c>
      <c r="AO532" s="47"/>
    </row>
    <row r="533" spans="1:41" s="436" customFormat="1">
      <c r="A533" t="str">
        <f t="shared" si="53"/>
        <v>貨3軽6MF</v>
      </c>
      <c r="B533" t="s">
        <v>2067</v>
      </c>
      <c r="C533" t="s">
        <v>2066</v>
      </c>
      <c r="D533" t="s">
        <v>2750</v>
      </c>
      <c r="E533" t="s">
        <v>2697</v>
      </c>
      <c r="F533">
        <v>0.06</v>
      </c>
      <c r="G533">
        <v>1.75E-3</v>
      </c>
      <c r="H533">
        <v>2.58</v>
      </c>
      <c r="I533" t="s">
        <v>1405</v>
      </c>
      <c r="J533"/>
      <c r="T533" s="292" t="str">
        <f t="shared" si="54"/>
        <v>トラック・バス</v>
      </c>
      <c r="U533" s="283" t="str">
        <f t="shared" si="55"/>
        <v>軽油</v>
      </c>
      <c r="V533" s="283" t="str">
        <f t="shared" si="56"/>
        <v>2.5～3.5 t</v>
      </c>
      <c r="W533" s="283" t="str">
        <f t="shared" si="57"/>
        <v>H30</v>
      </c>
      <c r="X533" s="284" t="str">
        <f t="shared" si="57"/>
        <v>6MF</v>
      </c>
      <c r="Y533" s="271" t="s">
        <v>2758</v>
      </c>
      <c r="Z533" s="283">
        <f t="shared" si="58"/>
        <v>0.06</v>
      </c>
      <c r="AA533" s="283">
        <f t="shared" si="58"/>
        <v>1.75E-3</v>
      </c>
      <c r="AB533" s="340">
        <f t="shared" si="58"/>
        <v>2.58</v>
      </c>
      <c r="AD533" s="450"/>
      <c r="AE533" s="450"/>
      <c r="AF533" s="450"/>
      <c r="AG533" s="450"/>
      <c r="AH533" s="450"/>
      <c r="AI533" s="450"/>
      <c r="AN533" s="47" t="s">
        <v>171</v>
      </c>
      <c r="AO533" s="47"/>
    </row>
    <row r="534" spans="1:41" s="450" customFormat="1" ht="13.75" customHeight="1">
      <c r="A534" t="str">
        <f t="shared" si="53"/>
        <v>貨4軽-</v>
      </c>
      <c r="B534" t="s">
        <v>2044</v>
      </c>
      <c r="C534" t="s">
        <v>2068</v>
      </c>
      <c r="D534" t="s">
        <v>2458</v>
      </c>
      <c r="E534" t="s">
        <v>2457</v>
      </c>
      <c r="F534">
        <v>0.9</v>
      </c>
      <c r="G534">
        <v>6.5000000000000002E-2</v>
      </c>
      <c r="H534">
        <v>2.58</v>
      </c>
      <c r="I534" t="s">
        <v>1973</v>
      </c>
      <c r="J534"/>
      <c r="K534" s="436"/>
      <c r="L534" s="436"/>
      <c r="M534" s="436"/>
      <c r="N534" s="436"/>
      <c r="O534" s="436"/>
      <c r="P534" s="436"/>
      <c r="Q534" s="436"/>
      <c r="R534" s="436"/>
      <c r="S534" s="436"/>
      <c r="T534" s="292" t="str">
        <f t="shared" si="54"/>
        <v>トラック・バス</v>
      </c>
      <c r="U534" s="283" t="str">
        <f t="shared" si="55"/>
        <v>軽油</v>
      </c>
      <c r="V534" s="283" t="str">
        <f t="shared" si="56"/>
        <v>3.5 t～</v>
      </c>
      <c r="W534" s="283" t="str">
        <f t="shared" si="57"/>
        <v>S54前</v>
      </c>
      <c r="X534" s="284" t="str">
        <f t="shared" si="57"/>
        <v>-</v>
      </c>
      <c r="Y534" s="271"/>
      <c r="Z534" s="283">
        <f t="shared" si="58"/>
        <v>0.9</v>
      </c>
      <c r="AA534" s="283">
        <f t="shared" si="58"/>
        <v>6.5000000000000002E-2</v>
      </c>
      <c r="AB534" s="340">
        <f t="shared" si="58"/>
        <v>2.58</v>
      </c>
      <c r="AN534" s="47" t="s">
        <v>172</v>
      </c>
      <c r="AO534" s="47"/>
    </row>
    <row r="535" spans="1:41" s="450" customFormat="1">
      <c r="A535" t="str">
        <f t="shared" si="53"/>
        <v>貨4軽K</v>
      </c>
      <c r="B535" t="s">
        <v>2044</v>
      </c>
      <c r="C535" t="s">
        <v>2068</v>
      </c>
      <c r="D535" t="s">
        <v>0</v>
      </c>
      <c r="E535" t="s">
        <v>6</v>
      </c>
      <c r="F535">
        <v>0.75</v>
      </c>
      <c r="G535">
        <v>6.5000000000000002E-2</v>
      </c>
      <c r="H535">
        <v>2.58</v>
      </c>
      <c r="I535" t="s">
        <v>1973</v>
      </c>
      <c r="J535"/>
      <c r="K535" s="436"/>
      <c r="L535" s="436"/>
      <c r="M535" s="436"/>
      <c r="N535" s="436"/>
      <c r="O535" s="436"/>
      <c r="P535" s="436"/>
      <c r="Q535" s="436"/>
      <c r="R535" s="436"/>
      <c r="S535" s="436"/>
      <c r="T535" s="292" t="str">
        <f t="shared" si="54"/>
        <v>トラック・バス</v>
      </c>
      <c r="U535" s="283" t="str">
        <f t="shared" si="55"/>
        <v>軽油</v>
      </c>
      <c r="V535" s="283" t="str">
        <f t="shared" si="56"/>
        <v>3.5 t～</v>
      </c>
      <c r="W535" s="283" t="str">
        <f t="shared" si="57"/>
        <v>S54</v>
      </c>
      <c r="X535" s="284" t="str">
        <f t="shared" si="57"/>
        <v>K</v>
      </c>
      <c r="Y535" s="451"/>
      <c r="Z535" s="283">
        <f t="shared" si="58"/>
        <v>0.75</v>
      </c>
      <c r="AA535" s="283">
        <f t="shared" si="58"/>
        <v>6.5000000000000002E-2</v>
      </c>
      <c r="AB535" s="340">
        <f t="shared" si="58"/>
        <v>2.58</v>
      </c>
      <c r="AN535" s="436" t="s">
        <v>173</v>
      </c>
      <c r="AO535" s="47"/>
    </row>
    <row r="536" spans="1:41" s="450" customFormat="1" ht="13.75" customHeight="1">
      <c r="A536" t="str">
        <f t="shared" si="53"/>
        <v>貨4軽N</v>
      </c>
      <c r="B536" t="s">
        <v>2044</v>
      </c>
      <c r="C536" t="s">
        <v>2068</v>
      </c>
      <c r="D536" t="s">
        <v>8</v>
      </c>
      <c r="E536" t="s">
        <v>136</v>
      </c>
      <c r="F536">
        <v>0.65</v>
      </c>
      <c r="G536">
        <v>6.5000000000000002E-2</v>
      </c>
      <c r="H536">
        <v>2.58</v>
      </c>
      <c r="I536" t="s">
        <v>1973</v>
      </c>
      <c r="J536"/>
      <c r="K536" s="436"/>
      <c r="L536" s="436"/>
      <c r="M536" s="436"/>
      <c r="N536" s="436"/>
      <c r="O536" s="436"/>
      <c r="P536" s="436"/>
      <c r="Q536" s="436"/>
      <c r="R536" s="436"/>
      <c r="S536" s="436"/>
      <c r="T536" s="292" t="str">
        <f t="shared" si="54"/>
        <v>トラック・バス</v>
      </c>
      <c r="U536" s="283" t="str">
        <f t="shared" si="55"/>
        <v>軽油</v>
      </c>
      <c r="V536" s="283" t="str">
        <f t="shared" si="56"/>
        <v>3.5 t～</v>
      </c>
      <c r="W536" s="283" t="str">
        <f t="shared" si="57"/>
        <v>S57,S58</v>
      </c>
      <c r="X536" s="284" t="str">
        <f t="shared" si="57"/>
        <v>N</v>
      </c>
      <c r="Y536" s="452"/>
      <c r="Z536" s="283">
        <f t="shared" si="58"/>
        <v>0.65</v>
      </c>
      <c r="AA536" s="283">
        <f t="shared" si="58"/>
        <v>6.5000000000000002E-2</v>
      </c>
      <c r="AB536" s="340">
        <f t="shared" si="58"/>
        <v>2.58</v>
      </c>
      <c r="AD536" s="47"/>
      <c r="AE536" s="47"/>
      <c r="AF536" s="47"/>
      <c r="AG536" s="47"/>
      <c r="AH536" s="47"/>
      <c r="AI536" s="47"/>
      <c r="AN536" s="436" t="s">
        <v>174</v>
      </c>
      <c r="AO536" s="47"/>
    </row>
    <row r="537" spans="1:41" s="450" customFormat="1">
      <c r="A537" t="str">
        <f t="shared" si="53"/>
        <v>貨4軽P</v>
      </c>
      <c r="B537" t="s">
        <v>2044</v>
      </c>
      <c r="C537" t="s">
        <v>2068</v>
      </c>
      <c r="D537" t="s">
        <v>8</v>
      </c>
      <c r="E537" t="s">
        <v>137</v>
      </c>
      <c r="F537">
        <v>0.65</v>
      </c>
      <c r="G537">
        <v>6.5000000000000002E-2</v>
      </c>
      <c r="H537">
        <v>2.58</v>
      </c>
      <c r="I537" t="s">
        <v>1973</v>
      </c>
      <c r="J537"/>
      <c r="K537" s="436"/>
      <c r="L537" s="436"/>
      <c r="M537" s="436"/>
      <c r="N537" s="436"/>
      <c r="O537" s="436"/>
      <c r="P537" s="436"/>
      <c r="Q537" s="436"/>
      <c r="R537" s="436"/>
      <c r="S537" s="436"/>
      <c r="T537" s="292" t="str">
        <f t="shared" si="54"/>
        <v>トラック・バス</v>
      </c>
      <c r="U537" s="283" t="str">
        <f t="shared" si="55"/>
        <v>軽油</v>
      </c>
      <c r="V537" s="283" t="str">
        <f t="shared" si="56"/>
        <v>3.5 t～</v>
      </c>
      <c r="W537" s="283" t="str">
        <f t="shared" si="57"/>
        <v>S57,S58</v>
      </c>
      <c r="X537" s="284" t="str">
        <f t="shared" si="57"/>
        <v>P</v>
      </c>
      <c r="Y537" s="451"/>
      <c r="Z537" s="283">
        <f t="shared" si="58"/>
        <v>0.65</v>
      </c>
      <c r="AA537" s="283">
        <f t="shared" si="58"/>
        <v>6.5000000000000002E-2</v>
      </c>
      <c r="AB537" s="340">
        <f t="shared" si="58"/>
        <v>2.58</v>
      </c>
      <c r="AD537" s="47"/>
      <c r="AE537" s="47"/>
      <c r="AF537" s="47"/>
      <c r="AG537" s="47"/>
      <c r="AH537" s="47"/>
      <c r="AI537" s="47"/>
      <c r="AN537" s="47" t="s">
        <v>175</v>
      </c>
      <c r="AO537" s="47"/>
    </row>
    <row r="538" spans="1:41" ht="13.75" customHeight="1">
      <c r="A538" t="str">
        <f t="shared" si="53"/>
        <v>貨4軽U</v>
      </c>
      <c r="B538" t="s">
        <v>2044</v>
      </c>
      <c r="C538" t="s">
        <v>2068</v>
      </c>
      <c r="D538" t="s">
        <v>27</v>
      </c>
      <c r="E538" t="s">
        <v>159</v>
      </c>
      <c r="F538">
        <v>0.56000000000000005</v>
      </c>
      <c r="G538">
        <v>6.5000000000000002E-2</v>
      </c>
      <c r="H538">
        <v>2.58</v>
      </c>
      <c r="I538" t="s">
        <v>1973</v>
      </c>
      <c r="J538"/>
      <c r="K538" s="436"/>
      <c r="L538" s="436"/>
      <c r="M538" s="436"/>
      <c r="N538" s="436"/>
      <c r="O538" s="436"/>
      <c r="P538" s="436"/>
      <c r="Q538" s="436"/>
      <c r="R538" s="436"/>
      <c r="S538" s="436"/>
      <c r="T538" s="292" t="str">
        <f t="shared" si="54"/>
        <v>トラック・バス</v>
      </c>
      <c r="U538" s="283" t="str">
        <f t="shared" si="55"/>
        <v>軽油</v>
      </c>
      <c r="V538" s="283" t="str">
        <f t="shared" si="56"/>
        <v>3.5 t～</v>
      </c>
      <c r="W538" s="283" t="str">
        <f t="shared" si="57"/>
        <v>H元,H2</v>
      </c>
      <c r="X538" s="284" t="str">
        <f t="shared" si="57"/>
        <v>U</v>
      </c>
      <c r="Y538" s="452"/>
      <c r="Z538" s="283">
        <f t="shared" si="58"/>
        <v>0.56000000000000005</v>
      </c>
      <c r="AA538" s="283">
        <f t="shared" si="58"/>
        <v>6.5000000000000002E-2</v>
      </c>
      <c r="AB538" s="340">
        <f t="shared" si="58"/>
        <v>2.58</v>
      </c>
      <c r="AN538" s="47" t="s">
        <v>176</v>
      </c>
    </row>
    <row r="539" spans="1:41">
      <c r="A539" t="str">
        <f t="shared" si="53"/>
        <v>貨4軽W</v>
      </c>
      <c r="B539" t="s">
        <v>2044</v>
      </c>
      <c r="C539" t="s">
        <v>2068</v>
      </c>
      <c r="D539" t="s">
        <v>27</v>
      </c>
      <c r="E539" t="s">
        <v>181</v>
      </c>
      <c r="F539">
        <v>0.56000000000000005</v>
      </c>
      <c r="G539">
        <v>6.5000000000000002E-2</v>
      </c>
      <c r="H539">
        <v>2.58</v>
      </c>
      <c r="I539" t="s">
        <v>1973</v>
      </c>
      <c r="J539"/>
      <c r="K539" s="436"/>
      <c r="L539" s="436"/>
      <c r="M539" s="436"/>
      <c r="N539" s="436"/>
      <c r="O539" s="436"/>
      <c r="P539" s="436"/>
      <c r="Q539" s="436"/>
      <c r="R539" s="436"/>
      <c r="S539" s="436"/>
      <c r="T539" s="292" t="str">
        <f t="shared" si="54"/>
        <v>トラック・バス</v>
      </c>
      <c r="U539" s="283" t="str">
        <f t="shared" si="55"/>
        <v>軽油</v>
      </c>
      <c r="V539" s="283" t="str">
        <f t="shared" si="56"/>
        <v>3.5 t～</v>
      </c>
      <c r="W539" s="283" t="str">
        <f t="shared" si="57"/>
        <v>H元,H2</v>
      </c>
      <c r="X539" s="284" t="str">
        <f t="shared" si="57"/>
        <v>W</v>
      </c>
      <c r="Y539" s="451"/>
      <c r="Z539" s="283">
        <f t="shared" si="58"/>
        <v>0.56000000000000005</v>
      </c>
      <c r="AA539" s="283">
        <f t="shared" si="58"/>
        <v>6.5000000000000002E-2</v>
      </c>
      <c r="AB539" s="340">
        <f t="shared" si="58"/>
        <v>2.58</v>
      </c>
      <c r="AN539" s="47" t="s">
        <v>177</v>
      </c>
    </row>
    <row r="540" spans="1:41" ht="13.75" customHeight="1">
      <c r="A540" t="str">
        <f t="shared" si="53"/>
        <v>貨4軽KC</v>
      </c>
      <c r="B540" t="s">
        <v>2044</v>
      </c>
      <c r="C540" t="s">
        <v>2068</v>
      </c>
      <c r="D540" t="s">
        <v>33</v>
      </c>
      <c r="E540" t="s">
        <v>23</v>
      </c>
      <c r="F540">
        <v>0.46</v>
      </c>
      <c r="G540">
        <v>6.5000000000000002E-2</v>
      </c>
      <c r="H540">
        <v>2.58</v>
      </c>
      <c r="I540" t="s">
        <v>1973</v>
      </c>
      <c r="J540"/>
      <c r="K540" s="450"/>
      <c r="L540" s="450"/>
      <c r="M540" s="450"/>
      <c r="N540" s="450"/>
      <c r="O540" s="450"/>
      <c r="P540" s="450"/>
      <c r="Q540" s="450"/>
      <c r="R540" s="450"/>
      <c r="S540" s="450"/>
      <c r="T540" s="292" t="str">
        <f t="shared" si="54"/>
        <v>トラック・バス</v>
      </c>
      <c r="U540" s="283" t="str">
        <f t="shared" si="55"/>
        <v>軽油</v>
      </c>
      <c r="V540" s="283" t="str">
        <f t="shared" si="56"/>
        <v>3.5 t～</v>
      </c>
      <c r="W540" s="283" t="str">
        <f t="shared" si="57"/>
        <v>H6</v>
      </c>
      <c r="X540" s="284" t="str">
        <f t="shared" si="57"/>
        <v>KC</v>
      </c>
      <c r="Y540" s="452"/>
      <c r="Z540" s="283">
        <f t="shared" si="58"/>
        <v>0.46</v>
      </c>
      <c r="AA540" s="283">
        <f t="shared" si="58"/>
        <v>6.5000000000000002E-2</v>
      </c>
      <c r="AB540" s="340">
        <f t="shared" si="58"/>
        <v>2.58</v>
      </c>
      <c r="AN540" s="47" t="s">
        <v>178</v>
      </c>
    </row>
    <row r="541" spans="1:41">
      <c r="A541" t="str">
        <f t="shared" si="53"/>
        <v>貨4軽KK</v>
      </c>
      <c r="B541" t="s">
        <v>2044</v>
      </c>
      <c r="C541" t="s">
        <v>2068</v>
      </c>
      <c r="D541" t="s">
        <v>28</v>
      </c>
      <c r="E541" t="s">
        <v>123</v>
      </c>
      <c r="F541">
        <v>0.35</v>
      </c>
      <c r="G541">
        <v>2.3E-2</v>
      </c>
      <c r="H541">
        <v>2.58</v>
      </c>
      <c r="I541" t="s">
        <v>1973</v>
      </c>
      <c r="J541"/>
      <c r="K541" s="450"/>
      <c r="L541" s="450"/>
      <c r="M541" s="450"/>
      <c r="N541" s="450"/>
      <c r="O541" s="450"/>
      <c r="P541" s="450"/>
      <c r="Q541" s="450"/>
      <c r="R541" s="450"/>
      <c r="S541" s="450"/>
      <c r="T541" s="292" t="str">
        <f t="shared" si="54"/>
        <v>トラック・バス</v>
      </c>
      <c r="U541" s="283" t="str">
        <f t="shared" si="55"/>
        <v>軽油</v>
      </c>
      <c r="V541" s="283" t="str">
        <f t="shared" si="56"/>
        <v>3.5 t～</v>
      </c>
      <c r="W541" s="283" t="str">
        <f t="shared" si="57"/>
        <v>H10,H11</v>
      </c>
      <c r="X541" s="284" t="str">
        <f t="shared" si="57"/>
        <v>KK</v>
      </c>
      <c r="Y541" s="451"/>
      <c r="Z541" s="283">
        <f t="shared" si="58"/>
        <v>0.35</v>
      </c>
      <c r="AA541" s="283">
        <f t="shared" si="58"/>
        <v>2.3E-2</v>
      </c>
      <c r="AB541" s="340">
        <f t="shared" si="58"/>
        <v>2.58</v>
      </c>
      <c r="AN541" s="47" t="s">
        <v>179</v>
      </c>
    </row>
    <row r="542" spans="1:41" ht="13.75" customHeight="1">
      <c r="A542" t="str">
        <f t="shared" ref="A542:A605" si="59">CONCATENATE(C542,E542)</f>
        <v>貨4軽HF</v>
      </c>
      <c r="B542" t="s">
        <v>2044</v>
      </c>
      <c r="C542" t="s">
        <v>2068</v>
      </c>
      <c r="D542" t="s">
        <v>28</v>
      </c>
      <c r="E542" t="s">
        <v>110</v>
      </c>
      <c r="F542">
        <v>0.17499999999999999</v>
      </c>
      <c r="G542">
        <v>1.15E-2</v>
      </c>
      <c r="H542">
        <v>2.58</v>
      </c>
      <c r="I542" t="s">
        <v>239</v>
      </c>
      <c r="J542"/>
      <c r="K542" s="450"/>
      <c r="L542" s="450"/>
      <c r="M542" s="450"/>
      <c r="N542" s="450"/>
      <c r="O542" s="450"/>
      <c r="P542" s="450"/>
      <c r="Q542" s="450"/>
      <c r="R542" s="450"/>
      <c r="S542" s="450"/>
      <c r="T542" s="292" t="str">
        <f t="shared" si="54"/>
        <v>トラック・バス</v>
      </c>
      <c r="U542" s="283" t="str">
        <f t="shared" si="55"/>
        <v>軽油</v>
      </c>
      <c r="V542" s="283" t="str">
        <f t="shared" si="56"/>
        <v>3.5 t～</v>
      </c>
      <c r="W542" s="283" t="str">
        <f t="shared" si="57"/>
        <v>H10,H11</v>
      </c>
      <c r="X542" s="284" t="str">
        <f t="shared" si="57"/>
        <v>HF</v>
      </c>
      <c r="Y542" s="452"/>
      <c r="Z542" s="283">
        <f t="shared" si="58"/>
        <v>0.17499999999999999</v>
      </c>
      <c r="AA542" s="283">
        <f t="shared" si="58"/>
        <v>1.15E-2</v>
      </c>
      <c r="AB542" s="340">
        <f t="shared" si="58"/>
        <v>2.58</v>
      </c>
      <c r="AN542" s="47" t="s">
        <v>180</v>
      </c>
    </row>
    <row r="543" spans="1:41">
      <c r="A543" t="str">
        <f t="shared" si="59"/>
        <v>貨4軽KL</v>
      </c>
      <c r="B543" t="s">
        <v>2044</v>
      </c>
      <c r="C543" t="s">
        <v>2068</v>
      </c>
      <c r="D543" t="s">
        <v>28</v>
      </c>
      <c r="E543" t="s">
        <v>124</v>
      </c>
      <c r="F543">
        <v>0.35</v>
      </c>
      <c r="G543">
        <v>2.3E-2</v>
      </c>
      <c r="H543">
        <v>2.58</v>
      </c>
      <c r="I543" t="s">
        <v>1973</v>
      </c>
      <c r="J543"/>
      <c r="K543" s="450"/>
      <c r="L543" s="450"/>
      <c r="M543" s="450"/>
      <c r="N543" s="450"/>
      <c r="O543" s="450"/>
      <c r="P543" s="450"/>
      <c r="Q543" s="450"/>
      <c r="R543" s="450"/>
      <c r="S543" s="450"/>
      <c r="T543" s="292" t="str">
        <f t="shared" si="54"/>
        <v>トラック・バス</v>
      </c>
      <c r="U543" s="283" t="str">
        <f t="shared" si="55"/>
        <v>軽油</v>
      </c>
      <c r="V543" s="283" t="str">
        <f t="shared" si="56"/>
        <v>3.5 t～</v>
      </c>
      <c r="W543" s="283" t="str">
        <f t="shared" si="57"/>
        <v>H10,H11</v>
      </c>
      <c r="X543" s="284" t="str">
        <f t="shared" si="57"/>
        <v>KL</v>
      </c>
      <c r="Y543" s="451"/>
      <c r="Z543" s="283">
        <f t="shared" si="58"/>
        <v>0.35</v>
      </c>
      <c r="AA543" s="283">
        <f t="shared" si="58"/>
        <v>2.3E-2</v>
      </c>
      <c r="AB543" s="340">
        <f t="shared" si="58"/>
        <v>2.58</v>
      </c>
      <c r="AN543" s="47" t="s">
        <v>181</v>
      </c>
    </row>
    <row r="544" spans="1:41">
      <c r="A544" t="str">
        <f t="shared" si="59"/>
        <v>貨4軽HM</v>
      </c>
      <c r="B544" t="s">
        <v>2044</v>
      </c>
      <c r="C544" t="s">
        <v>2068</v>
      </c>
      <c r="D544" t="s">
        <v>28</v>
      </c>
      <c r="E544" t="s">
        <v>111</v>
      </c>
      <c r="F544">
        <v>0.17499999999999999</v>
      </c>
      <c r="G544">
        <v>1.15E-2</v>
      </c>
      <c r="H544">
        <v>2.58</v>
      </c>
      <c r="I544" t="s">
        <v>239</v>
      </c>
      <c r="J544"/>
      <c r="T544" s="292" t="str">
        <f t="shared" si="54"/>
        <v>トラック・バス</v>
      </c>
      <c r="U544" s="283" t="str">
        <f t="shared" si="55"/>
        <v>軽油</v>
      </c>
      <c r="V544" s="283" t="str">
        <f t="shared" si="56"/>
        <v>3.5 t～</v>
      </c>
      <c r="W544" s="283" t="str">
        <f t="shared" si="57"/>
        <v>H10,H11</v>
      </c>
      <c r="X544" s="284" t="str">
        <f t="shared" si="57"/>
        <v>HM</v>
      </c>
      <c r="Y544" s="271"/>
      <c r="Z544" s="283">
        <f t="shared" si="58"/>
        <v>0.17499999999999999</v>
      </c>
      <c r="AA544" s="283">
        <f t="shared" si="58"/>
        <v>1.15E-2</v>
      </c>
      <c r="AB544" s="340">
        <f t="shared" si="58"/>
        <v>2.58</v>
      </c>
      <c r="AN544" s="47" t="s">
        <v>1492</v>
      </c>
    </row>
    <row r="545" spans="1:41">
      <c r="A545" t="str">
        <f t="shared" si="59"/>
        <v>貨4軽DR</v>
      </c>
      <c r="B545" t="s">
        <v>2044</v>
      </c>
      <c r="C545" t="s">
        <v>2068</v>
      </c>
      <c r="D545" t="s">
        <v>915</v>
      </c>
      <c r="E545" t="s">
        <v>916</v>
      </c>
      <c r="F545">
        <v>0.26250000000000001</v>
      </c>
      <c r="G545">
        <v>1.7250000000000001E-2</v>
      </c>
      <c r="H545">
        <v>2.58</v>
      </c>
      <c r="I545" t="s">
        <v>1973</v>
      </c>
      <c r="J545"/>
      <c r="T545" s="292" t="str">
        <f t="shared" si="54"/>
        <v>トラック・バス</v>
      </c>
      <c r="U545" s="283" t="str">
        <f t="shared" si="55"/>
        <v>軽油</v>
      </c>
      <c r="V545" s="283" t="str">
        <f t="shared" si="56"/>
        <v>3.5 t～</v>
      </c>
      <c r="W545" s="283" t="str">
        <f t="shared" si="57"/>
        <v>H10</v>
      </c>
      <c r="X545" s="284" t="str">
        <f t="shared" si="57"/>
        <v>DR</v>
      </c>
      <c r="Y545" s="271" t="s">
        <v>1765</v>
      </c>
      <c r="Z545" s="283">
        <f t="shared" si="58"/>
        <v>0.26250000000000001</v>
      </c>
      <c r="AA545" s="283">
        <f t="shared" si="58"/>
        <v>1.7250000000000001E-2</v>
      </c>
      <c r="AB545" s="340">
        <f t="shared" si="58"/>
        <v>2.58</v>
      </c>
      <c r="AN545" s="47" t="s">
        <v>1496</v>
      </c>
    </row>
    <row r="546" spans="1:41">
      <c r="A546" t="str">
        <f t="shared" si="59"/>
        <v>貨4軽WR</v>
      </c>
      <c r="B546" t="s">
        <v>2044</v>
      </c>
      <c r="C546" t="s">
        <v>2068</v>
      </c>
      <c r="D546" t="s">
        <v>915</v>
      </c>
      <c r="E546" t="s">
        <v>918</v>
      </c>
      <c r="F546">
        <v>0.26250000000000001</v>
      </c>
      <c r="G546">
        <v>1.7250000000000001E-2</v>
      </c>
      <c r="H546">
        <v>2.58</v>
      </c>
      <c r="I546" t="s">
        <v>239</v>
      </c>
      <c r="J546"/>
      <c r="T546" s="292" t="str">
        <f t="shared" si="54"/>
        <v>トラック・バス</v>
      </c>
      <c r="U546" s="283" t="str">
        <f t="shared" si="55"/>
        <v>軽油</v>
      </c>
      <c r="V546" s="283" t="str">
        <f t="shared" si="56"/>
        <v>3.5 t～</v>
      </c>
      <c r="W546" s="283" t="str">
        <f t="shared" si="57"/>
        <v>H10</v>
      </c>
      <c r="X546" s="284" t="str">
        <f t="shared" si="57"/>
        <v>WR</v>
      </c>
      <c r="Y546" s="271" t="s">
        <v>1765</v>
      </c>
      <c r="Z546" s="283">
        <f t="shared" si="58"/>
        <v>0.26250000000000001</v>
      </c>
      <c r="AA546" s="283">
        <f t="shared" si="58"/>
        <v>1.7250000000000001E-2</v>
      </c>
      <c r="AB546" s="340">
        <f t="shared" si="58"/>
        <v>2.58</v>
      </c>
      <c r="AN546" s="47" t="s">
        <v>1500</v>
      </c>
    </row>
    <row r="547" spans="1:41">
      <c r="A547" t="str">
        <f t="shared" si="59"/>
        <v>貨4軽DS</v>
      </c>
      <c r="B547" t="s">
        <v>2044</v>
      </c>
      <c r="C547" t="s">
        <v>2068</v>
      </c>
      <c r="D547" t="s">
        <v>915</v>
      </c>
      <c r="E547" t="s">
        <v>920</v>
      </c>
      <c r="F547">
        <v>0.17499999999999999</v>
      </c>
      <c r="G547">
        <v>1.15E-2</v>
      </c>
      <c r="H547">
        <v>2.58</v>
      </c>
      <c r="I547" t="s">
        <v>1973</v>
      </c>
      <c r="J547"/>
      <c r="T547" s="292" t="str">
        <f t="shared" si="54"/>
        <v>トラック・バス</v>
      </c>
      <c r="U547" s="283" t="str">
        <f t="shared" si="55"/>
        <v>軽油</v>
      </c>
      <c r="V547" s="283" t="str">
        <f t="shared" si="56"/>
        <v>3.5 t～</v>
      </c>
      <c r="W547" s="283" t="str">
        <f t="shared" si="57"/>
        <v>H10</v>
      </c>
      <c r="X547" s="284" t="str">
        <f t="shared" si="57"/>
        <v>DS</v>
      </c>
      <c r="Y547" s="271" t="s">
        <v>1766</v>
      </c>
      <c r="Z547" s="283">
        <f t="shared" si="58"/>
        <v>0.17499999999999999</v>
      </c>
      <c r="AA547" s="283">
        <f t="shared" si="58"/>
        <v>1.15E-2</v>
      </c>
      <c r="AB547" s="340">
        <f t="shared" si="58"/>
        <v>2.58</v>
      </c>
      <c r="AD547" s="436"/>
      <c r="AE547" s="436"/>
      <c r="AF547" s="436"/>
      <c r="AG547" s="436"/>
      <c r="AH547" s="436"/>
      <c r="AI547" s="436"/>
      <c r="AN547" s="47" t="s">
        <v>683</v>
      </c>
    </row>
    <row r="548" spans="1:41">
      <c r="A548" t="str">
        <f t="shared" si="59"/>
        <v>貨4軽WS</v>
      </c>
      <c r="B548" t="s">
        <v>2044</v>
      </c>
      <c r="C548" t="s">
        <v>2068</v>
      </c>
      <c r="D548" t="s">
        <v>915</v>
      </c>
      <c r="E548" t="s">
        <v>922</v>
      </c>
      <c r="F548">
        <v>0.17499999999999999</v>
      </c>
      <c r="G548">
        <v>1.15E-2</v>
      </c>
      <c r="H548">
        <v>2.58</v>
      </c>
      <c r="I548" t="s">
        <v>239</v>
      </c>
      <c r="J548"/>
      <c r="T548" s="292" t="str">
        <f t="shared" si="54"/>
        <v>トラック・バス</v>
      </c>
      <c r="U548" s="283" t="str">
        <f t="shared" si="55"/>
        <v>軽油</v>
      </c>
      <c r="V548" s="283" t="str">
        <f t="shared" si="56"/>
        <v>3.5 t～</v>
      </c>
      <c r="W548" s="283" t="str">
        <f t="shared" si="57"/>
        <v>H10</v>
      </c>
      <c r="X548" s="284" t="str">
        <f t="shared" si="57"/>
        <v>WS</v>
      </c>
      <c r="Y548" s="271" t="s">
        <v>1766</v>
      </c>
      <c r="Z548" s="283">
        <f t="shared" si="58"/>
        <v>0.17499999999999999</v>
      </c>
      <c r="AA548" s="283">
        <f t="shared" si="58"/>
        <v>1.15E-2</v>
      </c>
      <c r="AB548" s="340">
        <f t="shared" si="58"/>
        <v>2.58</v>
      </c>
      <c r="AD548" s="436"/>
      <c r="AE548" s="436"/>
      <c r="AF548" s="436"/>
      <c r="AG548" s="436"/>
      <c r="AH548" s="436"/>
      <c r="AI548" s="436"/>
      <c r="AN548" s="47" t="s">
        <v>687</v>
      </c>
    </row>
    <row r="549" spans="1:41" s="436" customFormat="1">
      <c r="A549" t="str">
        <f t="shared" si="59"/>
        <v>貨4軽DT</v>
      </c>
      <c r="B549" t="s">
        <v>2044</v>
      </c>
      <c r="C549" t="s">
        <v>2068</v>
      </c>
      <c r="D549" t="s">
        <v>915</v>
      </c>
      <c r="E549" t="s">
        <v>924</v>
      </c>
      <c r="F549">
        <v>8.7499999999999994E-2</v>
      </c>
      <c r="G549">
        <v>5.7499999999999999E-3</v>
      </c>
      <c r="H549">
        <v>2.58</v>
      </c>
      <c r="I549" t="s">
        <v>1973</v>
      </c>
      <c r="J549"/>
      <c r="K549" s="47"/>
      <c r="L549" s="47"/>
      <c r="M549" s="47"/>
      <c r="N549" s="47"/>
      <c r="O549" s="47"/>
      <c r="P549" s="47"/>
      <c r="Q549" s="47"/>
      <c r="R549" s="47"/>
      <c r="S549" s="47"/>
      <c r="T549" s="292" t="str">
        <f t="shared" si="54"/>
        <v>トラック・バス</v>
      </c>
      <c r="U549" s="283" t="str">
        <f t="shared" si="55"/>
        <v>軽油</v>
      </c>
      <c r="V549" s="283" t="str">
        <f t="shared" si="56"/>
        <v>3.5 t～</v>
      </c>
      <c r="W549" s="283" t="str">
        <f t="shared" si="57"/>
        <v>H10</v>
      </c>
      <c r="X549" s="284" t="str">
        <f t="shared" si="57"/>
        <v>DT</v>
      </c>
      <c r="Y549" s="271" t="s">
        <v>1767</v>
      </c>
      <c r="Z549" s="283">
        <f t="shared" si="58"/>
        <v>8.7499999999999994E-2</v>
      </c>
      <c r="AA549" s="283">
        <f t="shared" si="58"/>
        <v>5.7499999999999999E-3</v>
      </c>
      <c r="AB549" s="340">
        <f t="shared" si="58"/>
        <v>2.58</v>
      </c>
      <c r="AN549" s="47" t="s">
        <v>691</v>
      </c>
      <c r="AO549" s="47"/>
    </row>
    <row r="550" spans="1:41" s="436" customFormat="1">
      <c r="A550" t="str">
        <f t="shared" si="59"/>
        <v>貨4軽WT</v>
      </c>
      <c r="B550" t="s">
        <v>2044</v>
      </c>
      <c r="C550" t="s">
        <v>2068</v>
      </c>
      <c r="D550" t="s">
        <v>915</v>
      </c>
      <c r="E550" t="s">
        <v>926</v>
      </c>
      <c r="F550">
        <v>8.7499999999999994E-2</v>
      </c>
      <c r="G550">
        <v>5.7499999999999999E-3</v>
      </c>
      <c r="H550">
        <v>2.58</v>
      </c>
      <c r="I550" t="s">
        <v>239</v>
      </c>
      <c r="J550"/>
      <c r="K550" s="47"/>
      <c r="L550" s="47"/>
      <c r="M550" s="47"/>
      <c r="N550" s="47"/>
      <c r="O550" s="47"/>
      <c r="P550" s="47"/>
      <c r="Q550" s="47"/>
      <c r="R550" s="47"/>
      <c r="S550" s="47"/>
      <c r="T550" s="292" t="str">
        <f t="shared" si="54"/>
        <v>トラック・バス</v>
      </c>
      <c r="U550" s="283" t="str">
        <f t="shared" si="55"/>
        <v>軽油</v>
      </c>
      <c r="V550" s="283" t="str">
        <f t="shared" si="56"/>
        <v>3.5 t～</v>
      </c>
      <c r="W550" s="283" t="str">
        <f t="shared" si="57"/>
        <v>H10</v>
      </c>
      <c r="X550" s="284" t="str">
        <f t="shared" si="57"/>
        <v>WT</v>
      </c>
      <c r="Y550" s="271" t="s">
        <v>1767</v>
      </c>
      <c r="Z550" s="283">
        <f t="shared" si="58"/>
        <v>8.7499999999999994E-2</v>
      </c>
      <c r="AA550" s="283">
        <f t="shared" si="58"/>
        <v>5.7499999999999999E-3</v>
      </c>
      <c r="AB550" s="340">
        <f t="shared" si="58"/>
        <v>2.58</v>
      </c>
      <c r="AN550" s="47" t="s">
        <v>798</v>
      </c>
      <c r="AO550" s="47"/>
    </row>
    <row r="551" spans="1:41" s="436" customFormat="1">
      <c r="A551" t="str">
        <f t="shared" si="59"/>
        <v>貨4軽DU</v>
      </c>
      <c r="B551" t="s">
        <v>2044</v>
      </c>
      <c r="C551" t="s">
        <v>2068</v>
      </c>
      <c r="D551" t="s">
        <v>928</v>
      </c>
      <c r="E551" t="s">
        <v>929</v>
      </c>
      <c r="F551">
        <v>0.26250000000000001</v>
      </c>
      <c r="G551">
        <v>1.7250000000000001E-2</v>
      </c>
      <c r="H551">
        <v>2.58</v>
      </c>
      <c r="I551" t="s">
        <v>1973</v>
      </c>
      <c r="J551"/>
      <c r="K551" s="47"/>
      <c r="L551" s="47"/>
      <c r="M551" s="47"/>
      <c r="N551" s="47"/>
      <c r="O551" s="47"/>
      <c r="P551" s="47"/>
      <c r="Q551" s="47"/>
      <c r="R551" s="47"/>
      <c r="S551" s="47"/>
      <c r="T551" s="292" t="str">
        <f t="shared" si="54"/>
        <v>トラック・バス</v>
      </c>
      <c r="U551" s="283" t="str">
        <f t="shared" si="55"/>
        <v>軽油</v>
      </c>
      <c r="V551" s="283" t="str">
        <f t="shared" si="56"/>
        <v>3.5 t～</v>
      </c>
      <c r="W551" s="283" t="str">
        <f t="shared" si="57"/>
        <v>H11</v>
      </c>
      <c r="X551" s="284" t="str">
        <f t="shared" si="57"/>
        <v>DU</v>
      </c>
      <c r="Y551" s="271" t="s">
        <v>1765</v>
      </c>
      <c r="Z551" s="283">
        <f t="shared" si="58"/>
        <v>0.26250000000000001</v>
      </c>
      <c r="AA551" s="283">
        <f t="shared" si="58"/>
        <v>1.7250000000000001E-2</v>
      </c>
      <c r="AB551" s="340">
        <f t="shared" si="58"/>
        <v>2.58</v>
      </c>
      <c r="AN551" s="47" t="s">
        <v>802</v>
      </c>
      <c r="AO551" s="47"/>
    </row>
    <row r="552" spans="1:41" s="436" customFormat="1">
      <c r="A552" t="str">
        <f t="shared" si="59"/>
        <v>貨4軽WU</v>
      </c>
      <c r="B552" t="s">
        <v>2044</v>
      </c>
      <c r="C552" t="s">
        <v>2068</v>
      </c>
      <c r="D552" t="s">
        <v>928</v>
      </c>
      <c r="E552" t="s">
        <v>931</v>
      </c>
      <c r="F552">
        <v>0.26250000000000001</v>
      </c>
      <c r="G552">
        <v>1.7250000000000001E-2</v>
      </c>
      <c r="H552">
        <v>2.58</v>
      </c>
      <c r="I552" t="s">
        <v>239</v>
      </c>
      <c r="J552"/>
      <c r="K552" s="47"/>
      <c r="L552" s="47"/>
      <c r="M552" s="47"/>
      <c r="N552" s="47"/>
      <c r="O552" s="47"/>
      <c r="P552" s="47"/>
      <c r="Q552" s="47"/>
      <c r="R552" s="47"/>
      <c r="S552" s="47"/>
      <c r="T552" s="292" t="str">
        <f t="shared" si="54"/>
        <v>トラック・バス</v>
      </c>
      <c r="U552" s="283" t="str">
        <f t="shared" si="55"/>
        <v>軽油</v>
      </c>
      <c r="V552" s="283" t="str">
        <f t="shared" si="56"/>
        <v>3.5 t～</v>
      </c>
      <c r="W552" s="283" t="str">
        <f t="shared" si="57"/>
        <v>H11</v>
      </c>
      <c r="X552" s="284" t="str">
        <f t="shared" si="57"/>
        <v>WU</v>
      </c>
      <c r="Y552" s="271" t="s">
        <v>1765</v>
      </c>
      <c r="Z552" s="283">
        <f t="shared" si="58"/>
        <v>0.26250000000000001</v>
      </c>
      <c r="AA552" s="283">
        <f t="shared" si="58"/>
        <v>1.7250000000000001E-2</v>
      </c>
      <c r="AB552" s="340">
        <f t="shared" si="58"/>
        <v>2.58</v>
      </c>
      <c r="AN552" s="47" t="s">
        <v>806</v>
      </c>
      <c r="AO552" s="47"/>
    </row>
    <row r="553" spans="1:41" s="436" customFormat="1">
      <c r="A553" t="str">
        <f t="shared" si="59"/>
        <v>貨4軽DV</v>
      </c>
      <c r="B553" t="s">
        <v>2044</v>
      </c>
      <c r="C553" t="s">
        <v>2068</v>
      </c>
      <c r="D553" t="s">
        <v>928</v>
      </c>
      <c r="E553" t="s">
        <v>933</v>
      </c>
      <c r="F553">
        <v>0.17499999999999999</v>
      </c>
      <c r="G553">
        <v>1.15E-2</v>
      </c>
      <c r="H553">
        <v>2.58</v>
      </c>
      <c r="I553" t="s">
        <v>1973</v>
      </c>
      <c r="J553"/>
      <c r="K553" s="47"/>
      <c r="L553" s="47"/>
      <c r="M553" s="47"/>
      <c r="N553" s="47"/>
      <c r="O553" s="47"/>
      <c r="P553" s="47"/>
      <c r="Q553" s="47"/>
      <c r="R553" s="47"/>
      <c r="S553" s="47"/>
      <c r="T553" s="292" t="str">
        <f t="shared" si="54"/>
        <v>トラック・バス</v>
      </c>
      <c r="U553" s="283" t="str">
        <f t="shared" si="55"/>
        <v>軽油</v>
      </c>
      <c r="V553" s="283" t="str">
        <f t="shared" si="56"/>
        <v>3.5 t～</v>
      </c>
      <c r="W553" s="283" t="str">
        <f t="shared" si="57"/>
        <v>H11</v>
      </c>
      <c r="X553" s="284" t="str">
        <f t="shared" si="57"/>
        <v>DV</v>
      </c>
      <c r="Y553" s="271" t="s">
        <v>1766</v>
      </c>
      <c r="Z553" s="283">
        <f t="shared" si="58"/>
        <v>0.17499999999999999</v>
      </c>
      <c r="AA553" s="283">
        <f t="shared" si="58"/>
        <v>1.15E-2</v>
      </c>
      <c r="AB553" s="340">
        <f t="shared" si="58"/>
        <v>2.58</v>
      </c>
      <c r="AD553" s="47"/>
      <c r="AE553" s="47"/>
      <c r="AF553" s="47"/>
      <c r="AG553" s="47"/>
      <c r="AH553" s="47"/>
      <c r="AI553" s="47"/>
      <c r="AN553" s="47" t="s">
        <v>1504</v>
      </c>
      <c r="AO553" s="47"/>
    </row>
    <row r="554" spans="1:41" s="436" customFormat="1" ht="13.75" customHeight="1">
      <c r="A554" t="str">
        <f t="shared" si="59"/>
        <v>貨4軽WV</v>
      </c>
      <c r="B554" t="s">
        <v>2044</v>
      </c>
      <c r="C554" t="s">
        <v>2068</v>
      </c>
      <c r="D554" t="s">
        <v>928</v>
      </c>
      <c r="E554" t="s">
        <v>935</v>
      </c>
      <c r="F554">
        <v>0.17499999999999999</v>
      </c>
      <c r="G554">
        <v>1.15E-2</v>
      </c>
      <c r="H554">
        <v>2.58</v>
      </c>
      <c r="I554" t="s">
        <v>239</v>
      </c>
      <c r="J554"/>
      <c r="K554" s="47"/>
      <c r="L554" s="47"/>
      <c r="M554" s="47"/>
      <c r="N554" s="47"/>
      <c r="O554" s="47"/>
      <c r="P554" s="47"/>
      <c r="Q554" s="47"/>
      <c r="R554" s="47"/>
      <c r="S554" s="47"/>
      <c r="T554" s="292" t="str">
        <f t="shared" si="54"/>
        <v>トラック・バス</v>
      </c>
      <c r="U554" s="283" t="str">
        <f t="shared" si="55"/>
        <v>軽油</v>
      </c>
      <c r="V554" s="283" t="str">
        <f t="shared" si="56"/>
        <v>3.5 t～</v>
      </c>
      <c r="W554" s="283" t="str">
        <f t="shared" si="57"/>
        <v>H11</v>
      </c>
      <c r="X554" s="284" t="str">
        <f t="shared" si="57"/>
        <v>WV</v>
      </c>
      <c r="Y554" s="271" t="s">
        <v>1766</v>
      </c>
      <c r="Z554" s="283">
        <f t="shared" si="58"/>
        <v>0.17499999999999999</v>
      </c>
      <c r="AA554" s="283">
        <f t="shared" si="58"/>
        <v>1.15E-2</v>
      </c>
      <c r="AB554" s="340">
        <f t="shared" si="58"/>
        <v>2.58</v>
      </c>
      <c r="AD554" s="47"/>
      <c r="AE554" s="47"/>
      <c r="AF554" s="47"/>
      <c r="AG554" s="47"/>
      <c r="AH554" s="47"/>
      <c r="AI554" s="47"/>
      <c r="AN554" s="47" t="s">
        <v>1508</v>
      </c>
      <c r="AO554" s="47"/>
    </row>
    <row r="555" spans="1:41">
      <c r="A555" t="str">
        <f t="shared" si="59"/>
        <v>貨4軽DW</v>
      </c>
      <c r="B555" t="s">
        <v>2044</v>
      </c>
      <c r="C555" t="s">
        <v>2068</v>
      </c>
      <c r="D555" t="s">
        <v>928</v>
      </c>
      <c r="E555" t="s">
        <v>937</v>
      </c>
      <c r="F555">
        <v>8.7499999999999994E-2</v>
      </c>
      <c r="G555">
        <v>5.7499999999999999E-3</v>
      </c>
      <c r="H555">
        <v>2.58</v>
      </c>
      <c r="I555" t="s">
        <v>1973</v>
      </c>
      <c r="J555"/>
      <c r="K555" s="436"/>
      <c r="L555" s="436"/>
      <c r="M555" s="436"/>
      <c r="N555" s="436"/>
      <c r="O555" s="436"/>
      <c r="P555" s="436"/>
      <c r="Q555" s="436"/>
      <c r="R555" s="436"/>
      <c r="S555" s="436"/>
      <c r="T555" s="292" t="str">
        <f t="shared" si="54"/>
        <v>トラック・バス</v>
      </c>
      <c r="U555" s="283" t="str">
        <f t="shared" si="55"/>
        <v>軽油</v>
      </c>
      <c r="V555" s="283" t="str">
        <f t="shared" si="56"/>
        <v>3.5 t～</v>
      </c>
      <c r="W555" s="283" t="str">
        <f t="shared" si="57"/>
        <v>H11</v>
      </c>
      <c r="X555" s="284" t="str">
        <f t="shared" si="57"/>
        <v>DW</v>
      </c>
      <c r="Y555" s="271" t="s">
        <v>1767</v>
      </c>
      <c r="Z555" s="283">
        <f t="shared" si="58"/>
        <v>8.7499999999999994E-2</v>
      </c>
      <c r="AA555" s="283">
        <f t="shared" si="58"/>
        <v>5.7499999999999999E-3</v>
      </c>
      <c r="AB555" s="340">
        <f t="shared" si="58"/>
        <v>2.58</v>
      </c>
      <c r="AN555" s="47" t="s">
        <v>1512</v>
      </c>
    </row>
    <row r="556" spans="1:41" ht="13.75" customHeight="1">
      <c r="A556" t="str">
        <f t="shared" si="59"/>
        <v>貨4軽WW</v>
      </c>
      <c r="B556" t="s">
        <v>2044</v>
      </c>
      <c r="C556" t="s">
        <v>2068</v>
      </c>
      <c r="D556" t="s">
        <v>928</v>
      </c>
      <c r="E556" t="s">
        <v>939</v>
      </c>
      <c r="F556">
        <v>8.7499999999999994E-2</v>
      </c>
      <c r="G556">
        <v>5.7499999999999999E-3</v>
      </c>
      <c r="H556">
        <v>2.58</v>
      </c>
      <c r="I556" t="s">
        <v>239</v>
      </c>
      <c r="J556"/>
      <c r="K556" s="436"/>
      <c r="L556" s="436"/>
      <c r="M556" s="436"/>
      <c r="N556" s="436"/>
      <c r="O556" s="436"/>
      <c r="P556" s="436"/>
      <c r="Q556" s="436"/>
      <c r="R556" s="436"/>
      <c r="S556" s="436"/>
      <c r="T556" s="292" t="str">
        <f t="shared" si="54"/>
        <v>トラック・バス</v>
      </c>
      <c r="U556" s="283" t="str">
        <f t="shared" si="55"/>
        <v>軽油</v>
      </c>
      <c r="V556" s="283" t="str">
        <f t="shared" si="56"/>
        <v>3.5 t～</v>
      </c>
      <c r="W556" s="283" t="str">
        <f t="shared" si="57"/>
        <v>H11</v>
      </c>
      <c r="X556" s="284" t="str">
        <f t="shared" si="57"/>
        <v>WW</v>
      </c>
      <c r="Y556" s="271" t="s">
        <v>1767</v>
      </c>
      <c r="Z556" s="283">
        <f t="shared" si="58"/>
        <v>8.7499999999999994E-2</v>
      </c>
      <c r="AA556" s="283">
        <f t="shared" si="58"/>
        <v>5.7499999999999999E-3</v>
      </c>
      <c r="AB556" s="340">
        <f t="shared" si="58"/>
        <v>2.58</v>
      </c>
      <c r="AN556" s="47" t="s">
        <v>695</v>
      </c>
    </row>
    <row r="557" spans="1:41">
      <c r="A557" t="str">
        <f t="shared" si="59"/>
        <v>貨4軽KR</v>
      </c>
      <c r="B557" t="s">
        <v>2044</v>
      </c>
      <c r="C557" t="s">
        <v>2068</v>
      </c>
      <c r="D557" t="s">
        <v>29</v>
      </c>
      <c r="E557" t="s">
        <v>129</v>
      </c>
      <c r="F557">
        <v>0.26</v>
      </c>
      <c r="G557">
        <v>1.7000000000000001E-2</v>
      </c>
      <c r="H557">
        <v>2.58</v>
      </c>
      <c r="I557" t="s">
        <v>1973</v>
      </c>
      <c r="J557"/>
      <c r="K557" s="436"/>
      <c r="L557" s="436"/>
      <c r="M557" s="436"/>
      <c r="N557" s="436"/>
      <c r="O557" s="436"/>
      <c r="P557" s="436"/>
      <c r="Q557" s="436"/>
      <c r="R557" s="436"/>
      <c r="S557" s="436"/>
      <c r="T557" s="292" t="str">
        <f t="shared" si="54"/>
        <v>トラック・バス</v>
      </c>
      <c r="U557" s="283" t="str">
        <f t="shared" si="55"/>
        <v>軽油</v>
      </c>
      <c r="V557" s="283" t="str">
        <f t="shared" si="56"/>
        <v>3.5 t～</v>
      </c>
      <c r="W557" s="283" t="str">
        <f t="shared" si="57"/>
        <v>H15,H16</v>
      </c>
      <c r="X557" s="284" t="str">
        <f t="shared" si="57"/>
        <v>KR</v>
      </c>
      <c r="Y557" s="271"/>
      <c r="Z557" s="283">
        <f t="shared" si="58"/>
        <v>0.26</v>
      </c>
      <c r="AA557" s="283">
        <f t="shared" si="58"/>
        <v>1.7000000000000001E-2</v>
      </c>
      <c r="AB557" s="340">
        <f t="shared" si="58"/>
        <v>2.58</v>
      </c>
      <c r="AN557" s="47" t="s">
        <v>699</v>
      </c>
    </row>
    <row r="558" spans="1:41" ht="13.75" customHeight="1">
      <c r="A558" t="str">
        <f t="shared" si="59"/>
        <v>貨4軽HY</v>
      </c>
      <c r="B558" t="s">
        <v>2044</v>
      </c>
      <c r="C558" t="s">
        <v>2068</v>
      </c>
      <c r="D558" t="s">
        <v>29</v>
      </c>
      <c r="E558" t="s">
        <v>116</v>
      </c>
      <c r="F558">
        <v>0.13</v>
      </c>
      <c r="G558">
        <v>8.5000000000000006E-3</v>
      </c>
      <c r="H558">
        <v>2.58</v>
      </c>
      <c r="I558" t="s">
        <v>239</v>
      </c>
      <c r="J558"/>
      <c r="K558" s="436"/>
      <c r="L558" s="436"/>
      <c r="M558" s="436"/>
      <c r="N558" s="436"/>
      <c r="O558" s="436"/>
      <c r="P558" s="436"/>
      <c r="Q558" s="436"/>
      <c r="R558" s="436"/>
      <c r="S558" s="436"/>
      <c r="T558" s="292" t="str">
        <f t="shared" si="54"/>
        <v>トラック・バス</v>
      </c>
      <c r="U558" s="283" t="str">
        <f t="shared" si="55"/>
        <v>軽油</v>
      </c>
      <c r="V558" s="283" t="str">
        <f t="shared" si="56"/>
        <v>3.5 t～</v>
      </c>
      <c r="W558" s="283" t="str">
        <f t="shared" si="57"/>
        <v>H15,H16</v>
      </c>
      <c r="X558" s="284" t="str">
        <f t="shared" si="57"/>
        <v>HY</v>
      </c>
      <c r="Y558" s="271"/>
      <c r="Z558" s="283">
        <f t="shared" si="58"/>
        <v>0.13</v>
      </c>
      <c r="AA558" s="283">
        <f t="shared" si="58"/>
        <v>8.5000000000000006E-3</v>
      </c>
      <c r="AB558" s="340">
        <f t="shared" si="58"/>
        <v>2.58</v>
      </c>
      <c r="AN558" s="47" t="s">
        <v>703</v>
      </c>
    </row>
    <row r="559" spans="1:41">
      <c r="A559" t="str">
        <f t="shared" si="59"/>
        <v>貨4軽KS</v>
      </c>
      <c r="B559" t="s">
        <v>2044</v>
      </c>
      <c r="C559" t="s">
        <v>2068</v>
      </c>
      <c r="D559" t="s">
        <v>29</v>
      </c>
      <c r="E559" t="s">
        <v>130</v>
      </c>
      <c r="F559">
        <v>0.26</v>
      </c>
      <c r="G559">
        <v>1.7000000000000001E-2</v>
      </c>
      <c r="H559">
        <v>2.58</v>
      </c>
      <c r="I559" t="s">
        <v>1973</v>
      </c>
      <c r="J559"/>
      <c r="K559" s="436"/>
      <c r="L559" s="436"/>
      <c r="M559" s="436"/>
      <c r="N559" s="436"/>
      <c r="O559" s="436"/>
      <c r="P559" s="436"/>
      <c r="Q559" s="436"/>
      <c r="R559" s="436"/>
      <c r="S559" s="436"/>
      <c r="T559" s="292" t="str">
        <f t="shared" si="54"/>
        <v>トラック・バス</v>
      </c>
      <c r="U559" s="283" t="str">
        <f t="shared" si="55"/>
        <v>軽油</v>
      </c>
      <c r="V559" s="283" t="str">
        <f t="shared" si="56"/>
        <v>3.5 t～</v>
      </c>
      <c r="W559" s="283" t="str">
        <f t="shared" si="57"/>
        <v>H15,H16</v>
      </c>
      <c r="X559" s="284" t="str">
        <f t="shared" si="57"/>
        <v>KS</v>
      </c>
      <c r="Y559" s="271"/>
      <c r="Z559" s="283">
        <f t="shared" si="58"/>
        <v>0.26</v>
      </c>
      <c r="AA559" s="283">
        <f t="shared" si="58"/>
        <v>1.7000000000000001E-2</v>
      </c>
      <c r="AB559" s="340">
        <f t="shared" si="58"/>
        <v>2.58</v>
      </c>
      <c r="AN559" s="47" t="s">
        <v>918</v>
      </c>
    </row>
    <row r="560" spans="1:41" ht="13.75" customHeight="1">
      <c r="A560" t="str">
        <f t="shared" si="59"/>
        <v>貨4軽HZ</v>
      </c>
      <c r="B560" t="s">
        <v>2044</v>
      </c>
      <c r="C560" t="s">
        <v>2068</v>
      </c>
      <c r="D560" t="s">
        <v>29</v>
      </c>
      <c r="E560" t="s">
        <v>117</v>
      </c>
      <c r="F560">
        <v>0.13</v>
      </c>
      <c r="G560">
        <v>8.5000000000000006E-3</v>
      </c>
      <c r="H560">
        <v>2.58</v>
      </c>
      <c r="I560" t="s">
        <v>239</v>
      </c>
      <c r="J560"/>
      <c r="K560" s="436"/>
      <c r="L560" s="436"/>
      <c r="M560" s="436"/>
      <c r="N560" s="436"/>
      <c r="O560" s="436"/>
      <c r="P560" s="436"/>
      <c r="Q560" s="436"/>
      <c r="R560" s="436"/>
      <c r="S560" s="436"/>
      <c r="T560" s="292" t="str">
        <f t="shared" si="54"/>
        <v>トラック・バス</v>
      </c>
      <c r="U560" s="283" t="str">
        <f t="shared" si="55"/>
        <v>軽油</v>
      </c>
      <c r="V560" s="283" t="str">
        <f t="shared" si="56"/>
        <v>3.5 t～</v>
      </c>
      <c r="W560" s="283" t="str">
        <f t="shared" si="57"/>
        <v>H15,H16</v>
      </c>
      <c r="X560" s="284" t="str">
        <f t="shared" si="57"/>
        <v>HZ</v>
      </c>
      <c r="Y560" s="271"/>
      <c r="Z560" s="283">
        <f t="shared" si="58"/>
        <v>0.13</v>
      </c>
      <c r="AA560" s="283">
        <f t="shared" si="58"/>
        <v>8.5000000000000006E-3</v>
      </c>
      <c r="AB560" s="340">
        <f t="shared" si="58"/>
        <v>2.58</v>
      </c>
      <c r="AN560" s="47" t="s">
        <v>922</v>
      </c>
    </row>
    <row r="561" spans="1:41">
      <c r="A561" t="str">
        <f t="shared" si="59"/>
        <v>貨4軽TL</v>
      </c>
      <c r="B561" t="s">
        <v>2044</v>
      </c>
      <c r="C561" t="s">
        <v>2068</v>
      </c>
      <c r="D561" t="s">
        <v>29</v>
      </c>
      <c r="E561" t="s">
        <v>157</v>
      </c>
      <c r="F561">
        <v>0.19500000000000001</v>
      </c>
      <c r="G561">
        <v>1.2750000000000001E-2</v>
      </c>
      <c r="H561">
        <v>2.58</v>
      </c>
      <c r="I561" t="s">
        <v>1973</v>
      </c>
      <c r="J561"/>
      <c r="T561" s="292" t="str">
        <f t="shared" si="54"/>
        <v>トラック・バス</v>
      </c>
      <c r="U561" s="283" t="str">
        <f t="shared" si="55"/>
        <v>軽油</v>
      </c>
      <c r="V561" s="283" t="str">
        <f t="shared" si="56"/>
        <v>3.5 t～</v>
      </c>
      <c r="W561" s="283" t="str">
        <f t="shared" si="57"/>
        <v>H15,H16</v>
      </c>
      <c r="X561" s="284" t="str">
        <f t="shared" si="57"/>
        <v>TL</v>
      </c>
      <c r="Y561" s="271" t="s">
        <v>1765</v>
      </c>
      <c r="Z561" s="283">
        <f t="shared" si="58"/>
        <v>0.19500000000000001</v>
      </c>
      <c r="AA561" s="283">
        <f t="shared" si="58"/>
        <v>1.2750000000000001E-2</v>
      </c>
      <c r="AB561" s="340">
        <f t="shared" si="58"/>
        <v>2.58</v>
      </c>
      <c r="AN561" s="436" t="s">
        <v>926</v>
      </c>
    </row>
    <row r="562" spans="1:41" ht="13.75" customHeight="1">
      <c r="A562" t="str">
        <f t="shared" si="59"/>
        <v>貨4軽XL</v>
      </c>
      <c r="B562" t="s">
        <v>2044</v>
      </c>
      <c r="C562" t="s">
        <v>2068</v>
      </c>
      <c r="D562" t="s">
        <v>29</v>
      </c>
      <c r="E562" t="s">
        <v>186</v>
      </c>
      <c r="F562">
        <v>0.19500000000000001</v>
      </c>
      <c r="G562">
        <v>1.2750000000000001E-2</v>
      </c>
      <c r="H562">
        <v>2.58</v>
      </c>
      <c r="I562" t="s">
        <v>239</v>
      </c>
      <c r="J562"/>
      <c r="T562" s="292" t="str">
        <f t="shared" si="54"/>
        <v>トラック・バス</v>
      </c>
      <c r="U562" s="283" t="str">
        <f t="shared" si="55"/>
        <v>軽油</v>
      </c>
      <c r="V562" s="283" t="str">
        <f t="shared" si="56"/>
        <v>3.5 t～</v>
      </c>
      <c r="W562" s="283" t="str">
        <f t="shared" si="57"/>
        <v>H15,H16</v>
      </c>
      <c r="X562" s="284" t="str">
        <f t="shared" si="57"/>
        <v>XL</v>
      </c>
      <c r="Y562" s="271" t="s">
        <v>1765</v>
      </c>
      <c r="Z562" s="283">
        <f t="shared" si="58"/>
        <v>0.19500000000000001</v>
      </c>
      <c r="AA562" s="283">
        <f t="shared" si="58"/>
        <v>1.2750000000000001E-2</v>
      </c>
      <c r="AB562" s="340">
        <f t="shared" si="58"/>
        <v>2.58</v>
      </c>
      <c r="AN562" s="436" t="s">
        <v>931</v>
      </c>
    </row>
    <row r="563" spans="1:41">
      <c r="A563" t="str">
        <f t="shared" si="59"/>
        <v>貨4軽LL</v>
      </c>
      <c r="B563" t="s">
        <v>2044</v>
      </c>
      <c r="C563" t="s">
        <v>2068</v>
      </c>
      <c r="D563" t="s">
        <v>29</v>
      </c>
      <c r="E563" t="s">
        <v>134</v>
      </c>
      <c r="F563">
        <v>0.13</v>
      </c>
      <c r="G563">
        <v>8.5000000000000006E-3</v>
      </c>
      <c r="H563">
        <v>2.58</v>
      </c>
      <c r="I563" t="s">
        <v>1973</v>
      </c>
      <c r="J563"/>
      <c r="T563" s="292" t="str">
        <f t="shared" si="54"/>
        <v>トラック・バス</v>
      </c>
      <c r="U563" s="283" t="str">
        <f t="shared" si="55"/>
        <v>軽油</v>
      </c>
      <c r="V563" s="283" t="str">
        <f t="shared" si="56"/>
        <v>3.5 t～</v>
      </c>
      <c r="W563" s="283" t="str">
        <f t="shared" si="57"/>
        <v>H15,H16</v>
      </c>
      <c r="X563" s="284" t="str">
        <f t="shared" si="57"/>
        <v>LL</v>
      </c>
      <c r="Y563" s="271" t="s">
        <v>1766</v>
      </c>
      <c r="Z563" s="283">
        <f t="shared" si="58"/>
        <v>0.13</v>
      </c>
      <c r="AA563" s="283">
        <f t="shared" si="58"/>
        <v>8.5000000000000006E-3</v>
      </c>
      <c r="AB563" s="340">
        <f t="shared" si="58"/>
        <v>2.58</v>
      </c>
      <c r="AN563" s="436" t="s">
        <v>935</v>
      </c>
    </row>
    <row r="564" spans="1:41" ht="13.75" customHeight="1">
      <c r="A564" t="str">
        <f t="shared" si="59"/>
        <v>貨4軽YL</v>
      </c>
      <c r="B564" t="s">
        <v>2044</v>
      </c>
      <c r="C564" t="s">
        <v>2068</v>
      </c>
      <c r="D564" t="s">
        <v>29</v>
      </c>
      <c r="E564" t="s">
        <v>192</v>
      </c>
      <c r="F564">
        <v>0.13</v>
      </c>
      <c r="G564">
        <v>8.5000000000000006E-3</v>
      </c>
      <c r="H564">
        <v>2.58</v>
      </c>
      <c r="I564" t="s">
        <v>239</v>
      </c>
      <c r="J564"/>
      <c r="T564" s="292" t="str">
        <f t="shared" si="54"/>
        <v>トラック・バス</v>
      </c>
      <c r="U564" s="283" t="str">
        <f t="shared" si="55"/>
        <v>軽油</v>
      </c>
      <c r="V564" s="283" t="str">
        <f t="shared" si="56"/>
        <v>3.5 t～</v>
      </c>
      <c r="W564" s="283" t="str">
        <f t="shared" si="57"/>
        <v>H15,H16</v>
      </c>
      <c r="X564" s="284" t="str">
        <f t="shared" si="57"/>
        <v>YL</v>
      </c>
      <c r="Y564" s="271" t="s">
        <v>1766</v>
      </c>
      <c r="Z564" s="283">
        <f t="shared" si="58"/>
        <v>0.13</v>
      </c>
      <c r="AA564" s="283">
        <f t="shared" si="58"/>
        <v>8.5000000000000006E-3</v>
      </c>
      <c r="AB564" s="340">
        <f t="shared" si="58"/>
        <v>2.58</v>
      </c>
      <c r="AD564" s="266"/>
      <c r="AE564" s="266"/>
      <c r="AF564" s="266"/>
      <c r="AG564" s="266"/>
      <c r="AH564" s="266"/>
      <c r="AI564" s="266"/>
      <c r="AN564" s="47" t="s">
        <v>939</v>
      </c>
    </row>
    <row r="565" spans="1:41">
      <c r="A565" t="str">
        <f t="shared" si="59"/>
        <v>貨4軽UL</v>
      </c>
      <c r="B565" t="s">
        <v>2044</v>
      </c>
      <c r="C565" t="s">
        <v>2068</v>
      </c>
      <c r="D565" t="s">
        <v>29</v>
      </c>
      <c r="E565" t="s">
        <v>163</v>
      </c>
      <c r="F565">
        <v>6.5000000000000002E-2</v>
      </c>
      <c r="G565">
        <v>4.2500000000000003E-3</v>
      </c>
      <c r="H565">
        <v>2.58</v>
      </c>
      <c r="I565" t="s">
        <v>1973</v>
      </c>
      <c r="J565"/>
      <c r="T565" s="292" t="str">
        <f t="shared" si="54"/>
        <v>トラック・バス</v>
      </c>
      <c r="U565" s="283" t="str">
        <f t="shared" si="55"/>
        <v>軽油</v>
      </c>
      <c r="V565" s="283" t="str">
        <f t="shared" si="56"/>
        <v>3.5 t～</v>
      </c>
      <c r="W565" s="283" t="str">
        <f t="shared" si="57"/>
        <v>H15,H16</v>
      </c>
      <c r="X565" s="284" t="str">
        <f t="shared" si="57"/>
        <v>UL</v>
      </c>
      <c r="Y565" s="271" t="s">
        <v>1767</v>
      </c>
      <c r="Z565" s="283">
        <f t="shared" si="58"/>
        <v>6.5000000000000002E-2</v>
      </c>
      <c r="AA565" s="283">
        <f t="shared" si="58"/>
        <v>4.2500000000000003E-3</v>
      </c>
      <c r="AB565" s="340">
        <f t="shared" si="58"/>
        <v>2.58</v>
      </c>
      <c r="AD565" s="266"/>
      <c r="AE565" s="266"/>
      <c r="AF565" s="266"/>
      <c r="AG565" s="266"/>
      <c r="AH565" s="266"/>
      <c r="AI565" s="266"/>
      <c r="AN565" s="47" t="s">
        <v>182</v>
      </c>
    </row>
    <row r="566" spans="1:41" s="266" customFormat="1">
      <c r="A566" t="str">
        <f t="shared" si="59"/>
        <v>貨4軽ZL</v>
      </c>
      <c r="B566" t="s">
        <v>2044</v>
      </c>
      <c r="C566" t="s">
        <v>2068</v>
      </c>
      <c r="D566" t="s">
        <v>29</v>
      </c>
      <c r="E566" t="s">
        <v>197</v>
      </c>
      <c r="F566">
        <v>6.5000000000000002E-2</v>
      </c>
      <c r="G566">
        <v>4.2500000000000003E-3</v>
      </c>
      <c r="H566">
        <v>2.58</v>
      </c>
      <c r="I566" t="s">
        <v>239</v>
      </c>
      <c r="J566"/>
      <c r="K566" s="47"/>
      <c r="L566" s="47"/>
      <c r="M566" s="47"/>
      <c r="N566" s="47"/>
      <c r="O566" s="47"/>
      <c r="P566" s="47"/>
      <c r="Q566" s="47"/>
      <c r="R566" s="47"/>
      <c r="S566" s="47"/>
      <c r="T566" s="292" t="str">
        <f t="shared" si="54"/>
        <v>トラック・バス</v>
      </c>
      <c r="U566" s="283" t="str">
        <f t="shared" si="55"/>
        <v>軽油</v>
      </c>
      <c r="V566" s="283" t="str">
        <f t="shared" si="56"/>
        <v>3.5 t～</v>
      </c>
      <c r="W566" s="283" t="str">
        <f t="shared" si="57"/>
        <v>H15,H16</v>
      </c>
      <c r="X566" s="284" t="str">
        <f t="shared" si="57"/>
        <v>ZL</v>
      </c>
      <c r="Y566" s="271" t="s">
        <v>1767</v>
      </c>
      <c r="Z566" s="283">
        <f t="shared" si="58"/>
        <v>6.5000000000000002E-2</v>
      </c>
      <c r="AA566" s="283">
        <f t="shared" si="58"/>
        <v>4.2500000000000003E-3</v>
      </c>
      <c r="AB566" s="340">
        <f t="shared" si="58"/>
        <v>2.58</v>
      </c>
      <c r="AD566" s="436"/>
      <c r="AE566" s="436"/>
      <c r="AF566" s="436"/>
      <c r="AG566" s="436"/>
      <c r="AH566" s="436"/>
      <c r="AI566" s="436"/>
      <c r="AN566" s="47" t="s">
        <v>93</v>
      </c>
      <c r="AO566" s="47"/>
    </row>
    <row r="567" spans="1:41" s="266" customFormat="1">
      <c r="A567" t="str">
        <f t="shared" si="59"/>
        <v>貨4軽PA</v>
      </c>
      <c r="B567" t="s">
        <v>2044</v>
      </c>
      <c r="C567" t="s">
        <v>2068</v>
      </c>
      <c r="D567" t="s">
        <v>29</v>
      </c>
      <c r="E567" t="s">
        <v>138</v>
      </c>
      <c r="F567">
        <v>0.26</v>
      </c>
      <c r="G567">
        <v>4.2500000000000003E-3</v>
      </c>
      <c r="H567">
        <v>2.58</v>
      </c>
      <c r="I567" t="s">
        <v>1973</v>
      </c>
      <c r="J567"/>
      <c r="K567" s="47"/>
      <c r="L567" s="47"/>
      <c r="M567" s="47"/>
      <c r="N567" s="47"/>
      <c r="O567" s="47"/>
      <c r="P567" s="47"/>
      <c r="Q567" s="47"/>
      <c r="R567" s="47"/>
      <c r="S567" s="47"/>
      <c r="T567" s="292" t="str">
        <f t="shared" si="54"/>
        <v>トラック・バス</v>
      </c>
      <c r="U567" s="283" t="str">
        <f t="shared" si="55"/>
        <v>軽油</v>
      </c>
      <c r="V567" s="283" t="str">
        <f t="shared" si="56"/>
        <v>3.5 t～</v>
      </c>
      <c r="W567" s="283" t="str">
        <f t="shared" si="57"/>
        <v>H15,H16</v>
      </c>
      <c r="X567" s="284" t="str">
        <f t="shared" si="57"/>
        <v>PA</v>
      </c>
      <c r="Y567" s="271" t="s">
        <v>2357</v>
      </c>
      <c r="Z567" s="283">
        <f t="shared" si="58"/>
        <v>0.26</v>
      </c>
      <c r="AA567" s="283">
        <f t="shared" si="58"/>
        <v>4.2500000000000003E-3</v>
      </c>
      <c r="AB567" s="340">
        <f t="shared" si="58"/>
        <v>2.58</v>
      </c>
      <c r="AD567" s="436"/>
      <c r="AE567" s="436"/>
      <c r="AF567" s="436"/>
      <c r="AG567" s="436"/>
      <c r="AH567" s="436"/>
      <c r="AI567" s="436"/>
      <c r="AN567" s="47" t="s">
        <v>94</v>
      </c>
      <c r="AO567" s="47"/>
    </row>
    <row r="568" spans="1:41" s="436" customFormat="1">
      <c r="A568" t="str">
        <f t="shared" si="59"/>
        <v>貨4軽VA</v>
      </c>
      <c r="B568" t="s">
        <v>2044</v>
      </c>
      <c r="C568" t="s">
        <v>2068</v>
      </c>
      <c r="D568" t="s">
        <v>29</v>
      </c>
      <c r="E568" t="s">
        <v>165</v>
      </c>
      <c r="F568">
        <v>0.13</v>
      </c>
      <c r="G568">
        <v>4.2500000000000003E-3</v>
      </c>
      <c r="H568">
        <v>2.58</v>
      </c>
      <c r="I568" t="s">
        <v>239</v>
      </c>
      <c r="J568"/>
      <c r="K568" s="47"/>
      <c r="L568" s="47"/>
      <c r="M568" s="47"/>
      <c r="N568" s="47"/>
      <c r="O568" s="47"/>
      <c r="P568" s="47"/>
      <c r="Q568" s="47"/>
      <c r="R568" s="47"/>
      <c r="S568" s="47"/>
      <c r="T568" s="292" t="str">
        <f t="shared" si="54"/>
        <v>トラック・バス</v>
      </c>
      <c r="U568" s="283" t="str">
        <f t="shared" si="55"/>
        <v>軽油</v>
      </c>
      <c r="V568" s="283" t="str">
        <f t="shared" si="56"/>
        <v>3.5 t～</v>
      </c>
      <c r="W568" s="283" t="str">
        <f t="shared" si="57"/>
        <v>H15,H16</v>
      </c>
      <c r="X568" s="284" t="str">
        <f t="shared" si="57"/>
        <v>VA</v>
      </c>
      <c r="Y568" s="271" t="s">
        <v>2357</v>
      </c>
      <c r="Z568" s="283">
        <f t="shared" si="58"/>
        <v>0.13</v>
      </c>
      <c r="AA568" s="283">
        <f t="shared" si="58"/>
        <v>4.2500000000000003E-3</v>
      </c>
      <c r="AB568" s="340">
        <f t="shared" si="58"/>
        <v>2.58</v>
      </c>
      <c r="AN568" s="436" t="s">
        <v>95</v>
      </c>
      <c r="AO568" s="47"/>
    </row>
    <row r="569" spans="1:41" s="436" customFormat="1">
      <c r="A569" t="str">
        <f t="shared" si="59"/>
        <v>貨4軽PB</v>
      </c>
      <c r="B569" t="s">
        <v>2044</v>
      </c>
      <c r="C569" t="s">
        <v>2068</v>
      </c>
      <c r="D569" t="s">
        <v>29</v>
      </c>
      <c r="E569" t="s">
        <v>139</v>
      </c>
      <c r="F569">
        <v>0.26</v>
      </c>
      <c r="G569">
        <v>2.5500000000000002E-3</v>
      </c>
      <c r="H569">
        <v>2.58</v>
      </c>
      <c r="I569" t="s">
        <v>1973</v>
      </c>
      <c r="J569"/>
      <c r="K569" s="47"/>
      <c r="L569" s="47"/>
      <c r="M569" s="47"/>
      <c r="N569" s="47"/>
      <c r="O569" s="47"/>
      <c r="P569" s="47"/>
      <c r="Q569" s="47"/>
      <c r="R569" s="47"/>
      <c r="S569" s="47"/>
      <c r="T569" s="292" t="str">
        <f t="shared" si="54"/>
        <v>トラック・バス</v>
      </c>
      <c r="U569" s="283" t="str">
        <f t="shared" si="55"/>
        <v>軽油</v>
      </c>
      <c r="V569" s="283" t="str">
        <f t="shared" si="56"/>
        <v>3.5 t～</v>
      </c>
      <c r="W569" s="283" t="str">
        <f t="shared" si="57"/>
        <v>H15,H16</v>
      </c>
      <c r="X569" s="284" t="str">
        <f t="shared" si="57"/>
        <v>PB</v>
      </c>
      <c r="Y569" s="271" t="s">
        <v>2358</v>
      </c>
      <c r="Z569" s="283">
        <f t="shared" si="58"/>
        <v>0.26</v>
      </c>
      <c r="AA569" s="283">
        <f t="shared" si="58"/>
        <v>2.5500000000000002E-3</v>
      </c>
      <c r="AB569" s="340">
        <f t="shared" si="58"/>
        <v>2.58</v>
      </c>
      <c r="AN569" s="436" t="s">
        <v>96</v>
      </c>
      <c r="AO569" s="47"/>
    </row>
    <row r="570" spans="1:41" s="436" customFormat="1">
      <c r="A570" t="str">
        <f t="shared" si="59"/>
        <v>貨4軽VB</v>
      </c>
      <c r="B570" t="s">
        <v>2044</v>
      </c>
      <c r="C570" t="s">
        <v>2068</v>
      </c>
      <c r="D570" t="s">
        <v>29</v>
      </c>
      <c r="E570" t="s">
        <v>166</v>
      </c>
      <c r="F570">
        <v>0.13</v>
      </c>
      <c r="G570">
        <v>2.5500000000000002E-3</v>
      </c>
      <c r="H570">
        <v>2.58</v>
      </c>
      <c r="I570" t="s">
        <v>239</v>
      </c>
      <c r="J570"/>
      <c r="K570" s="47"/>
      <c r="L570" s="47"/>
      <c r="M570" s="47"/>
      <c r="N570" s="47"/>
      <c r="O570" s="47"/>
      <c r="P570" s="47"/>
      <c r="Q570" s="47"/>
      <c r="R570" s="47"/>
      <c r="S570" s="47"/>
      <c r="T570" s="292" t="str">
        <f t="shared" si="54"/>
        <v>トラック・バス</v>
      </c>
      <c r="U570" s="283" t="str">
        <f t="shared" si="55"/>
        <v>軽油</v>
      </c>
      <c r="V570" s="283" t="str">
        <f t="shared" si="56"/>
        <v>3.5 t～</v>
      </c>
      <c r="W570" s="283" t="str">
        <f t="shared" si="57"/>
        <v>H15,H16</v>
      </c>
      <c r="X570" s="284" t="str">
        <f t="shared" si="57"/>
        <v>VB</v>
      </c>
      <c r="Y570" s="271" t="s">
        <v>2358</v>
      </c>
      <c r="Z570" s="283">
        <f t="shared" si="58"/>
        <v>0.13</v>
      </c>
      <c r="AA570" s="283">
        <f t="shared" si="58"/>
        <v>2.5500000000000002E-3</v>
      </c>
      <c r="AB570" s="340">
        <f t="shared" si="58"/>
        <v>2.58</v>
      </c>
      <c r="AN570" s="47" t="s">
        <v>1520</v>
      </c>
      <c r="AO570" s="47"/>
    </row>
    <row r="571" spans="1:41" s="436" customFormat="1" ht="13.4" customHeight="1">
      <c r="A571" t="str">
        <f t="shared" si="59"/>
        <v>貨4軽PC</v>
      </c>
      <c r="B571" t="s">
        <v>2044</v>
      </c>
      <c r="C571" t="s">
        <v>2068</v>
      </c>
      <c r="D571" t="s">
        <v>29</v>
      </c>
      <c r="E571" t="s">
        <v>140</v>
      </c>
      <c r="F571">
        <v>0.19500000000000001</v>
      </c>
      <c r="G571">
        <v>4.2500000000000003E-3</v>
      </c>
      <c r="H571">
        <v>2.58</v>
      </c>
      <c r="I571" t="s">
        <v>1973</v>
      </c>
      <c r="J571"/>
      <c r="K571" s="47"/>
      <c r="L571" s="47"/>
      <c r="M571" s="47"/>
      <c r="N571" s="47"/>
      <c r="O571" s="47"/>
      <c r="P571" s="47"/>
      <c r="Q571" s="47"/>
      <c r="R571" s="47"/>
      <c r="S571" s="47"/>
      <c r="T571" s="292" t="str">
        <f t="shared" si="54"/>
        <v>トラック・バス</v>
      </c>
      <c r="U571" s="283" t="str">
        <f t="shared" si="55"/>
        <v>軽油</v>
      </c>
      <c r="V571" s="283" t="str">
        <f t="shared" si="56"/>
        <v>3.5 t～</v>
      </c>
      <c r="W571" s="283" t="str">
        <f t="shared" si="57"/>
        <v>H15,H16</v>
      </c>
      <c r="X571" s="284" t="str">
        <f t="shared" si="57"/>
        <v>PC</v>
      </c>
      <c r="Y571" s="932" t="s">
        <v>2255</v>
      </c>
      <c r="Z571" s="283">
        <f t="shared" si="58"/>
        <v>0.19500000000000001</v>
      </c>
      <c r="AA571" s="283">
        <f t="shared" si="58"/>
        <v>4.2500000000000003E-3</v>
      </c>
      <c r="AB571" s="340">
        <f t="shared" si="58"/>
        <v>2.58</v>
      </c>
      <c r="AN571" s="47" t="s">
        <v>1524</v>
      </c>
      <c r="AO571" s="47"/>
    </row>
    <row r="572" spans="1:41" s="436" customFormat="1">
      <c r="A572" t="str">
        <f t="shared" si="59"/>
        <v>貨4軽VC</v>
      </c>
      <c r="B572" t="s">
        <v>2044</v>
      </c>
      <c r="C572" t="s">
        <v>2068</v>
      </c>
      <c r="D572" t="s">
        <v>29</v>
      </c>
      <c r="E572" t="s">
        <v>167</v>
      </c>
      <c r="F572">
        <v>0.19500000000000001</v>
      </c>
      <c r="G572">
        <v>4.2500000000000003E-3</v>
      </c>
      <c r="H572">
        <v>2.58</v>
      </c>
      <c r="I572" t="s">
        <v>239</v>
      </c>
      <c r="J572"/>
      <c r="K572" s="266"/>
      <c r="L572" s="266"/>
      <c r="M572" s="266"/>
      <c r="N572" s="266"/>
      <c r="O572" s="266"/>
      <c r="P572" s="266"/>
      <c r="Q572" s="266"/>
      <c r="R572" s="266"/>
      <c r="S572" s="266"/>
      <c r="T572" s="292" t="str">
        <f t="shared" si="54"/>
        <v>トラック・バス</v>
      </c>
      <c r="U572" s="283" t="str">
        <f t="shared" si="55"/>
        <v>軽油</v>
      </c>
      <c r="V572" s="283" t="str">
        <f t="shared" si="56"/>
        <v>3.5 t～</v>
      </c>
      <c r="W572" s="283" t="str">
        <f t="shared" si="57"/>
        <v>H15,H16</v>
      </c>
      <c r="X572" s="284" t="str">
        <f t="shared" si="57"/>
        <v>VC</v>
      </c>
      <c r="Y572" s="933"/>
      <c r="Z572" s="283">
        <f t="shared" si="58"/>
        <v>0.19500000000000001</v>
      </c>
      <c r="AA572" s="283">
        <f t="shared" si="58"/>
        <v>4.2500000000000003E-3</v>
      </c>
      <c r="AB572" s="340">
        <f t="shared" si="58"/>
        <v>2.58</v>
      </c>
      <c r="AD572" s="47"/>
      <c r="AE572" s="47"/>
      <c r="AF572" s="47"/>
      <c r="AG572" s="47"/>
      <c r="AH572" s="47"/>
      <c r="AI572" s="47"/>
      <c r="AN572" s="47" t="s">
        <v>183</v>
      </c>
      <c r="AO572" s="47"/>
    </row>
    <row r="573" spans="1:41" s="436" customFormat="1">
      <c r="A573" t="str">
        <f t="shared" si="59"/>
        <v>貨4軽PD</v>
      </c>
      <c r="B573" t="s">
        <v>2044</v>
      </c>
      <c r="C573" t="s">
        <v>2068</v>
      </c>
      <c r="D573" t="s">
        <v>29</v>
      </c>
      <c r="E573" t="s">
        <v>141</v>
      </c>
      <c r="F573">
        <v>0.19500000000000001</v>
      </c>
      <c r="G573">
        <v>2.5500000000000002E-3</v>
      </c>
      <c r="H573">
        <v>2.58</v>
      </c>
      <c r="I573" t="s">
        <v>1973</v>
      </c>
      <c r="J573"/>
      <c r="K573" s="266"/>
      <c r="L573" s="266"/>
      <c r="M573" s="266"/>
      <c r="N573" s="266"/>
      <c r="O573" s="266"/>
      <c r="P573" s="266"/>
      <c r="Q573" s="266"/>
      <c r="R573" s="266"/>
      <c r="S573" s="266"/>
      <c r="T573" s="292" t="str">
        <f t="shared" si="54"/>
        <v>トラック・バス</v>
      </c>
      <c r="U573" s="283" t="str">
        <f t="shared" si="55"/>
        <v>軽油</v>
      </c>
      <c r="V573" s="283" t="str">
        <f t="shared" si="56"/>
        <v>3.5 t～</v>
      </c>
      <c r="W573" s="283" t="str">
        <f t="shared" si="57"/>
        <v>H15,H16</v>
      </c>
      <c r="X573" s="284" t="str">
        <f t="shared" si="57"/>
        <v>PD</v>
      </c>
      <c r="Y573" s="932" t="s">
        <v>2256</v>
      </c>
      <c r="Z573" s="283">
        <f t="shared" si="58"/>
        <v>0.19500000000000001</v>
      </c>
      <c r="AA573" s="283">
        <f t="shared" si="58"/>
        <v>2.5500000000000002E-3</v>
      </c>
      <c r="AB573" s="340">
        <f t="shared" si="58"/>
        <v>2.58</v>
      </c>
      <c r="AD573" s="47"/>
      <c r="AE573" s="47"/>
      <c r="AF573" s="47"/>
      <c r="AG573" s="47"/>
      <c r="AH573" s="47"/>
      <c r="AI573" s="47"/>
      <c r="AN573" s="47" t="s">
        <v>184</v>
      </c>
      <c r="AO573" s="47"/>
    </row>
    <row r="574" spans="1:41">
      <c r="A574" t="str">
        <f t="shared" si="59"/>
        <v>貨4軽VD</v>
      </c>
      <c r="B574" t="s">
        <v>2044</v>
      </c>
      <c r="C574" t="s">
        <v>2068</v>
      </c>
      <c r="D574" t="s">
        <v>29</v>
      </c>
      <c r="E574" t="s">
        <v>168</v>
      </c>
      <c r="F574">
        <v>0.19500000000000001</v>
      </c>
      <c r="G574">
        <v>2.5500000000000002E-3</v>
      </c>
      <c r="H574">
        <v>2.58</v>
      </c>
      <c r="I574" t="s">
        <v>239</v>
      </c>
      <c r="J574"/>
      <c r="K574" s="436"/>
      <c r="L574" s="436"/>
      <c r="M574" s="436"/>
      <c r="N574" s="436"/>
      <c r="O574" s="436"/>
      <c r="P574" s="436"/>
      <c r="Q574" s="436"/>
      <c r="R574" s="436"/>
      <c r="S574" s="436"/>
      <c r="T574" s="292" t="str">
        <f t="shared" si="54"/>
        <v>トラック・バス</v>
      </c>
      <c r="U574" s="283" t="str">
        <f t="shared" si="55"/>
        <v>軽油</v>
      </c>
      <c r="V574" s="283" t="str">
        <f t="shared" si="56"/>
        <v>3.5 t～</v>
      </c>
      <c r="W574" s="283" t="str">
        <f t="shared" si="57"/>
        <v>H15,H16</v>
      </c>
      <c r="X574" s="284" t="str">
        <f t="shared" si="57"/>
        <v>VD</v>
      </c>
      <c r="Y574" s="933"/>
      <c r="Z574" s="283">
        <f t="shared" si="58"/>
        <v>0.19500000000000001</v>
      </c>
      <c r="AA574" s="283">
        <f t="shared" si="58"/>
        <v>2.5500000000000002E-3</v>
      </c>
      <c r="AB574" s="340">
        <f t="shared" si="58"/>
        <v>2.58</v>
      </c>
      <c r="AN574" s="47" t="s">
        <v>185</v>
      </c>
    </row>
    <row r="575" spans="1:41">
      <c r="A575" t="str">
        <f t="shared" si="59"/>
        <v>貨4軽PE</v>
      </c>
      <c r="B575" t="s">
        <v>2044</v>
      </c>
      <c r="C575" t="s">
        <v>2068</v>
      </c>
      <c r="D575" t="s">
        <v>29</v>
      </c>
      <c r="E575" t="s">
        <v>142</v>
      </c>
      <c r="F575">
        <v>0.13</v>
      </c>
      <c r="G575">
        <v>4.2500000000000003E-3</v>
      </c>
      <c r="H575">
        <v>2.58</v>
      </c>
      <c r="I575" t="s">
        <v>1973</v>
      </c>
      <c r="J575"/>
      <c r="K575" s="436"/>
      <c r="L575" s="436"/>
      <c r="M575" s="436"/>
      <c r="N575" s="436"/>
      <c r="O575" s="436"/>
      <c r="P575" s="436"/>
      <c r="Q575" s="436"/>
      <c r="R575" s="436"/>
      <c r="S575" s="436"/>
      <c r="T575" s="292" t="str">
        <f t="shared" si="54"/>
        <v>トラック・バス</v>
      </c>
      <c r="U575" s="283" t="str">
        <f t="shared" si="55"/>
        <v>軽油</v>
      </c>
      <c r="V575" s="283" t="str">
        <f t="shared" si="56"/>
        <v>3.5 t～</v>
      </c>
      <c r="W575" s="283" t="str">
        <f t="shared" si="57"/>
        <v>H15,H16</v>
      </c>
      <c r="X575" s="284" t="str">
        <f t="shared" si="57"/>
        <v>PE</v>
      </c>
      <c r="Y575" s="932" t="s">
        <v>2257</v>
      </c>
      <c r="Z575" s="283">
        <f t="shared" si="58"/>
        <v>0.13</v>
      </c>
      <c r="AA575" s="283">
        <f t="shared" si="58"/>
        <v>4.2500000000000003E-3</v>
      </c>
      <c r="AB575" s="340">
        <f t="shared" si="58"/>
        <v>2.58</v>
      </c>
      <c r="AN575" s="47" t="s">
        <v>186</v>
      </c>
    </row>
    <row r="576" spans="1:41">
      <c r="A576" t="str">
        <f t="shared" si="59"/>
        <v>貨4軽VE</v>
      </c>
      <c r="B576" t="s">
        <v>2044</v>
      </c>
      <c r="C576" t="s">
        <v>2068</v>
      </c>
      <c r="D576" t="s">
        <v>29</v>
      </c>
      <c r="E576" t="s">
        <v>169</v>
      </c>
      <c r="F576">
        <v>0.13</v>
      </c>
      <c r="G576">
        <v>4.2500000000000003E-3</v>
      </c>
      <c r="H576">
        <v>2.58</v>
      </c>
      <c r="I576" t="s">
        <v>239</v>
      </c>
      <c r="J576"/>
      <c r="K576" s="436"/>
      <c r="L576" s="436"/>
      <c r="M576" s="436"/>
      <c r="N576" s="436"/>
      <c r="O576" s="436"/>
      <c r="P576" s="436"/>
      <c r="Q576" s="436"/>
      <c r="R576" s="436"/>
      <c r="S576" s="436"/>
      <c r="T576" s="292" t="str">
        <f t="shared" si="54"/>
        <v>トラック・バス</v>
      </c>
      <c r="U576" s="283" t="str">
        <f t="shared" si="55"/>
        <v>軽油</v>
      </c>
      <c r="V576" s="283" t="str">
        <f t="shared" si="56"/>
        <v>3.5 t～</v>
      </c>
      <c r="W576" s="283" t="str">
        <f t="shared" si="57"/>
        <v>H15,H16</v>
      </c>
      <c r="X576" s="284" t="str">
        <f t="shared" si="57"/>
        <v>VE</v>
      </c>
      <c r="Y576" s="933"/>
      <c r="Z576" s="283">
        <f t="shared" si="58"/>
        <v>0.13</v>
      </c>
      <c r="AA576" s="283">
        <f t="shared" si="58"/>
        <v>4.2500000000000003E-3</v>
      </c>
      <c r="AB576" s="340">
        <f t="shared" si="58"/>
        <v>2.58</v>
      </c>
      <c r="AN576" s="47" t="s">
        <v>187</v>
      </c>
    </row>
    <row r="577" spans="1:41">
      <c r="A577" t="str">
        <f t="shared" si="59"/>
        <v>貨4軽PF</v>
      </c>
      <c r="B577" t="s">
        <v>2044</v>
      </c>
      <c r="C577" t="s">
        <v>2068</v>
      </c>
      <c r="D577" t="s">
        <v>29</v>
      </c>
      <c r="E577" t="s">
        <v>143</v>
      </c>
      <c r="F577">
        <v>0.13</v>
      </c>
      <c r="G577">
        <v>2.5500000000000002E-3</v>
      </c>
      <c r="H577">
        <v>2.58</v>
      </c>
      <c r="I577" t="s">
        <v>1973</v>
      </c>
      <c r="J577"/>
      <c r="K577" s="436"/>
      <c r="L577" s="436"/>
      <c r="M577" s="436"/>
      <c r="N577" s="436"/>
      <c r="O577" s="436"/>
      <c r="P577" s="436"/>
      <c r="Q577" s="436"/>
      <c r="R577" s="436"/>
      <c r="S577" s="436"/>
      <c r="T577" s="292" t="str">
        <f t="shared" si="54"/>
        <v>トラック・バス</v>
      </c>
      <c r="U577" s="283" t="str">
        <f t="shared" si="55"/>
        <v>軽油</v>
      </c>
      <c r="V577" s="283" t="str">
        <f t="shared" si="56"/>
        <v>3.5 t～</v>
      </c>
      <c r="W577" s="283" t="str">
        <f t="shared" si="57"/>
        <v>H15,H16</v>
      </c>
      <c r="X577" s="284" t="str">
        <f t="shared" si="57"/>
        <v>PF</v>
      </c>
      <c r="Y577" s="932" t="s">
        <v>2258</v>
      </c>
      <c r="Z577" s="283">
        <f t="shared" si="58"/>
        <v>0.13</v>
      </c>
      <c r="AA577" s="283">
        <f t="shared" si="58"/>
        <v>2.5500000000000002E-3</v>
      </c>
      <c r="AB577" s="340">
        <f t="shared" si="58"/>
        <v>2.58</v>
      </c>
      <c r="AN577" s="47" t="s">
        <v>188</v>
      </c>
    </row>
    <row r="578" spans="1:41">
      <c r="A578" t="str">
        <f t="shared" si="59"/>
        <v>貨4軽VF</v>
      </c>
      <c r="B578" t="s">
        <v>2044</v>
      </c>
      <c r="C578" t="s">
        <v>2068</v>
      </c>
      <c r="D578" t="s">
        <v>29</v>
      </c>
      <c r="E578" t="s">
        <v>170</v>
      </c>
      <c r="F578">
        <v>0.13</v>
      </c>
      <c r="G578">
        <v>2.5500000000000002E-3</v>
      </c>
      <c r="H578">
        <v>2.58</v>
      </c>
      <c r="I578" t="s">
        <v>239</v>
      </c>
      <c r="J578"/>
      <c r="K578" s="436"/>
      <c r="L578" s="436"/>
      <c r="M578" s="436"/>
      <c r="N578" s="436"/>
      <c r="O578" s="436"/>
      <c r="P578" s="436"/>
      <c r="Q578" s="436"/>
      <c r="R578" s="436"/>
      <c r="S578" s="436"/>
      <c r="T578" s="292" t="str">
        <f t="shared" si="54"/>
        <v>トラック・バス</v>
      </c>
      <c r="U578" s="283" t="str">
        <f t="shared" si="55"/>
        <v>軽油</v>
      </c>
      <c r="V578" s="283" t="str">
        <f t="shared" si="56"/>
        <v>3.5 t～</v>
      </c>
      <c r="W578" s="283" t="str">
        <f t="shared" si="57"/>
        <v>H15,H16</v>
      </c>
      <c r="X578" s="284" t="str">
        <f t="shared" si="57"/>
        <v>VF</v>
      </c>
      <c r="Y578" s="933"/>
      <c r="Z578" s="283">
        <f t="shared" si="58"/>
        <v>0.13</v>
      </c>
      <c r="AA578" s="283">
        <f t="shared" si="58"/>
        <v>2.5500000000000002E-3</v>
      </c>
      <c r="AB578" s="340">
        <f t="shared" si="58"/>
        <v>2.58</v>
      </c>
      <c r="AN578" s="47" t="s">
        <v>97</v>
      </c>
    </row>
    <row r="579" spans="1:41">
      <c r="A579" t="str">
        <f t="shared" si="59"/>
        <v>貨4軽PG</v>
      </c>
      <c r="B579" t="s">
        <v>2044</v>
      </c>
      <c r="C579" t="s">
        <v>2068</v>
      </c>
      <c r="D579" t="s">
        <v>29</v>
      </c>
      <c r="E579" t="s">
        <v>144</v>
      </c>
      <c r="F579">
        <v>6.5000000000000002E-2</v>
      </c>
      <c r="G579">
        <v>4.2500000000000003E-3</v>
      </c>
      <c r="H579">
        <v>2.58</v>
      </c>
      <c r="I579" t="s">
        <v>1973</v>
      </c>
      <c r="J579"/>
      <c r="K579" s="436"/>
      <c r="L579" s="436"/>
      <c r="M579" s="436"/>
      <c r="N579" s="436"/>
      <c r="O579" s="436"/>
      <c r="P579" s="436"/>
      <c r="Q579" s="436"/>
      <c r="R579" s="436"/>
      <c r="S579" s="436"/>
      <c r="T579" s="292" t="str">
        <f t="shared" si="54"/>
        <v>トラック・バス</v>
      </c>
      <c r="U579" s="283" t="str">
        <f t="shared" si="55"/>
        <v>軽油</v>
      </c>
      <c r="V579" s="283" t="str">
        <f t="shared" si="56"/>
        <v>3.5 t～</v>
      </c>
      <c r="W579" s="283" t="str">
        <f t="shared" si="57"/>
        <v>H15,H16</v>
      </c>
      <c r="X579" s="284" t="str">
        <f t="shared" si="57"/>
        <v>PG</v>
      </c>
      <c r="Y579" s="932" t="s">
        <v>2260</v>
      </c>
      <c r="Z579" s="283">
        <f t="shared" si="58"/>
        <v>6.5000000000000002E-2</v>
      </c>
      <c r="AA579" s="283">
        <f t="shared" si="58"/>
        <v>4.2500000000000003E-3</v>
      </c>
      <c r="AB579" s="340">
        <f t="shared" si="58"/>
        <v>2.58</v>
      </c>
      <c r="AN579" s="47" t="s">
        <v>98</v>
      </c>
    </row>
    <row r="580" spans="1:41">
      <c r="A580" t="str">
        <f t="shared" si="59"/>
        <v>貨4軽VG</v>
      </c>
      <c r="B580" t="s">
        <v>2044</v>
      </c>
      <c r="C580" t="s">
        <v>2068</v>
      </c>
      <c r="D580" t="s">
        <v>29</v>
      </c>
      <c r="E580" t="s">
        <v>171</v>
      </c>
      <c r="F580">
        <v>6.5000000000000002E-2</v>
      </c>
      <c r="G580">
        <v>4.2500000000000003E-3</v>
      </c>
      <c r="H580">
        <v>2.58</v>
      </c>
      <c r="I580" t="s">
        <v>239</v>
      </c>
      <c r="J580"/>
      <c r="T580" s="292" t="str">
        <f t="shared" si="54"/>
        <v>トラック・バス</v>
      </c>
      <c r="U580" s="283" t="str">
        <f t="shared" si="55"/>
        <v>軽油</v>
      </c>
      <c r="V580" s="283" t="str">
        <f t="shared" si="56"/>
        <v>3.5 t～</v>
      </c>
      <c r="W580" s="283" t="str">
        <f t="shared" si="57"/>
        <v>H15,H16</v>
      </c>
      <c r="X580" s="284" t="str">
        <f t="shared" si="57"/>
        <v>VG</v>
      </c>
      <c r="Y580" s="933"/>
      <c r="Z580" s="283">
        <f t="shared" si="58"/>
        <v>6.5000000000000002E-2</v>
      </c>
      <c r="AA580" s="283">
        <f t="shared" si="58"/>
        <v>4.2500000000000003E-3</v>
      </c>
      <c r="AB580" s="340">
        <f t="shared" si="58"/>
        <v>2.58</v>
      </c>
      <c r="AN580" s="436" t="s">
        <v>99</v>
      </c>
    </row>
    <row r="581" spans="1:41">
      <c r="A581" t="str">
        <f t="shared" si="59"/>
        <v>貨4軽PH</v>
      </c>
      <c r="B581" t="s">
        <v>2044</v>
      </c>
      <c r="C581" t="s">
        <v>2068</v>
      </c>
      <c r="D581" t="s">
        <v>29</v>
      </c>
      <c r="E581" t="s">
        <v>145</v>
      </c>
      <c r="F581">
        <v>6.5000000000000002E-2</v>
      </c>
      <c r="G581">
        <v>2.5500000000000002E-3</v>
      </c>
      <c r="H581">
        <v>2.58</v>
      </c>
      <c r="I581" t="s">
        <v>1973</v>
      </c>
      <c r="J581"/>
      <c r="T581" s="292" t="str">
        <f t="shared" ref="T581:T644" si="60">IF(LEFT(C581,1)="貨","トラック・バス","乗用車")</f>
        <v>トラック・バス</v>
      </c>
      <c r="U581" s="283" t="str">
        <f t="shared" ref="U581:U644" si="61">VLOOKUP(RIGHT(C581,1),$AL$4:$AM$8,2,FALSE)</f>
        <v>軽油</v>
      </c>
      <c r="V581" s="283" t="str">
        <f t="shared" ref="V581:V644" si="62">VLOOKUP(VALUE(MID(C581,2,1)),$AL$10:$AM$15,2,FALSE)</f>
        <v>3.5 t～</v>
      </c>
      <c r="W581" s="283" t="str">
        <f t="shared" ref="W581:X644" si="63">D581</f>
        <v>H15,H16</v>
      </c>
      <c r="X581" s="284" t="str">
        <f t="shared" si="63"/>
        <v>PH</v>
      </c>
      <c r="Y581" s="932" t="s">
        <v>2259</v>
      </c>
      <c r="Z581" s="283">
        <f t="shared" ref="Z581:AB644" si="64">F581</f>
        <v>6.5000000000000002E-2</v>
      </c>
      <c r="AA581" s="283">
        <f t="shared" si="64"/>
        <v>2.5500000000000002E-3</v>
      </c>
      <c r="AB581" s="340">
        <f t="shared" si="64"/>
        <v>2.58</v>
      </c>
      <c r="AN581" s="47" t="s">
        <v>100</v>
      </c>
    </row>
    <row r="582" spans="1:41">
      <c r="A582" t="str">
        <f t="shared" si="59"/>
        <v>貨4軽VH</v>
      </c>
      <c r="B582" t="s">
        <v>2044</v>
      </c>
      <c r="C582" t="s">
        <v>2068</v>
      </c>
      <c r="D582" t="s">
        <v>29</v>
      </c>
      <c r="E582" t="s">
        <v>172</v>
      </c>
      <c r="F582">
        <v>6.5000000000000002E-2</v>
      </c>
      <c r="G582">
        <v>2.5500000000000002E-3</v>
      </c>
      <c r="H582">
        <v>2.58</v>
      </c>
      <c r="I582" t="s">
        <v>239</v>
      </c>
      <c r="J582"/>
      <c r="T582" s="292" t="str">
        <f t="shared" si="60"/>
        <v>トラック・バス</v>
      </c>
      <c r="U582" s="283" t="str">
        <f t="shared" si="61"/>
        <v>軽油</v>
      </c>
      <c r="V582" s="283" t="str">
        <f t="shared" si="62"/>
        <v>3.5 t～</v>
      </c>
      <c r="W582" s="283" t="str">
        <f t="shared" si="63"/>
        <v>H15,H16</v>
      </c>
      <c r="X582" s="284" t="str">
        <f t="shared" si="63"/>
        <v>VH</v>
      </c>
      <c r="Y582" s="933"/>
      <c r="Z582" s="283">
        <f t="shared" si="64"/>
        <v>6.5000000000000002E-2</v>
      </c>
      <c r="AA582" s="283">
        <f t="shared" si="64"/>
        <v>2.5500000000000002E-3</v>
      </c>
      <c r="AB582" s="340">
        <f t="shared" si="64"/>
        <v>2.58</v>
      </c>
      <c r="AN582" s="47" t="s">
        <v>1528</v>
      </c>
    </row>
    <row r="583" spans="1:41">
      <c r="A583" t="str">
        <f t="shared" si="59"/>
        <v>貨4軽TM</v>
      </c>
      <c r="B583" t="s">
        <v>2044</v>
      </c>
      <c r="C583" t="s">
        <v>2068</v>
      </c>
      <c r="D583" t="s">
        <v>29</v>
      </c>
      <c r="E583" t="s">
        <v>158</v>
      </c>
      <c r="F583">
        <v>0.19500000000000001</v>
      </c>
      <c r="G583">
        <v>1.2750000000000001E-2</v>
      </c>
      <c r="H583">
        <v>2.58</v>
      </c>
      <c r="I583" t="s">
        <v>1973</v>
      </c>
      <c r="J583"/>
      <c r="T583" s="292" t="str">
        <f t="shared" si="60"/>
        <v>トラック・バス</v>
      </c>
      <c r="U583" s="283" t="str">
        <f t="shared" si="61"/>
        <v>軽油</v>
      </c>
      <c r="V583" s="283" t="str">
        <f t="shared" si="62"/>
        <v>3.5 t～</v>
      </c>
      <c r="W583" s="283" t="str">
        <f t="shared" si="63"/>
        <v>H15,H16</v>
      </c>
      <c r="X583" s="284" t="str">
        <f t="shared" si="63"/>
        <v>TM</v>
      </c>
      <c r="Y583" s="271" t="s">
        <v>1765</v>
      </c>
      <c r="Z583" s="283">
        <f t="shared" si="64"/>
        <v>0.19500000000000001</v>
      </c>
      <c r="AA583" s="283">
        <f t="shared" si="64"/>
        <v>1.2750000000000001E-2</v>
      </c>
      <c r="AB583" s="340">
        <f t="shared" si="64"/>
        <v>2.58</v>
      </c>
      <c r="AD583" s="266"/>
      <c r="AE583" s="266"/>
      <c r="AF583" s="266"/>
      <c r="AG583" s="266"/>
      <c r="AH583" s="266"/>
      <c r="AI583" s="266"/>
      <c r="AN583" s="47" t="s">
        <v>1532</v>
      </c>
    </row>
    <row r="584" spans="1:41">
      <c r="A584" t="str">
        <f t="shared" si="59"/>
        <v>貨4軽XM</v>
      </c>
      <c r="B584" t="s">
        <v>2044</v>
      </c>
      <c r="C584" t="s">
        <v>2068</v>
      </c>
      <c r="D584" t="s">
        <v>29</v>
      </c>
      <c r="E584" t="s">
        <v>187</v>
      </c>
      <c r="F584">
        <v>0.19500000000000001</v>
      </c>
      <c r="G584">
        <v>1.2750000000000001E-2</v>
      </c>
      <c r="H584">
        <v>2.58</v>
      </c>
      <c r="I584" t="s">
        <v>239</v>
      </c>
      <c r="J584"/>
      <c r="T584" s="292" t="str">
        <f t="shared" si="60"/>
        <v>トラック・バス</v>
      </c>
      <c r="U584" s="283" t="str">
        <f t="shared" si="61"/>
        <v>軽油</v>
      </c>
      <c r="V584" s="283" t="str">
        <f t="shared" si="62"/>
        <v>3.5 t～</v>
      </c>
      <c r="W584" s="283" t="str">
        <f t="shared" si="63"/>
        <v>H15,H16</v>
      </c>
      <c r="X584" s="284" t="str">
        <f t="shared" si="63"/>
        <v>XM</v>
      </c>
      <c r="Y584" s="271" t="s">
        <v>1765</v>
      </c>
      <c r="Z584" s="283">
        <f t="shared" si="64"/>
        <v>0.19500000000000001</v>
      </c>
      <c r="AA584" s="283">
        <f t="shared" si="64"/>
        <v>1.2750000000000001E-2</v>
      </c>
      <c r="AB584" s="340">
        <f t="shared" si="64"/>
        <v>2.58</v>
      </c>
      <c r="AD584" s="266"/>
      <c r="AE584" s="266"/>
      <c r="AF584" s="266"/>
      <c r="AG584" s="266"/>
      <c r="AH584" s="266"/>
      <c r="AI584" s="266"/>
      <c r="AN584" s="47" t="s">
        <v>189</v>
      </c>
    </row>
    <row r="585" spans="1:41" s="266" customFormat="1">
      <c r="A585" t="str">
        <f t="shared" si="59"/>
        <v>貨4軽LM</v>
      </c>
      <c r="B585" t="s">
        <v>2044</v>
      </c>
      <c r="C585" t="s">
        <v>2068</v>
      </c>
      <c r="D585" t="s">
        <v>29</v>
      </c>
      <c r="E585" t="s">
        <v>135</v>
      </c>
      <c r="F585">
        <v>0.13</v>
      </c>
      <c r="G585">
        <v>8.5000000000000006E-3</v>
      </c>
      <c r="H585">
        <v>2.58</v>
      </c>
      <c r="I585" t="s">
        <v>1973</v>
      </c>
      <c r="J585"/>
      <c r="K585" s="47"/>
      <c r="L585" s="47"/>
      <c r="M585" s="47"/>
      <c r="N585" s="47"/>
      <c r="O585" s="47"/>
      <c r="P585" s="47"/>
      <c r="Q585" s="47"/>
      <c r="R585" s="47"/>
      <c r="S585" s="47"/>
      <c r="T585" s="292" t="str">
        <f t="shared" si="60"/>
        <v>トラック・バス</v>
      </c>
      <c r="U585" s="283" t="str">
        <f t="shared" si="61"/>
        <v>軽油</v>
      </c>
      <c r="V585" s="283" t="str">
        <f t="shared" si="62"/>
        <v>3.5 t～</v>
      </c>
      <c r="W585" s="283" t="str">
        <f t="shared" si="63"/>
        <v>H15,H16</v>
      </c>
      <c r="X585" s="284" t="str">
        <f t="shared" si="63"/>
        <v>LM</v>
      </c>
      <c r="Y585" s="271" t="s">
        <v>1766</v>
      </c>
      <c r="Z585" s="283">
        <f t="shared" si="64"/>
        <v>0.13</v>
      </c>
      <c r="AA585" s="283">
        <f t="shared" si="64"/>
        <v>8.5000000000000006E-3</v>
      </c>
      <c r="AB585" s="340">
        <f t="shared" si="64"/>
        <v>2.58</v>
      </c>
      <c r="AD585" s="436"/>
      <c r="AE585" s="436"/>
      <c r="AF585" s="436"/>
      <c r="AG585" s="436"/>
      <c r="AH585" s="436"/>
      <c r="AI585" s="436"/>
      <c r="AN585" s="47" t="s">
        <v>190</v>
      </c>
      <c r="AO585" s="47"/>
    </row>
    <row r="586" spans="1:41" s="266" customFormat="1">
      <c r="A586" t="str">
        <f t="shared" si="59"/>
        <v>貨4軽YM</v>
      </c>
      <c r="B586" t="s">
        <v>2044</v>
      </c>
      <c r="C586" t="s">
        <v>2068</v>
      </c>
      <c r="D586" t="s">
        <v>29</v>
      </c>
      <c r="E586" t="s">
        <v>193</v>
      </c>
      <c r="F586">
        <v>0.13</v>
      </c>
      <c r="G586">
        <v>8.5000000000000006E-3</v>
      </c>
      <c r="H586">
        <v>2.58</v>
      </c>
      <c r="I586" t="s">
        <v>239</v>
      </c>
      <c r="J586"/>
      <c r="K586" s="47"/>
      <c r="L586" s="47"/>
      <c r="M586" s="47"/>
      <c r="N586" s="47"/>
      <c r="O586" s="47"/>
      <c r="P586" s="47"/>
      <c r="Q586" s="47"/>
      <c r="R586" s="47"/>
      <c r="S586" s="47"/>
      <c r="T586" s="292" t="str">
        <f t="shared" si="60"/>
        <v>トラック・バス</v>
      </c>
      <c r="U586" s="283" t="str">
        <f t="shared" si="61"/>
        <v>軽油</v>
      </c>
      <c r="V586" s="283" t="str">
        <f t="shared" si="62"/>
        <v>3.5 t～</v>
      </c>
      <c r="W586" s="283" t="str">
        <f t="shared" si="63"/>
        <v>H15,H16</v>
      </c>
      <c r="X586" s="284" t="str">
        <f t="shared" si="63"/>
        <v>YM</v>
      </c>
      <c r="Y586" s="271" t="s">
        <v>1766</v>
      </c>
      <c r="Z586" s="283">
        <f t="shared" si="64"/>
        <v>0.13</v>
      </c>
      <c r="AA586" s="283">
        <f t="shared" si="64"/>
        <v>8.5000000000000006E-3</v>
      </c>
      <c r="AB586" s="340">
        <f t="shared" si="64"/>
        <v>2.58</v>
      </c>
      <c r="AD586" s="436"/>
      <c r="AE586" s="436"/>
      <c r="AF586" s="436"/>
      <c r="AG586" s="436"/>
      <c r="AH586" s="436"/>
      <c r="AI586" s="436"/>
      <c r="AN586" s="47" t="s">
        <v>191</v>
      </c>
      <c r="AO586" s="47"/>
    </row>
    <row r="587" spans="1:41" s="436" customFormat="1">
      <c r="A587" t="str">
        <f t="shared" si="59"/>
        <v>貨4軽UM</v>
      </c>
      <c r="B587" t="s">
        <v>2044</v>
      </c>
      <c r="C587" t="s">
        <v>2068</v>
      </c>
      <c r="D587" t="s">
        <v>29</v>
      </c>
      <c r="E587" t="s">
        <v>164</v>
      </c>
      <c r="F587">
        <v>6.5000000000000002E-2</v>
      </c>
      <c r="G587">
        <v>4.2500000000000003E-3</v>
      </c>
      <c r="H587">
        <v>2.58</v>
      </c>
      <c r="I587" t="s">
        <v>1973</v>
      </c>
      <c r="J587"/>
      <c r="K587" s="47"/>
      <c r="L587" s="47"/>
      <c r="M587" s="47"/>
      <c r="N587" s="47"/>
      <c r="O587" s="47"/>
      <c r="P587" s="47"/>
      <c r="Q587" s="47"/>
      <c r="R587" s="47"/>
      <c r="S587" s="47"/>
      <c r="T587" s="292" t="str">
        <f t="shared" si="60"/>
        <v>トラック・バス</v>
      </c>
      <c r="U587" s="283" t="str">
        <f t="shared" si="61"/>
        <v>軽油</v>
      </c>
      <c r="V587" s="283" t="str">
        <f t="shared" si="62"/>
        <v>3.5 t～</v>
      </c>
      <c r="W587" s="283" t="str">
        <f t="shared" si="63"/>
        <v>H15,H16</v>
      </c>
      <c r="X587" s="284" t="str">
        <f t="shared" si="63"/>
        <v>UM</v>
      </c>
      <c r="Y587" s="271" t="s">
        <v>1767</v>
      </c>
      <c r="Z587" s="283">
        <f t="shared" si="64"/>
        <v>6.5000000000000002E-2</v>
      </c>
      <c r="AA587" s="283">
        <f t="shared" si="64"/>
        <v>4.2500000000000003E-3</v>
      </c>
      <c r="AB587" s="340">
        <f t="shared" si="64"/>
        <v>2.58</v>
      </c>
      <c r="AN587" s="47" t="s">
        <v>192</v>
      </c>
      <c r="AO587" s="47"/>
    </row>
    <row r="588" spans="1:41" s="436" customFormat="1">
      <c r="A588" t="str">
        <f t="shared" si="59"/>
        <v>貨4軽ZM</v>
      </c>
      <c r="B588" t="s">
        <v>2044</v>
      </c>
      <c r="C588" t="s">
        <v>2068</v>
      </c>
      <c r="D588" t="s">
        <v>29</v>
      </c>
      <c r="E588" t="s">
        <v>198</v>
      </c>
      <c r="F588">
        <v>6.5000000000000002E-2</v>
      </c>
      <c r="G588">
        <v>4.2500000000000003E-3</v>
      </c>
      <c r="H588">
        <v>2.58</v>
      </c>
      <c r="I588" t="s">
        <v>239</v>
      </c>
      <c r="J588"/>
      <c r="K588" s="47"/>
      <c r="L588" s="47"/>
      <c r="M588" s="47"/>
      <c r="N588" s="47"/>
      <c r="O588" s="47"/>
      <c r="P588" s="47"/>
      <c r="Q588" s="47"/>
      <c r="R588" s="47"/>
      <c r="S588" s="47"/>
      <c r="T588" s="292" t="str">
        <f t="shared" si="60"/>
        <v>トラック・バス</v>
      </c>
      <c r="U588" s="283" t="str">
        <f t="shared" si="61"/>
        <v>軽油</v>
      </c>
      <c r="V588" s="283" t="str">
        <f t="shared" si="62"/>
        <v>3.5 t～</v>
      </c>
      <c r="W588" s="283" t="str">
        <f t="shared" si="63"/>
        <v>H15,H16</v>
      </c>
      <c r="X588" s="284" t="str">
        <f t="shared" si="63"/>
        <v>ZM</v>
      </c>
      <c r="Y588" s="271" t="s">
        <v>1767</v>
      </c>
      <c r="Z588" s="283">
        <f t="shared" si="64"/>
        <v>6.5000000000000002E-2</v>
      </c>
      <c r="AA588" s="283">
        <f t="shared" si="64"/>
        <v>4.2500000000000003E-3</v>
      </c>
      <c r="AB588" s="340">
        <f t="shared" si="64"/>
        <v>2.58</v>
      </c>
      <c r="AN588" s="266" t="s">
        <v>193</v>
      </c>
      <c r="AO588" s="47"/>
    </row>
    <row r="589" spans="1:41" s="436" customFormat="1">
      <c r="A589" t="str">
        <f t="shared" si="59"/>
        <v>貨4軽PJ</v>
      </c>
      <c r="B589" t="s">
        <v>2044</v>
      </c>
      <c r="C589" t="s">
        <v>2068</v>
      </c>
      <c r="D589" t="s">
        <v>29</v>
      </c>
      <c r="E589" t="s">
        <v>146</v>
      </c>
      <c r="F589">
        <v>0.26</v>
      </c>
      <c r="G589">
        <v>4.2500000000000003E-3</v>
      </c>
      <c r="H589">
        <v>2.58</v>
      </c>
      <c r="I589" t="s">
        <v>1973</v>
      </c>
      <c r="J589"/>
      <c r="K589" s="47"/>
      <c r="L589" s="47"/>
      <c r="M589" s="47"/>
      <c r="N589" s="47"/>
      <c r="O589" s="47"/>
      <c r="P589" s="47"/>
      <c r="Q589" s="47"/>
      <c r="R589" s="47"/>
      <c r="S589" s="47"/>
      <c r="T589" s="292" t="str">
        <f t="shared" si="60"/>
        <v>トラック・バス</v>
      </c>
      <c r="U589" s="283" t="str">
        <f t="shared" si="61"/>
        <v>軽油</v>
      </c>
      <c r="V589" s="283" t="str">
        <f t="shared" si="62"/>
        <v>3.5 t～</v>
      </c>
      <c r="W589" s="283" t="str">
        <f t="shared" si="63"/>
        <v>H15,H16</v>
      </c>
      <c r="X589" s="284" t="str">
        <f t="shared" si="63"/>
        <v>PJ</v>
      </c>
      <c r="Y589" s="271" t="s">
        <v>2357</v>
      </c>
      <c r="Z589" s="283">
        <f t="shared" si="64"/>
        <v>0.26</v>
      </c>
      <c r="AA589" s="283">
        <f t="shared" si="64"/>
        <v>4.2500000000000003E-3</v>
      </c>
      <c r="AB589" s="340">
        <f t="shared" si="64"/>
        <v>2.58</v>
      </c>
      <c r="AN589" s="47" t="s">
        <v>26</v>
      </c>
      <c r="AO589" s="47"/>
    </row>
    <row r="590" spans="1:41" s="436" customFormat="1">
      <c r="A590" t="str">
        <f t="shared" si="59"/>
        <v>貨4軽VJ</v>
      </c>
      <c r="B590" t="s">
        <v>2044</v>
      </c>
      <c r="C590" t="s">
        <v>2068</v>
      </c>
      <c r="D590" t="s">
        <v>29</v>
      </c>
      <c r="E590" t="s">
        <v>173</v>
      </c>
      <c r="F590">
        <v>0.13</v>
      </c>
      <c r="G590">
        <v>4.2500000000000003E-3</v>
      </c>
      <c r="H590">
        <v>2.58</v>
      </c>
      <c r="I590" t="s">
        <v>239</v>
      </c>
      <c r="J590"/>
      <c r="K590" s="47"/>
      <c r="L590" s="47"/>
      <c r="M590" s="47"/>
      <c r="N590" s="47"/>
      <c r="O590" s="47"/>
      <c r="P590" s="47"/>
      <c r="Q590" s="47"/>
      <c r="R590" s="47"/>
      <c r="S590" s="47"/>
      <c r="T590" s="292" t="str">
        <f t="shared" si="60"/>
        <v>トラック・バス</v>
      </c>
      <c r="U590" s="283" t="str">
        <f t="shared" si="61"/>
        <v>軽油</v>
      </c>
      <c r="V590" s="283" t="str">
        <f t="shared" si="62"/>
        <v>3.5 t～</v>
      </c>
      <c r="W590" s="283" t="str">
        <f t="shared" si="63"/>
        <v>H15,H16</v>
      </c>
      <c r="X590" s="284" t="str">
        <f t="shared" si="63"/>
        <v>VJ</v>
      </c>
      <c r="Y590" s="271" t="s">
        <v>2357</v>
      </c>
      <c r="Z590" s="283">
        <f t="shared" si="64"/>
        <v>0.13</v>
      </c>
      <c r="AA590" s="283">
        <f t="shared" si="64"/>
        <v>4.2500000000000003E-3</v>
      </c>
      <c r="AB590" s="340">
        <f t="shared" si="64"/>
        <v>2.58</v>
      </c>
      <c r="AN590" s="47" t="s">
        <v>101</v>
      </c>
      <c r="AO590" s="47"/>
    </row>
    <row r="591" spans="1:41" s="436" customFormat="1">
      <c r="A591" t="str">
        <f t="shared" si="59"/>
        <v>貨4軽PK</v>
      </c>
      <c r="B591" t="s">
        <v>2044</v>
      </c>
      <c r="C591" t="s">
        <v>2068</v>
      </c>
      <c r="D591" t="s">
        <v>29</v>
      </c>
      <c r="E591" t="s">
        <v>147</v>
      </c>
      <c r="F591">
        <v>0.26</v>
      </c>
      <c r="G591">
        <v>2.5500000000000002E-3</v>
      </c>
      <c r="H591">
        <v>2.58</v>
      </c>
      <c r="I591" t="s">
        <v>1973</v>
      </c>
      <c r="J591"/>
      <c r="K591" s="266"/>
      <c r="L591" s="266"/>
      <c r="M591" s="266"/>
      <c r="N591" s="266"/>
      <c r="O591" s="266"/>
      <c r="P591" s="266"/>
      <c r="Q591" s="266"/>
      <c r="R591" s="266"/>
      <c r="S591" s="266"/>
      <c r="T591" s="292" t="str">
        <f t="shared" si="60"/>
        <v>トラック・バス</v>
      </c>
      <c r="U591" s="283" t="str">
        <f t="shared" si="61"/>
        <v>軽油</v>
      </c>
      <c r="V591" s="283" t="str">
        <f t="shared" si="62"/>
        <v>3.5 t～</v>
      </c>
      <c r="W591" s="283" t="str">
        <f t="shared" si="63"/>
        <v>H15,H16</v>
      </c>
      <c r="X591" s="284" t="str">
        <f t="shared" si="63"/>
        <v>PK</v>
      </c>
      <c r="Y591" s="271" t="s">
        <v>2358</v>
      </c>
      <c r="Z591" s="283">
        <f t="shared" si="64"/>
        <v>0.26</v>
      </c>
      <c r="AA591" s="283">
        <f t="shared" si="64"/>
        <v>2.5500000000000002E-3</v>
      </c>
      <c r="AB591" s="340">
        <f t="shared" si="64"/>
        <v>2.58</v>
      </c>
      <c r="AD591" s="47"/>
      <c r="AE591" s="47"/>
      <c r="AF591" s="47"/>
      <c r="AG591" s="47"/>
      <c r="AH591" s="47"/>
      <c r="AI591" s="47"/>
      <c r="AN591" s="47" t="s">
        <v>1733</v>
      </c>
      <c r="AO591" s="47"/>
    </row>
    <row r="592" spans="1:41" s="436" customFormat="1">
      <c r="A592" t="str">
        <f t="shared" si="59"/>
        <v>貨4軽VK</v>
      </c>
      <c r="B592" t="s">
        <v>2044</v>
      </c>
      <c r="C592" t="s">
        <v>2068</v>
      </c>
      <c r="D592" t="s">
        <v>29</v>
      </c>
      <c r="E592" t="s">
        <v>174</v>
      </c>
      <c r="F592">
        <v>0.13</v>
      </c>
      <c r="G592">
        <v>2.5500000000000002E-3</v>
      </c>
      <c r="H592">
        <v>2.58</v>
      </c>
      <c r="I592" t="s">
        <v>239</v>
      </c>
      <c r="J592"/>
      <c r="K592" s="266"/>
      <c r="L592" s="266"/>
      <c r="M592" s="266"/>
      <c r="N592" s="266"/>
      <c r="O592" s="266"/>
      <c r="P592" s="266"/>
      <c r="Q592" s="266"/>
      <c r="R592" s="266"/>
      <c r="S592" s="266"/>
      <c r="T592" s="292" t="str">
        <f t="shared" si="60"/>
        <v>トラック・バス</v>
      </c>
      <c r="U592" s="283" t="str">
        <f t="shared" si="61"/>
        <v>軽油</v>
      </c>
      <c r="V592" s="283" t="str">
        <f t="shared" si="62"/>
        <v>3.5 t～</v>
      </c>
      <c r="W592" s="283" t="str">
        <f t="shared" si="63"/>
        <v>H15,H16</v>
      </c>
      <c r="X592" s="284" t="str">
        <f t="shared" si="63"/>
        <v>VK</v>
      </c>
      <c r="Y592" s="271" t="s">
        <v>2358</v>
      </c>
      <c r="Z592" s="283">
        <f t="shared" si="64"/>
        <v>0.13</v>
      </c>
      <c r="AA592" s="283">
        <f t="shared" si="64"/>
        <v>2.5500000000000002E-3</v>
      </c>
      <c r="AB592" s="340">
        <f t="shared" si="64"/>
        <v>2.58</v>
      </c>
      <c r="AD592" s="47"/>
      <c r="AE592" s="47"/>
      <c r="AF592" s="47"/>
      <c r="AG592" s="47"/>
      <c r="AH592" s="47"/>
      <c r="AI592" s="47"/>
      <c r="AN592" s="47" t="s">
        <v>1735</v>
      </c>
      <c r="AO592" s="47"/>
    </row>
    <row r="593" spans="1:41" ht="13.4" customHeight="1">
      <c r="A593" t="str">
        <f t="shared" si="59"/>
        <v>貨4軽PL</v>
      </c>
      <c r="B593" t="s">
        <v>2044</v>
      </c>
      <c r="C593" t="s">
        <v>2068</v>
      </c>
      <c r="D593" t="s">
        <v>29</v>
      </c>
      <c r="E593" t="s">
        <v>148</v>
      </c>
      <c r="F593">
        <v>0.19500000000000001</v>
      </c>
      <c r="G593">
        <v>4.2500000000000003E-3</v>
      </c>
      <c r="H593">
        <v>2.58</v>
      </c>
      <c r="I593" t="s">
        <v>1973</v>
      </c>
      <c r="J593"/>
      <c r="K593" s="436"/>
      <c r="L593" s="436"/>
      <c r="M593" s="436"/>
      <c r="N593" s="436"/>
      <c r="O593" s="436"/>
      <c r="P593" s="436"/>
      <c r="Q593" s="436"/>
      <c r="R593" s="436"/>
      <c r="S593" s="436"/>
      <c r="T593" s="292" t="str">
        <f t="shared" si="60"/>
        <v>トラック・バス</v>
      </c>
      <c r="U593" s="283" t="str">
        <f t="shared" si="61"/>
        <v>軽油</v>
      </c>
      <c r="V593" s="283" t="str">
        <f t="shared" si="62"/>
        <v>3.5 t～</v>
      </c>
      <c r="W593" s="283" t="str">
        <f t="shared" si="63"/>
        <v>H15,H16</v>
      </c>
      <c r="X593" s="284" t="str">
        <f t="shared" si="63"/>
        <v>PL</v>
      </c>
      <c r="Y593" s="932" t="s">
        <v>2255</v>
      </c>
      <c r="Z593" s="283">
        <f t="shared" si="64"/>
        <v>0.19500000000000001</v>
      </c>
      <c r="AA593" s="283">
        <f t="shared" si="64"/>
        <v>4.2500000000000003E-3</v>
      </c>
      <c r="AB593" s="340">
        <f t="shared" si="64"/>
        <v>2.58</v>
      </c>
      <c r="AN593" s="47" t="s">
        <v>1740</v>
      </c>
    </row>
    <row r="594" spans="1:41">
      <c r="A594" t="str">
        <f t="shared" si="59"/>
        <v>貨4軽VL</v>
      </c>
      <c r="B594" t="s">
        <v>2044</v>
      </c>
      <c r="C594" t="s">
        <v>2068</v>
      </c>
      <c r="D594" t="s">
        <v>29</v>
      </c>
      <c r="E594" t="s">
        <v>175</v>
      </c>
      <c r="F594">
        <v>0.19500000000000001</v>
      </c>
      <c r="G594">
        <v>4.2500000000000003E-3</v>
      </c>
      <c r="H594">
        <v>2.58</v>
      </c>
      <c r="I594" t="s">
        <v>239</v>
      </c>
      <c r="J594"/>
      <c r="K594" s="436"/>
      <c r="L594" s="436"/>
      <c r="M594" s="436"/>
      <c r="N594" s="436"/>
      <c r="O594" s="436"/>
      <c r="P594" s="436"/>
      <c r="Q594" s="436"/>
      <c r="R594" s="436"/>
      <c r="S594" s="436"/>
      <c r="T594" s="292" t="str">
        <f t="shared" si="60"/>
        <v>トラック・バス</v>
      </c>
      <c r="U594" s="283" t="str">
        <f t="shared" si="61"/>
        <v>軽油</v>
      </c>
      <c r="V594" s="283" t="str">
        <f t="shared" si="62"/>
        <v>3.5 t～</v>
      </c>
      <c r="W594" s="283" t="str">
        <f t="shared" si="63"/>
        <v>H15,H16</v>
      </c>
      <c r="X594" s="284" t="str">
        <f t="shared" si="63"/>
        <v>VL</v>
      </c>
      <c r="Y594" s="933"/>
      <c r="Z594" s="283">
        <f t="shared" si="64"/>
        <v>0.19500000000000001</v>
      </c>
      <c r="AA594" s="283">
        <f t="shared" si="64"/>
        <v>4.2500000000000003E-3</v>
      </c>
      <c r="AB594" s="340">
        <f t="shared" si="64"/>
        <v>2.58</v>
      </c>
      <c r="AN594" s="47" t="s">
        <v>102</v>
      </c>
    </row>
    <row r="595" spans="1:41" ht="13.4" customHeight="1">
      <c r="A595" t="str">
        <f t="shared" si="59"/>
        <v>貨4軽PM</v>
      </c>
      <c r="B595" t="s">
        <v>2044</v>
      </c>
      <c r="C595" t="s">
        <v>2068</v>
      </c>
      <c r="D595" t="s">
        <v>29</v>
      </c>
      <c r="E595" t="s">
        <v>149</v>
      </c>
      <c r="F595">
        <v>0.19500000000000001</v>
      </c>
      <c r="G595">
        <v>2.5500000000000002E-3</v>
      </c>
      <c r="H595">
        <v>2.58</v>
      </c>
      <c r="I595" t="s">
        <v>1973</v>
      </c>
      <c r="J595"/>
      <c r="K595" s="436"/>
      <c r="L595" s="436"/>
      <c r="M595" s="436"/>
      <c r="N595" s="436"/>
      <c r="O595" s="436"/>
      <c r="P595" s="436"/>
      <c r="Q595" s="436"/>
      <c r="R595" s="436"/>
      <c r="S595" s="436"/>
      <c r="T595" s="292" t="str">
        <f t="shared" si="60"/>
        <v>トラック・バス</v>
      </c>
      <c r="U595" s="283" t="str">
        <f t="shared" si="61"/>
        <v>軽油</v>
      </c>
      <c r="V595" s="283" t="str">
        <f t="shared" si="62"/>
        <v>3.5 t～</v>
      </c>
      <c r="W595" s="283" t="str">
        <f t="shared" si="63"/>
        <v>H15,H16</v>
      </c>
      <c r="X595" s="284" t="str">
        <f t="shared" si="63"/>
        <v>PM</v>
      </c>
      <c r="Y595" s="932" t="s">
        <v>2256</v>
      </c>
      <c r="Z595" s="283">
        <f t="shared" si="64"/>
        <v>0.19500000000000001</v>
      </c>
      <c r="AA595" s="283">
        <f t="shared" si="64"/>
        <v>2.5500000000000002E-3</v>
      </c>
      <c r="AB595" s="340">
        <f t="shared" si="64"/>
        <v>2.58</v>
      </c>
      <c r="AN595" s="47" t="s">
        <v>1745</v>
      </c>
    </row>
    <row r="596" spans="1:41">
      <c r="A596" t="str">
        <f t="shared" si="59"/>
        <v>貨4軽VM</v>
      </c>
      <c r="B596" t="s">
        <v>2044</v>
      </c>
      <c r="C596" t="s">
        <v>2068</v>
      </c>
      <c r="D596" t="s">
        <v>29</v>
      </c>
      <c r="E596" t="s">
        <v>176</v>
      </c>
      <c r="F596">
        <v>0.19500000000000001</v>
      </c>
      <c r="G596">
        <v>2.5500000000000002E-3</v>
      </c>
      <c r="H596">
        <v>2.58</v>
      </c>
      <c r="I596" t="s">
        <v>239</v>
      </c>
      <c r="J596"/>
      <c r="K596" s="436"/>
      <c r="L596" s="436"/>
      <c r="M596" s="436"/>
      <c r="N596" s="436"/>
      <c r="O596" s="436"/>
      <c r="P596" s="436"/>
      <c r="Q596" s="436"/>
      <c r="R596" s="436"/>
      <c r="S596" s="436"/>
      <c r="T596" s="292" t="str">
        <f t="shared" si="60"/>
        <v>トラック・バス</v>
      </c>
      <c r="U596" s="283" t="str">
        <f t="shared" si="61"/>
        <v>軽油</v>
      </c>
      <c r="V596" s="283" t="str">
        <f t="shared" si="62"/>
        <v>3.5 t～</v>
      </c>
      <c r="W596" s="283" t="str">
        <f t="shared" si="63"/>
        <v>H15,H16</v>
      </c>
      <c r="X596" s="284" t="str">
        <f t="shared" si="63"/>
        <v>VM</v>
      </c>
      <c r="Y596" s="933"/>
      <c r="Z596" s="283">
        <f t="shared" si="64"/>
        <v>0.19500000000000001</v>
      </c>
      <c r="AA596" s="283">
        <f t="shared" si="64"/>
        <v>2.5500000000000002E-3</v>
      </c>
      <c r="AB596" s="340">
        <f t="shared" si="64"/>
        <v>2.58</v>
      </c>
      <c r="AN596" s="47" t="s">
        <v>1747</v>
      </c>
    </row>
    <row r="597" spans="1:41" ht="13.4" customHeight="1">
      <c r="A597" t="str">
        <f t="shared" si="59"/>
        <v>貨4軽PN</v>
      </c>
      <c r="B597" t="s">
        <v>2044</v>
      </c>
      <c r="C597" t="s">
        <v>2068</v>
      </c>
      <c r="D597" t="s">
        <v>29</v>
      </c>
      <c r="E597" t="s">
        <v>150</v>
      </c>
      <c r="F597">
        <v>0.13</v>
      </c>
      <c r="G597">
        <v>4.2500000000000003E-3</v>
      </c>
      <c r="H597">
        <v>2.58</v>
      </c>
      <c r="I597" t="s">
        <v>1973</v>
      </c>
      <c r="J597"/>
      <c r="K597" s="436"/>
      <c r="L597" s="436"/>
      <c r="M597" s="436"/>
      <c r="N597" s="436"/>
      <c r="O597" s="436"/>
      <c r="P597" s="436"/>
      <c r="Q597" s="436"/>
      <c r="R597" s="436"/>
      <c r="S597" s="436"/>
      <c r="T597" s="292" t="str">
        <f t="shared" si="60"/>
        <v>トラック・バス</v>
      </c>
      <c r="U597" s="283" t="str">
        <f t="shared" si="61"/>
        <v>軽油</v>
      </c>
      <c r="V597" s="283" t="str">
        <f t="shared" si="62"/>
        <v>3.5 t～</v>
      </c>
      <c r="W597" s="283" t="str">
        <f t="shared" si="63"/>
        <v>H15,H16</v>
      </c>
      <c r="X597" s="284" t="str">
        <f t="shared" si="63"/>
        <v>PN</v>
      </c>
      <c r="Y597" s="932" t="s">
        <v>2257</v>
      </c>
      <c r="Z597" s="283">
        <f t="shared" si="64"/>
        <v>0.13</v>
      </c>
      <c r="AA597" s="283">
        <f t="shared" si="64"/>
        <v>4.2500000000000003E-3</v>
      </c>
      <c r="AB597" s="340">
        <f t="shared" si="64"/>
        <v>2.58</v>
      </c>
      <c r="AN597" s="47" t="s">
        <v>1752</v>
      </c>
    </row>
    <row r="598" spans="1:41">
      <c r="A598" t="str">
        <f t="shared" si="59"/>
        <v>貨4軽VN</v>
      </c>
      <c r="B598" t="s">
        <v>2044</v>
      </c>
      <c r="C598" t="s">
        <v>2068</v>
      </c>
      <c r="D598" t="s">
        <v>29</v>
      </c>
      <c r="E598" t="s">
        <v>177</v>
      </c>
      <c r="F598">
        <v>0.13</v>
      </c>
      <c r="G598">
        <v>4.2500000000000003E-3</v>
      </c>
      <c r="H598">
        <v>2.58</v>
      </c>
      <c r="I598" t="s">
        <v>239</v>
      </c>
      <c r="J598"/>
      <c r="K598" s="436"/>
      <c r="L598" s="436"/>
      <c r="M598" s="436"/>
      <c r="N598" s="436"/>
      <c r="O598" s="436"/>
      <c r="P598" s="436"/>
      <c r="Q598" s="436"/>
      <c r="R598" s="436"/>
      <c r="S598" s="436"/>
      <c r="T598" s="292" t="str">
        <f t="shared" si="60"/>
        <v>トラック・バス</v>
      </c>
      <c r="U598" s="283" t="str">
        <f t="shared" si="61"/>
        <v>軽油</v>
      </c>
      <c r="V598" s="283" t="str">
        <f t="shared" si="62"/>
        <v>3.5 t～</v>
      </c>
      <c r="W598" s="283" t="str">
        <f t="shared" si="63"/>
        <v>H15,H16</v>
      </c>
      <c r="X598" s="284" t="str">
        <f t="shared" si="63"/>
        <v>VN</v>
      </c>
      <c r="Y598" s="933"/>
      <c r="Z598" s="283">
        <f t="shared" si="64"/>
        <v>0.13</v>
      </c>
      <c r="AA598" s="283">
        <f t="shared" si="64"/>
        <v>4.2500000000000003E-3</v>
      </c>
      <c r="AB598" s="340">
        <f t="shared" si="64"/>
        <v>2.58</v>
      </c>
      <c r="AN598" s="436" t="s">
        <v>103</v>
      </c>
    </row>
    <row r="599" spans="1:41" ht="13.4" customHeight="1">
      <c r="A599" t="str">
        <f t="shared" si="59"/>
        <v>貨4軽PP</v>
      </c>
      <c r="B599" t="s">
        <v>2044</v>
      </c>
      <c r="C599" t="s">
        <v>2068</v>
      </c>
      <c r="D599" t="s">
        <v>29</v>
      </c>
      <c r="E599" t="s">
        <v>151</v>
      </c>
      <c r="F599">
        <v>0.13</v>
      </c>
      <c r="G599">
        <v>2.5500000000000002E-3</v>
      </c>
      <c r="H599">
        <v>2.58</v>
      </c>
      <c r="I599" t="s">
        <v>1973</v>
      </c>
      <c r="J599"/>
      <c r="T599" s="292" t="str">
        <f t="shared" si="60"/>
        <v>トラック・バス</v>
      </c>
      <c r="U599" s="283" t="str">
        <f t="shared" si="61"/>
        <v>軽油</v>
      </c>
      <c r="V599" s="283" t="str">
        <f t="shared" si="62"/>
        <v>3.5 t～</v>
      </c>
      <c r="W599" s="283" t="str">
        <f t="shared" si="63"/>
        <v>H15,H16</v>
      </c>
      <c r="X599" s="284" t="str">
        <f t="shared" si="63"/>
        <v>PP</v>
      </c>
      <c r="Y599" s="932" t="s">
        <v>2258</v>
      </c>
      <c r="Z599" s="283">
        <f t="shared" si="64"/>
        <v>0.13</v>
      </c>
      <c r="AA599" s="283">
        <f t="shared" si="64"/>
        <v>2.5500000000000002E-3</v>
      </c>
      <c r="AB599" s="340">
        <f t="shared" si="64"/>
        <v>2.58</v>
      </c>
      <c r="AN599" s="47" t="s">
        <v>104</v>
      </c>
    </row>
    <row r="600" spans="1:41">
      <c r="A600" t="str">
        <f t="shared" si="59"/>
        <v>貨4軽VP</v>
      </c>
      <c r="B600" t="s">
        <v>2044</v>
      </c>
      <c r="C600" t="s">
        <v>2068</v>
      </c>
      <c r="D600" t="s">
        <v>29</v>
      </c>
      <c r="E600" t="s">
        <v>178</v>
      </c>
      <c r="F600">
        <v>0.13</v>
      </c>
      <c r="G600">
        <v>2.5500000000000002E-3</v>
      </c>
      <c r="H600">
        <v>2.58</v>
      </c>
      <c r="I600" t="s">
        <v>239</v>
      </c>
      <c r="J600"/>
      <c r="T600" s="292" t="str">
        <f t="shared" si="60"/>
        <v>トラック・バス</v>
      </c>
      <c r="U600" s="283" t="str">
        <f t="shared" si="61"/>
        <v>軽油</v>
      </c>
      <c r="V600" s="283" t="str">
        <f t="shared" si="62"/>
        <v>3.5 t～</v>
      </c>
      <c r="W600" s="283" t="str">
        <f t="shared" si="63"/>
        <v>H15,H16</v>
      </c>
      <c r="X600" s="284" t="str">
        <f t="shared" si="63"/>
        <v>VP</v>
      </c>
      <c r="Y600" s="933"/>
      <c r="Z600" s="283">
        <f t="shared" si="64"/>
        <v>0.13</v>
      </c>
      <c r="AA600" s="283">
        <f t="shared" si="64"/>
        <v>2.5500000000000002E-3</v>
      </c>
      <c r="AB600" s="340">
        <f t="shared" si="64"/>
        <v>2.58</v>
      </c>
      <c r="AN600" s="47" t="s">
        <v>1536</v>
      </c>
    </row>
    <row r="601" spans="1:41" ht="13.4" customHeight="1">
      <c r="A601" t="str">
        <f t="shared" si="59"/>
        <v>貨4軽PQ</v>
      </c>
      <c r="B601" t="s">
        <v>2044</v>
      </c>
      <c r="C601" t="s">
        <v>2068</v>
      </c>
      <c r="D601" t="s">
        <v>29</v>
      </c>
      <c r="E601" t="s">
        <v>152</v>
      </c>
      <c r="F601">
        <v>6.5000000000000002E-2</v>
      </c>
      <c r="G601">
        <v>4.2500000000000003E-3</v>
      </c>
      <c r="H601">
        <v>2.58</v>
      </c>
      <c r="I601" t="s">
        <v>1973</v>
      </c>
      <c r="J601"/>
      <c r="T601" s="292" t="str">
        <f t="shared" si="60"/>
        <v>トラック・バス</v>
      </c>
      <c r="U601" s="283" t="str">
        <f t="shared" si="61"/>
        <v>軽油</v>
      </c>
      <c r="V601" s="283" t="str">
        <f t="shared" si="62"/>
        <v>3.5 t～</v>
      </c>
      <c r="W601" s="283" t="str">
        <f t="shared" si="63"/>
        <v>H15,H16</v>
      </c>
      <c r="X601" s="284" t="str">
        <f t="shared" si="63"/>
        <v>PQ</v>
      </c>
      <c r="Y601" s="932" t="s">
        <v>2260</v>
      </c>
      <c r="Z601" s="283">
        <f t="shared" si="64"/>
        <v>6.5000000000000002E-2</v>
      </c>
      <c r="AA601" s="283">
        <f t="shared" si="64"/>
        <v>4.2500000000000003E-3</v>
      </c>
      <c r="AB601" s="340">
        <f t="shared" si="64"/>
        <v>2.58</v>
      </c>
      <c r="AN601" s="47" t="s">
        <v>1540</v>
      </c>
    </row>
    <row r="602" spans="1:41">
      <c r="A602" t="str">
        <f t="shared" si="59"/>
        <v>貨4軽VQ</v>
      </c>
      <c r="B602" t="s">
        <v>2044</v>
      </c>
      <c r="C602" t="s">
        <v>2068</v>
      </c>
      <c r="D602" t="s">
        <v>29</v>
      </c>
      <c r="E602" t="s">
        <v>179</v>
      </c>
      <c r="F602">
        <v>6.5000000000000002E-2</v>
      </c>
      <c r="G602">
        <v>4.2500000000000003E-3</v>
      </c>
      <c r="H602">
        <v>2.58</v>
      </c>
      <c r="I602" t="s">
        <v>239</v>
      </c>
      <c r="J602"/>
      <c r="T602" s="292" t="str">
        <f t="shared" si="60"/>
        <v>トラック・バス</v>
      </c>
      <c r="U602" s="283" t="str">
        <f t="shared" si="61"/>
        <v>軽油</v>
      </c>
      <c r="V602" s="283" t="str">
        <f t="shared" si="62"/>
        <v>3.5 t～</v>
      </c>
      <c r="W602" s="283" t="str">
        <f t="shared" si="63"/>
        <v>H15,H16</v>
      </c>
      <c r="X602" s="284" t="str">
        <f t="shared" si="63"/>
        <v>VQ</v>
      </c>
      <c r="Y602" s="933"/>
      <c r="Z602" s="283">
        <f t="shared" si="64"/>
        <v>6.5000000000000002E-2</v>
      </c>
      <c r="AA602" s="283">
        <f t="shared" si="64"/>
        <v>4.2500000000000003E-3</v>
      </c>
      <c r="AB602" s="340">
        <f t="shared" si="64"/>
        <v>2.58</v>
      </c>
      <c r="AD602" s="266"/>
      <c r="AE602" s="266"/>
      <c r="AF602" s="266"/>
      <c r="AG602" s="266"/>
      <c r="AH602" s="266"/>
      <c r="AI602" s="266"/>
      <c r="AN602" s="47" t="s">
        <v>194</v>
      </c>
    </row>
    <row r="603" spans="1:41" ht="13.4" customHeight="1">
      <c r="A603" t="str">
        <f t="shared" si="59"/>
        <v>貨4軽PR</v>
      </c>
      <c r="B603" t="s">
        <v>2044</v>
      </c>
      <c r="C603" t="s">
        <v>2068</v>
      </c>
      <c r="D603" t="s">
        <v>29</v>
      </c>
      <c r="E603" t="s">
        <v>153</v>
      </c>
      <c r="F603">
        <v>6.5000000000000002E-2</v>
      </c>
      <c r="G603">
        <v>2.5500000000000002E-3</v>
      </c>
      <c r="H603">
        <v>2.58</v>
      </c>
      <c r="I603" t="s">
        <v>1973</v>
      </c>
      <c r="J603"/>
      <c r="T603" s="292" t="str">
        <f t="shared" si="60"/>
        <v>トラック・バス</v>
      </c>
      <c r="U603" s="283" t="str">
        <f t="shared" si="61"/>
        <v>軽油</v>
      </c>
      <c r="V603" s="283" t="str">
        <f t="shared" si="62"/>
        <v>3.5 t～</v>
      </c>
      <c r="W603" s="283" t="str">
        <f t="shared" si="63"/>
        <v>H15,H16</v>
      </c>
      <c r="X603" s="284" t="str">
        <f t="shared" si="63"/>
        <v>PR</v>
      </c>
      <c r="Y603" s="932" t="s">
        <v>2259</v>
      </c>
      <c r="Z603" s="283">
        <f t="shared" si="64"/>
        <v>6.5000000000000002E-2</v>
      </c>
      <c r="AA603" s="283">
        <f t="shared" si="64"/>
        <v>2.5500000000000002E-3</v>
      </c>
      <c r="AB603" s="340">
        <f t="shared" si="64"/>
        <v>2.58</v>
      </c>
      <c r="AD603" s="266"/>
      <c r="AE603" s="266"/>
      <c r="AF603" s="266"/>
      <c r="AG603" s="266"/>
      <c r="AH603" s="266"/>
      <c r="AI603" s="266"/>
      <c r="AN603" s="47" t="s">
        <v>195</v>
      </c>
    </row>
    <row r="604" spans="1:41" s="266" customFormat="1">
      <c r="A604" t="str">
        <f t="shared" si="59"/>
        <v>貨4軽VR</v>
      </c>
      <c r="B604" t="s">
        <v>2044</v>
      </c>
      <c r="C604" t="s">
        <v>2068</v>
      </c>
      <c r="D604" t="s">
        <v>29</v>
      </c>
      <c r="E604" t="s">
        <v>180</v>
      </c>
      <c r="F604">
        <v>6.5000000000000002E-2</v>
      </c>
      <c r="G604">
        <v>2.5500000000000002E-3</v>
      </c>
      <c r="H604">
        <v>2.58</v>
      </c>
      <c r="I604" t="s">
        <v>239</v>
      </c>
      <c r="J604"/>
      <c r="K604" s="47"/>
      <c r="L604" s="47"/>
      <c r="M604" s="47"/>
      <c r="N604" s="47"/>
      <c r="O604" s="47"/>
      <c r="P604" s="47"/>
      <c r="Q604" s="47"/>
      <c r="R604" s="47"/>
      <c r="S604" s="47"/>
      <c r="T604" s="292" t="str">
        <f t="shared" si="60"/>
        <v>トラック・バス</v>
      </c>
      <c r="U604" s="283" t="str">
        <f t="shared" si="61"/>
        <v>軽油</v>
      </c>
      <c r="V604" s="283" t="str">
        <f t="shared" si="62"/>
        <v>3.5 t～</v>
      </c>
      <c r="W604" s="283" t="str">
        <f t="shared" si="63"/>
        <v>H15,H16</v>
      </c>
      <c r="X604" s="284" t="str">
        <f t="shared" si="63"/>
        <v>VR</v>
      </c>
      <c r="Y604" s="933"/>
      <c r="Z604" s="283">
        <f t="shared" si="64"/>
        <v>6.5000000000000002E-2</v>
      </c>
      <c r="AA604" s="283">
        <f t="shared" si="64"/>
        <v>2.5500000000000002E-3</v>
      </c>
      <c r="AB604" s="340">
        <f t="shared" si="64"/>
        <v>2.58</v>
      </c>
      <c r="AN604" s="266" t="s">
        <v>196</v>
      </c>
      <c r="AO604" s="47"/>
    </row>
    <row r="605" spans="1:41" s="266" customFormat="1">
      <c r="A605" t="str">
        <f t="shared" si="59"/>
        <v>貨4軽ADG</v>
      </c>
      <c r="B605" t="s">
        <v>2044</v>
      </c>
      <c r="C605" t="s">
        <v>2068</v>
      </c>
      <c r="D605" t="s">
        <v>1979</v>
      </c>
      <c r="E605" t="s">
        <v>1005</v>
      </c>
      <c r="F605">
        <v>0.15</v>
      </c>
      <c r="G605">
        <v>3.0000000000000001E-3</v>
      </c>
      <c r="H605">
        <v>2.58</v>
      </c>
      <c r="I605" t="s">
        <v>2340</v>
      </c>
      <c r="J605"/>
      <c r="K605" s="47"/>
      <c r="L605" s="47"/>
      <c r="M605" s="47"/>
      <c r="N605" s="47"/>
      <c r="O605" s="47"/>
      <c r="P605" s="47"/>
      <c r="Q605" s="47"/>
      <c r="R605" s="47"/>
      <c r="S605" s="47"/>
      <c r="T605" s="292" t="str">
        <f t="shared" si="60"/>
        <v>トラック・バス</v>
      </c>
      <c r="U605" s="283" t="str">
        <f t="shared" si="61"/>
        <v>軽油</v>
      </c>
      <c r="V605" s="283" t="str">
        <f t="shared" si="62"/>
        <v>3.5 t～</v>
      </c>
      <c r="W605" s="283" t="str">
        <f t="shared" si="63"/>
        <v>H17</v>
      </c>
      <c r="X605" s="284" t="str">
        <f t="shared" si="63"/>
        <v>ADG</v>
      </c>
      <c r="Y605" s="271"/>
      <c r="Z605" s="283">
        <f t="shared" si="64"/>
        <v>0.15</v>
      </c>
      <c r="AA605" s="283">
        <f t="shared" si="64"/>
        <v>3.0000000000000001E-3</v>
      </c>
      <c r="AB605" s="340">
        <f t="shared" si="64"/>
        <v>2.58</v>
      </c>
      <c r="AN605" s="47" t="s">
        <v>197</v>
      </c>
      <c r="AO605" s="47"/>
    </row>
    <row r="606" spans="1:41" s="266" customFormat="1">
      <c r="A606" t="str">
        <f t="shared" ref="A606:A664" si="65">CONCATENATE(C606,E606)</f>
        <v>貨4軽AKG</v>
      </c>
      <c r="B606" t="s">
        <v>2044</v>
      </c>
      <c r="C606" t="s">
        <v>2068</v>
      </c>
      <c r="D606" t="s">
        <v>1979</v>
      </c>
      <c r="E606" t="s">
        <v>1007</v>
      </c>
      <c r="F606">
        <v>0.15</v>
      </c>
      <c r="G606">
        <v>3.0000000000000001E-3</v>
      </c>
      <c r="H606">
        <v>2.58</v>
      </c>
      <c r="I606" t="s">
        <v>2340</v>
      </c>
      <c r="J606"/>
      <c r="K606" s="47"/>
      <c r="L606" s="47"/>
      <c r="M606" s="47"/>
      <c r="N606" s="47"/>
      <c r="O606" s="47"/>
      <c r="P606" s="47"/>
      <c r="Q606" s="47"/>
      <c r="R606" s="47"/>
      <c r="S606" s="47"/>
      <c r="T606" s="292" t="str">
        <f t="shared" si="60"/>
        <v>トラック・バス</v>
      </c>
      <c r="U606" s="283" t="str">
        <f t="shared" si="61"/>
        <v>軽油</v>
      </c>
      <c r="V606" s="283" t="str">
        <f t="shared" si="62"/>
        <v>3.5 t～</v>
      </c>
      <c r="W606" s="283" t="str">
        <f t="shared" si="63"/>
        <v>H17</v>
      </c>
      <c r="X606" s="284" t="str">
        <f t="shared" si="63"/>
        <v>AKG</v>
      </c>
      <c r="Y606" s="271"/>
      <c r="Z606" s="283">
        <f t="shared" si="64"/>
        <v>0.15</v>
      </c>
      <c r="AA606" s="283">
        <f t="shared" si="64"/>
        <v>3.0000000000000001E-3</v>
      </c>
      <c r="AB606" s="340">
        <f t="shared" si="64"/>
        <v>2.58</v>
      </c>
      <c r="AD606" s="436"/>
      <c r="AE606" s="436"/>
      <c r="AF606" s="436"/>
      <c r="AG606" s="436"/>
      <c r="AH606" s="436"/>
      <c r="AI606" s="436"/>
      <c r="AN606" s="436" t="s">
        <v>198</v>
      </c>
      <c r="AO606" s="47"/>
    </row>
    <row r="607" spans="1:41" s="266" customFormat="1">
      <c r="A607" t="str">
        <f t="shared" si="65"/>
        <v>貨4軽ACG</v>
      </c>
      <c r="B607" t="s">
        <v>2044</v>
      </c>
      <c r="C607" t="s">
        <v>2068</v>
      </c>
      <c r="D607" t="s">
        <v>1979</v>
      </c>
      <c r="E607" t="s">
        <v>1009</v>
      </c>
      <c r="F607">
        <v>7.4999999999999997E-2</v>
      </c>
      <c r="G607">
        <v>1.5E-3</v>
      </c>
      <c r="H607">
        <v>2.58</v>
      </c>
      <c r="I607" t="s">
        <v>239</v>
      </c>
      <c r="J607"/>
      <c r="K607" s="47"/>
      <c r="L607" s="47"/>
      <c r="M607" s="47"/>
      <c r="N607" s="47"/>
      <c r="O607" s="47"/>
      <c r="P607" s="47"/>
      <c r="Q607" s="47"/>
      <c r="R607" s="47"/>
      <c r="S607" s="47"/>
      <c r="T607" s="292" t="str">
        <f t="shared" si="60"/>
        <v>トラック・バス</v>
      </c>
      <c r="U607" s="283" t="str">
        <f t="shared" si="61"/>
        <v>軽油</v>
      </c>
      <c r="V607" s="283" t="str">
        <f t="shared" si="62"/>
        <v>3.5 t～</v>
      </c>
      <c r="W607" s="283" t="str">
        <f t="shared" si="63"/>
        <v>H17</v>
      </c>
      <c r="X607" s="284" t="str">
        <f t="shared" si="63"/>
        <v>ACG</v>
      </c>
      <c r="Y607" s="271"/>
      <c r="Z607" s="283">
        <f t="shared" si="64"/>
        <v>7.4999999999999997E-2</v>
      </c>
      <c r="AA607" s="283">
        <f t="shared" si="64"/>
        <v>1.5E-3</v>
      </c>
      <c r="AB607" s="340">
        <f t="shared" si="64"/>
        <v>2.58</v>
      </c>
      <c r="AD607" s="436"/>
      <c r="AE607" s="436"/>
      <c r="AF607" s="436"/>
      <c r="AG607" s="436"/>
      <c r="AH607" s="436"/>
      <c r="AI607" s="436"/>
      <c r="AN607" s="47" t="s">
        <v>2563</v>
      </c>
      <c r="AO607" s="47"/>
    </row>
    <row r="608" spans="1:41" s="436" customFormat="1">
      <c r="A608" t="str">
        <f t="shared" si="65"/>
        <v>貨4軽AJG</v>
      </c>
      <c r="B608" t="s">
        <v>2044</v>
      </c>
      <c r="C608" t="s">
        <v>2068</v>
      </c>
      <c r="D608" t="s">
        <v>1979</v>
      </c>
      <c r="E608" t="s">
        <v>1011</v>
      </c>
      <c r="F608">
        <v>7.4999999999999997E-2</v>
      </c>
      <c r="G608">
        <v>1.5E-3</v>
      </c>
      <c r="H608">
        <v>2.58</v>
      </c>
      <c r="I608" t="s">
        <v>239</v>
      </c>
      <c r="J608"/>
      <c r="K608" s="47"/>
      <c r="L608" s="47"/>
      <c r="M608" s="47"/>
      <c r="N608" s="47"/>
      <c r="O608" s="47"/>
      <c r="P608" s="47"/>
      <c r="Q608" s="47"/>
      <c r="R608" s="47"/>
      <c r="S608" s="47"/>
      <c r="T608" s="292" t="str">
        <f t="shared" si="60"/>
        <v>トラック・バス</v>
      </c>
      <c r="U608" s="283" t="str">
        <f t="shared" si="61"/>
        <v>軽油</v>
      </c>
      <c r="V608" s="283" t="str">
        <f t="shared" si="62"/>
        <v>3.5 t～</v>
      </c>
      <c r="W608" s="283" t="str">
        <f t="shared" si="63"/>
        <v>H17</v>
      </c>
      <c r="X608" s="284" t="str">
        <f t="shared" si="63"/>
        <v>AJG</v>
      </c>
      <c r="Y608" s="271"/>
      <c r="Z608" s="283">
        <f t="shared" si="64"/>
        <v>7.4999999999999997E-2</v>
      </c>
      <c r="AA608" s="283">
        <f t="shared" si="64"/>
        <v>1.5E-3</v>
      </c>
      <c r="AB608" s="340">
        <f t="shared" si="64"/>
        <v>2.58</v>
      </c>
      <c r="AN608" s="47" t="s">
        <v>2564</v>
      </c>
      <c r="AO608" s="47"/>
    </row>
    <row r="609" spans="1:41" s="436" customFormat="1">
      <c r="A609" t="str">
        <f t="shared" si="65"/>
        <v>貨4軽AMG</v>
      </c>
      <c r="B609" t="s">
        <v>2044</v>
      </c>
      <c r="C609" t="s">
        <v>2068</v>
      </c>
      <c r="D609" t="s">
        <v>1979</v>
      </c>
      <c r="E609" t="s">
        <v>2834</v>
      </c>
      <c r="F609">
        <v>3.7499999999999999E-2</v>
      </c>
      <c r="G609">
        <v>7.5000000000000002E-4</v>
      </c>
      <c r="H609">
        <v>2.58</v>
      </c>
      <c r="I609" t="s">
        <v>2490</v>
      </c>
      <c r="J609"/>
      <c r="K609" s="47"/>
      <c r="L609" s="47"/>
      <c r="M609" s="47"/>
      <c r="N609" s="47"/>
      <c r="O609" s="47"/>
      <c r="P609" s="47"/>
      <c r="Q609" s="47"/>
      <c r="R609" s="47"/>
      <c r="S609" s="47"/>
      <c r="T609" s="292" t="str">
        <f t="shared" si="60"/>
        <v>トラック・バス</v>
      </c>
      <c r="U609" s="283" t="str">
        <f t="shared" si="61"/>
        <v>軽油</v>
      </c>
      <c r="V609" s="283" t="str">
        <f t="shared" si="62"/>
        <v>3.5 t～</v>
      </c>
      <c r="W609" s="283" t="str">
        <f t="shared" si="63"/>
        <v>H17</v>
      </c>
      <c r="X609" s="284" t="str">
        <f t="shared" si="63"/>
        <v>AMG</v>
      </c>
      <c r="Y609" s="271"/>
      <c r="Z609" s="283">
        <f t="shared" si="64"/>
        <v>3.7499999999999999E-2</v>
      </c>
      <c r="AA609" s="283">
        <f t="shared" si="64"/>
        <v>7.5000000000000002E-4</v>
      </c>
      <c r="AB609" s="340">
        <f t="shared" si="64"/>
        <v>2.58</v>
      </c>
      <c r="AN609" s="266" t="s">
        <v>2565</v>
      </c>
      <c r="AO609" s="47"/>
    </row>
    <row r="610" spans="1:41" s="436" customFormat="1">
      <c r="A610" t="str">
        <f t="shared" si="65"/>
        <v>貨4軽BCG</v>
      </c>
      <c r="B610" t="s">
        <v>2044</v>
      </c>
      <c r="C610" t="s">
        <v>2068</v>
      </c>
      <c r="D610" t="s">
        <v>1979</v>
      </c>
      <c r="E610" t="s">
        <v>2069</v>
      </c>
      <c r="F610">
        <v>0.13500000000000001</v>
      </c>
      <c r="G610">
        <v>2.7000000000000001E-3</v>
      </c>
      <c r="H610">
        <v>2.58</v>
      </c>
      <c r="I610" t="s">
        <v>239</v>
      </c>
      <c r="J610"/>
      <c r="K610" s="266"/>
      <c r="L610" s="266"/>
      <c r="M610" s="266"/>
      <c r="N610" s="266"/>
      <c r="O610" s="266"/>
      <c r="P610" s="266"/>
      <c r="Q610" s="266"/>
      <c r="R610" s="266"/>
      <c r="S610" s="266"/>
      <c r="T610" s="292" t="str">
        <f t="shared" si="60"/>
        <v>トラック・バス</v>
      </c>
      <c r="U610" s="283" t="str">
        <f t="shared" si="61"/>
        <v>軽油</v>
      </c>
      <c r="V610" s="283" t="str">
        <f t="shared" si="62"/>
        <v>3.5 t～</v>
      </c>
      <c r="W610" s="283" t="str">
        <f t="shared" si="63"/>
        <v>H17</v>
      </c>
      <c r="X610" s="284" t="str">
        <f t="shared" si="63"/>
        <v>BCG</v>
      </c>
      <c r="Y610" s="271" t="s">
        <v>2398</v>
      </c>
      <c r="Z610" s="283">
        <f t="shared" si="64"/>
        <v>0.13500000000000001</v>
      </c>
      <c r="AA610" s="283">
        <f t="shared" si="64"/>
        <v>2.7000000000000001E-3</v>
      </c>
      <c r="AB610" s="340">
        <f t="shared" si="64"/>
        <v>2.58</v>
      </c>
      <c r="AN610" s="47" t="s">
        <v>2566</v>
      </c>
      <c r="AO610" s="47"/>
    </row>
    <row r="611" spans="1:41" s="436" customFormat="1">
      <c r="A611" t="str">
        <f t="shared" si="65"/>
        <v>貨4軽BJG</v>
      </c>
      <c r="B611" t="s">
        <v>2044</v>
      </c>
      <c r="C611" t="s">
        <v>2068</v>
      </c>
      <c r="D611" t="s">
        <v>1979</v>
      </c>
      <c r="E611" t="s">
        <v>1014</v>
      </c>
      <c r="F611">
        <v>0.13500000000000001</v>
      </c>
      <c r="G611">
        <v>2.7000000000000001E-3</v>
      </c>
      <c r="H611">
        <v>2.58</v>
      </c>
      <c r="I611" t="s">
        <v>239</v>
      </c>
      <c r="J611"/>
      <c r="K611" s="266"/>
      <c r="L611" s="266"/>
      <c r="M611" s="266"/>
      <c r="N611" s="266"/>
      <c r="O611" s="266"/>
      <c r="P611" s="266"/>
      <c r="Q611" s="266"/>
      <c r="R611" s="266"/>
      <c r="S611" s="266"/>
      <c r="T611" s="292" t="str">
        <f t="shared" si="60"/>
        <v>トラック・バス</v>
      </c>
      <c r="U611" s="283" t="str">
        <f t="shared" si="61"/>
        <v>軽油</v>
      </c>
      <c r="V611" s="283" t="str">
        <f t="shared" si="62"/>
        <v>3.5 t～</v>
      </c>
      <c r="W611" s="283" t="str">
        <f t="shared" si="63"/>
        <v>H17</v>
      </c>
      <c r="X611" s="284" t="str">
        <f t="shared" si="63"/>
        <v>BJG</v>
      </c>
      <c r="Y611" s="271" t="s">
        <v>2398</v>
      </c>
      <c r="Z611" s="283">
        <f t="shared" si="64"/>
        <v>0.13500000000000001</v>
      </c>
      <c r="AA611" s="283">
        <f t="shared" si="64"/>
        <v>2.7000000000000001E-3</v>
      </c>
      <c r="AB611" s="340">
        <f t="shared" si="64"/>
        <v>2.58</v>
      </c>
      <c r="AN611" s="47" t="s">
        <v>2567</v>
      </c>
      <c r="AO611" s="47"/>
    </row>
    <row r="612" spans="1:41" s="436" customFormat="1">
      <c r="A612" t="str">
        <f t="shared" si="65"/>
        <v>貨4軽BDG</v>
      </c>
      <c r="B612" t="s">
        <v>2044</v>
      </c>
      <c r="C612" t="s">
        <v>2068</v>
      </c>
      <c r="D612" t="s">
        <v>1979</v>
      </c>
      <c r="E612" t="s">
        <v>2070</v>
      </c>
      <c r="F612">
        <v>0.13500000000000001</v>
      </c>
      <c r="G612">
        <v>2.7000000000000001E-3</v>
      </c>
      <c r="H612">
        <v>2.58</v>
      </c>
      <c r="I612" t="s">
        <v>573</v>
      </c>
      <c r="J612"/>
      <c r="K612" s="266"/>
      <c r="L612" s="266"/>
      <c r="M612" s="266"/>
      <c r="N612" s="266"/>
      <c r="O612" s="266"/>
      <c r="P612" s="266"/>
      <c r="Q612" s="266"/>
      <c r="R612" s="266"/>
      <c r="S612" s="266"/>
      <c r="T612" s="292" t="str">
        <f t="shared" si="60"/>
        <v>トラック・バス</v>
      </c>
      <c r="U612" s="283" t="str">
        <f t="shared" si="61"/>
        <v>軽油</v>
      </c>
      <c r="V612" s="283" t="str">
        <f t="shared" si="62"/>
        <v>3.5 t～</v>
      </c>
      <c r="W612" s="283" t="str">
        <f t="shared" si="63"/>
        <v>H17</v>
      </c>
      <c r="X612" s="284" t="str">
        <f t="shared" si="63"/>
        <v>BDG</v>
      </c>
      <c r="Y612" s="271" t="s">
        <v>2398</v>
      </c>
      <c r="Z612" s="283">
        <f t="shared" si="64"/>
        <v>0.13500000000000001</v>
      </c>
      <c r="AA612" s="283">
        <f t="shared" si="64"/>
        <v>2.7000000000000001E-3</v>
      </c>
      <c r="AB612" s="340">
        <f t="shared" si="64"/>
        <v>2.58</v>
      </c>
      <c r="AN612" s="47" t="s">
        <v>2568</v>
      </c>
      <c r="AO612" s="47"/>
    </row>
    <row r="613" spans="1:41" s="436" customFormat="1">
      <c r="A613" t="str">
        <f t="shared" si="65"/>
        <v>貨4軽BKG</v>
      </c>
      <c r="B613" t="s">
        <v>2044</v>
      </c>
      <c r="C613" t="s">
        <v>2068</v>
      </c>
      <c r="D613" t="s">
        <v>1979</v>
      </c>
      <c r="E613" t="s">
        <v>1017</v>
      </c>
      <c r="F613">
        <v>0.13500000000000001</v>
      </c>
      <c r="G613">
        <v>2.7000000000000001E-3</v>
      </c>
      <c r="H613">
        <v>2.58</v>
      </c>
      <c r="I613" t="s">
        <v>573</v>
      </c>
      <c r="J613"/>
      <c r="K613" s="266"/>
      <c r="L613" s="266"/>
      <c r="M613" s="266"/>
      <c r="N613" s="266"/>
      <c r="O613" s="266"/>
      <c r="P613" s="266"/>
      <c r="Q613" s="266"/>
      <c r="R613" s="266"/>
      <c r="S613" s="266"/>
      <c r="T613" s="292" t="str">
        <f t="shared" si="60"/>
        <v>トラック・バス</v>
      </c>
      <c r="U613" s="283" t="str">
        <f t="shared" si="61"/>
        <v>軽油</v>
      </c>
      <c r="V613" s="283" t="str">
        <f t="shared" si="62"/>
        <v>3.5 t～</v>
      </c>
      <c r="W613" s="283" t="str">
        <f t="shared" si="63"/>
        <v>H17</v>
      </c>
      <c r="X613" s="284" t="str">
        <f t="shared" si="63"/>
        <v>BKG</v>
      </c>
      <c r="Y613" s="271" t="s">
        <v>2398</v>
      </c>
      <c r="Z613" s="283">
        <f t="shared" si="64"/>
        <v>0.13500000000000001</v>
      </c>
      <c r="AA613" s="283">
        <f t="shared" si="64"/>
        <v>2.7000000000000001E-3</v>
      </c>
      <c r="AB613" s="340">
        <f t="shared" si="64"/>
        <v>2.58</v>
      </c>
      <c r="AN613" s="47" t="s">
        <v>2569</v>
      </c>
      <c r="AO613" s="47"/>
    </row>
    <row r="614" spans="1:41" s="436" customFormat="1">
      <c r="A614" t="str">
        <f t="shared" si="65"/>
        <v>貨4軽BMG</v>
      </c>
      <c r="B614" t="s">
        <v>2044</v>
      </c>
      <c r="C614" t="s">
        <v>2068</v>
      </c>
      <c r="D614" t="s">
        <v>1979</v>
      </c>
      <c r="E614" t="s">
        <v>2835</v>
      </c>
      <c r="F614">
        <v>0.13500000000000001</v>
      </c>
      <c r="G614">
        <v>2.7000000000000001E-3</v>
      </c>
      <c r="H614">
        <v>2.58</v>
      </c>
      <c r="I614" t="s">
        <v>2490</v>
      </c>
      <c r="J614"/>
      <c r="T614" s="292" t="str">
        <f t="shared" si="60"/>
        <v>トラック・バス</v>
      </c>
      <c r="U614" s="283" t="str">
        <f t="shared" si="61"/>
        <v>軽油</v>
      </c>
      <c r="V614" s="283" t="str">
        <f t="shared" si="62"/>
        <v>3.5 t～</v>
      </c>
      <c r="W614" s="283" t="str">
        <f t="shared" si="63"/>
        <v>H17</v>
      </c>
      <c r="X614" s="284" t="str">
        <f t="shared" si="63"/>
        <v>BMG</v>
      </c>
      <c r="Y614" s="271" t="s">
        <v>2398</v>
      </c>
      <c r="Z614" s="283">
        <f t="shared" si="64"/>
        <v>0.13500000000000001</v>
      </c>
      <c r="AA614" s="283">
        <f t="shared" si="64"/>
        <v>2.7000000000000001E-3</v>
      </c>
      <c r="AB614" s="340">
        <f t="shared" si="64"/>
        <v>2.58</v>
      </c>
      <c r="AD614" s="47"/>
      <c r="AE614" s="47"/>
      <c r="AF614" s="47"/>
      <c r="AG614" s="47"/>
      <c r="AH614" s="47"/>
      <c r="AI614" s="47"/>
      <c r="AN614" s="47" t="s">
        <v>2570</v>
      </c>
      <c r="AO614" s="47"/>
    </row>
    <row r="615" spans="1:41" s="436" customFormat="1">
      <c r="A615" t="str">
        <f t="shared" si="65"/>
        <v>貨4軽NCG</v>
      </c>
      <c r="B615" t="s">
        <v>2044</v>
      </c>
      <c r="C615" t="s">
        <v>2068</v>
      </c>
      <c r="D615" t="s">
        <v>1979</v>
      </c>
      <c r="E615" t="s">
        <v>1031</v>
      </c>
      <c r="F615">
        <v>0.13500000000000001</v>
      </c>
      <c r="G615">
        <v>3.0000000000000001E-3</v>
      </c>
      <c r="H615">
        <v>2.58</v>
      </c>
      <c r="I615" t="s">
        <v>239</v>
      </c>
      <c r="J615"/>
      <c r="T615" s="292" t="str">
        <f t="shared" si="60"/>
        <v>トラック・バス</v>
      </c>
      <c r="U615" s="283" t="str">
        <f t="shared" si="61"/>
        <v>軽油</v>
      </c>
      <c r="V615" s="283" t="str">
        <f t="shared" si="62"/>
        <v>3.5 t～</v>
      </c>
      <c r="W615" s="283" t="str">
        <f t="shared" si="63"/>
        <v>H17</v>
      </c>
      <c r="X615" s="284" t="str">
        <f t="shared" si="63"/>
        <v>NCG</v>
      </c>
      <c r="Y615" s="271" t="s">
        <v>2398</v>
      </c>
      <c r="Z615" s="283">
        <f t="shared" si="64"/>
        <v>0.13500000000000001</v>
      </c>
      <c r="AA615" s="283">
        <f t="shared" si="64"/>
        <v>3.0000000000000001E-3</v>
      </c>
      <c r="AB615" s="340">
        <f t="shared" si="64"/>
        <v>2.58</v>
      </c>
      <c r="AD615" s="47"/>
      <c r="AE615" s="47"/>
      <c r="AF615" s="47"/>
      <c r="AG615" s="47"/>
      <c r="AH615" s="47"/>
      <c r="AI615" s="47"/>
      <c r="AN615" s="47" t="s">
        <v>2571</v>
      </c>
      <c r="AO615" s="47"/>
    </row>
    <row r="616" spans="1:41">
      <c r="A616" t="str">
        <f t="shared" si="65"/>
        <v>貨4軽NJG</v>
      </c>
      <c r="B616" t="s">
        <v>2044</v>
      </c>
      <c r="C616" t="s">
        <v>2068</v>
      </c>
      <c r="D616" t="s">
        <v>1979</v>
      </c>
      <c r="E616" t="s">
        <v>1033</v>
      </c>
      <c r="F616">
        <v>0.13500000000000001</v>
      </c>
      <c r="G616">
        <v>3.0000000000000001E-3</v>
      </c>
      <c r="H616">
        <v>2.58</v>
      </c>
      <c r="I616" t="s">
        <v>239</v>
      </c>
      <c r="J616"/>
      <c r="K616" s="436"/>
      <c r="L616" s="436"/>
      <c r="M616" s="436"/>
      <c r="N616" s="436"/>
      <c r="O616" s="436"/>
      <c r="P616" s="436"/>
      <c r="Q616" s="436"/>
      <c r="R616" s="436"/>
      <c r="S616" s="436"/>
      <c r="T616" s="292" t="str">
        <f t="shared" si="60"/>
        <v>トラック・バス</v>
      </c>
      <c r="U616" s="283" t="str">
        <f t="shared" si="61"/>
        <v>軽油</v>
      </c>
      <c r="V616" s="283" t="str">
        <f t="shared" si="62"/>
        <v>3.5 t～</v>
      </c>
      <c r="W616" s="283" t="str">
        <f t="shared" si="63"/>
        <v>H17</v>
      </c>
      <c r="X616" s="284" t="str">
        <f t="shared" si="63"/>
        <v>NJG</v>
      </c>
      <c r="Y616" s="271" t="s">
        <v>2398</v>
      </c>
      <c r="Z616" s="283">
        <f t="shared" si="64"/>
        <v>0.13500000000000001</v>
      </c>
      <c r="AA616" s="283">
        <f t="shared" si="64"/>
        <v>3.0000000000000001E-3</v>
      </c>
      <c r="AB616" s="340">
        <f t="shared" si="64"/>
        <v>2.58</v>
      </c>
      <c r="AN616" s="47" t="s">
        <v>2572</v>
      </c>
    </row>
    <row r="617" spans="1:41">
      <c r="A617" t="str">
        <f t="shared" si="65"/>
        <v>貨4軽NDG</v>
      </c>
      <c r="B617" t="s">
        <v>2044</v>
      </c>
      <c r="C617" t="s">
        <v>2068</v>
      </c>
      <c r="D617" t="s">
        <v>1979</v>
      </c>
      <c r="E617" t="s">
        <v>1035</v>
      </c>
      <c r="F617">
        <v>0.13500000000000001</v>
      </c>
      <c r="G617">
        <v>3.0000000000000001E-3</v>
      </c>
      <c r="H617">
        <v>2.58</v>
      </c>
      <c r="I617" t="s">
        <v>573</v>
      </c>
      <c r="J617"/>
      <c r="K617" s="436"/>
      <c r="L617" s="436"/>
      <c r="M617" s="436"/>
      <c r="N617" s="436"/>
      <c r="O617" s="436"/>
      <c r="P617" s="436"/>
      <c r="Q617" s="436"/>
      <c r="R617" s="436"/>
      <c r="S617" s="436"/>
      <c r="T617" s="292" t="str">
        <f t="shared" si="60"/>
        <v>トラック・バス</v>
      </c>
      <c r="U617" s="283" t="str">
        <f t="shared" si="61"/>
        <v>軽油</v>
      </c>
      <c r="V617" s="283" t="str">
        <f t="shared" si="62"/>
        <v>3.5 t～</v>
      </c>
      <c r="W617" s="283" t="str">
        <f t="shared" si="63"/>
        <v>H17</v>
      </c>
      <c r="X617" s="284" t="str">
        <f t="shared" si="63"/>
        <v>NDG</v>
      </c>
      <c r="Y617" s="271" t="s">
        <v>2398</v>
      </c>
      <c r="Z617" s="283">
        <f t="shared" si="64"/>
        <v>0.13500000000000001</v>
      </c>
      <c r="AA617" s="283">
        <f t="shared" si="64"/>
        <v>3.0000000000000001E-3</v>
      </c>
      <c r="AB617" s="340">
        <f t="shared" si="64"/>
        <v>2.58</v>
      </c>
      <c r="AN617" s="47" t="s">
        <v>2573</v>
      </c>
    </row>
    <row r="618" spans="1:41">
      <c r="A618" t="str">
        <f t="shared" si="65"/>
        <v>貨4軽NKG</v>
      </c>
      <c r="B618" t="s">
        <v>2044</v>
      </c>
      <c r="C618" t="s">
        <v>2068</v>
      </c>
      <c r="D618" t="s">
        <v>1979</v>
      </c>
      <c r="E618" t="s">
        <v>1037</v>
      </c>
      <c r="F618">
        <v>0.13500000000000001</v>
      </c>
      <c r="G618">
        <v>3.0000000000000001E-3</v>
      </c>
      <c r="H618">
        <v>2.58</v>
      </c>
      <c r="I618" t="s">
        <v>573</v>
      </c>
      <c r="J618"/>
      <c r="K618" s="436"/>
      <c r="L618" s="436"/>
      <c r="M618" s="436"/>
      <c r="N618" s="436"/>
      <c r="O618" s="436"/>
      <c r="P618" s="436"/>
      <c r="Q618" s="436"/>
      <c r="R618" s="436"/>
      <c r="S618" s="436"/>
      <c r="T618" s="292" t="str">
        <f t="shared" si="60"/>
        <v>トラック・バス</v>
      </c>
      <c r="U618" s="283" t="str">
        <f t="shared" si="61"/>
        <v>軽油</v>
      </c>
      <c r="V618" s="283" t="str">
        <f t="shared" si="62"/>
        <v>3.5 t～</v>
      </c>
      <c r="W618" s="283" t="str">
        <f t="shared" si="63"/>
        <v>H17</v>
      </c>
      <c r="X618" s="284" t="str">
        <f t="shared" si="63"/>
        <v>NKG</v>
      </c>
      <c r="Y618" s="271" t="s">
        <v>2398</v>
      </c>
      <c r="Z618" s="283">
        <f t="shared" si="64"/>
        <v>0.13500000000000001</v>
      </c>
      <c r="AA618" s="283">
        <f t="shared" si="64"/>
        <v>3.0000000000000001E-3</v>
      </c>
      <c r="AB618" s="340">
        <f t="shared" si="64"/>
        <v>2.58</v>
      </c>
      <c r="AN618" s="47" t="s">
        <v>2574</v>
      </c>
    </row>
    <row r="619" spans="1:41">
      <c r="A619" t="str">
        <f t="shared" si="65"/>
        <v>貨4軽NMG</v>
      </c>
      <c r="B619" t="s">
        <v>2044</v>
      </c>
      <c r="C619" t="s">
        <v>2068</v>
      </c>
      <c r="D619" t="s">
        <v>1979</v>
      </c>
      <c r="E619" t="s">
        <v>2836</v>
      </c>
      <c r="F619">
        <v>0.13500000000000001</v>
      </c>
      <c r="G619">
        <v>3.0000000000000001E-3</v>
      </c>
      <c r="H619">
        <v>2.58</v>
      </c>
      <c r="I619" t="s">
        <v>2490</v>
      </c>
      <c r="J619"/>
      <c r="K619" s="436"/>
      <c r="L619" s="436"/>
      <c r="M619" s="436"/>
      <c r="N619" s="436"/>
      <c r="O619" s="436"/>
      <c r="P619" s="436"/>
      <c r="Q619" s="436"/>
      <c r="R619" s="436"/>
      <c r="S619" s="436"/>
      <c r="T619" s="292" t="str">
        <f t="shared" si="60"/>
        <v>トラック・バス</v>
      </c>
      <c r="U619" s="283" t="str">
        <f t="shared" si="61"/>
        <v>軽油</v>
      </c>
      <c r="V619" s="283" t="str">
        <f t="shared" si="62"/>
        <v>3.5 t～</v>
      </c>
      <c r="W619" s="283" t="str">
        <f t="shared" si="63"/>
        <v>H17</v>
      </c>
      <c r="X619" s="284" t="str">
        <f t="shared" si="63"/>
        <v>NMG</v>
      </c>
      <c r="Y619" s="271" t="s">
        <v>2398</v>
      </c>
      <c r="Z619" s="283">
        <f t="shared" si="64"/>
        <v>0.13500000000000001</v>
      </c>
      <c r="AA619" s="283">
        <f t="shared" si="64"/>
        <v>3.0000000000000001E-3</v>
      </c>
      <c r="AB619" s="340">
        <f t="shared" si="64"/>
        <v>2.58</v>
      </c>
      <c r="AN619" s="47" t="s">
        <v>2575</v>
      </c>
    </row>
    <row r="620" spans="1:41">
      <c r="A620" t="str">
        <f t="shared" si="65"/>
        <v>貨4軽PCG</v>
      </c>
      <c r="B620" t="s">
        <v>2044</v>
      </c>
      <c r="C620" t="s">
        <v>2068</v>
      </c>
      <c r="D620" t="s">
        <v>1979</v>
      </c>
      <c r="E620" t="s">
        <v>1039</v>
      </c>
      <c r="F620">
        <v>0.15</v>
      </c>
      <c r="G620">
        <v>2.7000000000000001E-3</v>
      </c>
      <c r="H620">
        <v>2.58</v>
      </c>
      <c r="I620" t="s">
        <v>239</v>
      </c>
      <c r="J620"/>
      <c r="K620" s="436"/>
      <c r="L620" s="436"/>
      <c r="M620" s="436"/>
      <c r="N620" s="436"/>
      <c r="O620" s="436"/>
      <c r="P620" s="436"/>
      <c r="Q620" s="436"/>
      <c r="R620" s="436"/>
      <c r="S620" s="436"/>
      <c r="T620" s="292" t="str">
        <f t="shared" si="60"/>
        <v>トラック・バス</v>
      </c>
      <c r="U620" s="283" t="str">
        <f t="shared" si="61"/>
        <v>軽油</v>
      </c>
      <c r="V620" s="283" t="str">
        <f t="shared" si="62"/>
        <v>3.5 t～</v>
      </c>
      <c r="W620" s="283" t="str">
        <f t="shared" si="63"/>
        <v>H17</v>
      </c>
      <c r="X620" s="284" t="str">
        <f t="shared" si="63"/>
        <v>PCG</v>
      </c>
      <c r="Y620" s="271" t="s">
        <v>2401</v>
      </c>
      <c r="Z620" s="283">
        <f t="shared" si="64"/>
        <v>0.15</v>
      </c>
      <c r="AA620" s="283">
        <f t="shared" si="64"/>
        <v>2.7000000000000001E-3</v>
      </c>
      <c r="AB620" s="340">
        <f t="shared" si="64"/>
        <v>2.58</v>
      </c>
      <c r="AN620" s="47" t="s">
        <v>2576</v>
      </c>
    </row>
    <row r="621" spans="1:41">
      <c r="A621" t="str">
        <f t="shared" si="65"/>
        <v>貨4軽PJG</v>
      </c>
      <c r="B621" t="s">
        <v>2044</v>
      </c>
      <c r="C621" t="s">
        <v>2068</v>
      </c>
      <c r="D621" t="s">
        <v>1979</v>
      </c>
      <c r="E621" t="s">
        <v>1041</v>
      </c>
      <c r="F621">
        <v>0.15</v>
      </c>
      <c r="G621">
        <v>2.7000000000000001E-3</v>
      </c>
      <c r="H621">
        <v>2.58</v>
      </c>
      <c r="I621" t="s">
        <v>239</v>
      </c>
      <c r="J621"/>
      <c r="K621" s="436"/>
      <c r="L621" s="436"/>
      <c r="M621" s="436"/>
      <c r="N621" s="436"/>
      <c r="O621" s="436"/>
      <c r="P621" s="436"/>
      <c r="Q621" s="436"/>
      <c r="R621" s="436"/>
      <c r="S621" s="436"/>
      <c r="T621" s="292" t="str">
        <f t="shared" si="60"/>
        <v>トラック・バス</v>
      </c>
      <c r="U621" s="283" t="str">
        <f t="shared" si="61"/>
        <v>軽油</v>
      </c>
      <c r="V621" s="283" t="str">
        <f t="shared" si="62"/>
        <v>3.5 t～</v>
      </c>
      <c r="W621" s="283" t="str">
        <f t="shared" si="63"/>
        <v>H17</v>
      </c>
      <c r="X621" s="284" t="str">
        <f t="shared" si="63"/>
        <v>PJG</v>
      </c>
      <c r="Y621" s="271" t="s">
        <v>2401</v>
      </c>
      <c r="Z621" s="283">
        <f t="shared" si="64"/>
        <v>0.15</v>
      </c>
      <c r="AA621" s="283">
        <f t="shared" si="64"/>
        <v>2.7000000000000001E-3</v>
      </c>
      <c r="AB621" s="340">
        <f t="shared" si="64"/>
        <v>2.58</v>
      </c>
      <c r="AN621" s="47" t="s">
        <v>2577</v>
      </c>
    </row>
    <row r="622" spans="1:41">
      <c r="A622" t="str">
        <f t="shared" si="65"/>
        <v>貨4軽PDG</v>
      </c>
      <c r="B622" t="s">
        <v>2044</v>
      </c>
      <c r="C622" t="s">
        <v>2068</v>
      </c>
      <c r="D622" t="s">
        <v>1979</v>
      </c>
      <c r="E622" t="s">
        <v>1043</v>
      </c>
      <c r="F622">
        <v>0.15</v>
      </c>
      <c r="G622">
        <v>2.7000000000000001E-3</v>
      </c>
      <c r="H622">
        <v>2.58</v>
      </c>
      <c r="I622" t="s">
        <v>573</v>
      </c>
      <c r="J622"/>
      <c r="T622" s="292" t="str">
        <f t="shared" si="60"/>
        <v>トラック・バス</v>
      </c>
      <c r="U622" s="283" t="str">
        <f t="shared" si="61"/>
        <v>軽油</v>
      </c>
      <c r="V622" s="283" t="str">
        <f t="shared" si="62"/>
        <v>3.5 t～</v>
      </c>
      <c r="W622" s="283" t="str">
        <f t="shared" si="63"/>
        <v>H17</v>
      </c>
      <c r="X622" s="284" t="str">
        <f t="shared" si="63"/>
        <v>PDG</v>
      </c>
      <c r="Y622" s="271" t="s">
        <v>2401</v>
      </c>
      <c r="Z622" s="283">
        <f t="shared" si="64"/>
        <v>0.15</v>
      </c>
      <c r="AA622" s="283">
        <f t="shared" si="64"/>
        <v>2.7000000000000001E-3</v>
      </c>
      <c r="AB622" s="340">
        <f t="shared" si="64"/>
        <v>2.58</v>
      </c>
      <c r="AN622" s="47" t="s">
        <v>2578</v>
      </c>
    </row>
    <row r="623" spans="1:41">
      <c r="A623" t="str">
        <f t="shared" si="65"/>
        <v>貨4軽PKG</v>
      </c>
      <c r="B623" t="s">
        <v>2044</v>
      </c>
      <c r="C623" t="s">
        <v>2068</v>
      </c>
      <c r="D623" t="s">
        <v>1979</v>
      </c>
      <c r="E623" t="s">
        <v>1045</v>
      </c>
      <c r="F623">
        <v>0.15</v>
      </c>
      <c r="G623">
        <v>2.7000000000000001E-3</v>
      </c>
      <c r="H623">
        <v>2.58</v>
      </c>
      <c r="I623" t="s">
        <v>573</v>
      </c>
      <c r="J623"/>
      <c r="T623" s="292" t="str">
        <f t="shared" si="60"/>
        <v>トラック・バス</v>
      </c>
      <c r="U623" s="283" t="str">
        <f t="shared" si="61"/>
        <v>軽油</v>
      </c>
      <c r="V623" s="283" t="str">
        <f t="shared" si="62"/>
        <v>3.5 t～</v>
      </c>
      <c r="W623" s="283" t="str">
        <f t="shared" si="63"/>
        <v>H17</v>
      </c>
      <c r="X623" s="284" t="str">
        <f t="shared" si="63"/>
        <v>PKG</v>
      </c>
      <c r="Y623" s="271" t="s">
        <v>2401</v>
      </c>
      <c r="Z623" s="283">
        <f t="shared" si="64"/>
        <v>0.15</v>
      </c>
      <c r="AA623" s="283">
        <f t="shared" si="64"/>
        <v>2.7000000000000001E-3</v>
      </c>
      <c r="AB623" s="340">
        <f t="shared" si="64"/>
        <v>2.58</v>
      </c>
      <c r="AN623" s="47" t="s">
        <v>2579</v>
      </c>
    </row>
    <row r="624" spans="1:41">
      <c r="A624" t="str">
        <f t="shared" si="65"/>
        <v>貨4軽PMG</v>
      </c>
      <c r="B624" t="s">
        <v>2044</v>
      </c>
      <c r="C624" t="s">
        <v>2068</v>
      </c>
      <c r="D624" t="s">
        <v>1979</v>
      </c>
      <c r="E624" t="s">
        <v>2837</v>
      </c>
      <c r="F624">
        <v>0.15</v>
      </c>
      <c r="G624">
        <v>2.7000000000000001E-3</v>
      </c>
      <c r="H624">
        <v>2.58</v>
      </c>
      <c r="I624" t="s">
        <v>2490</v>
      </c>
      <c r="J624"/>
      <c r="T624" s="292" t="str">
        <f t="shared" si="60"/>
        <v>トラック・バス</v>
      </c>
      <c r="U624" s="283" t="str">
        <f t="shared" si="61"/>
        <v>軽油</v>
      </c>
      <c r="V624" s="283" t="str">
        <f t="shared" si="62"/>
        <v>3.5 t～</v>
      </c>
      <c r="W624" s="283" t="str">
        <f t="shared" si="63"/>
        <v>H17</v>
      </c>
      <c r="X624" s="284" t="str">
        <f t="shared" si="63"/>
        <v>PMG</v>
      </c>
      <c r="Y624" s="271" t="s">
        <v>2401</v>
      </c>
      <c r="Z624" s="283">
        <f t="shared" si="64"/>
        <v>0.15</v>
      </c>
      <c r="AA624" s="283">
        <f t="shared" si="64"/>
        <v>2.7000000000000001E-3</v>
      </c>
      <c r="AB624" s="340">
        <f t="shared" si="64"/>
        <v>2.58</v>
      </c>
      <c r="AN624" s="47" t="s">
        <v>2580</v>
      </c>
    </row>
    <row r="625" spans="1:41">
      <c r="A625" t="str">
        <f t="shared" si="65"/>
        <v>貨4軽LDG</v>
      </c>
      <c r="B625" t="s">
        <v>2838</v>
      </c>
      <c r="C625" s="453" t="s">
        <v>2068</v>
      </c>
      <c r="D625" t="s">
        <v>2382</v>
      </c>
      <c r="E625" t="s">
        <v>1047</v>
      </c>
      <c r="F625">
        <v>0.05</v>
      </c>
      <c r="G625">
        <v>1E-3</v>
      </c>
      <c r="H625">
        <v>2.58</v>
      </c>
      <c r="I625" t="s">
        <v>607</v>
      </c>
      <c r="J625"/>
      <c r="T625" s="292" t="str">
        <f t="shared" si="60"/>
        <v>トラック・バス</v>
      </c>
      <c r="U625" s="283" t="str">
        <f t="shared" si="61"/>
        <v>軽油</v>
      </c>
      <c r="V625" s="283" t="str">
        <f t="shared" si="62"/>
        <v>3.5 t～</v>
      </c>
      <c r="W625" s="283" t="str">
        <f t="shared" si="63"/>
        <v>H21</v>
      </c>
      <c r="X625" s="284" t="str">
        <f t="shared" si="63"/>
        <v>LDG</v>
      </c>
      <c r="Y625" s="271"/>
      <c r="Z625" s="283">
        <f t="shared" si="64"/>
        <v>0.05</v>
      </c>
      <c r="AA625" s="283">
        <f t="shared" si="64"/>
        <v>1E-3</v>
      </c>
      <c r="AB625" s="340">
        <f t="shared" si="64"/>
        <v>2.58</v>
      </c>
      <c r="AD625" s="436"/>
      <c r="AE625" s="436"/>
      <c r="AF625" s="436"/>
      <c r="AG625" s="436"/>
      <c r="AH625" s="436"/>
      <c r="AI625" s="436"/>
      <c r="AN625" s="47" t="s">
        <v>2581</v>
      </c>
    </row>
    <row r="626" spans="1:41">
      <c r="A626" t="str">
        <f t="shared" si="65"/>
        <v>貨4軽LKG</v>
      </c>
      <c r="B626" t="s">
        <v>2838</v>
      </c>
      <c r="C626" s="453" t="s">
        <v>2068</v>
      </c>
      <c r="D626" t="s">
        <v>2382</v>
      </c>
      <c r="E626" t="s">
        <v>1049</v>
      </c>
      <c r="F626">
        <v>0.05</v>
      </c>
      <c r="G626">
        <v>1E-3</v>
      </c>
      <c r="H626">
        <v>2.58</v>
      </c>
      <c r="I626" t="s">
        <v>607</v>
      </c>
      <c r="J626"/>
      <c r="T626" s="292" t="str">
        <f t="shared" si="60"/>
        <v>トラック・バス</v>
      </c>
      <c r="U626" s="283" t="str">
        <f t="shared" si="61"/>
        <v>軽油</v>
      </c>
      <c r="V626" s="283" t="str">
        <f t="shared" si="62"/>
        <v>3.5 t～</v>
      </c>
      <c r="W626" s="283" t="str">
        <f t="shared" si="63"/>
        <v>H21</v>
      </c>
      <c r="X626" s="284" t="str">
        <f t="shared" si="63"/>
        <v>LKG</v>
      </c>
      <c r="Y626" s="271"/>
      <c r="Z626" s="283">
        <f t="shared" si="64"/>
        <v>0.05</v>
      </c>
      <c r="AA626" s="283">
        <f t="shared" si="64"/>
        <v>1E-3</v>
      </c>
      <c r="AB626" s="340">
        <f t="shared" si="64"/>
        <v>2.58</v>
      </c>
      <c r="AD626" s="436"/>
      <c r="AE626" s="436"/>
      <c r="AF626" s="436"/>
      <c r="AG626" s="436"/>
      <c r="AH626" s="436"/>
      <c r="AI626" s="436"/>
      <c r="AN626" s="47" t="s">
        <v>2582</v>
      </c>
    </row>
    <row r="627" spans="1:41" s="436" customFormat="1">
      <c r="A627" t="str">
        <f t="shared" si="65"/>
        <v>貨4軽LPG</v>
      </c>
      <c r="B627" t="s">
        <v>2839</v>
      </c>
      <c r="C627" s="453" t="s">
        <v>2068</v>
      </c>
      <c r="D627" t="s">
        <v>2382</v>
      </c>
      <c r="E627" t="s">
        <v>1051</v>
      </c>
      <c r="F627">
        <v>0.05</v>
      </c>
      <c r="G627">
        <v>1E-3</v>
      </c>
      <c r="H627">
        <v>2.58</v>
      </c>
      <c r="I627" t="s">
        <v>607</v>
      </c>
      <c r="J627"/>
      <c r="K627" s="47"/>
      <c r="L627" s="47"/>
      <c r="M627" s="47"/>
      <c r="N627" s="47"/>
      <c r="O627" s="47"/>
      <c r="P627" s="47"/>
      <c r="Q627" s="47"/>
      <c r="R627" s="47"/>
      <c r="S627" s="47"/>
      <c r="T627" s="292" t="str">
        <f t="shared" si="60"/>
        <v>トラック・バス</v>
      </c>
      <c r="U627" s="283" t="str">
        <f t="shared" si="61"/>
        <v>軽油</v>
      </c>
      <c r="V627" s="283" t="str">
        <f t="shared" si="62"/>
        <v>3.5 t～</v>
      </c>
      <c r="W627" s="283" t="str">
        <f t="shared" si="63"/>
        <v>H21</v>
      </c>
      <c r="X627" s="284" t="str">
        <f t="shared" si="63"/>
        <v>LPG</v>
      </c>
      <c r="Y627" s="271"/>
      <c r="Z627" s="283">
        <f t="shared" si="64"/>
        <v>0.05</v>
      </c>
      <c r="AA627" s="283">
        <f t="shared" si="64"/>
        <v>1E-3</v>
      </c>
      <c r="AB627" s="340">
        <f t="shared" si="64"/>
        <v>2.58</v>
      </c>
      <c r="AN627" s="47" t="s">
        <v>2583</v>
      </c>
      <c r="AO627" s="47"/>
    </row>
    <row r="628" spans="1:41" s="436" customFormat="1">
      <c r="A628" t="str">
        <f t="shared" si="65"/>
        <v>貨4軽LRG</v>
      </c>
      <c r="B628" t="s">
        <v>2839</v>
      </c>
      <c r="C628" s="453" t="s">
        <v>2068</v>
      </c>
      <c r="D628" t="s">
        <v>2382</v>
      </c>
      <c r="E628" t="s">
        <v>1053</v>
      </c>
      <c r="F628">
        <v>0.05</v>
      </c>
      <c r="G628">
        <v>1E-3</v>
      </c>
      <c r="H628">
        <v>2.58</v>
      </c>
      <c r="I628" t="s">
        <v>607</v>
      </c>
      <c r="J628"/>
      <c r="K628" s="47"/>
      <c r="L628" s="47"/>
      <c r="M628" s="47"/>
      <c r="N628" s="47"/>
      <c r="O628" s="47"/>
      <c r="P628" s="47"/>
      <c r="Q628" s="47"/>
      <c r="R628" s="47"/>
      <c r="S628" s="47"/>
      <c r="T628" s="292" t="str">
        <f t="shared" si="60"/>
        <v>トラック・バス</v>
      </c>
      <c r="U628" s="283" t="str">
        <f t="shared" si="61"/>
        <v>軽油</v>
      </c>
      <c r="V628" s="283" t="str">
        <f t="shared" si="62"/>
        <v>3.5 t～</v>
      </c>
      <c r="W628" s="283" t="str">
        <f t="shared" si="63"/>
        <v>H21</v>
      </c>
      <c r="X628" s="284" t="str">
        <f t="shared" si="63"/>
        <v>LRG</v>
      </c>
      <c r="Y628" s="271"/>
      <c r="Z628" s="283">
        <f t="shared" si="64"/>
        <v>0.05</v>
      </c>
      <c r="AA628" s="283">
        <f t="shared" si="64"/>
        <v>1E-3</v>
      </c>
      <c r="AB628" s="340">
        <f t="shared" si="64"/>
        <v>2.58</v>
      </c>
      <c r="AN628" s="47" t="s">
        <v>2584</v>
      </c>
      <c r="AO628" s="47"/>
    </row>
    <row r="629" spans="1:41" s="436" customFormat="1">
      <c r="A629" t="str">
        <f t="shared" si="65"/>
        <v>貨4軽LTG</v>
      </c>
      <c r="B629" t="s">
        <v>2839</v>
      </c>
      <c r="C629" s="453" t="s">
        <v>2068</v>
      </c>
      <c r="D629" t="s">
        <v>2371</v>
      </c>
      <c r="E629" t="s">
        <v>2840</v>
      </c>
      <c r="F629">
        <v>0.05</v>
      </c>
      <c r="G629">
        <v>1E-3</v>
      </c>
      <c r="H629">
        <v>2.58</v>
      </c>
      <c r="I629" t="s">
        <v>607</v>
      </c>
      <c r="J629"/>
      <c r="K629" s="47"/>
      <c r="L629" s="47"/>
      <c r="M629" s="47"/>
      <c r="N629" s="47"/>
      <c r="O629" s="47"/>
      <c r="P629" s="47"/>
      <c r="Q629" s="47"/>
      <c r="R629" s="47"/>
      <c r="S629" s="47"/>
      <c r="T629" s="292" t="str">
        <f t="shared" si="60"/>
        <v>トラック・バス</v>
      </c>
      <c r="U629" s="283" t="str">
        <f t="shared" si="61"/>
        <v>軽油</v>
      </c>
      <c r="V629" s="283" t="str">
        <f t="shared" si="62"/>
        <v>3.5 t～</v>
      </c>
      <c r="W629" s="283" t="str">
        <f t="shared" si="63"/>
        <v>H21</v>
      </c>
      <c r="X629" s="284" t="str">
        <f t="shared" si="63"/>
        <v>LTG</v>
      </c>
      <c r="Y629" s="271"/>
      <c r="Z629" s="283">
        <f t="shared" si="64"/>
        <v>0.05</v>
      </c>
      <c r="AA629" s="283">
        <f t="shared" si="64"/>
        <v>1E-3</v>
      </c>
      <c r="AB629" s="340">
        <f t="shared" si="64"/>
        <v>2.58</v>
      </c>
      <c r="AN629" s="266" t="s">
        <v>2585</v>
      </c>
      <c r="AO629" s="47"/>
    </row>
    <row r="630" spans="1:41" s="436" customFormat="1">
      <c r="A630" t="str">
        <f t="shared" si="65"/>
        <v>貨4軽LCG</v>
      </c>
      <c r="B630" t="s">
        <v>2839</v>
      </c>
      <c r="C630" s="453" t="s">
        <v>2068</v>
      </c>
      <c r="D630" t="s">
        <v>2382</v>
      </c>
      <c r="E630" t="s">
        <v>1055</v>
      </c>
      <c r="F630">
        <v>2.5000000000000001E-2</v>
      </c>
      <c r="G630">
        <v>5.0000000000000001E-4</v>
      </c>
      <c r="H630">
        <v>2.58</v>
      </c>
      <c r="I630" t="s">
        <v>239</v>
      </c>
      <c r="J630"/>
      <c r="K630" s="47"/>
      <c r="L630" s="47"/>
      <c r="M630" s="47"/>
      <c r="N630" s="47"/>
      <c r="O630" s="47"/>
      <c r="P630" s="47"/>
      <c r="Q630" s="47"/>
      <c r="R630" s="47"/>
      <c r="S630" s="47"/>
      <c r="T630" s="292" t="str">
        <f t="shared" si="60"/>
        <v>トラック・バス</v>
      </c>
      <c r="U630" s="283" t="str">
        <f t="shared" si="61"/>
        <v>軽油</v>
      </c>
      <c r="V630" s="283" t="str">
        <f t="shared" si="62"/>
        <v>3.5 t～</v>
      </c>
      <c r="W630" s="283" t="str">
        <f t="shared" si="63"/>
        <v>H21</v>
      </c>
      <c r="X630" s="284" t="str">
        <f t="shared" si="63"/>
        <v>LCG</v>
      </c>
      <c r="Y630" s="271"/>
      <c r="Z630" s="283">
        <f t="shared" si="64"/>
        <v>2.5000000000000001E-2</v>
      </c>
      <c r="AA630" s="283">
        <f t="shared" si="64"/>
        <v>5.0000000000000001E-4</v>
      </c>
      <c r="AB630" s="340">
        <f t="shared" si="64"/>
        <v>2.58</v>
      </c>
      <c r="AN630" s="47" t="s">
        <v>2586</v>
      </c>
      <c r="AO630" s="47"/>
    </row>
    <row r="631" spans="1:41" s="436" customFormat="1">
      <c r="A631" t="str">
        <f t="shared" si="65"/>
        <v>貨4軽LJG</v>
      </c>
      <c r="B631" t="s">
        <v>2839</v>
      </c>
      <c r="C631" s="453" t="s">
        <v>2068</v>
      </c>
      <c r="D631" t="s">
        <v>2382</v>
      </c>
      <c r="E631" t="s">
        <v>1057</v>
      </c>
      <c r="F631">
        <v>2.5000000000000001E-2</v>
      </c>
      <c r="G631">
        <v>5.0000000000000001E-4</v>
      </c>
      <c r="H631">
        <v>2.58</v>
      </c>
      <c r="I631" t="s">
        <v>239</v>
      </c>
      <c r="J631"/>
      <c r="K631" s="47"/>
      <c r="L631" s="47"/>
      <c r="M631" s="47"/>
      <c r="N631" s="47"/>
      <c r="O631" s="47"/>
      <c r="P631" s="47"/>
      <c r="Q631" s="47"/>
      <c r="R631" s="47"/>
      <c r="S631" s="47"/>
      <c r="T631" s="292" t="str">
        <f t="shared" si="60"/>
        <v>トラック・バス</v>
      </c>
      <c r="U631" s="283" t="str">
        <f t="shared" si="61"/>
        <v>軽油</v>
      </c>
      <c r="V631" s="283" t="str">
        <f t="shared" si="62"/>
        <v>3.5 t～</v>
      </c>
      <c r="W631" s="283" t="str">
        <f t="shared" si="63"/>
        <v>H21</v>
      </c>
      <c r="X631" s="284" t="str">
        <f t="shared" si="63"/>
        <v>LJG</v>
      </c>
      <c r="Y631" s="271"/>
      <c r="Z631" s="283">
        <f t="shared" si="64"/>
        <v>2.5000000000000001E-2</v>
      </c>
      <c r="AA631" s="283">
        <f t="shared" si="64"/>
        <v>5.0000000000000001E-4</v>
      </c>
      <c r="AB631" s="340">
        <f t="shared" si="64"/>
        <v>2.58</v>
      </c>
      <c r="AD631" s="47"/>
      <c r="AE631" s="47"/>
      <c r="AF631" s="47"/>
      <c r="AG631" s="47"/>
      <c r="AH631" s="47"/>
      <c r="AI631" s="47"/>
      <c r="AN631" s="47" t="s">
        <v>2587</v>
      </c>
      <c r="AO631" s="47"/>
    </row>
    <row r="632" spans="1:41" s="436" customFormat="1">
      <c r="A632" t="str">
        <f t="shared" si="65"/>
        <v>貨4軽LNG</v>
      </c>
      <c r="B632" t="s">
        <v>2839</v>
      </c>
      <c r="C632" s="453" t="s">
        <v>2068</v>
      </c>
      <c r="D632" t="s">
        <v>2382</v>
      </c>
      <c r="E632" t="s">
        <v>1059</v>
      </c>
      <c r="F632">
        <v>2.5000000000000001E-2</v>
      </c>
      <c r="G632">
        <v>5.0000000000000001E-4</v>
      </c>
      <c r="H632">
        <v>2.58</v>
      </c>
      <c r="I632" t="s">
        <v>239</v>
      </c>
      <c r="J632"/>
      <c r="K632" s="47"/>
      <c r="L632" s="47"/>
      <c r="M632" s="47"/>
      <c r="N632" s="47"/>
      <c r="O632" s="47"/>
      <c r="P632" s="47"/>
      <c r="Q632" s="47"/>
      <c r="R632" s="47"/>
      <c r="S632" s="47"/>
      <c r="T632" s="292" t="str">
        <f t="shared" si="60"/>
        <v>トラック・バス</v>
      </c>
      <c r="U632" s="283" t="str">
        <f t="shared" si="61"/>
        <v>軽油</v>
      </c>
      <c r="V632" s="283" t="str">
        <f t="shared" si="62"/>
        <v>3.5 t～</v>
      </c>
      <c r="W632" s="283" t="str">
        <f t="shared" si="63"/>
        <v>H21</v>
      </c>
      <c r="X632" s="284" t="str">
        <f t="shared" si="63"/>
        <v>LNG</v>
      </c>
      <c r="Y632" s="271"/>
      <c r="Z632" s="283">
        <f t="shared" si="64"/>
        <v>2.5000000000000001E-2</v>
      </c>
      <c r="AA632" s="283">
        <f t="shared" si="64"/>
        <v>5.0000000000000001E-4</v>
      </c>
      <c r="AB632" s="340">
        <f t="shared" si="64"/>
        <v>2.58</v>
      </c>
      <c r="AD632" s="47"/>
      <c r="AE632" s="47"/>
      <c r="AF632" s="47"/>
      <c r="AG632" s="47"/>
      <c r="AH632" s="47"/>
      <c r="AI632" s="47"/>
      <c r="AN632" s="266" t="s">
        <v>2588</v>
      </c>
      <c r="AO632" s="47"/>
    </row>
    <row r="633" spans="1:41">
      <c r="A633" t="str">
        <f t="shared" si="65"/>
        <v>貨4軽LQG</v>
      </c>
      <c r="B633" t="s">
        <v>2839</v>
      </c>
      <c r="C633" s="453" t="s">
        <v>2068</v>
      </c>
      <c r="D633" t="s">
        <v>2382</v>
      </c>
      <c r="E633" t="s">
        <v>1061</v>
      </c>
      <c r="F633">
        <v>2.5000000000000001E-2</v>
      </c>
      <c r="G633">
        <v>5.0000000000000001E-4</v>
      </c>
      <c r="H633">
        <v>2.58</v>
      </c>
      <c r="I633" t="s">
        <v>239</v>
      </c>
      <c r="J633"/>
      <c r="K633" s="436"/>
      <c r="L633" s="436"/>
      <c r="M633" s="436"/>
      <c r="N633" s="436"/>
      <c r="O633" s="436"/>
      <c r="P633" s="436"/>
      <c r="Q633" s="436"/>
      <c r="R633" s="436"/>
      <c r="S633" s="436"/>
      <c r="T633" s="292" t="str">
        <f t="shared" si="60"/>
        <v>トラック・バス</v>
      </c>
      <c r="U633" s="283" t="str">
        <f t="shared" si="61"/>
        <v>軽油</v>
      </c>
      <c r="V633" s="283" t="str">
        <f t="shared" si="62"/>
        <v>3.5 t～</v>
      </c>
      <c r="W633" s="283" t="str">
        <f t="shared" si="63"/>
        <v>H21</v>
      </c>
      <c r="X633" s="284" t="str">
        <f t="shared" si="63"/>
        <v>LQG</v>
      </c>
      <c r="Y633" s="271"/>
      <c r="Z633" s="283">
        <f t="shared" si="64"/>
        <v>2.5000000000000001E-2</v>
      </c>
      <c r="AA633" s="283">
        <f t="shared" si="64"/>
        <v>5.0000000000000001E-4</v>
      </c>
      <c r="AB633" s="340">
        <f t="shared" si="64"/>
        <v>2.58</v>
      </c>
      <c r="AN633" s="47" t="s">
        <v>2589</v>
      </c>
    </row>
    <row r="634" spans="1:41">
      <c r="A634" t="str">
        <f t="shared" si="65"/>
        <v>貨4軽LSG</v>
      </c>
      <c r="B634" t="s">
        <v>2839</v>
      </c>
      <c r="C634" s="453" t="s">
        <v>2068</v>
      </c>
      <c r="D634" t="s">
        <v>2382</v>
      </c>
      <c r="E634" t="s">
        <v>2841</v>
      </c>
      <c r="F634">
        <v>2.5000000000000001E-2</v>
      </c>
      <c r="G634">
        <v>5.0000000000000001E-4</v>
      </c>
      <c r="H634">
        <v>2.58</v>
      </c>
      <c r="I634" t="s">
        <v>239</v>
      </c>
      <c r="J634"/>
      <c r="K634" s="436"/>
      <c r="L634" s="436"/>
      <c r="M634" s="436"/>
      <c r="N634" s="436"/>
      <c r="O634" s="436"/>
      <c r="P634" s="436"/>
      <c r="Q634" s="436"/>
      <c r="R634" s="436"/>
      <c r="S634" s="436"/>
      <c r="T634" s="292" t="str">
        <f t="shared" si="60"/>
        <v>トラック・バス</v>
      </c>
      <c r="U634" s="283" t="str">
        <f t="shared" si="61"/>
        <v>軽油</v>
      </c>
      <c r="V634" s="283" t="str">
        <f t="shared" si="62"/>
        <v>3.5 t～</v>
      </c>
      <c r="W634" s="283" t="str">
        <f t="shared" si="63"/>
        <v>H21</v>
      </c>
      <c r="X634" s="284" t="str">
        <f t="shared" si="63"/>
        <v>LSG</v>
      </c>
      <c r="Y634" s="271"/>
      <c r="Z634" s="283">
        <f t="shared" si="64"/>
        <v>2.5000000000000001E-2</v>
      </c>
      <c r="AA634" s="283">
        <f t="shared" si="64"/>
        <v>5.0000000000000001E-4</v>
      </c>
      <c r="AB634" s="340">
        <f t="shared" si="64"/>
        <v>2.58</v>
      </c>
      <c r="AN634" s="47" t="s">
        <v>2590</v>
      </c>
    </row>
    <row r="635" spans="1:41">
      <c r="A635" t="str">
        <f t="shared" si="65"/>
        <v>貨4軽LMG</v>
      </c>
      <c r="B635" t="s">
        <v>2839</v>
      </c>
      <c r="C635" s="453" t="s">
        <v>2068</v>
      </c>
      <c r="D635" t="s">
        <v>2382</v>
      </c>
      <c r="E635" t="s">
        <v>2842</v>
      </c>
      <c r="F635">
        <v>1.2500000000000001E-2</v>
      </c>
      <c r="G635">
        <v>2.5000000000000001E-4</v>
      </c>
      <c r="H635">
        <v>2.58</v>
      </c>
      <c r="I635" t="s">
        <v>2490</v>
      </c>
      <c r="J635"/>
      <c r="K635" s="436"/>
      <c r="L635" s="436"/>
      <c r="M635" s="436"/>
      <c r="N635" s="436"/>
      <c r="O635" s="436"/>
      <c r="P635" s="436"/>
      <c r="Q635" s="436"/>
      <c r="R635" s="436"/>
      <c r="S635" s="436"/>
      <c r="T635" s="292" t="str">
        <f t="shared" si="60"/>
        <v>トラック・バス</v>
      </c>
      <c r="U635" s="283" t="str">
        <f t="shared" si="61"/>
        <v>軽油</v>
      </c>
      <c r="V635" s="283" t="str">
        <f t="shared" si="62"/>
        <v>3.5 t～</v>
      </c>
      <c r="W635" s="283" t="str">
        <f t="shared" si="63"/>
        <v>H21</v>
      </c>
      <c r="X635" s="284" t="str">
        <f t="shared" si="63"/>
        <v>LMG</v>
      </c>
      <c r="Y635" s="271"/>
      <c r="Z635" s="283">
        <f t="shared" si="64"/>
        <v>1.2500000000000001E-2</v>
      </c>
      <c r="AA635" s="283">
        <f t="shared" si="64"/>
        <v>2.5000000000000001E-4</v>
      </c>
      <c r="AB635" s="340">
        <f t="shared" si="64"/>
        <v>2.58</v>
      </c>
      <c r="AN635" s="266" t="s">
        <v>2591</v>
      </c>
    </row>
    <row r="636" spans="1:41">
      <c r="A636" t="str">
        <f t="shared" si="65"/>
        <v>貨4軽MDG</v>
      </c>
      <c r="B636" t="s">
        <v>2839</v>
      </c>
      <c r="C636" s="453" t="s">
        <v>2068</v>
      </c>
      <c r="D636" t="s">
        <v>2382</v>
      </c>
      <c r="E636" t="s">
        <v>1063</v>
      </c>
      <c r="F636">
        <v>2.5000000000000001E-2</v>
      </c>
      <c r="G636">
        <v>5.0000000000000001E-4</v>
      </c>
      <c r="H636">
        <v>2.58</v>
      </c>
      <c r="I636" t="s">
        <v>607</v>
      </c>
      <c r="J636"/>
      <c r="K636" s="436"/>
      <c r="L636" s="436"/>
      <c r="M636" s="436"/>
      <c r="N636" s="436"/>
      <c r="O636" s="436"/>
      <c r="P636" s="436"/>
      <c r="Q636" s="436"/>
      <c r="R636" s="436"/>
      <c r="S636" s="436"/>
      <c r="T636" s="292" t="str">
        <f t="shared" si="60"/>
        <v>トラック・バス</v>
      </c>
      <c r="U636" s="283" t="str">
        <f t="shared" si="61"/>
        <v>軽油</v>
      </c>
      <c r="V636" s="283" t="str">
        <f t="shared" si="62"/>
        <v>3.5 t～</v>
      </c>
      <c r="W636" s="283" t="str">
        <f t="shared" si="63"/>
        <v>H21</v>
      </c>
      <c r="X636" s="284" t="str">
        <f t="shared" si="63"/>
        <v>MDG</v>
      </c>
      <c r="Y636" s="271" t="s">
        <v>2261</v>
      </c>
      <c r="Z636" s="283">
        <f t="shared" si="64"/>
        <v>2.5000000000000001E-2</v>
      </c>
      <c r="AA636" s="283">
        <f t="shared" si="64"/>
        <v>5.0000000000000001E-4</v>
      </c>
      <c r="AB636" s="340">
        <f t="shared" si="64"/>
        <v>2.58</v>
      </c>
      <c r="AN636" s="47" t="s">
        <v>2592</v>
      </c>
    </row>
    <row r="637" spans="1:41">
      <c r="A637" t="str">
        <f t="shared" si="65"/>
        <v>貨4軽MKG</v>
      </c>
      <c r="B637" t="s">
        <v>2839</v>
      </c>
      <c r="C637" s="453" t="s">
        <v>2068</v>
      </c>
      <c r="D637" t="s">
        <v>2382</v>
      </c>
      <c r="E637" t="s">
        <v>1065</v>
      </c>
      <c r="F637">
        <v>2.5000000000000001E-2</v>
      </c>
      <c r="G637">
        <v>5.0000000000000001E-4</v>
      </c>
      <c r="H637">
        <v>2.58</v>
      </c>
      <c r="I637" t="s">
        <v>607</v>
      </c>
      <c r="J637"/>
      <c r="K637" s="436"/>
      <c r="L637" s="436"/>
      <c r="M637" s="436"/>
      <c r="N637" s="436"/>
      <c r="O637" s="436"/>
      <c r="P637" s="436"/>
      <c r="Q637" s="436"/>
      <c r="R637" s="436"/>
      <c r="S637" s="436"/>
      <c r="T637" s="292" t="str">
        <f t="shared" si="60"/>
        <v>トラック・バス</v>
      </c>
      <c r="U637" s="283" t="str">
        <f t="shared" si="61"/>
        <v>軽油</v>
      </c>
      <c r="V637" s="283" t="str">
        <f t="shared" si="62"/>
        <v>3.5 t～</v>
      </c>
      <c r="W637" s="283" t="str">
        <f t="shared" si="63"/>
        <v>H21</v>
      </c>
      <c r="X637" s="284" t="str">
        <f t="shared" si="63"/>
        <v>MKG</v>
      </c>
      <c r="Y637" s="271" t="s">
        <v>2261</v>
      </c>
      <c r="Z637" s="283">
        <f t="shared" si="64"/>
        <v>2.5000000000000001E-2</v>
      </c>
      <c r="AA637" s="283">
        <f t="shared" si="64"/>
        <v>5.0000000000000001E-4</v>
      </c>
      <c r="AB637" s="340">
        <f t="shared" si="64"/>
        <v>2.58</v>
      </c>
      <c r="AN637" s="47" t="s">
        <v>2593</v>
      </c>
    </row>
    <row r="638" spans="1:41">
      <c r="A638" t="str">
        <f t="shared" si="65"/>
        <v>貨4軽MPG</v>
      </c>
      <c r="B638" t="s">
        <v>2839</v>
      </c>
      <c r="C638" s="453" t="s">
        <v>2068</v>
      </c>
      <c r="D638" t="s">
        <v>2382</v>
      </c>
      <c r="E638" t="s">
        <v>1067</v>
      </c>
      <c r="F638">
        <v>2.5000000000000001E-2</v>
      </c>
      <c r="G638">
        <v>5.0000000000000001E-4</v>
      </c>
      <c r="H638">
        <v>2.58</v>
      </c>
      <c r="I638" t="s">
        <v>607</v>
      </c>
      <c r="J638"/>
      <c r="K638" s="436"/>
      <c r="L638" s="436"/>
      <c r="M638" s="436"/>
      <c r="N638" s="436"/>
      <c r="O638" s="436"/>
      <c r="P638" s="436"/>
      <c r="Q638" s="436"/>
      <c r="R638" s="436"/>
      <c r="S638" s="436"/>
      <c r="T638" s="292" t="str">
        <f t="shared" si="60"/>
        <v>トラック・バス</v>
      </c>
      <c r="U638" s="283" t="str">
        <f t="shared" si="61"/>
        <v>軽油</v>
      </c>
      <c r="V638" s="283" t="str">
        <f t="shared" si="62"/>
        <v>3.5 t～</v>
      </c>
      <c r="W638" s="283" t="str">
        <f t="shared" si="63"/>
        <v>H21</v>
      </c>
      <c r="X638" s="284" t="str">
        <f t="shared" si="63"/>
        <v>MPG</v>
      </c>
      <c r="Y638" s="271" t="s">
        <v>2261</v>
      </c>
      <c r="Z638" s="283">
        <f t="shared" si="64"/>
        <v>2.5000000000000001E-2</v>
      </c>
      <c r="AA638" s="283">
        <f t="shared" si="64"/>
        <v>5.0000000000000001E-4</v>
      </c>
      <c r="AB638" s="340">
        <f t="shared" si="64"/>
        <v>2.58</v>
      </c>
      <c r="AN638" s="436" t="s">
        <v>2594</v>
      </c>
    </row>
    <row r="639" spans="1:41">
      <c r="A639" t="str">
        <f t="shared" si="65"/>
        <v>貨4軽MRG</v>
      </c>
      <c r="B639" t="s">
        <v>2839</v>
      </c>
      <c r="C639" s="453" t="s">
        <v>2068</v>
      </c>
      <c r="D639" t="s">
        <v>2382</v>
      </c>
      <c r="E639" t="s">
        <v>1069</v>
      </c>
      <c r="F639">
        <v>2.5000000000000001E-2</v>
      </c>
      <c r="G639">
        <v>5.0000000000000001E-4</v>
      </c>
      <c r="H639">
        <v>2.58</v>
      </c>
      <c r="I639" t="s">
        <v>607</v>
      </c>
      <c r="J639"/>
      <c r="T639" s="292" t="str">
        <f t="shared" si="60"/>
        <v>トラック・バス</v>
      </c>
      <c r="U639" s="283" t="str">
        <f t="shared" si="61"/>
        <v>軽油</v>
      </c>
      <c r="V639" s="283" t="str">
        <f t="shared" si="62"/>
        <v>3.5 t～</v>
      </c>
      <c r="W639" s="283" t="str">
        <f t="shared" si="63"/>
        <v>H21</v>
      </c>
      <c r="X639" s="284" t="str">
        <f t="shared" si="63"/>
        <v>MRG</v>
      </c>
      <c r="Y639" s="271" t="s">
        <v>1769</v>
      </c>
      <c r="Z639" s="283">
        <f t="shared" si="64"/>
        <v>2.5000000000000001E-2</v>
      </c>
      <c r="AA639" s="283">
        <f t="shared" si="64"/>
        <v>5.0000000000000001E-4</v>
      </c>
      <c r="AB639" s="340">
        <f t="shared" si="64"/>
        <v>2.58</v>
      </c>
      <c r="AN639" s="266" t="s">
        <v>2595</v>
      </c>
    </row>
    <row r="640" spans="1:41">
      <c r="A640" t="str">
        <f t="shared" si="65"/>
        <v>貨4軽MCG</v>
      </c>
      <c r="B640" t="s">
        <v>2839</v>
      </c>
      <c r="C640" s="453" t="s">
        <v>2068</v>
      </c>
      <c r="D640" t="s">
        <v>2382</v>
      </c>
      <c r="E640" t="s">
        <v>1071</v>
      </c>
      <c r="F640">
        <v>2.5000000000000001E-2</v>
      </c>
      <c r="G640">
        <v>5.0000000000000001E-4</v>
      </c>
      <c r="H640">
        <v>2.58</v>
      </c>
      <c r="I640" t="s">
        <v>239</v>
      </c>
      <c r="J640"/>
      <c r="T640" s="292" t="str">
        <f t="shared" si="60"/>
        <v>トラック・バス</v>
      </c>
      <c r="U640" s="283" t="str">
        <f t="shared" si="61"/>
        <v>軽油</v>
      </c>
      <c r="V640" s="283" t="str">
        <f t="shared" si="62"/>
        <v>3.5 t～</v>
      </c>
      <c r="W640" s="283" t="str">
        <f t="shared" si="63"/>
        <v>H21</v>
      </c>
      <c r="X640" s="284" t="str">
        <f t="shared" si="63"/>
        <v>MCG</v>
      </c>
      <c r="Y640" s="271" t="s">
        <v>1769</v>
      </c>
      <c r="Z640" s="283">
        <f t="shared" si="64"/>
        <v>2.5000000000000001E-2</v>
      </c>
      <c r="AA640" s="283">
        <f t="shared" si="64"/>
        <v>5.0000000000000001E-4</v>
      </c>
      <c r="AB640" s="340">
        <f t="shared" si="64"/>
        <v>2.58</v>
      </c>
      <c r="AN640" s="47" t="s">
        <v>2596</v>
      </c>
    </row>
    <row r="641" spans="1:41">
      <c r="A641" t="str">
        <f t="shared" si="65"/>
        <v>貨4軽MJG</v>
      </c>
      <c r="B641" t="s">
        <v>2839</v>
      </c>
      <c r="C641" s="453" t="s">
        <v>2068</v>
      </c>
      <c r="D641" t="s">
        <v>2382</v>
      </c>
      <c r="E641" t="s">
        <v>1073</v>
      </c>
      <c r="F641">
        <v>2.5000000000000001E-2</v>
      </c>
      <c r="G641">
        <v>5.0000000000000001E-4</v>
      </c>
      <c r="H641">
        <v>2.58</v>
      </c>
      <c r="I641" t="s">
        <v>239</v>
      </c>
      <c r="J641"/>
      <c r="T641" s="292" t="str">
        <f t="shared" si="60"/>
        <v>トラック・バス</v>
      </c>
      <c r="U641" s="283" t="str">
        <f t="shared" si="61"/>
        <v>軽油</v>
      </c>
      <c r="V641" s="283" t="str">
        <f t="shared" si="62"/>
        <v>3.5 t～</v>
      </c>
      <c r="W641" s="283" t="str">
        <f t="shared" si="63"/>
        <v>H21</v>
      </c>
      <c r="X641" s="284" t="str">
        <f t="shared" si="63"/>
        <v>MJG</v>
      </c>
      <c r="Y641" s="271" t="s">
        <v>2261</v>
      </c>
      <c r="Z641" s="283">
        <f t="shared" si="64"/>
        <v>2.5000000000000001E-2</v>
      </c>
      <c r="AA641" s="283">
        <f t="shared" si="64"/>
        <v>5.0000000000000001E-4</v>
      </c>
      <c r="AB641" s="340">
        <f t="shared" si="64"/>
        <v>2.58</v>
      </c>
      <c r="AN641" s="266" t="s">
        <v>2597</v>
      </c>
    </row>
    <row r="642" spans="1:41">
      <c r="A642" t="str">
        <f t="shared" si="65"/>
        <v>貨4軽MNG</v>
      </c>
      <c r="B642" t="s">
        <v>2839</v>
      </c>
      <c r="C642" s="453" t="s">
        <v>2068</v>
      </c>
      <c r="D642" t="s">
        <v>2382</v>
      </c>
      <c r="E642" t="s">
        <v>1075</v>
      </c>
      <c r="F642">
        <v>2.5000000000000001E-2</v>
      </c>
      <c r="G642">
        <v>5.0000000000000001E-4</v>
      </c>
      <c r="H642">
        <v>2.58</v>
      </c>
      <c r="I642" t="s">
        <v>239</v>
      </c>
      <c r="J642"/>
      <c r="T642" s="292" t="str">
        <f t="shared" si="60"/>
        <v>トラック・バス</v>
      </c>
      <c r="U642" s="283" t="str">
        <f t="shared" si="61"/>
        <v>軽油</v>
      </c>
      <c r="V642" s="283" t="str">
        <f t="shared" si="62"/>
        <v>3.5 t～</v>
      </c>
      <c r="W642" s="283" t="str">
        <f t="shared" si="63"/>
        <v>H21</v>
      </c>
      <c r="X642" s="284" t="str">
        <f t="shared" si="63"/>
        <v>MNG</v>
      </c>
      <c r="Y642" s="271" t="s">
        <v>2261</v>
      </c>
      <c r="Z642" s="283">
        <f t="shared" si="64"/>
        <v>2.5000000000000001E-2</v>
      </c>
      <c r="AA642" s="283">
        <f t="shared" si="64"/>
        <v>5.0000000000000001E-4</v>
      </c>
      <c r="AB642" s="340">
        <f t="shared" si="64"/>
        <v>2.58</v>
      </c>
      <c r="AD642" s="436"/>
      <c r="AE642" s="436"/>
      <c r="AF642" s="436"/>
      <c r="AG642" s="436"/>
      <c r="AH642" s="436"/>
      <c r="AI642" s="436"/>
      <c r="AN642" s="436" t="s">
        <v>2598</v>
      </c>
    </row>
    <row r="643" spans="1:41">
      <c r="A643" t="str">
        <f t="shared" si="65"/>
        <v>貨4軽MQG</v>
      </c>
      <c r="B643" t="s">
        <v>2839</v>
      </c>
      <c r="C643" s="453" t="s">
        <v>2068</v>
      </c>
      <c r="D643" t="s">
        <v>2382</v>
      </c>
      <c r="E643" t="s">
        <v>1077</v>
      </c>
      <c r="F643">
        <v>2.5000000000000001E-2</v>
      </c>
      <c r="G643">
        <v>5.0000000000000001E-4</v>
      </c>
      <c r="H643">
        <v>2.58</v>
      </c>
      <c r="I643" t="s">
        <v>239</v>
      </c>
      <c r="J643"/>
      <c r="T643" s="292" t="str">
        <f t="shared" si="60"/>
        <v>トラック・バス</v>
      </c>
      <c r="U643" s="283" t="str">
        <f t="shared" si="61"/>
        <v>軽油</v>
      </c>
      <c r="V643" s="283" t="str">
        <f t="shared" si="62"/>
        <v>3.5 t～</v>
      </c>
      <c r="W643" s="283" t="str">
        <f t="shared" si="63"/>
        <v>H21</v>
      </c>
      <c r="X643" s="284" t="str">
        <f t="shared" si="63"/>
        <v>MQG</v>
      </c>
      <c r="Y643" s="271" t="s">
        <v>1769</v>
      </c>
      <c r="Z643" s="283">
        <f t="shared" si="64"/>
        <v>2.5000000000000001E-2</v>
      </c>
      <c r="AA643" s="283">
        <f t="shared" si="64"/>
        <v>5.0000000000000001E-4</v>
      </c>
      <c r="AB643" s="340">
        <f t="shared" si="64"/>
        <v>2.58</v>
      </c>
      <c r="AD643" s="436"/>
      <c r="AE643" s="436"/>
      <c r="AF643" s="436"/>
      <c r="AG643" s="436"/>
      <c r="AH643" s="436"/>
      <c r="AI643" s="436"/>
      <c r="AN643" s="47" t="s">
        <v>2599</v>
      </c>
    </row>
    <row r="644" spans="1:41" s="436" customFormat="1">
      <c r="A644" t="str">
        <f t="shared" si="65"/>
        <v>貨4軽MMG</v>
      </c>
      <c r="B644" t="s">
        <v>2839</v>
      </c>
      <c r="C644" s="453" t="s">
        <v>2068</v>
      </c>
      <c r="D644" t="s">
        <v>2382</v>
      </c>
      <c r="E644" t="s">
        <v>2843</v>
      </c>
      <c r="F644">
        <v>2.5000000000000001E-2</v>
      </c>
      <c r="G644">
        <v>5.0000000000000001E-4</v>
      </c>
      <c r="H644">
        <v>2.58</v>
      </c>
      <c r="I644" t="s">
        <v>2490</v>
      </c>
      <c r="J644"/>
      <c r="K644" s="47"/>
      <c r="L644" s="47"/>
      <c r="M644" s="47"/>
      <c r="N644" s="47"/>
      <c r="O644" s="47"/>
      <c r="P644" s="47"/>
      <c r="Q644" s="47"/>
      <c r="R644" s="47"/>
      <c r="S644" s="47"/>
      <c r="T644" s="292" t="str">
        <f t="shared" si="60"/>
        <v>トラック・バス</v>
      </c>
      <c r="U644" s="283" t="str">
        <f t="shared" si="61"/>
        <v>軽油</v>
      </c>
      <c r="V644" s="283" t="str">
        <f t="shared" si="62"/>
        <v>3.5 t～</v>
      </c>
      <c r="W644" s="283" t="str">
        <f t="shared" si="63"/>
        <v>H21</v>
      </c>
      <c r="X644" s="284" t="str">
        <f t="shared" si="63"/>
        <v>MMG</v>
      </c>
      <c r="Y644" s="271" t="s">
        <v>1769</v>
      </c>
      <c r="Z644" s="283">
        <f t="shared" si="64"/>
        <v>2.5000000000000001E-2</v>
      </c>
      <c r="AA644" s="283">
        <f t="shared" si="64"/>
        <v>5.0000000000000001E-4</v>
      </c>
      <c r="AB644" s="340">
        <f t="shared" si="64"/>
        <v>2.58</v>
      </c>
      <c r="AN644" s="266" t="s">
        <v>2600</v>
      </c>
      <c r="AO644" s="47"/>
    </row>
    <row r="645" spans="1:41" s="436" customFormat="1">
      <c r="A645" t="str">
        <f t="shared" si="65"/>
        <v>貨4軽RDG</v>
      </c>
      <c r="B645" t="s">
        <v>2839</v>
      </c>
      <c r="C645" s="453" t="s">
        <v>2068</v>
      </c>
      <c r="D645" t="s">
        <v>2382</v>
      </c>
      <c r="E645" t="s">
        <v>1079</v>
      </c>
      <c r="F645">
        <v>1.2500000000000001E-2</v>
      </c>
      <c r="G645">
        <v>2.5000000000000001E-4</v>
      </c>
      <c r="H645">
        <v>2.58</v>
      </c>
      <c r="I645" t="s">
        <v>607</v>
      </c>
      <c r="J645"/>
      <c r="K645" s="47"/>
      <c r="L645" s="47"/>
      <c r="M645" s="47"/>
      <c r="N645" s="47"/>
      <c r="O645" s="47"/>
      <c r="P645" s="47"/>
      <c r="Q645" s="47"/>
      <c r="R645" s="47"/>
      <c r="S645" s="47"/>
      <c r="T645" s="292" t="str">
        <f t="shared" ref="T645:T708" si="66">IF(LEFT(C645,1)="貨","トラック・バス","乗用車")</f>
        <v>トラック・バス</v>
      </c>
      <c r="U645" s="283" t="str">
        <f t="shared" ref="U645:U708" si="67">VLOOKUP(RIGHT(C645,1),$AL$4:$AM$8,2,FALSE)</f>
        <v>軽油</v>
      </c>
      <c r="V645" s="283" t="str">
        <f t="shared" ref="V645:V708" si="68">VLOOKUP(VALUE(MID(C645,2,1)),$AL$10:$AM$15,2,FALSE)</f>
        <v>3.5 t～</v>
      </c>
      <c r="W645" s="283" t="str">
        <f t="shared" ref="W645:X708" si="69">D645</f>
        <v>H21</v>
      </c>
      <c r="X645" s="284" t="str">
        <f t="shared" si="69"/>
        <v>RDG</v>
      </c>
      <c r="Y645" s="271" t="s">
        <v>2262</v>
      </c>
      <c r="Z645" s="283">
        <f t="shared" ref="Z645:AB708" si="70">F645</f>
        <v>1.2500000000000001E-2</v>
      </c>
      <c r="AA645" s="283">
        <f t="shared" si="70"/>
        <v>2.5000000000000001E-4</v>
      </c>
      <c r="AB645" s="340">
        <f t="shared" si="70"/>
        <v>2.58</v>
      </c>
      <c r="AN645" s="436" t="s">
        <v>2601</v>
      </c>
      <c r="AO645" s="47"/>
    </row>
    <row r="646" spans="1:41" s="436" customFormat="1">
      <c r="A646" t="str">
        <f t="shared" si="65"/>
        <v>貨4軽RKG</v>
      </c>
      <c r="B646" t="s">
        <v>2839</v>
      </c>
      <c r="C646" s="453" t="s">
        <v>2068</v>
      </c>
      <c r="D646" t="s">
        <v>2382</v>
      </c>
      <c r="E646" t="s">
        <v>1081</v>
      </c>
      <c r="F646">
        <v>1.2500000000000001E-2</v>
      </c>
      <c r="G646">
        <v>2.5000000000000001E-4</v>
      </c>
      <c r="H646">
        <v>2.58</v>
      </c>
      <c r="I646" t="s">
        <v>607</v>
      </c>
      <c r="J646"/>
      <c r="K646" s="47"/>
      <c r="L646" s="47"/>
      <c r="M646" s="47"/>
      <c r="N646" s="47"/>
      <c r="O646" s="47"/>
      <c r="P646" s="47"/>
      <c r="Q646" s="47"/>
      <c r="R646" s="47"/>
      <c r="S646" s="47"/>
      <c r="T646" s="292" t="str">
        <f t="shared" si="66"/>
        <v>トラック・バス</v>
      </c>
      <c r="U646" s="283" t="str">
        <f t="shared" si="67"/>
        <v>軽油</v>
      </c>
      <c r="V646" s="283" t="str">
        <f t="shared" si="68"/>
        <v>3.5 t～</v>
      </c>
      <c r="W646" s="283" t="str">
        <f t="shared" si="69"/>
        <v>H21</v>
      </c>
      <c r="X646" s="284" t="str">
        <f t="shared" si="69"/>
        <v>RKG</v>
      </c>
      <c r="Y646" s="271" t="s">
        <v>2262</v>
      </c>
      <c r="Z646" s="283">
        <f t="shared" si="70"/>
        <v>1.2500000000000001E-2</v>
      </c>
      <c r="AA646" s="283">
        <f t="shared" si="70"/>
        <v>2.5000000000000001E-4</v>
      </c>
      <c r="AB646" s="340">
        <f t="shared" si="70"/>
        <v>2.58</v>
      </c>
      <c r="AN646" s="47" t="s">
        <v>2602</v>
      </c>
      <c r="AO646" s="47"/>
    </row>
    <row r="647" spans="1:41" s="436" customFormat="1">
      <c r="A647" t="str">
        <f t="shared" si="65"/>
        <v>貨4軽RPG</v>
      </c>
      <c r="B647" t="s">
        <v>2839</v>
      </c>
      <c r="C647" s="453" t="s">
        <v>2068</v>
      </c>
      <c r="D647" t="s">
        <v>2382</v>
      </c>
      <c r="E647" t="s">
        <v>1083</v>
      </c>
      <c r="F647">
        <v>1.2500000000000001E-2</v>
      </c>
      <c r="G647">
        <v>2.5000000000000001E-4</v>
      </c>
      <c r="H647">
        <v>2.58</v>
      </c>
      <c r="I647" t="s">
        <v>607</v>
      </c>
      <c r="J647"/>
      <c r="K647" s="47"/>
      <c r="L647" s="47"/>
      <c r="M647" s="47"/>
      <c r="N647" s="47"/>
      <c r="O647" s="47"/>
      <c r="P647" s="47"/>
      <c r="Q647" s="47"/>
      <c r="R647" s="47"/>
      <c r="S647" s="47"/>
      <c r="T647" s="292" t="str">
        <f t="shared" si="66"/>
        <v>トラック・バス</v>
      </c>
      <c r="U647" s="283" t="str">
        <f t="shared" si="67"/>
        <v>軽油</v>
      </c>
      <c r="V647" s="283" t="str">
        <f t="shared" si="68"/>
        <v>3.5 t～</v>
      </c>
      <c r="W647" s="283" t="str">
        <f t="shared" si="69"/>
        <v>H21</v>
      </c>
      <c r="X647" s="284" t="str">
        <f t="shared" si="69"/>
        <v>RPG</v>
      </c>
      <c r="Y647" s="271" t="s">
        <v>1770</v>
      </c>
      <c r="Z647" s="283">
        <f t="shared" si="70"/>
        <v>1.2500000000000001E-2</v>
      </c>
      <c r="AA647" s="283">
        <f t="shared" si="70"/>
        <v>2.5000000000000001E-4</v>
      </c>
      <c r="AB647" s="340">
        <f t="shared" si="70"/>
        <v>2.58</v>
      </c>
      <c r="AN647" s="47" t="s">
        <v>2603</v>
      </c>
      <c r="AO647" s="47"/>
    </row>
    <row r="648" spans="1:41" s="436" customFormat="1">
      <c r="A648" t="str">
        <f t="shared" si="65"/>
        <v>貨4軽RRG</v>
      </c>
      <c r="B648" t="s">
        <v>2839</v>
      </c>
      <c r="C648" s="453" t="s">
        <v>2068</v>
      </c>
      <c r="D648" t="s">
        <v>2382</v>
      </c>
      <c r="E648" t="s">
        <v>1085</v>
      </c>
      <c r="F648">
        <v>1.2500000000000001E-2</v>
      </c>
      <c r="G648">
        <v>2.5000000000000001E-4</v>
      </c>
      <c r="H648">
        <v>2.58</v>
      </c>
      <c r="I648" t="s">
        <v>607</v>
      </c>
      <c r="J648"/>
      <c r="K648" s="47"/>
      <c r="L648" s="47"/>
      <c r="M648" s="47"/>
      <c r="N648" s="47"/>
      <c r="O648" s="47"/>
      <c r="P648" s="47"/>
      <c r="Q648" s="47"/>
      <c r="R648" s="47"/>
      <c r="S648" s="47"/>
      <c r="T648" s="292" t="str">
        <f t="shared" si="66"/>
        <v>トラック・バス</v>
      </c>
      <c r="U648" s="283" t="str">
        <f t="shared" si="67"/>
        <v>軽油</v>
      </c>
      <c r="V648" s="283" t="str">
        <f t="shared" si="68"/>
        <v>3.5 t～</v>
      </c>
      <c r="W648" s="283" t="str">
        <f t="shared" si="69"/>
        <v>H21</v>
      </c>
      <c r="X648" s="284" t="str">
        <f t="shared" si="69"/>
        <v>RRG</v>
      </c>
      <c r="Y648" s="271" t="s">
        <v>1770</v>
      </c>
      <c r="Z648" s="283">
        <f t="shared" si="70"/>
        <v>1.2500000000000001E-2</v>
      </c>
      <c r="AA648" s="283">
        <f t="shared" si="70"/>
        <v>2.5000000000000001E-4</v>
      </c>
      <c r="AB648" s="340">
        <f t="shared" si="70"/>
        <v>2.58</v>
      </c>
      <c r="AD648" s="47"/>
      <c r="AE648" s="47"/>
      <c r="AF648" s="47"/>
      <c r="AG648" s="47"/>
      <c r="AH648" s="47"/>
      <c r="AI648" s="47"/>
      <c r="AN648" s="47" t="s">
        <v>2604</v>
      </c>
      <c r="AO648" s="47"/>
    </row>
    <row r="649" spans="1:41" s="436" customFormat="1">
      <c r="A649" t="str">
        <f t="shared" si="65"/>
        <v>貨4軽RCG</v>
      </c>
      <c r="B649" t="s">
        <v>2839</v>
      </c>
      <c r="C649" s="453" t="s">
        <v>2068</v>
      </c>
      <c r="D649" t="s">
        <v>2382</v>
      </c>
      <c r="E649" t="s">
        <v>1087</v>
      </c>
      <c r="F649">
        <v>1.2500000000000001E-2</v>
      </c>
      <c r="G649">
        <v>2.5000000000000001E-4</v>
      </c>
      <c r="H649">
        <v>2.58</v>
      </c>
      <c r="I649" t="s">
        <v>239</v>
      </c>
      <c r="J649"/>
      <c r="K649" s="47"/>
      <c r="L649" s="47"/>
      <c r="M649" s="47"/>
      <c r="N649" s="47"/>
      <c r="O649" s="47"/>
      <c r="P649" s="47"/>
      <c r="Q649" s="47"/>
      <c r="R649" s="47"/>
      <c r="S649" s="47"/>
      <c r="T649" s="292" t="str">
        <f t="shared" si="66"/>
        <v>トラック・バス</v>
      </c>
      <c r="U649" s="283" t="str">
        <f t="shared" si="67"/>
        <v>軽油</v>
      </c>
      <c r="V649" s="283" t="str">
        <f t="shared" si="68"/>
        <v>3.5 t～</v>
      </c>
      <c r="W649" s="283" t="str">
        <f t="shared" si="69"/>
        <v>H21</v>
      </c>
      <c r="X649" s="284" t="str">
        <f t="shared" si="69"/>
        <v>RCG</v>
      </c>
      <c r="Y649" s="271" t="s">
        <v>2262</v>
      </c>
      <c r="Z649" s="283">
        <f t="shared" si="70"/>
        <v>1.2500000000000001E-2</v>
      </c>
      <c r="AA649" s="283">
        <f t="shared" si="70"/>
        <v>2.5000000000000001E-4</v>
      </c>
      <c r="AB649" s="340">
        <f t="shared" si="70"/>
        <v>2.58</v>
      </c>
      <c r="AD649" s="47"/>
      <c r="AE649" s="47"/>
      <c r="AF649" s="47"/>
      <c r="AG649" s="47"/>
      <c r="AH649" s="47"/>
      <c r="AI649" s="47"/>
      <c r="AN649" s="47" t="s">
        <v>2605</v>
      </c>
      <c r="AO649" s="47"/>
    </row>
    <row r="650" spans="1:41">
      <c r="A650" t="str">
        <f t="shared" si="65"/>
        <v>貨4軽RJG</v>
      </c>
      <c r="B650" t="s">
        <v>2839</v>
      </c>
      <c r="C650" s="453" t="s">
        <v>2068</v>
      </c>
      <c r="D650" t="s">
        <v>2382</v>
      </c>
      <c r="E650" t="s">
        <v>1089</v>
      </c>
      <c r="F650">
        <v>1.2500000000000001E-2</v>
      </c>
      <c r="G650">
        <v>2.5000000000000001E-4</v>
      </c>
      <c r="H650">
        <v>2.58</v>
      </c>
      <c r="I650" t="s">
        <v>239</v>
      </c>
      <c r="J650"/>
      <c r="K650" s="436"/>
      <c r="L650" s="436"/>
      <c r="M650" s="436"/>
      <c r="N650" s="436"/>
      <c r="O650" s="436"/>
      <c r="P650" s="436"/>
      <c r="Q650" s="436"/>
      <c r="R650" s="436"/>
      <c r="S650" s="436"/>
      <c r="T650" s="292" t="str">
        <f t="shared" si="66"/>
        <v>トラック・バス</v>
      </c>
      <c r="U650" s="283" t="str">
        <f t="shared" si="67"/>
        <v>軽油</v>
      </c>
      <c r="V650" s="283" t="str">
        <f t="shared" si="68"/>
        <v>3.5 t～</v>
      </c>
      <c r="W650" s="283" t="str">
        <f t="shared" si="69"/>
        <v>H21</v>
      </c>
      <c r="X650" s="284" t="str">
        <f t="shared" si="69"/>
        <v>RJG</v>
      </c>
      <c r="Y650" s="271" t="s">
        <v>2262</v>
      </c>
      <c r="Z650" s="283">
        <f t="shared" si="70"/>
        <v>1.2500000000000001E-2</v>
      </c>
      <c r="AA650" s="283">
        <f t="shared" si="70"/>
        <v>2.5000000000000001E-4</v>
      </c>
      <c r="AB650" s="340">
        <f t="shared" si="70"/>
        <v>2.58</v>
      </c>
      <c r="AN650" s="266" t="s">
        <v>2606</v>
      </c>
    </row>
    <row r="651" spans="1:41">
      <c r="A651" t="str">
        <f t="shared" si="65"/>
        <v>貨4軽RNG</v>
      </c>
      <c r="B651" t="s">
        <v>2839</v>
      </c>
      <c r="C651" s="453" t="s">
        <v>2068</v>
      </c>
      <c r="D651" t="s">
        <v>2382</v>
      </c>
      <c r="E651" t="s">
        <v>1091</v>
      </c>
      <c r="F651">
        <v>1.2500000000000001E-2</v>
      </c>
      <c r="G651">
        <v>2.5000000000000001E-4</v>
      </c>
      <c r="H651">
        <v>2.58</v>
      </c>
      <c r="I651" t="s">
        <v>239</v>
      </c>
      <c r="J651"/>
      <c r="K651" s="436"/>
      <c r="L651" s="436"/>
      <c r="M651" s="436"/>
      <c r="N651" s="436"/>
      <c r="O651" s="436"/>
      <c r="P651" s="436"/>
      <c r="Q651" s="436"/>
      <c r="R651" s="436"/>
      <c r="S651" s="436"/>
      <c r="T651" s="292" t="str">
        <f t="shared" si="66"/>
        <v>トラック・バス</v>
      </c>
      <c r="U651" s="283" t="str">
        <f t="shared" si="67"/>
        <v>軽油</v>
      </c>
      <c r="V651" s="283" t="str">
        <f t="shared" si="68"/>
        <v>3.5 t～</v>
      </c>
      <c r="W651" s="283" t="str">
        <f t="shared" si="69"/>
        <v>H21</v>
      </c>
      <c r="X651" s="284" t="str">
        <f t="shared" si="69"/>
        <v>RNG</v>
      </c>
      <c r="Y651" s="271" t="s">
        <v>1770</v>
      </c>
      <c r="Z651" s="283">
        <f t="shared" si="70"/>
        <v>1.2500000000000001E-2</v>
      </c>
      <c r="AA651" s="283">
        <f t="shared" si="70"/>
        <v>2.5000000000000001E-4</v>
      </c>
      <c r="AB651" s="340">
        <f t="shared" si="70"/>
        <v>2.58</v>
      </c>
      <c r="AN651" s="47" t="s">
        <v>2607</v>
      </c>
    </row>
    <row r="652" spans="1:41">
      <c r="A652" t="str">
        <f t="shared" si="65"/>
        <v>貨4軽RQG</v>
      </c>
      <c r="B652" t="s">
        <v>2839</v>
      </c>
      <c r="C652" s="453" t="s">
        <v>2068</v>
      </c>
      <c r="D652" t="s">
        <v>2382</v>
      </c>
      <c r="E652" t="s">
        <v>1093</v>
      </c>
      <c r="F652">
        <v>1.2500000000000001E-2</v>
      </c>
      <c r="G652">
        <v>2.5000000000000001E-4</v>
      </c>
      <c r="H652">
        <v>2.58</v>
      </c>
      <c r="I652" t="s">
        <v>239</v>
      </c>
      <c r="J652"/>
      <c r="K652" s="436"/>
      <c r="L652" s="436"/>
      <c r="M652" s="436"/>
      <c r="N652" s="436"/>
      <c r="O652" s="436"/>
      <c r="P652" s="436"/>
      <c r="Q652" s="436"/>
      <c r="R652" s="436"/>
      <c r="S652" s="436"/>
      <c r="T652" s="292" t="str">
        <f t="shared" si="66"/>
        <v>トラック・バス</v>
      </c>
      <c r="U652" s="283" t="str">
        <f t="shared" si="67"/>
        <v>軽油</v>
      </c>
      <c r="V652" s="283" t="str">
        <f t="shared" si="68"/>
        <v>3.5 t～</v>
      </c>
      <c r="W652" s="283" t="str">
        <f t="shared" si="69"/>
        <v>H21</v>
      </c>
      <c r="X652" s="284" t="str">
        <f t="shared" si="69"/>
        <v>RQG</v>
      </c>
      <c r="Y652" s="271" t="s">
        <v>1770</v>
      </c>
      <c r="Z652" s="283">
        <f t="shared" si="70"/>
        <v>1.2500000000000001E-2</v>
      </c>
      <c r="AA652" s="283">
        <f t="shared" si="70"/>
        <v>2.5000000000000001E-4</v>
      </c>
      <c r="AB652" s="340">
        <f t="shared" si="70"/>
        <v>2.58</v>
      </c>
      <c r="AN652" s="47" t="s">
        <v>2608</v>
      </c>
    </row>
    <row r="653" spans="1:41">
      <c r="A653" t="str">
        <f t="shared" si="65"/>
        <v>貨4軽RMG</v>
      </c>
      <c r="B653" t="s">
        <v>2839</v>
      </c>
      <c r="C653" s="453" t="s">
        <v>2068</v>
      </c>
      <c r="D653" t="s">
        <v>2382</v>
      </c>
      <c r="E653" t="s">
        <v>2844</v>
      </c>
      <c r="F653">
        <v>1.2500000000000001E-2</v>
      </c>
      <c r="G653">
        <v>2.5000000000000001E-4</v>
      </c>
      <c r="H653">
        <v>2.58</v>
      </c>
      <c r="I653" t="s">
        <v>2490</v>
      </c>
      <c r="J653"/>
      <c r="K653" s="436"/>
      <c r="L653" s="436"/>
      <c r="M653" s="436"/>
      <c r="N653" s="436"/>
      <c r="O653" s="436"/>
      <c r="P653" s="436"/>
      <c r="Q653" s="436"/>
      <c r="R653" s="436"/>
      <c r="S653" s="436"/>
      <c r="T653" s="292" t="str">
        <f t="shared" si="66"/>
        <v>トラック・バス</v>
      </c>
      <c r="U653" s="283" t="str">
        <f t="shared" si="67"/>
        <v>軽油</v>
      </c>
      <c r="V653" s="283" t="str">
        <f t="shared" si="68"/>
        <v>3.5 t～</v>
      </c>
      <c r="W653" s="283" t="str">
        <f t="shared" si="69"/>
        <v>H21</v>
      </c>
      <c r="X653" s="284" t="str">
        <f t="shared" si="69"/>
        <v>RMG</v>
      </c>
      <c r="Y653" s="271" t="s">
        <v>1770</v>
      </c>
      <c r="Z653" s="283">
        <f t="shared" si="70"/>
        <v>1.2500000000000001E-2</v>
      </c>
      <c r="AA653" s="283">
        <f t="shared" si="70"/>
        <v>2.5000000000000001E-4</v>
      </c>
      <c r="AB653" s="340">
        <f t="shared" si="70"/>
        <v>2.58</v>
      </c>
      <c r="AN653" s="47" t="s">
        <v>2609</v>
      </c>
    </row>
    <row r="654" spans="1:41">
      <c r="A654" t="str">
        <f t="shared" si="65"/>
        <v>貨4軽QDG</v>
      </c>
      <c r="B654" t="s">
        <v>2839</v>
      </c>
      <c r="C654" s="453" t="s">
        <v>2068</v>
      </c>
      <c r="D654" t="s">
        <v>2382</v>
      </c>
      <c r="E654" t="s">
        <v>2845</v>
      </c>
      <c r="F654" s="453">
        <v>4.4999999999999998E-2</v>
      </c>
      <c r="G654">
        <v>9.0000000000000008E-4</v>
      </c>
      <c r="H654">
        <v>2.58</v>
      </c>
      <c r="I654" t="s">
        <v>607</v>
      </c>
      <c r="J654"/>
      <c r="K654" s="436"/>
      <c r="L654" s="436"/>
      <c r="M654" s="436"/>
      <c r="N654" s="436"/>
      <c r="O654" s="436"/>
      <c r="P654" s="436"/>
      <c r="Q654" s="436"/>
      <c r="R654" s="436"/>
      <c r="S654" s="436"/>
      <c r="T654" s="292" t="str">
        <f t="shared" si="66"/>
        <v>トラック・バス</v>
      </c>
      <c r="U654" s="283" t="str">
        <f t="shared" si="67"/>
        <v>軽油</v>
      </c>
      <c r="V654" s="283" t="str">
        <f t="shared" si="68"/>
        <v>3.5 t～</v>
      </c>
      <c r="W654" s="283" t="str">
        <f t="shared" si="69"/>
        <v>H21</v>
      </c>
      <c r="X654" s="284" t="str">
        <f t="shared" si="69"/>
        <v>QDG</v>
      </c>
      <c r="Y654" s="271" t="s">
        <v>1762</v>
      </c>
      <c r="Z654" s="283">
        <f t="shared" si="70"/>
        <v>4.4999999999999998E-2</v>
      </c>
      <c r="AA654" s="283">
        <f t="shared" si="70"/>
        <v>9.0000000000000008E-4</v>
      </c>
      <c r="AB654" s="340">
        <f t="shared" si="70"/>
        <v>2.58</v>
      </c>
      <c r="AN654" s="266" t="s">
        <v>2610</v>
      </c>
    </row>
    <row r="655" spans="1:41">
      <c r="A655" t="str">
        <f t="shared" si="65"/>
        <v>貨4軽QKG</v>
      </c>
      <c r="B655" t="s">
        <v>2839</v>
      </c>
      <c r="C655" s="453" t="s">
        <v>2068</v>
      </c>
      <c r="D655" t="s">
        <v>2382</v>
      </c>
      <c r="E655" t="s">
        <v>2846</v>
      </c>
      <c r="F655" s="453">
        <v>4.4999999999999998E-2</v>
      </c>
      <c r="G655">
        <v>9.0000000000000008E-4</v>
      </c>
      <c r="H655">
        <v>2.58</v>
      </c>
      <c r="I655" t="s">
        <v>607</v>
      </c>
      <c r="J655"/>
      <c r="K655" s="436"/>
      <c r="L655" s="436"/>
      <c r="M655" s="436"/>
      <c r="N655" s="436"/>
      <c r="O655" s="436"/>
      <c r="P655" s="436"/>
      <c r="Q655" s="436"/>
      <c r="R655" s="436"/>
      <c r="S655" s="436"/>
      <c r="T655" s="292" t="str">
        <f t="shared" si="66"/>
        <v>トラック・バス</v>
      </c>
      <c r="U655" s="283" t="str">
        <f t="shared" si="67"/>
        <v>軽油</v>
      </c>
      <c r="V655" s="283" t="str">
        <f t="shared" si="68"/>
        <v>3.5 t～</v>
      </c>
      <c r="W655" s="283" t="str">
        <f t="shared" si="69"/>
        <v>H21</v>
      </c>
      <c r="X655" s="284" t="str">
        <f t="shared" si="69"/>
        <v>QKG</v>
      </c>
      <c r="Y655" s="271" t="s">
        <v>1762</v>
      </c>
      <c r="Z655" s="283">
        <f t="shared" si="70"/>
        <v>4.4999999999999998E-2</v>
      </c>
      <c r="AA655" s="283">
        <f t="shared" si="70"/>
        <v>9.0000000000000008E-4</v>
      </c>
      <c r="AB655" s="340">
        <f t="shared" si="70"/>
        <v>2.58</v>
      </c>
      <c r="AN655" s="47" t="s">
        <v>2611</v>
      </c>
    </row>
    <row r="656" spans="1:41">
      <c r="A656" t="str">
        <f t="shared" si="65"/>
        <v>貨4軽QPG</v>
      </c>
      <c r="B656" t="s">
        <v>2839</v>
      </c>
      <c r="C656" s="453" t="s">
        <v>2068</v>
      </c>
      <c r="D656" t="s">
        <v>2382</v>
      </c>
      <c r="E656" t="s">
        <v>2847</v>
      </c>
      <c r="F656" s="453">
        <v>4.4999999999999998E-2</v>
      </c>
      <c r="G656">
        <v>9.0000000000000008E-4</v>
      </c>
      <c r="H656">
        <v>2.58</v>
      </c>
      <c r="I656" t="s">
        <v>607</v>
      </c>
      <c r="J656"/>
      <c r="T656" s="292" t="str">
        <f t="shared" si="66"/>
        <v>トラック・バス</v>
      </c>
      <c r="U656" s="283" t="str">
        <f t="shared" si="67"/>
        <v>軽油</v>
      </c>
      <c r="V656" s="283" t="str">
        <f t="shared" si="68"/>
        <v>3.5 t～</v>
      </c>
      <c r="W656" s="283" t="str">
        <f t="shared" si="69"/>
        <v>H21</v>
      </c>
      <c r="X656" s="284" t="str">
        <f t="shared" si="69"/>
        <v>QPG</v>
      </c>
      <c r="Y656" s="271" t="s">
        <v>1762</v>
      </c>
      <c r="Z656" s="283">
        <f t="shared" si="70"/>
        <v>4.4999999999999998E-2</v>
      </c>
      <c r="AA656" s="283">
        <f t="shared" si="70"/>
        <v>9.0000000000000008E-4</v>
      </c>
      <c r="AB656" s="340">
        <f t="shared" si="70"/>
        <v>2.58</v>
      </c>
      <c r="AN656" s="47" t="s">
        <v>2612</v>
      </c>
    </row>
    <row r="657" spans="1:41">
      <c r="A657" t="str">
        <f t="shared" si="65"/>
        <v>貨4軽QRG</v>
      </c>
      <c r="B657" t="s">
        <v>2839</v>
      </c>
      <c r="C657" s="453" t="s">
        <v>2068</v>
      </c>
      <c r="D657" t="s">
        <v>2382</v>
      </c>
      <c r="E657" t="s">
        <v>2848</v>
      </c>
      <c r="F657" s="453">
        <v>4.4999999999999998E-2</v>
      </c>
      <c r="G657">
        <v>9.0000000000000008E-4</v>
      </c>
      <c r="H657">
        <v>2.58</v>
      </c>
      <c r="I657" t="s">
        <v>607</v>
      </c>
      <c r="J657"/>
      <c r="T657" s="292" t="str">
        <f t="shared" si="66"/>
        <v>トラック・バス</v>
      </c>
      <c r="U657" s="283" t="str">
        <f t="shared" si="67"/>
        <v>軽油</v>
      </c>
      <c r="V657" s="283" t="str">
        <f t="shared" si="68"/>
        <v>3.5 t～</v>
      </c>
      <c r="W657" s="283" t="str">
        <f t="shared" si="69"/>
        <v>H21</v>
      </c>
      <c r="X657" s="284" t="str">
        <f t="shared" si="69"/>
        <v>QRG</v>
      </c>
      <c r="Y657" s="271" t="s">
        <v>1762</v>
      </c>
      <c r="Z657" s="283">
        <f t="shared" si="70"/>
        <v>4.4999999999999998E-2</v>
      </c>
      <c r="AA657" s="283">
        <f t="shared" si="70"/>
        <v>9.0000000000000008E-4</v>
      </c>
      <c r="AB657" s="340">
        <f t="shared" si="70"/>
        <v>2.58</v>
      </c>
      <c r="AN657" s="266" t="s">
        <v>2613</v>
      </c>
    </row>
    <row r="658" spans="1:41">
      <c r="A658" t="str">
        <f t="shared" si="65"/>
        <v>貨4軽QTG</v>
      </c>
      <c r="B658" t="s">
        <v>2839</v>
      </c>
      <c r="C658" s="453" t="s">
        <v>2068</v>
      </c>
      <c r="D658" t="s">
        <v>2382</v>
      </c>
      <c r="E658" t="s">
        <v>2849</v>
      </c>
      <c r="F658" s="453">
        <v>4.4999999999999998E-2</v>
      </c>
      <c r="G658">
        <v>9.0000000000000008E-4</v>
      </c>
      <c r="H658">
        <v>2.58</v>
      </c>
      <c r="I658" t="s">
        <v>607</v>
      </c>
      <c r="J658"/>
      <c r="T658" s="292" t="str">
        <f t="shared" si="66"/>
        <v>トラック・バス</v>
      </c>
      <c r="U658" s="283" t="str">
        <f t="shared" si="67"/>
        <v>軽油</v>
      </c>
      <c r="V658" s="283" t="str">
        <f t="shared" si="68"/>
        <v>3.5 t～</v>
      </c>
      <c r="W658" s="283" t="str">
        <f t="shared" si="69"/>
        <v>H21</v>
      </c>
      <c r="X658" s="284" t="str">
        <f t="shared" si="69"/>
        <v>QTG</v>
      </c>
      <c r="Y658" s="271" t="s">
        <v>1762</v>
      </c>
      <c r="Z658" s="283">
        <f t="shared" si="70"/>
        <v>4.4999999999999998E-2</v>
      </c>
      <c r="AA658" s="283">
        <f t="shared" si="70"/>
        <v>9.0000000000000008E-4</v>
      </c>
      <c r="AB658" s="340">
        <f t="shared" si="70"/>
        <v>2.58</v>
      </c>
      <c r="AN658" s="47" t="s">
        <v>2614</v>
      </c>
    </row>
    <row r="659" spans="1:41">
      <c r="A659" t="str">
        <f t="shared" si="65"/>
        <v>貨4軽QCG</v>
      </c>
      <c r="B659" t="s">
        <v>2839</v>
      </c>
      <c r="C659" s="453" t="s">
        <v>2068</v>
      </c>
      <c r="D659" t="s">
        <v>2382</v>
      </c>
      <c r="E659" t="s">
        <v>2850</v>
      </c>
      <c r="F659" s="453">
        <v>4.4999999999999998E-2</v>
      </c>
      <c r="G659">
        <v>9.0000000000000008E-4</v>
      </c>
      <c r="H659">
        <v>2.58</v>
      </c>
      <c r="I659" t="s">
        <v>239</v>
      </c>
      <c r="J659"/>
      <c r="T659" s="292" t="str">
        <f t="shared" si="66"/>
        <v>トラック・バス</v>
      </c>
      <c r="U659" s="283" t="str">
        <f t="shared" si="67"/>
        <v>軽油</v>
      </c>
      <c r="V659" s="283" t="str">
        <f t="shared" si="68"/>
        <v>3.5 t～</v>
      </c>
      <c r="W659" s="283" t="str">
        <f t="shared" si="69"/>
        <v>H21</v>
      </c>
      <c r="X659" s="284" t="str">
        <f t="shared" si="69"/>
        <v>QCG</v>
      </c>
      <c r="Y659" s="271" t="s">
        <v>1762</v>
      </c>
      <c r="Z659" s="283">
        <f t="shared" si="70"/>
        <v>4.4999999999999998E-2</v>
      </c>
      <c r="AA659" s="283">
        <f t="shared" si="70"/>
        <v>9.0000000000000008E-4</v>
      </c>
      <c r="AB659" s="340">
        <f t="shared" si="70"/>
        <v>2.58</v>
      </c>
      <c r="AD659" s="436"/>
      <c r="AE659" s="436"/>
      <c r="AF659" s="436"/>
      <c r="AG659" s="436"/>
      <c r="AH659" s="436"/>
      <c r="AI659" s="436"/>
      <c r="AN659" s="266" t="s">
        <v>2615</v>
      </c>
    </row>
    <row r="660" spans="1:41">
      <c r="A660" t="str">
        <f t="shared" si="65"/>
        <v>貨4軽QJG</v>
      </c>
      <c r="B660" t="s">
        <v>2839</v>
      </c>
      <c r="C660" s="453" t="s">
        <v>2068</v>
      </c>
      <c r="D660" t="s">
        <v>2382</v>
      </c>
      <c r="E660" t="s">
        <v>2851</v>
      </c>
      <c r="F660" s="453">
        <v>4.4999999999999998E-2</v>
      </c>
      <c r="G660">
        <v>9.0000000000000008E-4</v>
      </c>
      <c r="H660">
        <v>2.58</v>
      </c>
      <c r="I660" t="s">
        <v>239</v>
      </c>
      <c r="J660"/>
      <c r="T660" s="292" t="str">
        <f t="shared" si="66"/>
        <v>トラック・バス</v>
      </c>
      <c r="U660" s="283" t="str">
        <f t="shared" si="67"/>
        <v>軽油</v>
      </c>
      <c r="V660" s="283" t="str">
        <f t="shared" si="68"/>
        <v>3.5 t～</v>
      </c>
      <c r="W660" s="283" t="str">
        <f t="shared" si="69"/>
        <v>H21</v>
      </c>
      <c r="X660" s="284" t="str">
        <f t="shared" si="69"/>
        <v>QJG</v>
      </c>
      <c r="Y660" s="271" t="s">
        <v>1762</v>
      </c>
      <c r="Z660" s="283">
        <f t="shared" si="70"/>
        <v>4.4999999999999998E-2</v>
      </c>
      <c r="AA660" s="283">
        <f t="shared" si="70"/>
        <v>9.0000000000000008E-4</v>
      </c>
      <c r="AB660" s="340">
        <f t="shared" si="70"/>
        <v>2.58</v>
      </c>
      <c r="AD660" s="436"/>
      <c r="AE660" s="436"/>
      <c r="AF660" s="436"/>
      <c r="AG660" s="436"/>
      <c r="AH660" s="436"/>
      <c r="AI660" s="436"/>
      <c r="AN660" s="47" t="s">
        <v>2616</v>
      </c>
    </row>
    <row r="661" spans="1:41" s="436" customFormat="1">
      <c r="A661" t="str">
        <f t="shared" si="65"/>
        <v>貨4軽QNG</v>
      </c>
      <c r="B661" t="s">
        <v>2839</v>
      </c>
      <c r="C661" s="453" t="s">
        <v>2068</v>
      </c>
      <c r="D661" t="s">
        <v>2382</v>
      </c>
      <c r="E661" t="s">
        <v>2852</v>
      </c>
      <c r="F661" s="453">
        <v>4.4999999999999998E-2</v>
      </c>
      <c r="G661">
        <v>9.0000000000000008E-4</v>
      </c>
      <c r="H661">
        <v>2.58</v>
      </c>
      <c r="I661" t="s">
        <v>239</v>
      </c>
      <c r="J661"/>
      <c r="K661" s="47"/>
      <c r="L661" s="47"/>
      <c r="M661" s="47"/>
      <c r="N661" s="47"/>
      <c r="O661" s="47"/>
      <c r="P661" s="47"/>
      <c r="Q661" s="47"/>
      <c r="R661" s="47"/>
      <c r="S661" s="47"/>
      <c r="T661" s="292" t="str">
        <f t="shared" si="66"/>
        <v>トラック・バス</v>
      </c>
      <c r="U661" s="283" t="str">
        <f t="shared" si="67"/>
        <v>軽油</v>
      </c>
      <c r="V661" s="283" t="str">
        <f t="shared" si="68"/>
        <v>3.5 t～</v>
      </c>
      <c r="W661" s="283" t="str">
        <f t="shared" si="69"/>
        <v>H21</v>
      </c>
      <c r="X661" s="284" t="str">
        <f t="shared" si="69"/>
        <v>QNG</v>
      </c>
      <c r="Y661" s="271" t="s">
        <v>1762</v>
      </c>
      <c r="Z661" s="283">
        <f t="shared" si="70"/>
        <v>4.4999999999999998E-2</v>
      </c>
      <c r="AA661" s="283">
        <f t="shared" si="70"/>
        <v>9.0000000000000008E-4</v>
      </c>
      <c r="AB661" s="340">
        <f t="shared" si="70"/>
        <v>2.58</v>
      </c>
      <c r="AN661" s="47" t="s">
        <v>2617</v>
      </c>
      <c r="AO661" s="47"/>
    </row>
    <row r="662" spans="1:41" s="436" customFormat="1">
      <c r="A662" t="str">
        <f t="shared" si="65"/>
        <v>貨4軽QQG</v>
      </c>
      <c r="B662" t="s">
        <v>2839</v>
      </c>
      <c r="C662" s="453" t="s">
        <v>2068</v>
      </c>
      <c r="D662" t="s">
        <v>2382</v>
      </c>
      <c r="E662" t="s">
        <v>2853</v>
      </c>
      <c r="F662" s="453">
        <v>4.4999999999999998E-2</v>
      </c>
      <c r="G662">
        <v>9.0000000000000008E-4</v>
      </c>
      <c r="H662">
        <v>2.58</v>
      </c>
      <c r="I662" t="s">
        <v>239</v>
      </c>
      <c r="J662"/>
      <c r="K662" s="47"/>
      <c r="L662" s="47"/>
      <c r="M662" s="47"/>
      <c r="N662" s="47"/>
      <c r="O662" s="47"/>
      <c r="P662" s="47"/>
      <c r="Q662" s="47"/>
      <c r="R662" s="47"/>
      <c r="S662" s="47"/>
      <c r="T662" s="292" t="str">
        <f t="shared" si="66"/>
        <v>トラック・バス</v>
      </c>
      <c r="U662" s="283" t="str">
        <f t="shared" si="67"/>
        <v>軽油</v>
      </c>
      <c r="V662" s="283" t="str">
        <f t="shared" si="68"/>
        <v>3.5 t～</v>
      </c>
      <c r="W662" s="283" t="str">
        <f t="shared" si="69"/>
        <v>H21</v>
      </c>
      <c r="X662" s="284" t="str">
        <f t="shared" si="69"/>
        <v>QQG</v>
      </c>
      <c r="Y662" s="271" t="s">
        <v>1762</v>
      </c>
      <c r="Z662" s="283">
        <f t="shared" si="70"/>
        <v>4.4999999999999998E-2</v>
      </c>
      <c r="AA662" s="283">
        <f t="shared" si="70"/>
        <v>9.0000000000000008E-4</v>
      </c>
      <c r="AB662" s="340">
        <f t="shared" si="70"/>
        <v>2.58</v>
      </c>
      <c r="AN662" s="266" t="s">
        <v>2618</v>
      </c>
      <c r="AO662" s="47"/>
    </row>
    <row r="663" spans="1:41" s="436" customFormat="1">
      <c r="A663" t="str">
        <f t="shared" si="65"/>
        <v>貨4軽QSG</v>
      </c>
      <c r="B663" t="s">
        <v>2839</v>
      </c>
      <c r="C663" s="453" t="s">
        <v>2068</v>
      </c>
      <c r="D663" t="s">
        <v>2382</v>
      </c>
      <c r="E663" t="s">
        <v>2854</v>
      </c>
      <c r="F663" s="453">
        <v>4.4999999999999998E-2</v>
      </c>
      <c r="G663">
        <v>9.0000000000000008E-4</v>
      </c>
      <c r="H663">
        <v>2.58</v>
      </c>
      <c r="I663" t="s">
        <v>239</v>
      </c>
      <c r="J663"/>
      <c r="K663" s="47"/>
      <c r="L663" s="47"/>
      <c r="M663" s="47"/>
      <c r="N663" s="47"/>
      <c r="O663" s="47"/>
      <c r="P663" s="47"/>
      <c r="Q663" s="47"/>
      <c r="R663" s="47"/>
      <c r="S663" s="47"/>
      <c r="T663" s="292" t="str">
        <f t="shared" si="66"/>
        <v>トラック・バス</v>
      </c>
      <c r="U663" s="283" t="str">
        <f t="shared" si="67"/>
        <v>軽油</v>
      </c>
      <c r="V663" s="283" t="str">
        <f t="shared" si="68"/>
        <v>3.5 t～</v>
      </c>
      <c r="W663" s="283" t="str">
        <f t="shared" si="69"/>
        <v>H21</v>
      </c>
      <c r="X663" s="284" t="str">
        <f t="shared" si="69"/>
        <v>QSG</v>
      </c>
      <c r="Y663" s="271" t="s">
        <v>1762</v>
      </c>
      <c r="Z663" s="283">
        <f t="shared" si="70"/>
        <v>4.4999999999999998E-2</v>
      </c>
      <c r="AA663" s="283">
        <f t="shared" si="70"/>
        <v>9.0000000000000008E-4</v>
      </c>
      <c r="AB663" s="340">
        <f t="shared" si="70"/>
        <v>2.58</v>
      </c>
      <c r="AN663" s="47" t="s">
        <v>2619</v>
      </c>
      <c r="AO663" s="47"/>
    </row>
    <row r="664" spans="1:41" s="436" customFormat="1">
      <c r="A664" t="str">
        <f t="shared" si="65"/>
        <v>貨4軽QMG</v>
      </c>
      <c r="B664" t="s">
        <v>2839</v>
      </c>
      <c r="C664" s="453" t="s">
        <v>2068</v>
      </c>
      <c r="D664" t="s">
        <v>2382</v>
      </c>
      <c r="E664" t="s">
        <v>2855</v>
      </c>
      <c r="F664" s="453">
        <v>4.4999999999999998E-2</v>
      </c>
      <c r="G664">
        <v>8.9999999999999998E-4</v>
      </c>
      <c r="H664">
        <v>2.58</v>
      </c>
      <c r="I664" t="s">
        <v>2490</v>
      </c>
      <c r="J664"/>
      <c r="K664" s="47"/>
      <c r="L664" s="47"/>
      <c r="M664" s="47"/>
      <c r="N664" s="47"/>
      <c r="O664" s="47"/>
      <c r="P664" s="47"/>
      <c r="Q664" s="47"/>
      <c r="R664" s="47"/>
      <c r="S664" s="47"/>
      <c r="T664" s="292" t="str">
        <f t="shared" si="66"/>
        <v>トラック・バス</v>
      </c>
      <c r="U664" s="283" t="str">
        <f t="shared" si="67"/>
        <v>軽油</v>
      </c>
      <c r="V664" s="283" t="str">
        <f t="shared" si="68"/>
        <v>3.5 t～</v>
      </c>
      <c r="W664" s="283" t="str">
        <f t="shared" si="69"/>
        <v>H21</v>
      </c>
      <c r="X664" s="284" t="str">
        <f t="shared" si="69"/>
        <v>QMG</v>
      </c>
      <c r="Y664" s="271" t="s">
        <v>1762</v>
      </c>
      <c r="Z664" s="283">
        <f t="shared" si="70"/>
        <v>4.4999999999999998E-2</v>
      </c>
      <c r="AA664" s="283">
        <f t="shared" si="70"/>
        <v>8.9999999999999998E-4</v>
      </c>
      <c r="AB664" s="340">
        <f t="shared" si="70"/>
        <v>2.58</v>
      </c>
      <c r="AN664" s="47" t="s">
        <v>2620</v>
      </c>
      <c r="AO664" s="47"/>
    </row>
    <row r="665" spans="1:41" s="436" customFormat="1">
      <c r="A665" t="str">
        <f>CONCATENATE(C665,E665)</f>
        <v>貨4軽SDG</v>
      </c>
      <c r="B665" t="s">
        <v>2856</v>
      </c>
      <c r="C665" t="s">
        <v>2068</v>
      </c>
      <c r="D665" t="s">
        <v>2390</v>
      </c>
      <c r="E665" t="s">
        <v>1095</v>
      </c>
      <c r="F665">
        <v>0.05</v>
      </c>
      <c r="G665">
        <v>1E-3</v>
      </c>
      <c r="H665">
        <v>2.58</v>
      </c>
      <c r="I665" t="s">
        <v>607</v>
      </c>
      <c r="J665"/>
      <c r="K665" s="47"/>
      <c r="L665" s="47"/>
      <c r="M665" s="47"/>
      <c r="N665" s="47"/>
      <c r="O665" s="47"/>
      <c r="P665" s="47"/>
      <c r="Q665" s="47"/>
      <c r="R665" s="47"/>
      <c r="S665" s="47"/>
      <c r="T665" s="292" t="str">
        <f t="shared" si="66"/>
        <v>トラック・バス</v>
      </c>
      <c r="U665" s="283" t="str">
        <f t="shared" si="67"/>
        <v>軽油</v>
      </c>
      <c r="V665" s="283" t="str">
        <f t="shared" si="68"/>
        <v>3.5 t～</v>
      </c>
      <c r="W665" s="283" t="str">
        <f t="shared" si="69"/>
        <v>H22</v>
      </c>
      <c r="X665" s="284" t="str">
        <f t="shared" si="69"/>
        <v>SDG</v>
      </c>
      <c r="Y665" s="271"/>
      <c r="Z665" s="283">
        <f t="shared" si="70"/>
        <v>0.05</v>
      </c>
      <c r="AA665" s="283">
        <f t="shared" si="70"/>
        <v>1E-3</v>
      </c>
      <c r="AB665" s="340">
        <f t="shared" si="70"/>
        <v>2.58</v>
      </c>
      <c r="AD665" s="47"/>
      <c r="AE665" s="47"/>
      <c r="AF665" s="47"/>
      <c r="AG665" s="47"/>
      <c r="AH665" s="47"/>
      <c r="AI665" s="47"/>
      <c r="AN665" s="436" t="s">
        <v>2621</v>
      </c>
      <c r="AO665" s="47"/>
    </row>
    <row r="666" spans="1:41" s="436" customFormat="1">
      <c r="A666" t="str">
        <f>CONCATENATE(C666,E666)</f>
        <v>貨4軽SKG</v>
      </c>
      <c r="B666" t="s">
        <v>2856</v>
      </c>
      <c r="C666" t="s">
        <v>2068</v>
      </c>
      <c r="D666" t="s">
        <v>2390</v>
      </c>
      <c r="E666" t="s">
        <v>1097</v>
      </c>
      <c r="F666">
        <v>0.05</v>
      </c>
      <c r="G666">
        <v>1E-3</v>
      </c>
      <c r="H666">
        <v>2.58</v>
      </c>
      <c r="I666" t="s">
        <v>607</v>
      </c>
      <c r="J666"/>
      <c r="K666" s="47"/>
      <c r="L666" s="47"/>
      <c r="M666" s="47"/>
      <c r="N666" s="47"/>
      <c r="O666" s="47"/>
      <c r="P666" s="47"/>
      <c r="Q666" s="47"/>
      <c r="R666" s="47"/>
      <c r="S666" s="47"/>
      <c r="T666" s="292" t="str">
        <f t="shared" si="66"/>
        <v>トラック・バス</v>
      </c>
      <c r="U666" s="283" t="str">
        <f t="shared" si="67"/>
        <v>軽油</v>
      </c>
      <c r="V666" s="283" t="str">
        <f t="shared" si="68"/>
        <v>3.5 t～</v>
      </c>
      <c r="W666" s="283" t="str">
        <f t="shared" si="69"/>
        <v>H22</v>
      </c>
      <c r="X666" s="284" t="str">
        <f t="shared" si="69"/>
        <v>SKG</v>
      </c>
      <c r="Y666" s="271"/>
      <c r="Z666" s="283">
        <f t="shared" si="70"/>
        <v>0.05</v>
      </c>
      <c r="AA666" s="283">
        <f t="shared" si="70"/>
        <v>1E-3</v>
      </c>
      <c r="AB666" s="340">
        <f t="shared" si="70"/>
        <v>2.58</v>
      </c>
      <c r="AD666" s="47"/>
      <c r="AE666" s="47"/>
      <c r="AF666" s="47"/>
      <c r="AG666" s="47"/>
      <c r="AH666" s="47"/>
      <c r="AI666" s="47"/>
      <c r="AN666" s="266" t="s">
        <v>2622</v>
      </c>
      <c r="AO666" s="47"/>
    </row>
    <row r="667" spans="1:41">
      <c r="A667" t="str">
        <f>CONCATENATE(C667,E667)</f>
        <v>貨4軽SPG</v>
      </c>
      <c r="B667" t="s">
        <v>2857</v>
      </c>
      <c r="C667" t="s">
        <v>2068</v>
      </c>
      <c r="D667" t="s">
        <v>2390</v>
      </c>
      <c r="E667" t="s">
        <v>1099</v>
      </c>
      <c r="F667">
        <v>0.05</v>
      </c>
      <c r="G667">
        <v>1E-3</v>
      </c>
      <c r="H667">
        <v>2.58</v>
      </c>
      <c r="I667" t="s">
        <v>607</v>
      </c>
      <c r="J667"/>
      <c r="K667" s="436"/>
      <c r="L667" s="436"/>
      <c r="M667" s="436"/>
      <c r="N667" s="436"/>
      <c r="O667" s="436"/>
      <c r="P667" s="436"/>
      <c r="Q667" s="436"/>
      <c r="R667" s="436"/>
      <c r="S667" s="436"/>
      <c r="T667" s="292" t="str">
        <f t="shared" si="66"/>
        <v>トラック・バス</v>
      </c>
      <c r="U667" s="283" t="str">
        <f t="shared" si="67"/>
        <v>軽油</v>
      </c>
      <c r="V667" s="283" t="str">
        <f t="shared" si="68"/>
        <v>3.5 t～</v>
      </c>
      <c r="W667" s="283" t="str">
        <f t="shared" si="69"/>
        <v>H22</v>
      </c>
      <c r="X667" s="284" t="str">
        <f t="shared" si="69"/>
        <v>SPG</v>
      </c>
      <c r="Y667" s="271"/>
      <c r="Z667" s="283">
        <f t="shared" si="70"/>
        <v>0.05</v>
      </c>
      <c r="AA667" s="283">
        <f t="shared" si="70"/>
        <v>1E-3</v>
      </c>
      <c r="AB667" s="340">
        <f t="shared" si="70"/>
        <v>2.58</v>
      </c>
      <c r="AN667" s="47" t="s">
        <v>2623</v>
      </c>
    </row>
    <row r="668" spans="1:41">
      <c r="A668" t="str">
        <f>CONCATENATE(C668,E668)</f>
        <v>貨4軽SRG</v>
      </c>
      <c r="B668" t="s">
        <v>2857</v>
      </c>
      <c r="C668" t="s">
        <v>2068</v>
      </c>
      <c r="D668" t="s">
        <v>2390</v>
      </c>
      <c r="E668" t="s">
        <v>1101</v>
      </c>
      <c r="F668">
        <v>0.05</v>
      </c>
      <c r="G668">
        <v>1E-3</v>
      </c>
      <c r="H668">
        <v>2.58</v>
      </c>
      <c r="I668" t="s">
        <v>607</v>
      </c>
      <c r="J668"/>
      <c r="K668" s="436"/>
      <c r="L668" s="436"/>
      <c r="M668" s="436"/>
      <c r="N668" s="436"/>
      <c r="O668" s="436"/>
      <c r="P668" s="436"/>
      <c r="Q668" s="436"/>
      <c r="R668" s="436"/>
      <c r="S668" s="436"/>
      <c r="T668" s="292" t="str">
        <f t="shared" si="66"/>
        <v>トラック・バス</v>
      </c>
      <c r="U668" s="283" t="str">
        <f t="shared" si="67"/>
        <v>軽油</v>
      </c>
      <c r="V668" s="283" t="str">
        <f t="shared" si="68"/>
        <v>3.5 t～</v>
      </c>
      <c r="W668" s="283" t="str">
        <f t="shared" si="69"/>
        <v>H22</v>
      </c>
      <c r="X668" s="284" t="str">
        <f t="shared" si="69"/>
        <v>SRG</v>
      </c>
      <c r="Y668" s="271"/>
      <c r="Z668" s="283">
        <f t="shared" si="70"/>
        <v>0.05</v>
      </c>
      <c r="AA668" s="283">
        <f t="shared" si="70"/>
        <v>1E-3</v>
      </c>
      <c r="AB668" s="340">
        <f t="shared" si="70"/>
        <v>2.58</v>
      </c>
      <c r="AN668" s="436" t="s">
        <v>2624</v>
      </c>
    </row>
    <row r="669" spans="1:41">
      <c r="A669" t="str">
        <f t="shared" ref="A669:A732" si="71">CONCATENATE(C669,E669)</f>
        <v>貨4軽STG</v>
      </c>
      <c r="B669" t="s">
        <v>2857</v>
      </c>
      <c r="C669" t="s">
        <v>2068</v>
      </c>
      <c r="D669" t="s">
        <v>2390</v>
      </c>
      <c r="E669" t="s">
        <v>2858</v>
      </c>
      <c r="F669">
        <v>0.05</v>
      </c>
      <c r="G669">
        <v>1E-3</v>
      </c>
      <c r="H669">
        <v>2.58</v>
      </c>
      <c r="I669" t="s">
        <v>607</v>
      </c>
      <c r="J669"/>
      <c r="K669" s="436"/>
      <c r="L669" s="436"/>
      <c r="M669" s="436"/>
      <c r="N669" s="436"/>
      <c r="O669" s="436"/>
      <c r="P669" s="436"/>
      <c r="Q669" s="436"/>
      <c r="R669" s="436"/>
      <c r="S669" s="436"/>
      <c r="T669" s="292" t="str">
        <f t="shared" si="66"/>
        <v>トラック・バス</v>
      </c>
      <c r="U669" s="283" t="str">
        <f t="shared" si="67"/>
        <v>軽油</v>
      </c>
      <c r="V669" s="283" t="str">
        <f t="shared" si="68"/>
        <v>3.5 t～</v>
      </c>
      <c r="W669" s="283" t="str">
        <f t="shared" si="69"/>
        <v>H22</v>
      </c>
      <c r="X669" s="284" t="str">
        <f t="shared" si="69"/>
        <v>STG</v>
      </c>
      <c r="Y669" s="271"/>
      <c r="Z669" s="283">
        <f t="shared" si="70"/>
        <v>0.05</v>
      </c>
      <c r="AA669" s="283">
        <f t="shared" si="70"/>
        <v>1E-3</v>
      </c>
      <c r="AB669" s="340">
        <f t="shared" si="70"/>
        <v>2.58</v>
      </c>
      <c r="AN669" s="47" t="s">
        <v>2625</v>
      </c>
    </row>
    <row r="670" spans="1:41">
      <c r="A670" t="str">
        <f t="shared" si="71"/>
        <v>貨4軽SCG</v>
      </c>
      <c r="B670" t="s">
        <v>2857</v>
      </c>
      <c r="C670" t="s">
        <v>2068</v>
      </c>
      <c r="D670" t="s">
        <v>2390</v>
      </c>
      <c r="E670" t="s">
        <v>1103</v>
      </c>
      <c r="F670">
        <v>2.5000000000000001E-2</v>
      </c>
      <c r="G670">
        <v>5.0000000000000001E-4</v>
      </c>
      <c r="H670">
        <v>2.58</v>
      </c>
      <c r="I670" t="s">
        <v>239</v>
      </c>
      <c r="J670"/>
      <c r="K670" s="436"/>
      <c r="L670" s="436"/>
      <c r="M670" s="436"/>
      <c r="N670" s="436"/>
      <c r="O670" s="436"/>
      <c r="P670" s="436"/>
      <c r="Q670" s="436"/>
      <c r="R670" s="436"/>
      <c r="S670" s="436"/>
      <c r="T670" s="292" t="str">
        <f t="shared" si="66"/>
        <v>トラック・バス</v>
      </c>
      <c r="U670" s="283" t="str">
        <f t="shared" si="67"/>
        <v>軽油</v>
      </c>
      <c r="V670" s="283" t="str">
        <f t="shared" si="68"/>
        <v>3.5 t～</v>
      </c>
      <c r="W670" s="283" t="str">
        <f t="shared" si="69"/>
        <v>H22</v>
      </c>
      <c r="X670" s="284" t="str">
        <f t="shared" si="69"/>
        <v>SCG</v>
      </c>
      <c r="Y670" s="271"/>
      <c r="Z670" s="283">
        <f t="shared" si="70"/>
        <v>2.5000000000000001E-2</v>
      </c>
      <c r="AA670" s="283">
        <f t="shared" si="70"/>
        <v>5.0000000000000001E-4</v>
      </c>
      <c r="AB670" s="340">
        <f t="shared" si="70"/>
        <v>2.58</v>
      </c>
      <c r="AN670" s="47" t="s">
        <v>2626</v>
      </c>
    </row>
    <row r="671" spans="1:41">
      <c r="A671" t="str">
        <f t="shared" si="71"/>
        <v>貨4軽SJG</v>
      </c>
      <c r="B671" t="s">
        <v>2857</v>
      </c>
      <c r="C671" t="s">
        <v>2068</v>
      </c>
      <c r="D671" t="s">
        <v>2390</v>
      </c>
      <c r="E671" t="s">
        <v>1105</v>
      </c>
      <c r="F671">
        <v>2.5000000000000001E-2</v>
      </c>
      <c r="G671">
        <v>5.0000000000000001E-4</v>
      </c>
      <c r="H671">
        <v>2.58</v>
      </c>
      <c r="I671" t="s">
        <v>239</v>
      </c>
      <c r="J671"/>
      <c r="K671" s="436"/>
      <c r="L671" s="436"/>
      <c r="M671" s="436"/>
      <c r="N671" s="436"/>
      <c r="O671" s="436"/>
      <c r="P671" s="436"/>
      <c r="Q671" s="436"/>
      <c r="R671" s="436"/>
      <c r="S671" s="436"/>
      <c r="T671" s="292" t="str">
        <f t="shared" si="66"/>
        <v>トラック・バス</v>
      </c>
      <c r="U671" s="283" t="str">
        <f t="shared" si="67"/>
        <v>軽油</v>
      </c>
      <c r="V671" s="283" t="str">
        <f t="shared" si="68"/>
        <v>3.5 t～</v>
      </c>
      <c r="W671" s="283" t="str">
        <f t="shared" si="69"/>
        <v>H22</v>
      </c>
      <c r="X671" s="284" t="str">
        <f t="shared" si="69"/>
        <v>SJG</v>
      </c>
      <c r="Y671" s="271"/>
      <c r="Z671" s="283">
        <f t="shared" si="70"/>
        <v>2.5000000000000001E-2</v>
      </c>
      <c r="AA671" s="283">
        <f t="shared" si="70"/>
        <v>5.0000000000000001E-4</v>
      </c>
      <c r="AB671" s="340">
        <f t="shared" si="70"/>
        <v>2.58</v>
      </c>
      <c r="AN671" s="266" t="s">
        <v>2627</v>
      </c>
    </row>
    <row r="672" spans="1:41">
      <c r="A672" t="str">
        <f t="shared" si="71"/>
        <v>貨4軽SNG</v>
      </c>
      <c r="B672" t="s">
        <v>2857</v>
      </c>
      <c r="C672" t="s">
        <v>2068</v>
      </c>
      <c r="D672" t="s">
        <v>2390</v>
      </c>
      <c r="E672" t="s">
        <v>1107</v>
      </c>
      <c r="F672">
        <v>2.5000000000000001E-2</v>
      </c>
      <c r="G672">
        <v>5.0000000000000001E-4</v>
      </c>
      <c r="H672">
        <v>2.58</v>
      </c>
      <c r="I672" t="s">
        <v>239</v>
      </c>
      <c r="J672"/>
      <c r="K672" s="436"/>
      <c r="L672" s="436"/>
      <c r="M672" s="436"/>
      <c r="N672" s="436"/>
      <c r="O672" s="436"/>
      <c r="P672" s="436"/>
      <c r="Q672" s="436"/>
      <c r="R672" s="436"/>
      <c r="S672" s="436"/>
      <c r="T672" s="292" t="str">
        <f t="shared" si="66"/>
        <v>トラック・バス</v>
      </c>
      <c r="U672" s="283" t="str">
        <f t="shared" si="67"/>
        <v>軽油</v>
      </c>
      <c r="V672" s="283" t="str">
        <f t="shared" si="68"/>
        <v>3.5 t～</v>
      </c>
      <c r="W672" s="283" t="str">
        <f t="shared" si="69"/>
        <v>H22</v>
      </c>
      <c r="X672" s="284" t="str">
        <f t="shared" si="69"/>
        <v>SNG</v>
      </c>
      <c r="Y672" s="271"/>
      <c r="Z672" s="283">
        <f t="shared" si="70"/>
        <v>2.5000000000000001E-2</v>
      </c>
      <c r="AA672" s="283">
        <f t="shared" si="70"/>
        <v>5.0000000000000001E-4</v>
      </c>
      <c r="AB672" s="340">
        <f t="shared" si="70"/>
        <v>2.58</v>
      </c>
      <c r="AN672" s="436" t="s">
        <v>2628</v>
      </c>
    </row>
    <row r="673" spans="1:41">
      <c r="A673" t="str">
        <f t="shared" si="71"/>
        <v>貨4軽SQG</v>
      </c>
      <c r="B673" t="s">
        <v>2857</v>
      </c>
      <c r="C673" t="s">
        <v>2068</v>
      </c>
      <c r="D673" t="s">
        <v>2390</v>
      </c>
      <c r="E673" t="s">
        <v>1109</v>
      </c>
      <c r="F673">
        <v>2.5000000000000001E-2</v>
      </c>
      <c r="G673">
        <v>5.0000000000000001E-4</v>
      </c>
      <c r="H673">
        <v>2.58</v>
      </c>
      <c r="I673" t="s">
        <v>239</v>
      </c>
      <c r="J673"/>
      <c r="T673" s="292" t="str">
        <f t="shared" si="66"/>
        <v>トラック・バス</v>
      </c>
      <c r="U673" s="283" t="str">
        <f t="shared" si="67"/>
        <v>軽油</v>
      </c>
      <c r="V673" s="283" t="str">
        <f t="shared" si="68"/>
        <v>3.5 t～</v>
      </c>
      <c r="W673" s="283" t="str">
        <f t="shared" si="69"/>
        <v>H22</v>
      </c>
      <c r="X673" s="284" t="str">
        <f t="shared" si="69"/>
        <v>SQG</v>
      </c>
      <c r="Y673" s="271"/>
      <c r="Z673" s="283">
        <f t="shared" si="70"/>
        <v>2.5000000000000001E-2</v>
      </c>
      <c r="AA673" s="283">
        <f t="shared" si="70"/>
        <v>5.0000000000000001E-4</v>
      </c>
      <c r="AB673" s="340">
        <f t="shared" si="70"/>
        <v>2.58</v>
      </c>
      <c r="AN673" s="47" t="s">
        <v>2629</v>
      </c>
    </row>
    <row r="674" spans="1:41">
      <c r="A674" t="str">
        <f t="shared" si="71"/>
        <v>貨4軽SSG</v>
      </c>
      <c r="B674" t="s">
        <v>2857</v>
      </c>
      <c r="C674" t="s">
        <v>2068</v>
      </c>
      <c r="D674" t="s">
        <v>2390</v>
      </c>
      <c r="E674" t="s">
        <v>2859</v>
      </c>
      <c r="F674">
        <v>2.5000000000000001E-2</v>
      </c>
      <c r="G674">
        <v>5.0000000000000001E-4</v>
      </c>
      <c r="H674">
        <v>2.58</v>
      </c>
      <c r="I674" t="s">
        <v>239</v>
      </c>
      <c r="J674"/>
      <c r="T674" s="292" t="str">
        <f t="shared" si="66"/>
        <v>トラック・バス</v>
      </c>
      <c r="U674" s="283" t="str">
        <f t="shared" si="67"/>
        <v>軽油</v>
      </c>
      <c r="V674" s="283" t="str">
        <f t="shared" si="68"/>
        <v>3.5 t～</v>
      </c>
      <c r="W674" s="283" t="str">
        <f t="shared" si="69"/>
        <v>H22</v>
      </c>
      <c r="X674" s="284" t="str">
        <f t="shared" si="69"/>
        <v>SSG</v>
      </c>
      <c r="Y674" s="271"/>
      <c r="Z674" s="283">
        <f t="shared" si="70"/>
        <v>2.5000000000000001E-2</v>
      </c>
      <c r="AA674" s="283">
        <f t="shared" si="70"/>
        <v>5.0000000000000001E-4</v>
      </c>
      <c r="AB674" s="340">
        <f t="shared" si="70"/>
        <v>2.58</v>
      </c>
      <c r="AN674" s="436" t="s">
        <v>2630</v>
      </c>
    </row>
    <row r="675" spans="1:41">
      <c r="A675" t="str">
        <f t="shared" si="71"/>
        <v>貨4軽SMG</v>
      </c>
      <c r="B675" t="s">
        <v>2857</v>
      </c>
      <c r="C675" t="s">
        <v>2068</v>
      </c>
      <c r="D675" t="s">
        <v>2390</v>
      </c>
      <c r="E675" t="s">
        <v>2860</v>
      </c>
      <c r="F675">
        <v>1.2500000000000001E-2</v>
      </c>
      <c r="G675">
        <v>2.5000000000000001E-4</v>
      </c>
      <c r="H675">
        <v>2.58</v>
      </c>
      <c r="I675" t="s">
        <v>2490</v>
      </c>
      <c r="J675"/>
      <c r="T675" s="292" t="str">
        <f t="shared" si="66"/>
        <v>トラック・バス</v>
      </c>
      <c r="U675" s="283" t="str">
        <f t="shared" si="67"/>
        <v>軽油</v>
      </c>
      <c r="V675" s="283" t="str">
        <f t="shared" si="68"/>
        <v>3.5 t～</v>
      </c>
      <c r="W675" s="283" t="str">
        <f t="shared" si="69"/>
        <v>H22</v>
      </c>
      <c r="X675" s="284" t="str">
        <f t="shared" si="69"/>
        <v>SMG</v>
      </c>
      <c r="Y675" s="271"/>
      <c r="Z675" s="283">
        <f t="shared" si="70"/>
        <v>1.2500000000000001E-2</v>
      </c>
      <c r="AA675" s="283">
        <f t="shared" si="70"/>
        <v>2.5000000000000001E-4</v>
      </c>
      <c r="AB675" s="340">
        <f t="shared" si="70"/>
        <v>2.58</v>
      </c>
      <c r="AN675" s="436" t="s">
        <v>2631</v>
      </c>
    </row>
    <row r="676" spans="1:41">
      <c r="A676" t="str">
        <f t="shared" si="71"/>
        <v>貨4軽TDG</v>
      </c>
      <c r="B676" t="s">
        <v>2857</v>
      </c>
      <c r="C676" t="s">
        <v>2068</v>
      </c>
      <c r="D676" t="s">
        <v>2390</v>
      </c>
      <c r="E676" t="s">
        <v>1111</v>
      </c>
      <c r="F676">
        <v>4.4999999999999998E-2</v>
      </c>
      <c r="G676">
        <v>9.0000000000000008E-4</v>
      </c>
      <c r="H676">
        <v>2.58</v>
      </c>
      <c r="I676" t="s">
        <v>607</v>
      </c>
      <c r="J676"/>
      <c r="T676" s="292" t="str">
        <f t="shared" si="66"/>
        <v>トラック・バス</v>
      </c>
      <c r="U676" s="283" t="str">
        <f t="shared" si="67"/>
        <v>軽油</v>
      </c>
      <c r="V676" s="283" t="str">
        <f t="shared" si="68"/>
        <v>3.5 t～</v>
      </c>
      <c r="W676" s="283" t="str">
        <f t="shared" si="69"/>
        <v>H22</v>
      </c>
      <c r="X676" s="284" t="str">
        <f t="shared" si="69"/>
        <v>TDG</v>
      </c>
      <c r="Y676" s="271" t="s">
        <v>1762</v>
      </c>
      <c r="Z676" s="283">
        <f t="shared" si="70"/>
        <v>4.4999999999999998E-2</v>
      </c>
      <c r="AA676" s="283">
        <f t="shared" si="70"/>
        <v>9.0000000000000008E-4</v>
      </c>
      <c r="AB676" s="340">
        <f t="shared" si="70"/>
        <v>2.58</v>
      </c>
      <c r="AD676" s="436"/>
      <c r="AE676" s="436"/>
      <c r="AF676" s="436"/>
      <c r="AG676" s="436"/>
      <c r="AH676" s="436"/>
      <c r="AI676" s="436"/>
      <c r="AN676" s="47" t="s">
        <v>2632</v>
      </c>
    </row>
    <row r="677" spans="1:41">
      <c r="A677" t="str">
        <f t="shared" si="71"/>
        <v>貨4軽TKG</v>
      </c>
      <c r="B677" t="s">
        <v>2857</v>
      </c>
      <c r="C677" t="s">
        <v>2068</v>
      </c>
      <c r="D677" t="s">
        <v>2390</v>
      </c>
      <c r="E677" t="s">
        <v>1113</v>
      </c>
      <c r="F677">
        <v>4.4999999999999998E-2</v>
      </c>
      <c r="G677">
        <v>9.0000000000000008E-4</v>
      </c>
      <c r="H677">
        <v>2.58</v>
      </c>
      <c r="I677" t="s">
        <v>607</v>
      </c>
      <c r="J677"/>
      <c r="T677" s="292" t="str">
        <f t="shared" si="66"/>
        <v>トラック・バス</v>
      </c>
      <c r="U677" s="283" t="str">
        <f t="shared" si="67"/>
        <v>軽油</v>
      </c>
      <c r="V677" s="283" t="str">
        <f t="shared" si="68"/>
        <v>3.5 t～</v>
      </c>
      <c r="W677" s="283" t="str">
        <f t="shared" si="69"/>
        <v>H22</v>
      </c>
      <c r="X677" s="284" t="str">
        <f t="shared" si="69"/>
        <v>TKG</v>
      </c>
      <c r="Y677" s="271" t="s">
        <v>1762</v>
      </c>
      <c r="Z677" s="283">
        <f t="shared" si="70"/>
        <v>4.4999999999999998E-2</v>
      </c>
      <c r="AA677" s="283">
        <f t="shared" si="70"/>
        <v>9.0000000000000008E-4</v>
      </c>
      <c r="AB677" s="340">
        <f t="shared" si="70"/>
        <v>2.58</v>
      </c>
      <c r="AD677" s="436"/>
      <c r="AE677" s="436"/>
      <c r="AF677" s="436"/>
      <c r="AG677" s="436"/>
      <c r="AH677" s="436"/>
      <c r="AI677" s="436"/>
      <c r="AN677" s="47" t="s">
        <v>2633</v>
      </c>
    </row>
    <row r="678" spans="1:41" s="436" customFormat="1">
      <c r="A678" t="str">
        <f t="shared" si="71"/>
        <v>貨4軽TPG</v>
      </c>
      <c r="B678" t="s">
        <v>2857</v>
      </c>
      <c r="C678" t="s">
        <v>2068</v>
      </c>
      <c r="D678" t="s">
        <v>2390</v>
      </c>
      <c r="E678" t="s">
        <v>1115</v>
      </c>
      <c r="F678">
        <v>4.4999999999999998E-2</v>
      </c>
      <c r="G678">
        <v>9.0000000000000008E-4</v>
      </c>
      <c r="H678">
        <v>2.58</v>
      </c>
      <c r="I678" t="s">
        <v>607</v>
      </c>
      <c r="J678"/>
      <c r="K678" s="47"/>
      <c r="L678" s="47"/>
      <c r="M678" s="47"/>
      <c r="N678" s="47"/>
      <c r="O678" s="47"/>
      <c r="P678" s="47"/>
      <c r="Q678" s="47"/>
      <c r="R678" s="47"/>
      <c r="S678" s="47"/>
      <c r="T678" s="292" t="str">
        <f t="shared" si="66"/>
        <v>トラック・バス</v>
      </c>
      <c r="U678" s="283" t="str">
        <f t="shared" si="67"/>
        <v>軽油</v>
      </c>
      <c r="V678" s="283" t="str">
        <f t="shared" si="68"/>
        <v>3.5 t～</v>
      </c>
      <c r="W678" s="283" t="str">
        <f t="shared" si="69"/>
        <v>H22</v>
      </c>
      <c r="X678" s="284" t="str">
        <f t="shared" si="69"/>
        <v>TPG</v>
      </c>
      <c r="Y678" s="271" t="s">
        <v>1762</v>
      </c>
      <c r="Z678" s="283">
        <f t="shared" si="70"/>
        <v>4.4999999999999998E-2</v>
      </c>
      <c r="AA678" s="283">
        <f t="shared" si="70"/>
        <v>9.0000000000000008E-4</v>
      </c>
      <c r="AB678" s="340">
        <f t="shared" si="70"/>
        <v>2.58</v>
      </c>
      <c r="AN678" s="436" t="s">
        <v>2634</v>
      </c>
      <c r="AO678" s="47"/>
    </row>
    <row r="679" spans="1:41" s="436" customFormat="1">
      <c r="A679" t="str">
        <f t="shared" si="71"/>
        <v>貨4軽TRG</v>
      </c>
      <c r="B679" t="s">
        <v>2857</v>
      </c>
      <c r="C679" t="s">
        <v>2068</v>
      </c>
      <c r="D679" t="s">
        <v>2390</v>
      </c>
      <c r="E679" t="s">
        <v>1117</v>
      </c>
      <c r="F679">
        <v>4.4999999999999998E-2</v>
      </c>
      <c r="G679">
        <v>9.0000000000000008E-4</v>
      </c>
      <c r="H679">
        <v>2.58</v>
      </c>
      <c r="I679" t="s">
        <v>607</v>
      </c>
      <c r="J679"/>
      <c r="K679" s="47"/>
      <c r="L679" s="47"/>
      <c r="M679" s="47"/>
      <c r="N679" s="47"/>
      <c r="O679" s="47"/>
      <c r="P679" s="47"/>
      <c r="Q679" s="47"/>
      <c r="R679" s="47"/>
      <c r="S679" s="47"/>
      <c r="T679" s="292" t="str">
        <f t="shared" si="66"/>
        <v>トラック・バス</v>
      </c>
      <c r="U679" s="283" t="str">
        <f t="shared" si="67"/>
        <v>軽油</v>
      </c>
      <c r="V679" s="283" t="str">
        <f t="shared" si="68"/>
        <v>3.5 t～</v>
      </c>
      <c r="W679" s="283" t="str">
        <f t="shared" si="69"/>
        <v>H22</v>
      </c>
      <c r="X679" s="284" t="str">
        <f t="shared" si="69"/>
        <v>TRG</v>
      </c>
      <c r="Y679" s="271" t="s">
        <v>1762</v>
      </c>
      <c r="Z679" s="283">
        <f t="shared" si="70"/>
        <v>4.4999999999999998E-2</v>
      </c>
      <c r="AA679" s="283">
        <f t="shared" si="70"/>
        <v>9.0000000000000008E-4</v>
      </c>
      <c r="AB679" s="340">
        <f t="shared" si="70"/>
        <v>2.58</v>
      </c>
      <c r="AN679" s="47" t="s">
        <v>2635</v>
      </c>
      <c r="AO679" s="47"/>
    </row>
    <row r="680" spans="1:41" s="436" customFormat="1">
      <c r="A680" t="str">
        <f t="shared" si="71"/>
        <v>貨4軽TTG</v>
      </c>
      <c r="B680" t="s">
        <v>2857</v>
      </c>
      <c r="C680" t="s">
        <v>2068</v>
      </c>
      <c r="D680" t="s">
        <v>2390</v>
      </c>
      <c r="E680" t="s">
        <v>2861</v>
      </c>
      <c r="F680">
        <v>4.4999999999999998E-2</v>
      </c>
      <c r="G680">
        <v>9.0000000000000008E-4</v>
      </c>
      <c r="H680">
        <v>2.58</v>
      </c>
      <c r="I680" t="s">
        <v>607</v>
      </c>
      <c r="J680"/>
      <c r="K680" s="47"/>
      <c r="L680" s="47"/>
      <c r="M680" s="47"/>
      <c r="N680" s="47"/>
      <c r="O680" s="47"/>
      <c r="P680" s="47"/>
      <c r="Q680" s="47"/>
      <c r="R680" s="47"/>
      <c r="S680" s="47"/>
      <c r="T680" s="292" t="str">
        <f t="shared" si="66"/>
        <v>トラック・バス</v>
      </c>
      <c r="U680" s="283" t="str">
        <f t="shared" si="67"/>
        <v>軽油</v>
      </c>
      <c r="V680" s="283" t="str">
        <f t="shared" si="68"/>
        <v>3.5 t～</v>
      </c>
      <c r="W680" s="283" t="str">
        <f t="shared" si="69"/>
        <v>H22</v>
      </c>
      <c r="X680" s="284" t="str">
        <f t="shared" si="69"/>
        <v>TTG</v>
      </c>
      <c r="Y680" s="271" t="s">
        <v>1762</v>
      </c>
      <c r="Z680" s="283">
        <f t="shared" si="70"/>
        <v>4.4999999999999998E-2</v>
      </c>
      <c r="AA680" s="283">
        <f t="shared" si="70"/>
        <v>9.0000000000000008E-4</v>
      </c>
      <c r="AB680" s="340">
        <f t="shared" si="70"/>
        <v>2.58</v>
      </c>
      <c r="AN680" s="266" t="s">
        <v>2636</v>
      </c>
      <c r="AO680" s="47"/>
    </row>
    <row r="681" spans="1:41" s="436" customFormat="1">
      <c r="A681" t="str">
        <f t="shared" si="71"/>
        <v>貨4軽TCG</v>
      </c>
      <c r="B681" t="s">
        <v>2857</v>
      </c>
      <c r="C681" t="s">
        <v>2068</v>
      </c>
      <c r="D681" t="s">
        <v>2390</v>
      </c>
      <c r="E681" t="s">
        <v>1119</v>
      </c>
      <c r="F681">
        <v>4.4999999999999998E-2</v>
      </c>
      <c r="G681">
        <v>9.0000000000000008E-4</v>
      </c>
      <c r="H681">
        <v>2.58</v>
      </c>
      <c r="I681" t="s">
        <v>239</v>
      </c>
      <c r="J681"/>
      <c r="K681" s="47"/>
      <c r="L681" s="47"/>
      <c r="M681" s="47"/>
      <c r="N681" s="47"/>
      <c r="O681" s="47"/>
      <c r="P681" s="47"/>
      <c r="Q681" s="47"/>
      <c r="R681" s="47"/>
      <c r="S681" s="47"/>
      <c r="T681" s="292" t="str">
        <f t="shared" si="66"/>
        <v>トラック・バス</v>
      </c>
      <c r="U681" s="283" t="str">
        <f t="shared" si="67"/>
        <v>軽油</v>
      </c>
      <c r="V681" s="283" t="str">
        <f t="shared" si="68"/>
        <v>3.5 t～</v>
      </c>
      <c r="W681" s="283" t="str">
        <f t="shared" si="69"/>
        <v>H22</v>
      </c>
      <c r="X681" s="284" t="str">
        <f t="shared" si="69"/>
        <v>TCG</v>
      </c>
      <c r="Y681" s="271" t="s">
        <v>1762</v>
      </c>
      <c r="Z681" s="283">
        <f t="shared" si="70"/>
        <v>4.4999999999999998E-2</v>
      </c>
      <c r="AA681" s="283">
        <f t="shared" si="70"/>
        <v>9.0000000000000008E-4</v>
      </c>
      <c r="AB681" s="340">
        <f t="shared" si="70"/>
        <v>2.58</v>
      </c>
      <c r="AN681" s="47" t="s">
        <v>2637</v>
      </c>
      <c r="AO681" s="47"/>
    </row>
    <row r="682" spans="1:41" s="436" customFormat="1">
      <c r="A682" t="str">
        <f t="shared" si="71"/>
        <v>貨4軽TJG</v>
      </c>
      <c r="B682" t="s">
        <v>2857</v>
      </c>
      <c r="C682" t="s">
        <v>2068</v>
      </c>
      <c r="D682" t="s">
        <v>2390</v>
      </c>
      <c r="E682" t="s">
        <v>1121</v>
      </c>
      <c r="F682">
        <v>4.4999999999999998E-2</v>
      </c>
      <c r="G682">
        <v>9.0000000000000008E-4</v>
      </c>
      <c r="H682">
        <v>2.58</v>
      </c>
      <c r="I682" t="s">
        <v>239</v>
      </c>
      <c r="J682"/>
      <c r="K682" s="47"/>
      <c r="L682" s="47"/>
      <c r="M682" s="47"/>
      <c r="N682" s="47"/>
      <c r="O682" s="47"/>
      <c r="P682" s="47"/>
      <c r="Q682" s="47"/>
      <c r="R682" s="47"/>
      <c r="S682" s="47"/>
      <c r="T682" s="292" t="str">
        <f t="shared" si="66"/>
        <v>トラック・バス</v>
      </c>
      <c r="U682" s="283" t="str">
        <f t="shared" si="67"/>
        <v>軽油</v>
      </c>
      <c r="V682" s="283" t="str">
        <f t="shared" si="68"/>
        <v>3.5 t～</v>
      </c>
      <c r="W682" s="283" t="str">
        <f t="shared" si="69"/>
        <v>H22</v>
      </c>
      <c r="X682" s="284" t="str">
        <f t="shared" si="69"/>
        <v>TJG</v>
      </c>
      <c r="Y682" s="271" t="s">
        <v>1762</v>
      </c>
      <c r="Z682" s="283">
        <f t="shared" si="70"/>
        <v>4.4999999999999998E-2</v>
      </c>
      <c r="AA682" s="283">
        <f t="shared" si="70"/>
        <v>9.0000000000000008E-4</v>
      </c>
      <c r="AB682" s="340">
        <f t="shared" si="70"/>
        <v>2.58</v>
      </c>
      <c r="AD682" s="450"/>
      <c r="AE682" s="450"/>
      <c r="AF682" s="450"/>
      <c r="AG682" s="450"/>
      <c r="AH682" s="450"/>
      <c r="AI682" s="450"/>
      <c r="AN682" s="47" t="s">
        <v>2638</v>
      </c>
      <c r="AO682" s="47"/>
    </row>
    <row r="683" spans="1:41" s="436" customFormat="1">
      <c r="A683" t="str">
        <f t="shared" si="71"/>
        <v>貨4軽TNG</v>
      </c>
      <c r="B683" t="s">
        <v>2857</v>
      </c>
      <c r="C683" t="s">
        <v>2068</v>
      </c>
      <c r="D683" t="s">
        <v>2390</v>
      </c>
      <c r="E683" t="s">
        <v>1123</v>
      </c>
      <c r="F683">
        <v>4.4999999999999998E-2</v>
      </c>
      <c r="G683">
        <v>9.0000000000000008E-4</v>
      </c>
      <c r="H683">
        <v>2.58</v>
      </c>
      <c r="I683" t="s">
        <v>239</v>
      </c>
      <c r="J683"/>
      <c r="K683" s="47"/>
      <c r="L683" s="47"/>
      <c r="M683" s="47"/>
      <c r="N683" s="47"/>
      <c r="O683" s="47"/>
      <c r="P683" s="47"/>
      <c r="Q683" s="47"/>
      <c r="R683" s="47"/>
      <c r="S683" s="47"/>
      <c r="T683" s="292" t="str">
        <f t="shared" si="66"/>
        <v>トラック・バス</v>
      </c>
      <c r="U683" s="283" t="str">
        <f t="shared" si="67"/>
        <v>軽油</v>
      </c>
      <c r="V683" s="283" t="str">
        <f t="shared" si="68"/>
        <v>3.5 t～</v>
      </c>
      <c r="W683" s="283" t="str">
        <f t="shared" si="69"/>
        <v>H22</v>
      </c>
      <c r="X683" s="284" t="str">
        <f t="shared" si="69"/>
        <v>TNG</v>
      </c>
      <c r="Y683" s="271" t="s">
        <v>1762</v>
      </c>
      <c r="Z683" s="283">
        <f t="shared" si="70"/>
        <v>4.4999999999999998E-2</v>
      </c>
      <c r="AA683" s="283">
        <f t="shared" si="70"/>
        <v>9.0000000000000008E-4</v>
      </c>
      <c r="AB683" s="340">
        <f t="shared" si="70"/>
        <v>2.58</v>
      </c>
      <c r="AD683" s="450"/>
      <c r="AE683" s="450"/>
      <c r="AF683" s="450"/>
      <c r="AG683" s="450"/>
      <c r="AH683" s="450"/>
      <c r="AI683" s="450"/>
      <c r="AN683" s="47" t="s">
        <v>2639</v>
      </c>
      <c r="AO683" s="47"/>
    </row>
    <row r="684" spans="1:41" s="450" customFormat="1">
      <c r="A684" t="str">
        <f t="shared" si="71"/>
        <v>貨4軽TQG</v>
      </c>
      <c r="B684" t="s">
        <v>2857</v>
      </c>
      <c r="C684" t="s">
        <v>2068</v>
      </c>
      <c r="D684" t="s">
        <v>2390</v>
      </c>
      <c r="E684" t="s">
        <v>1125</v>
      </c>
      <c r="F684">
        <v>4.4999999999999998E-2</v>
      </c>
      <c r="G684">
        <v>9.0000000000000008E-4</v>
      </c>
      <c r="H684">
        <v>2.58</v>
      </c>
      <c r="I684" t="s">
        <v>239</v>
      </c>
      <c r="J684"/>
      <c r="K684" s="436"/>
      <c r="L684" s="436"/>
      <c r="M684" s="436"/>
      <c r="N684" s="436"/>
      <c r="O684" s="436"/>
      <c r="P684" s="436"/>
      <c r="Q684" s="436"/>
      <c r="R684" s="436"/>
      <c r="S684" s="436"/>
      <c r="T684" s="292" t="str">
        <f t="shared" si="66"/>
        <v>トラック・バス</v>
      </c>
      <c r="U684" s="283" t="str">
        <f t="shared" si="67"/>
        <v>軽油</v>
      </c>
      <c r="V684" s="283" t="str">
        <f t="shared" si="68"/>
        <v>3.5 t～</v>
      </c>
      <c r="W684" s="283" t="str">
        <f t="shared" si="69"/>
        <v>H22</v>
      </c>
      <c r="X684" s="284" t="str">
        <f t="shared" si="69"/>
        <v>TQG</v>
      </c>
      <c r="Y684" s="271" t="s">
        <v>1762</v>
      </c>
      <c r="Z684" s="283">
        <f t="shared" si="70"/>
        <v>4.4999999999999998E-2</v>
      </c>
      <c r="AA684" s="283">
        <f t="shared" si="70"/>
        <v>9.0000000000000008E-4</v>
      </c>
      <c r="AB684" s="340">
        <f t="shared" si="70"/>
        <v>2.58</v>
      </c>
      <c r="AD684" s="47"/>
      <c r="AE684" s="47"/>
      <c r="AF684" s="47"/>
      <c r="AG684" s="47"/>
      <c r="AH684" s="47"/>
      <c r="AI684" s="47"/>
      <c r="AN684" s="436" t="s">
        <v>2640</v>
      </c>
      <c r="AO684" s="47"/>
    </row>
    <row r="685" spans="1:41" s="450" customFormat="1">
      <c r="A685" t="str">
        <f t="shared" si="71"/>
        <v>貨4軽TSG</v>
      </c>
      <c r="B685" t="s">
        <v>2857</v>
      </c>
      <c r="C685" t="s">
        <v>2068</v>
      </c>
      <c r="D685" t="s">
        <v>2390</v>
      </c>
      <c r="E685" t="s">
        <v>2862</v>
      </c>
      <c r="F685">
        <v>4.4999999999999998E-2</v>
      </c>
      <c r="G685">
        <v>9.0000000000000008E-4</v>
      </c>
      <c r="H685">
        <v>2.58</v>
      </c>
      <c r="I685" t="s">
        <v>239</v>
      </c>
      <c r="J685"/>
      <c r="K685" s="436"/>
      <c r="L685" s="436"/>
      <c r="M685" s="436"/>
      <c r="N685" s="436"/>
      <c r="O685" s="436"/>
      <c r="P685" s="436"/>
      <c r="Q685" s="436"/>
      <c r="R685" s="436"/>
      <c r="S685" s="436"/>
      <c r="T685" s="292" t="str">
        <f t="shared" si="66"/>
        <v>トラック・バス</v>
      </c>
      <c r="U685" s="283" t="str">
        <f t="shared" si="67"/>
        <v>軽油</v>
      </c>
      <c r="V685" s="283" t="str">
        <f t="shared" si="68"/>
        <v>3.5 t～</v>
      </c>
      <c r="W685" s="283" t="str">
        <f t="shared" si="69"/>
        <v>H22</v>
      </c>
      <c r="X685" s="284" t="str">
        <f t="shared" si="69"/>
        <v>TSG</v>
      </c>
      <c r="Y685" s="271" t="s">
        <v>1762</v>
      </c>
      <c r="Z685" s="283">
        <f t="shared" si="70"/>
        <v>4.4999999999999998E-2</v>
      </c>
      <c r="AA685" s="283">
        <f t="shared" si="70"/>
        <v>9.0000000000000008E-4</v>
      </c>
      <c r="AB685" s="340">
        <f t="shared" si="70"/>
        <v>2.58</v>
      </c>
      <c r="AD685" s="47"/>
      <c r="AE685" s="47"/>
      <c r="AF685" s="47"/>
      <c r="AG685" s="47"/>
      <c r="AH685" s="47"/>
      <c r="AI685" s="47"/>
      <c r="AN685" s="47" t="s">
        <v>2641</v>
      </c>
      <c r="AO685" s="47"/>
    </row>
    <row r="686" spans="1:41">
      <c r="A686" t="str">
        <f t="shared" si="71"/>
        <v>貨4軽TMG</v>
      </c>
      <c r="B686" t="s">
        <v>2857</v>
      </c>
      <c r="C686" t="s">
        <v>2068</v>
      </c>
      <c r="D686" t="s">
        <v>2390</v>
      </c>
      <c r="E686" t="s">
        <v>2863</v>
      </c>
      <c r="F686">
        <v>4.4999999999999998E-2</v>
      </c>
      <c r="G686">
        <v>9.0000000000000008E-4</v>
      </c>
      <c r="H686">
        <v>2.58</v>
      </c>
      <c r="I686" t="s">
        <v>2490</v>
      </c>
      <c r="J686"/>
      <c r="K686" s="436"/>
      <c r="L686" s="436"/>
      <c r="M686" s="436"/>
      <c r="N686" s="436"/>
      <c r="O686" s="436"/>
      <c r="P686" s="436"/>
      <c r="Q686" s="436"/>
      <c r="R686" s="436"/>
      <c r="S686" s="436"/>
      <c r="T686" s="292" t="str">
        <f t="shared" si="66"/>
        <v>トラック・バス</v>
      </c>
      <c r="U686" s="283" t="str">
        <f t="shared" si="67"/>
        <v>軽油</v>
      </c>
      <c r="V686" s="283" t="str">
        <f t="shared" si="68"/>
        <v>3.5 t～</v>
      </c>
      <c r="W686" s="283" t="str">
        <f t="shared" si="69"/>
        <v>H22</v>
      </c>
      <c r="X686" s="284" t="str">
        <f t="shared" si="69"/>
        <v>TMG</v>
      </c>
      <c r="Y686" s="271" t="s">
        <v>1762</v>
      </c>
      <c r="Z686" s="283">
        <f t="shared" si="70"/>
        <v>4.4999999999999998E-2</v>
      </c>
      <c r="AA686" s="283">
        <f t="shared" si="70"/>
        <v>9.0000000000000008E-4</v>
      </c>
      <c r="AB686" s="340">
        <f t="shared" si="70"/>
        <v>2.58</v>
      </c>
      <c r="AN686" s="47" t="s">
        <v>2642</v>
      </c>
    </row>
    <row r="687" spans="1:41">
      <c r="A687" t="str">
        <f t="shared" si="71"/>
        <v>貨4軽2DG</v>
      </c>
      <c r="B687" t="s">
        <v>2864</v>
      </c>
      <c r="C687" t="s">
        <v>2068</v>
      </c>
      <c r="D687" t="s">
        <v>2865</v>
      </c>
      <c r="E687" t="s">
        <v>2866</v>
      </c>
      <c r="F687">
        <v>0.03</v>
      </c>
      <c r="G687">
        <v>1E-3</v>
      </c>
      <c r="H687">
        <v>2.58</v>
      </c>
      <c r="I687" t="s">
        <v>1971</v>
      </c>
      <c r="J687"/>
      <c r="K687" s="436"/>
      <c r="L687" s="436"/>
      <c r="M687" s="436"/>
      <c r="N687" s="436"/>
      <c r="O687" s="436"/>
      <c r="P687" s="436"/>
      <c r="Q687" s="436"/>
      <c r="R687" s="436"/>
      <c r="S687" s="436"/>
      <c r="T687" s="292" t="str">
        <f t="shared" si="66"/>
        <v>トラック・バス</v>
      </c>
      <c r="U687" s="283" t="str">
        <f t="shared" si="67"/>
        <v>軽油</v>
      </c>
      <c r="V687" s="283" t="str">
        <f t="shared" si="68"/>
        <v>3.5 t～</v>
      </c>
      <c r="W687" s="283" t="str">
        <f t="shared" si="69"/>
        <v>H28</v>
      </c>
      <c r="X687" s="284" t="str">
        <f t="shared" si="69"/>
        <v>2DG</v>
      </c>
      <c r="Y687" s="271"/>
      <c r="Z687" s="283">
        <f t="shared" si="70"/>
        <v>0.03</v>
      </c>
      <c r="AA687" s="283">
        <f t="shared" si="70"/>
        <v>1E-3</v>
      </c>
      <c r="AB687" s="340">
        <f t="shared" si="70"/>
        <v>2.58</v>
      </c>
      <c r="AN687" s="436" t="s">
        <v>2643</v>
      </c>
    </row>
    <row r="688" spans="1:41">
      <c r="A688" t="str">
        <f t="shared" si="71"/>
        <v>貨4軽2KG</v>
      </c>
      <c r="B688" t="s">
        <v>2864</v>
      </c>
      <c r="C688" t="s">
        <v>2068</v>
      </c>
      <c r="D688" t="s">
        <v>2865</v>
      </c>
      <c r="E688" t="s">
        <v>2867</v>
      </c>
      <c r="F688">
        <v>0.03</v>
      </c>
      <c r="G688">
        <v>1E-3</v>
      </c>
      <c r="H688">
        <v>2.58</v>
      </c>
      <c r="I688" t="s">
        <v>1971</v>
      </c>
      <c r="J688"/>
      <c r="K688" s="436"/>
      <c r="L688" s="436"/>
      <c r="M688" s="436"/>
      <c r="N688" s="436"/>
      <c r="O688" s="436"/>
      <c r="P688" s="436"/>
      <c r="Q688" s="436"/>
      <c r="R688" s="436"/>
      <c r="S688" s="436"/>
      <c r="T688" s="292" t="str">
        <f t="shared" si="66"/>
        <v>トラック・バス</v>
      </c>
      <c r="U688" s="283" t="str">
        <f t="shared" si="67"/>
        <v>軽油</v>
      </c>
      <c r="V688" s="283" t="str">
        <f t="shared" si="68"/>
        <v>3.5 t～</v>
      </c>
      <c r="W688" s="283" t="str">
        <f t="shared" si="69"/>
        <v>H28</v>
      </c>
      <c r="X688" s="284" t="str">
        <f t="shared" si="69"/>
        <v>2KG</v>
      </c>
      <c r="Y688" s="271"/>
      <c r="Z688" s="283">
        <f t="shared" si="70"/>
        <v>0.03</v>
      </c>
      <c r="AA688" s="283">
        <f t="shared" si="70"/>
        <v>1E-3</v>
      </c>
      <c r="AB688" s="340">
        <f t="shared" si="70"/>
        <v>2.58</v>
      </c>
      <c r="AN688" s="47" t="s">
        <v>2644</v>
      </c>
    </row>
    <row r="689" spans="1:41">
      <c r="A689" t="str">
        <f t="shared" si="71"/>
        <v>貨4軽2PG</v>
      </c>
      <c r="B689" t="s">
        <v>2868</v>
      </c>
      <c r="C689" t="s">
        <v>2068</v>
      </c>
      <c r="D689" t="s">
        <v>2869</v>
      </c>
      <c r="E689" t="s">
        <v>2870</v>
      </c>
      <c r="F689">
        <v>0.03</v>
      </c>
      <c r="G689">
        <v>1E-3</v>
      </c>
      <c r="H689">
        <v>2.58</v>
      </c>
      <c r="I689" t="s">
        <v>1971</v>
      </c>
      <c r="J689"/>
      <c r="K689" s="436"/>
      <c r="L689" s="436"/>
      <c r="M689" s="436"/>
      <c r="N689" s="436"/>
      <c r="O689" s="436"/>
      <c r="P689" s="436"/>
      <c r="Q689" s="436"/>
      <c r="R689" s="436"/>
      <c r="S689" s="436"/>
      <c r="T689" s="292" t="str">
        <f t="shared" si="66"/>
        <v>トラック・バス</v>
      </c>
      <c r="U689" s="283" t="str">
        <f t="shared" si="67"/>
        <v>軽油</v>
      </c>
      <c r="V689" s="283" t="str">
        <f t="shared" si="68"/>
        <v>3.5 t～</v>
      </c>
      <c r="W689" s="283" t="str">
        <f t="shared" si="69"/>
        <v>H28</v>
      </c>
      <c r="X689" s="284" t="str">
        <f t="shared" si="69"/>
        <v>2PG</v>
      </c>
      <c r="Y689" s="271"/>
      <c r="Z689" s="283">
        <f t="shared" si="70"/>
        <v>0.03</v>
      </c>
      <c r="AA689" s="283">
        <f t="shared" si="70"/>
        <v>1E-3</v>
      </c>
      <c r="AB689" s="340">
        <f t="shared" si="70"/>
        <v>2.58</v>
      </c>
      <c r="AN689" s="436" t="s">
        <v>2645</v>
      </c>
    </row>
    <row r="690" spans="1:41">
      <c r="A690" t="str">
        <f t="shared" si="71"/>
        <v>貨4軽2RG</v>
      </c>
      <c r="B690" t="s">
        <v>2868</v>
      </c>
      <c r="C690" t="s">
        <v>2068</v>
      </c>
      <c r="D690" t="s">
        <v>2869</v>
      </c>
      <c r="E690" t="s">
        <v>2871</v>
      </c>
      <c r="F690">
        <v>0.03</v>
      </c>
      <c r="G690">
        <v>1E-3</v>
      </c>
      <c r="H690">
        <v>2.58</v>
      </c>
      <c r="I690" t="s">
        <v>1971</v>
      </c>
      <c r="J690"/>
      <c r="K690" s="450"/>
      <c r="L690" s="450"/>
      <c r="M690" s="450"/>
      <c r="N690" s="450"/>
      <c r="O690" s="450"/>
      <c r="P690" s="450"/>
      <c r="Q690" s="450"/>
      <c r="R690" s="450"/>
      <c r="S690" s="450"/>
      <c r="T690" s="292" t="str">
        <f t="shared" si="66"/>
        <v>トラック・バス</v>
      </c>
      <c r="U690" s="283" t="str">
        <f t="shared" si="67"/>
        <v>軽油</v>
      </c>
      <c r="V690" s="283" t="str">
        <f t="shared" si="68"/>
        <v>3.5 t～</v>
      </c>
      <c r="W690" s="283" t="str">
        <f t="shared" si="69"/>
        <v>H28</v>
      </c>
      <c r="X690" s="284" t="str">
        <f t="shared" si="69"/>
        <v>2RG</v>
      </c>
      <c r="Y690" s="271"/>
      <c r="Z690" s="283">
        <f t="shared" si="70"/>
        <v>0.03</v>
      </c>
      <c r="AA690" s="283">
        <f t="shared" si="70"/>
        <v>1E-3</v>
      </c>
      <c r="AB690" s="340">
        <f t="shared" si="70"/>
        <v>2.58</v>
      </c>
      <c r="AN690" s="47" t="s">
        <v>2646</v>
      </c>
    </row>
    <row r="691" spans="1:41">
      <c r="A691" t="str">
        <f t="shared" si="71"/>
        <v>貨4軽2TG</v>
      </c>
      <c r="B691" t="s">
        <v>2868</v>
      </c>
      <c r="C691" t="s">
        <v>2068</v>
      </c>
      <c r="D691" t="s">
        <v>2869</v>
      </c>
      <c r="E691" t="s">
        <v>2872</v>
      </c>
      <c r="F691">
        <v>0.03</v>
      </c>
      <c r="G691">
        <v>1E-3</v>
      </c>
      <c r="H691">
        <v>2.58</v>
      </c>
      <c r="I691" t="s">
        <v>1971</v>
      </c>
      <c r="J691"/>
      <c r="K691" s="450"/>
      <c r="L691" s="450"/>
      <c r="M691" s="450"/>
      <c r="N691" s="450"/>
      <c r="O691" s="450"/>
      <c r="P691" s="450"/>
      <c r="Q691" s="450"/>
      <c r="R691" s="450"/>
      <c r="S691" s="450"/>
      <c r="T691" s="292" t="str">
        <f t="shared" si="66"/>
        <v>トラック・バス</v>
      </c>
      <c r="U691" s="283" t="str">
        <f t="shared" si="67"/>
        <v>軽油</v>
      </c>
      <c r="V691" s="283" t="str">
        <f t="shared" si="68"/>
        <v>3.5 t～</v>
      </c>
      <c r="W691" s="283" t="str">
        <f t="shared" si="69"/>
        <v>H28</v>
      </c>
      <c r="X691" s="284" t="str">
        <f t="shared" si="69"/>
        <v>2TG</v>
      </c>
      <c r="Y691" s="271"/>
      <c r="Z691" s="283">
        <f t="shared" si="70"/>
        <v>0.03</v>
      </c>
      <c r="AA691" s="283">
        <f t="shared" si="70"/>
        <v>1E-3</v>
      </c>
      <c r="AB691" s="340">
        <f t="shared" si="70"/>
        <v>2.58</v>
      </c>
      <c r="AN691" s="47" t="s">
        <v>2647</v>
      </c>
    </row>
    <row r="692" spans="1:41">
      <c r="A692" t="str">
        <f t="shared" si="71"/>
        <v>貨4軽2CG</v>
      </c>
      <c r="B692" t="s">
        <v>2868</v>
      </c>
      <c r="C692" t="s">
        <v>2068</v>
      </c>
      <c r="D692" t="s">
        <v>2869</v>
      </c>
      <c r="E692" t="s">
        <v>2873</v>
      </c>
      <c r="F692">
        <v>1.4999999999999999E-2</v>
      </c>
      <c r="G692">
        <v>5.0000000000000001E-4</v>
      </c>
      <c r="H692">
        <v>2.58</v>
      </c>
      <c r="I692" t="s">
        <v>239</v>
      </c>
      <c r="J692"/>
      <c r="T692" s="292" t="str">
        <f t="shared" si="66"/>
        <v>トラック・バス</v>
      </c>
      <c r="U692" s="283" t="str">
        <f t="shared" si="67"/>
        <v>軽油</v>
      </c>
      <c r="V692" s="283" t="str">
        <f t="shared" si="68"/>
        <v>3.5 t～</v>
      </c>
      <c r="W692" s="283" t="str">
        <f t="shared" si="69"/>
        <v>H28</v>
      </c>
      <c r="X692" s="284" t="str">
        <f t="shared" si="69"/>
        <v>2CG</v>
      </c>
      <c r="Y692" s="271"/>
      <c r="Z692" s="283">
        <f t="shared" si="70"/>
        <v>1.4999999999999999E-2</v>
      </c>
      <c r="AA692" s="283">
        <f t="shared" si="70"/>
        <v>5.0000000000000001E-4</v>
      </c>
      <c r="AB692" s="340">
        <f t="shared" si="70"/>
        <v>2.58</v>
      </c>
      <c r="AN692" s="266" t="s">
        <v>2648</v>
      </c>
    </row>
    <row r="693" spans="1:41">
      <c r="A693" t="str">
        <f t="shared" si="71"/>
        <v>貨4軽2JG</v>
      </c>
      <c r="B693" t="s">
        <v>2868</v>
      </c>
      <c r="C693" t="s">
        <v>2068</v>
      </c>
      <c r="D693" t="s">
        <v>2869</v>
      </c>
      <c r="E693" t="s">
        <v>2874</v>
      </c>
      <c r="F693">
        <v>1.4999999999999999E-2</v>
      </c>
      <c r="G693">
        <v>5.0000000000000001E-4</v>
      </c>
      <c r="H693">
        <v>2.58</v>
      </c>
      <c r="I693" t="s">
        <v>239</v>
      </c>
      <c r="J693"/>
      <c r="T693" s="292" t="str">
        <f t="shared" si="66"/>
        <v>トラック・バス</v>
      </c>
      <c r="U693" s="283" t="str">
        <f t="shared" si="67"/>
        <v>軽油</v>
      </c>
      <c r="V693" s="283" t="str">
        <f t="shared" si="68"/>
        <v>3.5 t～</v>
      </c>
      <c r="W693" s="283" t="str">
        <f t="shared" si="69"/>
        <v>H28</v>
      </c>
      <c r="X693" s="284" t="str">
        <f t="shared" si="69"/>
        <v>2JG</v>
      </c>
      <c r="Y693" s="271"/>
      <c r="Z693" s="283">
        <f t="shared" si="70"/>
        <v>1.4999999999999999E-2</v>
      </c>
      <c r="AA693" s="283">
        <f t="shared" si="70"/>
        <v>5.0000000000000001E-4</v>
      </c>
      <c r="AB693" s="340">
        <f t="shared" si="70"/>
        <v>2.58</v>
      </c>
      <c r="AN693" s="47" t="s">
        <v>2649</v>
      </c>
    </row>
    <row r="694" spans="1:41">
      <c r="A694" t="str">
        <f t="shared" si="71"/>
        <v>貨4軽2NG</v>
      </c>
      <c r="B694" t="s">
        <v>2868</v>
      </c>
      <c r="C694" t="s">
        <v>2068</v>
      </c>
      <c r="D694" t="s">
        <v>2869</v>
      </c>
      <c r="E694" t="s">
        <v>2875</v>
      </c>
      <c r="F694">
        <v>1.4999999999999999E-2</v>
      </c>
      <c r="G694">
        <v>5.0000000000000001E-4</v>
      </c>
      <c r="H694">
        <v>2.58</v>
      </c>
      <c r="I694" t="s">
        <v>239</v>
      </c>
      <c r="J694"/>
      <c r="T694" s="292" t="str">
        <f t="shared" si="66"/>
        <v>トラック・バス</v>
      </c>
      <c r="U694" s="283" t="str">
        <f t="shared" si="67"/>
        <v>軽油</v>
      </c>
      <c r="V694" s="283" t="str">
        <f t="shared" si="68"/>
        <v>3.5 t～</v>
      </c>
      <c r="W694" s="283" t="str">
        <f t="shared" si="69"/>
        <v>H28</v>
      </c>
      <c r="X694" s="284" t="str">
        <f t="shared" si="69"/>
        <v>2NG</v>
      </c>
      <c r="Y694" s="271"/>
      <c r="Z694" s="283">
        <f t="shared" si="70"/>
        <v>1.4999999999999999E-2</v>
      </c>
      <c r="AA694" s="283">
        <f t="shared" si="70"/>
        <v>5.0000000000000001E-4</v>
      </c>
      <c r="AB694" s="340">
        <f t="shared" si="70"/>
        <v>2.58</v>
      </c>
      <c r="AN694" s="47" t="s">
        <v>2650</v>
      </c>
    </row>
    <row r="695" spans="1:41">
      <c r="A695" t="str">
        <f t="shared" si="71"/>
        <v>貨4軽2QG</v>
      </c>
      <c r="B695" t="s">
        <v>2868</v>
      </c>
      <c r="C695" t="s">
        <v>2068</v>
      </c>
      <c r="D695" t="s">
        <v>2869</v>
      </c>
      <c r="E695" t="s">
        <v>2876</v>
      </c>
      <c r="F695">
        <v>1.4999999999999999E-2</v>
      </c>
      <c r="G695">
        <v>5.0000000000000001E-4</v>
      </c>
      <c r="H695">
        <v>2.58</v>
      </c>
      <c r="I695" t="s">
        <v>239</v>
      </c>
      <c r="J695"/>
      <c r="T695" s="292" t="str">
        <f t="shared" si="66"/>
        <v>トラック・バス</v>
      </c>
      <c r="U695" s="283" t="str">
        <f t="shared" si="67"/>
        <v>軽油</v>
      </c>
      <c r="V695" s="283" t="str">
        <f t="shared" si="68"/>
        <v>3.5 t～</v>
      </c>
      <c r="W695" s="283" t="str">
        <f t="shared" si="69"/>
        <v>H28</v>
      </c>
      <c r="X695" s="284" t="str">
        <f t="shared" si="69"/>
        <v>2QG</v>
      </c>
      <c r="Y695" s="271"/>
      <c r="Z695" s="283">
        <f t="shared" si="70"/>
        <v>1.4999999999999999E-2</v>
      </c>
      <c r="AA695" s="283">
        <f t="shared" si="70"/>
        <v>5.0000000000000001E-4</v>
      </c>
      <c r="AB695" s="340">
        <f t="shared" si="70"/>
        <v>2.58</v>
      </c>
      <c r="AN695" s="47" t="s">
        <v>2651</v>
      </c>
    </row>
    <row r="696" spans="1:41">
      <c r="A696" t="str">
        <f t="shared" si="71"/>
        <v>貨4軽2SG</v>
      </c>
      <c r="B696" t="s">
        <v>2868</v>
      </c>
      <c r="C696" t="s">
        <v>2068</v>
      </c>
      <c r="D696" t="s">
        <v>2869</v>
      </c>
      <c r="E696" t="s">
        <v>2877</v>
      </c>
      <c r="F696">
        <v>1.4999999999999999E-2</v>
      </c>
      <c r="G696">
        <v>5.0000000000000001E-4</v>
      </c>
      <c r="H696">
        <v>2.58</v>
      </c>
      <c r="I696" t="s">
        <v>239</v>
      </c>
      <c r="J696"/>
      <c r="T696" s="292" t="str">
        <f t="shared" si="66"/>
        <v>トラック・バス</v>
      </c>
      <c r="U696" s="283" t="str">
        <f t="shared" si="67"/>
        <v>軽油</v>
      </c>
      <c r="V696" s="283" t="str">
        <f t="shared" si="68"/>
        <v>3.5 t～</v>
      </c>
      <c r="W696" s="283" t="str">
        <f t="shared" si="69"/>
        <v>H28</v>
      </c>
      <c r="X696" s="284" t="str">
        <f t="shared" si="69"/>
        <v>2SG</v>
      </c>
      <c r="Y696" s="271"/>
      <c r="Z696" s="283">
        <f t="shared" si="70"/>
        <v>1.4999999999999999E-2</v>
      </c>
      <c r="AA696" s="283">
        <f t="shared" si="70"/>
        <v>5.0000000000000001E-4</v>
      </c>
      <c r="AB696" s="340">
        <f t="shared" si="70"/>
        <v>2.58</v>
      </c>
      <c r="AN696" s="436" t="s">
        <v>2652</v>
      </c>
    </row>
    <row r="697" spans="1:41">
      <c r="A697" t="str">
        <f t="shared" si="71"/>
        <v>貨4軽2MG</v>
      </c>
      <c r="B697" t="s">
        <v>2868</v>
      </c>
      <c r="C697" t="s">
        <v>2068</v>
      </c>
      <c r="D697" t="s">
        <v>2869</v>
      </c>
      <c r="E697" t="s">
        <v>2878</v>
      </c>
      <c r="F697">
        <v>7.4999999999999997E-3</v>
      </c>
      <c r="G697">
        <v>2.5000000000000001E-4</v>
      </c>
      <c r="H697">
        <v>2.58</v>
      </c>
      <c r="I697" t="s">
        <v>2490</v>
      </c>
      <c r="J697"/>
      <c r="T697" s="292" t="str">
        <f t="shared" si="66"/>
        <v>トラック・バス</v>
      </c>
      <c r="U697" s="283" t="str">
        <f t="shared" si="67"/>
        <v>軽油</v>
      </c>
      <c r="V697" s="283" t="str">
        <f t="shared" si="68"/>
        <v>3.5 t～</v>
      </c>
      <c r="W697" s="283" t="str">
        <f t="shared" si="69"/>
        <v>H28</v>
      </c>
      <c r="X697" s="284" t="str">
        <f t="shared" si="69"/>
        <v>2MG</v>
      </c>
      <c r="Y697" s="271"/>
      <c r="Z697" s="283">
        <f t="shared" si="70"/>
        <v>7.4999999999999997E-3</v>
      </c>
      <c r="AA697" s="283">
        <f t="shared" si="70"/>
        <v>2.5000000000000001E-4</v>
      </c>
      <c r="AB697" s="340">
        <f t="shared" si="70"/>
        <v>2.58</v>
      </c>
      <c r="AN697" s="47" t="s">
        <v>2653</v>
      </c>
    </row>
    <row r="698" spans="1:41">
      <c r="A698" t="str">
        <f t="shared" si="71"/>
        <v>貨1CTP</v>
      </c>
      <c r="B698" t="s">
        <v>2082</v>
      </c>
      <c r="C698" t="s">
        <v>2081</v>
      </c>
      <c r="D698" t="s">
        <v>15</v>
      </c>
      <c r="E698" t="s">
        <v>84</v>
      </c>
      <c r="F698">
        <v>0.03</v>
      </c>
      <c r="G698">
        <v>0</v>
      </c>
      <c r="H698">
        <v>2.23</v>
      </c>
      <c r="I698" t="s">
        <v>47</v>
      </c>
      <c r="J698"/>
      <c r="T698" s="292" t="str">
        <f t="shared" si="66"/>
        <v>トラック・バス</v>
      </c>
      <c r="U698" s="283" t="str">
        <f t="shared" si="67"/>
        <v>CNG</v>
      </c>
      <c r="V698" s="283" t="str">
        <f t="shared" si="68"/>
        <v>～1.7 t</v>
      </c>
      <c r="W698" s="283" t="str">
        <f t="shared" si="69"/>
        <v>H12</v>
      </c>
      <c r="X698" s="284" t="str">
        <f t="shared" si="69"/>
        <v>TP</v>
      </c>
      <c r="Y698" s="271" t="s">
        <v>1765</v>
      </c>
      <c r="Z698" s="283">
        <f t="shared" si="70"/>
        <v>0.03</v>
      </c>
      <c r="AA698" s="283">
        <f t="shared" si="70"/>
        <v>0</v>
      </c>
      <c r="AB698" s="340">
        <f t="shared" si="70"/>
        <v>2.23</v>
      </c>
      <c r="AN698" s="266" t="s">
        <v>2654</v>
      </c>
    </row>
    <row r="699" spans="1:41">
      <c r="A699" t="str">
        <f t="shared" si="71"/>
        <v>貨1CLP</v>
      </c>
      <c r="B699" t="s">
        <v>2082</v>
      </c>
      <c r="C699" t="s">
        <v>2081</v>
      </c>
      <c r="D699" t="s">
        <v>15</v>
      </c>
      <c r="E699" t="s">
        <v>76</v>
      </c>
      <c r="F699">
        <v>0.02</v>
      </c>
      <c r="G699">
        <v>0</v>
      </c>
      <c r="H699">
        <v>2.23</v>
      </c>
      <c r="I699" t="s">
        <v>47</v>
      </c>
      <c r="J699"/>
      <c r="T699" s="292" t="str">
        <f t="shared" si="66"/>
        <v>トラック・バス</v>
      </c>
      <c r="U699" s="283" t="str">
        <f t="shared" si="67"/>
        <v>CNG</v>
      </c>
      <c r="V699" s="283" t="str">
        <f t="shared" si="68"/>
        <v>～1.7 t</v>
      </c>
      <c r="W699" s="283" t="str">
        <f t="shared" si="69"/>
        <v>H12</v>
      </c>
      <c r="X699" s="284" t="str">
        <f t="shared" si="69"/>
        <v>LP</v>
      </c>
      <c r="Y699" s="271" t="s">
        <v>1766</v>
      </c>
      <c r="Z699" s="283">
        <f t="shared" si="70"/>
        <v>0.02</v>
      </c>
      <c r="AA699" s="283">
        <f t="shared" si="70"/>
        <v>0</v>
      </c>
      <c r="AB699" s="340">
        <f t="shared" si="70"/>
        <v>2.23</v>
      </c>
      <c r="AN699" s="436" t="s">
        <v>2655</v>
      </c>
    </row>
    <row r="700" spans="1:41">
      <c r="A700" t="str">
        <f t="shared" si="71"/>
        <v>貨1CUP</v>
      </c>
      <c r="B700" t="s">
        <v>2082</v>
      </c>
      <c r="C700" t="s">
        <v>2081</v>
      </c>
      <c r="D700" t="s">
        <v>15</v>
      </c>
      <c r="E700" t="s">
        <v>91</v>
      </c>
      <c r="F700">
        <v>0.01</v>
      </c>
      <c r="G700">
        <v>0</v>
      </c>
      <c r="H700">
        <v>2.23</v>
      </c>
      <c r="I700" t="s">
        <v>47</v>
      </c>
      <c r="J700"/>
      <c r="T700" s="292" t="str">
        <f t="shared" si="66"/>
        <v>トラック・バス</v>
      </c>
      <c r="U700" s="283" t="str">
        <f t="shared" si="67"/>
        <v>CNG</v>
      </c>
      <c r="V700" s="283" t="str">
        <f t="shared" si="68"/>
        <v>～1.7 t</v>
      </c>
      <c r="W700" s="283" t="str">
        <f t="shared" si="69"/>
        <v>H12</v>
      </c>
      <c r="X700" s="284" t="str">
        <f t="shared" si="69"/>
        <v>UP</v>
      </c>
      <c r="Y700" s="271" t="s">
        <v>1767</v>
      </c>
      <c r="Z700" s="283">
        <f t="shared" si="70"/>
        <v>0.01</v>
      </c>
      <c r="AA700" s="283">
        <f t="shared" si="70"/>
        <v>0</v>
      </c>
      <c r="AB700" s="340">
        <f t="shared" si="70"/>
        <v>2.23</v>
      </c>
      <c r="AN700" s="47" t="s">
        <v>2656</v>
      </c>
    </row>
    <row r="701" spans="1:41">
      <c r="A701" t="str">
        <f t="shared" si="71"/>
        <v>貨1CAFE</v>
      </c>
      <c r="B701" t="s">
        <v>2082</v>
      </c>
      <c r="C701" t="s">
        <v>2081</v>
      </c>
      <c r="D701" t="s">
        <v>1979</v>
      </c>
      <c r="E701" t="s">
        <v>1133</v>
      </c>
      <c r="F701">
        <v>2.5000000000000001E-2</v>
      </c>
      <c r="G701">
        <v>0</v>
      </c>
      <c r="H701">
        <v>2.23</v>
      </c>
      <c r="I701" t="s">
        <v>47</v>
      </c>
      <c r="J701"/>
      <c r="T701" s="292" t="str">
        <f t="shared" si="66"/>
        <v>トラック・バス</v>
      </c>
      <c r="U701" s="283" t="str">
        <f t="shared" si="67"/>
        <v>CNG</v>
      </c>
      <c r="V701" s="283" t="str">
        <f t="shared" si="68"/>
        <v>～1.7 t</v>
      </c>
      <c r="W701" s="283" t="str">
        <f t="shared" si="69"/>
        <v>H17</v>
      </c>
      <c r="X701" s="284" t="str">
        <f t="shared" si="69"/>
        <v>AFE</v>
      </c>
      <c r="Y701" s="271"/>
      <c r="Z701" s="283">
        <f t="shared" si="70"/>
        <v>2.5000000000000001E-2</v>
      </c>
      <c r="AA701" s="283">
        <f t="shared" si="70"/>
        <v>0</v>
      </c>
      <c r="AB701" s="340">
        <f t="shared" si="70"/>
        <v>2.23</v>
      </c>
      <c r="AN701" s="266" t="s">
        <v>2657</v>
      </c>
    </row>
    <row r="702" spans="1:41">
      <c r="A702" t="str">
        <f t="shared" si="71"/>
        <v>貨1CAEE</v>
      </c>
      <c r="B702" t="s">
        <v>2082</v>
      </c>
      <c r="C702" t="s">
        <v>2081</v>
      </c>
      <c r="D702" t="s">
        <v>1979</v>
      </c>
      <c r="E702" t="s">
        <v>1136</v>
      </c>
      <c r="F702">
        <v>1.2500000000000001E-2</v>
      </c>
      <c r="G702">
        <v>0</v>
      </c>
      <c r="H702">
        <v>2.23</v>
      </c>
      <c r="I702" t="s">
        <v>47</v>
      </c>
      <c r="J702"/>
      <c r="T702" s="292" t="str">
        <f t="shared" si="66"/>
        <v>トラック・バス</v>
      </c>
      <c r="U702" s="283" t="str">
        <f t="shared" si="67"/>
        <v>CNG</v>
      </c>
      <c r="V702" s="283" t="str">
        <f t="shared" si="68"/>
        <v>～1.7 t</v>
      </c>
      <c r="W702" s="283" t="str">
        <f t="shared" si="69"/>
        <v>H17</v>
      </c>
      <c r="X702" s="284" t="str">
        <f t="shared" si="69"/>
        <v>AEE</v>
      </c>
      <c r="Y702" s="271"/>
      <c r="Z702" s="283">
        <f t="shared" si="70"/>
        <v>1.2500000000000001E-2</v>
      </c>
      <c r="AA702" s="283">
        <f t="shared" si="70"/>
        <v>0</v>
      </c>
      <c r="AB702" s="340">
        <f t="shared" si="70"/>
        <v>2.23</v>
      </c>
      <c r="AN702" s="436" t="s">
        <v>2658</v>
      </c>
    </row>
    <row r="703" spans="1:41" s="266" customFormat="1">
      <c r="A703" t="str">
        <f t="shared" si="71"/>
        <v>貨1CCEE</v>
      </c>
      <c r="B703" t="s">
        <v>2082</v>
      </c>
      <c r="C703" t="s">
        <v>2081</v>
      </c>
      <c r="D703" t="s">
        <v>1979</v>
      </c>
      <c r="E703" t="s">
        <v>2077</v>
      </c>
      <c r="F703">
        <v>1.2500000000000001E-2</v>
      </c>
      <c r="G703">
        <v>0</v>
      </c>
      <c r="H703">
        <v>2.23</v>
      </c>
      <c r="I703" t="s">
        <v>47</v>
      </c>
      <c r="J703"/>
      <c r="K703" s="47"/>
      <c r="L703" s="47"/>
      <c r="M703" s="47"/>
      <c r="N703" s="47"/>
      <c r="O703" s="47"/>
      <c r="P703" s="47"/>
      <c r="Q703" s="47"/>
      <c r="R703" s="47"/>
      <c r="S703" s="47"/>
      <c r="T703" s="292" t="str">
        <f t="shared" si="66"/>
        <v>トラック・バス</v>
      </c>
      <c r="U703" s="283" t="str">
        <f t="shared" si="67"/>
        <v>CNG</v>
      </c>
      <c r="V703" s="283" t="str">
        <f t="shared" si="68"/>
        <v>～1.7 t</v>
      </c>
      <c r="W703" s="283" t="str">
        <f t="shared" si="69"/>
        <v>H17</v>
      </c>
      <c r="X703" s="284" t="str">
        <f t="shared" si="69"/>
        <v>CEE</v>
      </c>
      <c r="Y703" s="271" t="s">
        <v>2261</v>
      </c>
      <c r="Z703" s="283">
        <f t="shared" si="70"/>
        <v>1.2500000000000001E-2</v>
      </c>
      <c r="AA703" s="283">
        <f t="shared" si="70"/>
        <v>0</v>
      </c>
      <c r="AB703" s="340">
        <f t="shared" si="70"/>
        <v>2.23</v>
      </c>
      <c r="AN703" s="47" t="s">
        <v>2659</v>
      </c>
      <c r="AO703" s="47"/>
    </row>
    <row r="704" spans="1:41">
      <c r="A704" t="str">
        <f t="shared" si="71"/>
        <v>貨1CCFE</v>
      </c>
      <c r="B704" t="s">
        <v>2082</v>
      </c>
      <c r="C704" t="s">
        <v>2081</v>
      </c>
      <c r="D704" t="s">
        <v>1979</v>
      </c>
      <c r="E704" t="s">
        <v>2078</v>
      </c>
      <c r="F704">
        <v>1.2500000000000001E-2</v>
      </c>
      <c r="G704">
        <v>0</v>
      </c>
      <c r="H704">
        <v>2.23</v>
      </c>
      <c r="I704" t="s">
        <v>47</v>
      </c>
      <c r="J704"/>
      <c r="T704" s="292" t="str">
        <f t="shared" si="66"/>
        <v>トラック・バス</v>
      </c>
      <c r="U704" s="283" t="str">
        <f t="shared" si="67"/>
        <v>CNG</v>
      </c>
      <c r="V704" s="283" t="str">
        <f t="shared" si="68"/>
        <v>～1.7 t</v>
      </c>
      <c r="W704" s="283" t="str">
        <f t="shared" si="69"/>
        <v>H17</v>
      </c>
      <c r="X704" s="284" t="str">
        <f t="shared" si="69"/>
        <v>CFE</v>
      </c>
      <c r="Y704" s="271" t="s">
        <v>2261</v>
      </c>
      <c r="Z704" s="283">
        <f t="shared" si="70"/>
        <v>1.2500000000000001E-2</v>
      </c>
      <c r="AA704" s="283">
        <f t="shared" si="70"/>
        <v>0</v>
      </c>
      <c r="AB704" s="340">
        <f t="shared" si="70"/>
        <v>2.23</v>
      </c>
      <c r="AN704" s="436" t="s">
        <v>2660</v>
      </c>
    </row>
    <row r="705" spans="1:41">
      <c r="A705" t="str">
        <f t="shared" si="71"/>
        <v>貨1CDEE</v>
      </c>
      <c r="B705" t="s">
        <v>2082</v>
      </c>
      <c r="C705" t="s">
        <v>2081</v>
      </c>
      <c r="D705" t="s">
        <v>1979</v>
      </c>
      <c r="E705" t="s">
        <v>2079</v>
      </c>
      <c r="F705">
        <v>6.2500000000000003E-3</v>
      </c>
      <c r="G705">
        <v>0</v>
      </c>
      <c r="H705">
        <v>2.23</v>
      </c>
      <c r="I705" t="s">
        <v>47</v>
      </c>
      <c r="J705"/>
      <c r="T705" s="292" t="str">
        <f t="shared" si="66"/>
        <v>トラック・バス</v>
      </c>
      <c r="U705" s="283" t="str">
        <f t="shared" si="67"/>
        <v>CNG</v>
      </c>
      <c r="V705" s="283" t="str">
        <f t="shared" si="68"/>
        <v>～1.7 t</v>
      </c>
      <c r="W705" s="283" t="str">
        <f t="shared" si="69"/>
        <v>H17</v>
      </c>
      <c r="X705" s="284" t="str">
        <f t="shared" si="69"/>
        <v>DEE</v>
      </c>
      <c r="Y705" s="271" t="s">
        <v>2262</v>
      </c>
      <c r="Z705" s="283">
        <f t="shared" si="70"/>
        <v>6.2500000000000003E-3</v>
      </c>
      <c r="AA705" s="283">
        <f t="shared" si="70"/>
        <v>0</v>
      </c>
      <c r="AB705" s="340">
        <f t="shared" si="70"/>
        <v>2.23</v>
      </c>
      <c r="AN705" s="436" t="s">
        <v>2661</v>
      </c>
    </row>
    <row r="706" spans="1:41" s="266" customFormat="1">
      <c r="A706" t="str">
        <f t="shared" si="71"/>
        <v>貨1CDFE</v>
      </c>
      <c r="B706" t="s">
        <v>2082</v>
      </c>
      <c r="C706" t="s">
        <v>2081</v>
      </c>
      <c r="D706" t="s">
        <v>1979</v>
      </c>
      <c r="E706" t="s">
        <v>2080</v>
      </c>
      <c r="F706">
        <v>6.2500000000000003E-3</v>
      </c>
      <c r="G706">
        <v>0</v>
      </c>
      <c r="H706">
        <v>2.23</v>
      </c>
      <c r="I706" t="s">
        <v>47</v>
      </c>
      <c r="J706"/>
      <c r="K706" s="47"/>
      <c r="L706" s="47"/>
      <c r="M706" s="47"/>
      <c r="N706" s="47"/>
      <c r="O706" s="47"/>
      <c r="P706" s="47"/>
      <c r="Q706" s="47"/>
      <c r="R706" s="47"/>
      <c r="S706" s="47"/>
      <c r="T706" s="292" t="str">
        <f t="shared" si="66"/>
        <v>トラック・バス</v>
      </c>
      <c r="U706" s="283" t="str">
        <f t="shared" si="67"/>
        <v>CNG</v>
      </c>
      <c r="V706" s="283" t="str">
        <f t="shared" si="68"/>
        <v>～1.7 t</v>
      </c>
      <c r="W706" s="283" t="str">
        <f t="shared" si="69"/>
        <v>H17</v>
      </c>
      <c r="X706" s="284" t="str">
        <f t="shared" si="69"/>
        <v>DFE</v>
      </c>
      <c r="Y706" s="271" t="s">
        <v>2262</v>
      </c>
      <c r="Z706" s="283">
        <f t="shared" si="70"/>
        <v>6.2500000000000003E-3</v>
      </c>
      <c r="AA706" s="283">
        <f t="shared" si="70"/>
        <v>0</v>
      </c>
      <c r="AB706" s="340">
        <f t="shared" si="70"/>
        <v>2.23</v>
      </c>
      <c r="AN706" s="47" t="s">
        <v>2662</v>
      </c>
      <c r="AO706" s="47"/>
    </row>
    <row r="707" spans="1:41">
      <c r="A707" t="str">
        <f t="shared" si="71"/>
        <v>貨1CLFE</v>
      </c>
      <c r="B707" t="s">
        <v>2082</v>
      </c>
      <c r="C707" t="s">
        <v>2081</v>
      </c>
      <c r="D707" t="s">
        <v>2382</v>
      </c>
      <c r="E707" t="s">
        <v>1145</v>
      </c>
      <c r="F707">
        <v>2.5000000000000001E-2</v>
      </c>
      <c r="G707">
        <v>0</v>
      </c>
      <c r="H707">
        <v>2.23</v>
      </c>
      <c r="I707" t="s">
        <v>47</v>
      </c>
      <c r="J707"/>
      <c r="T707" s="292" t="str">
        <f t="shared" si="66"/>
        <v>トラック・バス</v>
      </c>
      <c r="U707" s="283" t="str">
        <f t="shared" si="67"/>
        <v>CNG</v>
      </c>
      <c r="V707" s="283" t="str">
        <f t="shared" si="68"/>
        <v>～1.7 t</v>
      </c>
      <c r="W707" s="283" t="str">
        <f t="shared" si="69"/>
        <v>H21</v>
      </c>
      <c r="X707" s="284" t="str">
        <f t="shared" si="69"/>
        <v>LFE</v>
      </c>
      <c r="Y707" s="271"/>
      <c r="Z707" s="283">
        <f t="shared" si="70"/>
        <v>2.5000000000000001E-2</v>
      </c>
      <c r="AA707" s="283">
        <f t="shared" si="70"/>
        <v>0</v>
      </c>
      <c r="AB707" s="340">
        <f t="shared" si="70"/>
        <v>2.23</v>
      </c>
      <c r="AD707" s="436"/>
      <c r="AE707" s="436"/>
      <c r="AF707" s="436"/>
      <c r="AG707" s="436"/>
      <c r="AH707" s="436"/>
      <c r="AI707" s="436"/>
      <c r="AN707" s="47" t="s">
        <v>2663</v>
      </c>
    </row>
    <row r="708" spans="1:41">
      <c r="A708" t="str">
        <f t="shared" si="71"/>
        <v>貨1CLEE</v>
      </c>
      <c r="B708" t="s">
        <v>2082</v>
      </c>
      <c r="C708" t="s">
        <v>2081</v>
      </c>
      <c r="D708" t="s">
        <v>2382</v>
      </c>
      <c r="E708" t="s">
        <v>1147</v>
      </c>
      <c r="F708">
        <v>1.2500000000000001E-2</v>
      </c>
      <c r="G708">
        <v>0</v>
      </c>
      <c r="H708">
        <v>2.23</v>
      </c>
      <c r="I708" t="s">
        <v>47</v>
      </c>
      <c r="J708"/>
      <c r="T708" s="292" t="str">
        <f t="shared" si="66"/>
        <v>トラック・バス</v>
      </c>
      <c r="U708" s="283" t="str">
        <f t="shared" si="67"/>
        <v>CNG</v>
      </c>
      <c r="V708" s="283" t="str">
        <f t="shared" si="68"/>
        <v>～1.7 t</v>
      </c>
      <c r="W708" s="283" t="str">
        <f t="shared" si="69"/>
        <v>H21</v>
      </c>
      <c r="X708" s="284" t="str">
        <f t="shared" si="69"/>
        <v>LEE</v>
      </c>
      <c r="Y708" s="271"/>
      <c r="Z708" s="283">
        <f t="shared" si="70"/>
        <v>1.2500000000000001E-2</v>
      </c>
      <c r="AA708" s="283">
        <f t="shared" si="70"/>
        <v>0</v>
      </c>
      <c r="AB708" s="340">
        <f t="shared" si="70"/>
        <v>2.23</v>
      </c>
      <c r="AD708" s="436"/>
      <c r="AE708" s="436"/>
      <c r="AF708" s="436"/>
      <c r="AG708" s="436"/>
      <c r="AH708" s="436"/>
      <c r="AI708" s="436"/>
      <c r="AN708" s="436" t="s">
        <v>2664</v>
      </c>
    </row>
    <row r="709" spans="1:41">
      <c r="A709" t="str">
        <f t="shared" si="71"/>
        <v>貨1CMFE</v>
      </c>
      <c r="B709" t="s">
        <v>2082</v>
      </c>
      <c r="C709" t="s">
        <v>2081</v>
      </c>
      <c r="D709" t="s">
        <v>2382</v>
      </c>
      <c r="E709" t="s">
        <v>1149</v>
      </c>
      <c r="F709">
        <v>1.2500000000000001E-2</v>
      </c>
      <c r="G709">
        <v>0</v>
      </c>
      <c r="H709">
        <v>2.23</v>
      </c>
      <c r="I709" t="s">
        <v>47</v>
      </c>
      <c r="J709"/>
      <c r="K709" s="266"/>
      <c r="L709" s="266"/>
      <c r="M709" s="266"/>
      <c r="N709" s="266"/>
      <c r="O709" s="266"/>
      <c r="P709" s="266"/>
      <c r="Q709" s="266"/>
      <c r="R709" s="266"/>
      <c r="S709" s="266"/>
      <c r="T709" s="292" t="str">
        <f t="shared" ref="T709:T772" si="72">IF(LEFT(C709,1)="貨","トラック・バス","乗用車")</f>
        <v>トラック・バス</v>
      </c>
      <c r="U709" s="283" t="str">
        <f t="shared" ref="U709:U772" si="73">VLOOKUP(RIGHT(C709,1),$AL$4:$AM$8,2,FALSE)</f>
        <v>CNG</v>
      </c>
      <c r="V709" s="283" t="str">
        <f t="shared" ref="V709:V772" si="74">VLOOKUP(VALUE(MID(C709,2,1)),$AL$10:$AM$15,2,FALSE)</f>
        <v>～1.7 t</v>
      </c>
      <c r="W709" s="283" t="str">
        <f t="shared" ref="W709:X772" si="75">D709</f>
        <v>H21</v>
      </c>
      <c r="X709" s="284" t="str">
        <f t="shared" si="75"/>
        <v>MFE</v>
      </c>
      <c r="Y709" s="271" t="s">
        <v>2261</v>
      </c>
      <c r="Z709" s="283">
        <f t="shared" ref="Z709:AB772" si="76">F709</f>
        <v>1.2500000000000001E-2</v>
      </c>
      <c r="AA709" s="283">
        <f t="shared" si="76"/>
        <v>0</v>
      </c>
      <c r="AB709" s="340">
        <f t="shared" si="76"/>
        <v>2.23</v>
      </c>
      <c r="AD709" s="436"/>
      <c r="AE709" s="436"/>
      <c r="AF709" s="436"/>
      <c r="AG709" s="436"/>
      <c r="AH709" s="436"/>
      <c r="AI709" s="436"/>
      <c r="AN709" s="47" t="s">
        <v>2665</v>
      </c>
    </row>
    <row r="710" spans="1:41" s="436" customFormat="1">
      <c r="A710" t="str">
        <f t="shared" si="71"/>
        <v>貨1CMEE</v>
      </c>
      <c r="B710" t="s">
        <v>2082</v>
      </c>
      <c r="C710" t="s">
        <v>2081</v>
      </c>
      <c r="D710" t="s">
        <v>2382</v>
      </c>
      <c r="E710" t="s">
        <v>1151</v>
      </c>
      <c r="F710">
        <v>1.2500000000000001E-2</v>
      </c>
      <c r="G710">
        <v>0</v>
      </c>
      <c r="H710">
        <v>2.23</v>
      </c>
      <c r="I710" t="s">
        <v>47</v>
      </c>
      <c r="J710"/>
      <c r="K710" s="47"/>
      <c r="L710" s="47"/>
      <c r="M710" s="47"/>
      <c r="N710" s="47"/>
      <c r="O710" s="47"/>
      <c r="P710" s="47"/>
      <c r="Q710" s="47"/>
      <c r="R710" s="47"/>
      <c r="S710" s="47"/>
      <c r="T710" s="292" t="str">
        <f t="shared" si="72"/>
        <v>トラック・バス</v>
      </c>
      <c r="U710" s="283" t="str">
        <f t="shared" si="73"/>
        <v>CNG</v>
      </c>
      <c r="V710" s="283" t="str">
        <f t="shared" si="74"/>
        <v>～1.7 t</v>
      </c>
      <c r="W710" s="283" t="str">
        <f t="shared" si="75"/>
        <v>H21</v>
      </c>
      <c r="X710" s="284" t="str">
        <f t="shared" si="75"/>
        <v>MEE</v>
      </c>
      <c r="Y710" s="271" t="s">
        <v>2261</v>
      </c>
      <c r="Z710" s="283">
        <f t="shared" si="76"/>
        <v>1.2500000000000001E-2</v>
      </c>
      <c r="AA710" s="283">
        <f t="shared" si="76"/>
        <v>0</v>
      </c>
      <c r="AB710" s="340">
        <f t="shared" si="76"/>
        <v>2.23</v>
      </c>
      <c r="AN710" s="436" t="s">
        <v>2666</v>
      </c>
      <c r="AO710" s="47"/>
    </row>
    <row r="711" spans="1:41" s="436" customFormat="1">
      <c r="A711" t="str">
        <f t="shared" si="71"/>
        <v>貨1CRFE</v>
      </c>
      <c r="B711" t="s">
        <v>2082</v>
      </c>
      <c r="C711" t="s">
        <v>2081</v>
      </c>
      <c r="D711" t="s">
        <v>2382</v>
      </c>
      <c r="E711" t="s">
        <v>1153</v>
      </c>
      <c r="F711">
        <v>6.2500000000000003E-3</v>
      </c>
      <c r="G711">
        <v>0</v>
      </c>
      <c r="H711">
        <v>2.23</v>
      </c>
      <c r="I711" t="s">
        <v>47</v>
      </c>
      <c r="J711"/>
      <c r="K711" s="47"/>
      <c r="L711" s="47"/>
      <c r="M711" s="47"/>
      <c r="N711" s="47"/>
      <c r="O711" s="47"/>
      <c r="P711" s="47"/>
      <c r="Q711" s="47"/>
      <c r="R711" s="47"/>
      <c r="S711" s="47"/>
      <c r="T711" s="292" t="str">
        <f t="shared" si="72"/>
        <v>トラック・バス</v>
      </c>
      <c r="U711" s="283" t="str">
        <f t="shared" si="73"/>
        <v>CNG</v>
      </c>
      <c r="V711" s="283" t="str">
        <f t="shared" si="74"/>
        <v>～1.7 t</v>
      </c>
      <c r="W711" s="283" t="str">
        <f t="shared" si="75"/>
        <v>H21</v>
      </c>
      <c r="X711" s="284" t="str">
        <f t="shared" si="75"/>
        <v>RFE</v>
      </c>
      <c r="Y711" s="271" t="s">
        <v>2262</v>
      </c>
      <c r="Z711" s="283">
        <f t="shared" si="76"/>
        <v>6.2500000000000003E-3</v>
      </c>
      <c r="AA711" s="283">
        <f t="shared" si="76"/>
        <v>0</v>
      </c>
      <c r="AB711" s="340">
        <f t="shared" si="76"/>
        <v>2.23</v>
      </c>
      <c r="AN711" s="47" t="s">
        <v>2667</v>
      </c>
      <c r="AO711" s="47"/>
    </row>
    <row r="712" spans="1:41" s="266" customFormat="1">
      <c r="A712" t="str">
        <f t="shared" si="71"/>
        <v>貨1CREE</v>
      </c>
      <c r="B712" t="s">
        <v>2082</v>
      </c>
      <c r="C712" t="s">
        <v>2081</v>
      </c>
      <c r="D712" t="s">
        <v>2382</v>
      </c>
      <c r="E712" t="s">
        <v>1155</v>
      </c>
      <c r="F712">
        <v>6.2500000000000003E-3</v>
      </c>
      <c r="G712">
        <v>0</v>
      </c>
      <c r="H712">
        <v>2.23</v>
      </c>
      <c r="I712" t="s">
        <v>47</v>
      </c>
      <c r="J712"/>
      <c r="T712" s="292" t="str">
        <f t="shared" si="72"/>
        <v>トラック・バス</v>
      </c>
      <c r="U712" s="283" t="str">
        <f t="shared" si="73"/>
        <v>CNG</v>
      </c>
      <c r="V712" s="283" t="str">
        <f t="shared" si="74"/>
        <v>～1.7 t</v>
      </c>
      <c r="W712" s="283" t="str">
        <f t="shared" si="75"/>
        <v>H21</v>
      </c>
      <c r="X712" s="284" t="str">
        <f t="shared" si="75"/>
        <v>REE</v>
      </c>
      <c r="Y712" s="271" t="s">
        <v>2262</v>
      </c>
      <c r="Z712" s="283">
        <f t="shared" si="76"/>
        <v>6.2500000000000003E-3</v>
      </c>
      <c r="AA712" s="283">
        <f t="shared" si="76"/>
        <v>0</v>
      </c>
      <c r="AB712" s="340">
        <f t="shared" si="76"/>
        <v>2.23</v>
      </c>
      <c r="AN712" s="47" t="s">
        <v>2668</v>
      </c>
      <c r="AO712" s="47"/>
    </row>
    <row r="713" spans="1:41" s="436" customFormat="1">
      <c r="A713" t="str">
        <f t="shared" si="71"/>
        <v>貨1CQFE</v>
      </c>
      <c r="B713" t="s">
        <v>2082</v>
      </c>
      <c r="C713" t="s">
        <v>2081</v>
      </c>
      <c r="D713" t="s">
        <v>2382</v>
      </c>
      <c r="E713" t="s">
        <v>1157</v>
      </c>
      <c r="F713">
        <v>2.2499999999999999E-2</v>
      </c>
      <c r="G713">
        <v>0</v>
      </c>
      <c r="H713">
        <v>2.23</v>
      </c>
      <c r="I713" t="s">
        <v>47</v>
      </c>
      <c r="J713"/>
      <c r="K713" s="47"/>
      <c r="L713" s="47"/>
      <c r="M713" s="47"/>
      <c r="N713" s="47"/>
      <c r="O713" s="47"/>
      <c r="P713" s="47"/>
      <c r="Q713" s="47"/>
      <c r="R713" s="47"/>
      <c r="S713" s="47"/>
      <c r="T713" s="292" t="str">
        <f t="shared" si="72"/>
        <v>トラック・バス</v>
      </c>
      <c r="U713" s="283" t="str">
        <f t="shared" si="73"/>
        <v>CNG</v>
      </c>
      <c r="V713" s="283" t="str">
        <f t="shared" si="74"/>
        <v>～1.7 t</v>
      </c>
      <c r="W713" s="283" t="str">
        <f t="shared" si="75"/>
        <v>H21</v>
      </c>
      <c r="X713" s="284" t="str">
        <f t="shared" si="75"/>
        <v>QFE</v>
      </c>
      <c r="Y713" s="271" t="s">
        <v>1762</v>
      </c>
      <c r="Z713" s="283">
        <f t="shared" si="76"/>
        <v>2.2499999999999999E-2</v>
      </c>
      <c r="AA713" s="283">
        <f t="shared" si="76"/>
        <v>0</v>
      </c>
      <c r="AB713" s="340">
        <f t="shared" si="76"/>
        <v>2.23</v>
      </c>
      <c r="AN713" s="47" t="s">
        <v>2669</v>
      </c>
      <c r="AO713" s="47"/>
    </row>
    <row r="714" spans="1:41" s="436" customFormat="1">
      <c r="A714" t="str">
        <f t="shared" si="71"/>
        <v>貨1CQEE</v>
      </c>
      <c r="B714" t="s">
        <v>2082</v>
      </c>
      <c r="C714" t="s">
        <v>2081</v>
      </c>
      <c r="D714" t="s">
        <v>2382</v>
      </c>
      <c r="E714" t="s">
        <v>1159</v>
      </c>
      <c r="F714">
        <v>2.2499999999999999E-2</v>
      </c>
      <c r="G714">
        <v>0</v>
      </c>
      <c r="H714">
        <v>2.23</v>
      </c>
      <c r="I714" t="s">
        <v>47</v>
      </c>
      <c r="J714"/>
      <c r="K714" s="47"/>
      <c r="L714" s="47"/>
      <c r="M714" s="47"/>
      <c r="N714" s="47"/>
      <c r="O714" s="47"/>
      <c r="P714" s="47"/>
      <c r="Q714" s="47"/>
      <c r="R714" s="47"/>
      <c r="S714" s="47"/>
      <c r="T714" s="292" t="str">
        <f t="shared" si="72"/>
        <v>トラック・バス</v>
      </c>
      <c r="U714" s="283" t="str">
        <f t="shared" si="73"/>
        <v>CNG</v>
      </c>
      <c r="V714" s="283" t="str">
        <f t="shared" si="74"/>
        <v>～1.7 t</v>
      </c>
      <c r="W714" s="283" t="str">
        <f t="shared" si="75"/>
        <v>H21</v>
      </c>
      <c r="X714" s="284" t="str">
        <f t="shared" si="75"/>
        <v>QEE</v>
      </c>
      <c r="Y714" s="271" t="s">
        <v>1762</v>
      </c>
      <c r="Z714" s="283">
        <f t="shared" si="76"/>
        <v>2.2499999999999999E-2</v>
      </c>
      <c r="AA714" s="283">
        <f t="shared" si="76"/>
        <v>0</v>
      </c>
      <c r="AB714" s="340">
        <f t="shared" si="76"/>
        <v>2.23</v>
      </c>
      <c r="AN714" s="436" t="s">
        <v>2670</v>
      </c>
      <c r="AO714" s="47"/>
    </row>
    <row r="715" spans="1:41" s="266" customFormat="1">
      <c r="A715" t="str">
        <f t="shared" si="71"/>
        <v>貨1C3FE</v>
      </c>
      <c r="B715" t="s">
        <v>2082</v>
      </c>
      <c r="C715" t="s">
        <v>2081</v>
      </c>
      <c r="D715" t="s">
        <v>2744</v>
      </c>
      <c r="E715" t="s">
        <v>2879</v>
      </c>
      <c r="F715">
        <v>2.5000000000000001E-2</v>
      </c>
      <c r="G715">
        <v>0</v>
      </c>
      <c r="H715">
        <v>2.23</v>
      </c>
      <c r="I715" t="s">
        <v>47</v>
      </c>
      <c r="J715"/>
      <c r="T715" s="292" t="str">
        <f t="shared" si="72"/>
        <v>トラック・バス</v>
      </c>
      <c r="U715" s="283" t="str">
        <f t="shared" si="73"/>
        <v>CNG</v>
      </c>
      <c r="V715" s="283" t="str">
        <f t="shared" si="74"/>
        <v>～1.7 t</v>
      </c>
      <c r="W715" s="283" t="str">
        <f t="shared" si="75"/>
        <v>H30</v>
      </c>
      <c r="X715" s="284" t="str">
        <f t="shared" si="75"/>
        <v>3FE</v>
      </c>
      <c r="Y715" s="271"/>
      <c r="Z715" s="283">
        <f t="shared" si="76"/>
        <v>2.5000000000000001E-2</v>
      </c>
      <c r="AA715" s="283">
        <f t="shared" si="76"/>
        <v>0</v>
      </c>
      <c r="AB715" s="340">
        <f t="shared" si="76"/>
        <v>2.23</v>
      </c>
      <c r="AN715" s="47" t="s">
        <v>2671</v>
      </c>
      <c r="AO715" s="47"/>
    </row>
    <row r="716" spans="1:41" s="436" customFormat="1">
      <c r="A716" t="str">
        <f t="shared" si="71"/>
        <v>貨1C3EE</v>
      </c>
      <c r="B716" t="s">
        <v>2082</v>
      </c>
      <c r="C716" t="s">
        <v>2081</v>
      </c>
      <c r="D716" t="s">
        <v>2744</v>
      </c>
      <c r="E716" t="s">
        <v>2880</v>
      </c>
      <c r="F716">
        <v>1.2500000000000001E-2</v>
      </c>
      <c r="G716">
        <v>0</v>
      </c>
      <c r="H716">
        <v>2.23</v>
      </c>
      <c r="I716" t="s">
        <v>47</v>
      </c>
      <c r="J716"/>
      <c r="T716" s="292" t="str">
        <f t="shared" si="72"/>
        <v>トラック・バス</v>
      </c>
      <c r="U716" s="283" t="str">
        <f t="shared" si="73"/>
        <v>CNG</v>
      </c>
      <c r="V716" s="283" t="str">
        <f t="shared" si="74"/>
        <v>～1.7 t</v>
      </c>
      <c r="W716" s="283" t="str">
        <f t="shared" si="75"/>
        <v>H30</v>
      </c>
      <c r="X716" s="284" t="str">
        <f t="shared" si="75"/>
        <v>3EE</v>
      </c>
      <c r="Y716" s="271"/>
      <c r="Z716" s="283">
        <f t="shared" si="76"/>
        <v>1.2500000000000001E-2</v>
      </c>
      <c r="AA716" s="283">
        <f t="shared" si="76"/>
        <v>0</v>
      </c>
      <c r="AB716" s="340">
        <f t="shared" si="76"/>
        <v>2.23</v>
      </c>
      <c r="AD716" s="47"/>
      <c r="AE716" s="47"/>
      <c r="AF716" s="47"/>
      <c r="AG716" s="47"/>
      <c r="AH716" s="47"/>
      <c r="AI716" s="47"/>
      <c r="AN716" s="47" t="s">
        <v>2672</v>
      </c>
      <c r="AO716" s="47"/>
    </row>
    <row r="717" spans="1:41" s="436" customFormat="1">
      <c r="A717" t="str">
        <f t="shared" si="71"/>
        <v>貨1C4FE</v>
      </c>
      <c r="B717" t="s">
        <v>2082</v>
      </c>
      <c r="C717" t="s">
        <v>2081</v>
      </c>
      <c r="D717" t="s">
        <v>2748</v>
      </c>
      <c r="E717" t="s">
        <v>2881</v>
      </c>
      <c r="F717">
        <v>1.8749999999999999E-2</v>
      </c>
      <c r="G717">
        <v>0</v>
      </c>
      <c r="H717">
        <v>2.23</v>
      </c>
      <c r="I717" t="s">
        <v>47</v>
      </c>
      <c r="J717"/>
      <c r="T717" s="292" t="str">
        <f t="shared" si="72"/>
        <v>トラック・バス</v>
      </c>
      <c r="U717" s="283" t="str">
        <f t="shared" si="73"/>
        <v>CNG</v>
      </c>
      <c r="V717" s="283" t="str">
        <f t="shared" si="74"/>
        <v>～1.7 t</v>
      </c>
      <c r="W717" s="283" t="str">
        <f t="shared" si="75"/>
        <v>H30</v>
      </c>
      <c r="X717" s="284" t="str">
        <f t="shared" si="75"/>
        <v>4FE</v>
      </c>
      <c r="Y717" s="271" t="s">
        <v>1769</v>
      </c>
      <c r="Z717" s="283">
        <f t="shared" si="76"/>
        <v>1.8749999999999999E-2</v>
      </c>
      <c r="AA717" s="283">
        <f t="shared" si="76"/>
        <v>0</v>
      </c>
      <c r="AB717" s="340">
        <f t="shared" si="76"/>
        <v>2.23</v>
      </c>
      <c r="AD717" s="47"/>
      <c r="AE717" s="47"/>
      <c r="AF717" s="47"/>
      <c r="AG717" s="47"/>
      <c r="AH717" s="47"/>
      <c r="AI717" s="47"/>
      <c r="AN717" s="436" t="s">
        <v>2673</v>
      </c>
      <c r="AO717" s="47"/>
    </row>
    <row r="718" spans="1:41" s="266" customFormat="1">
      <c r="A718" t="str">
        <f t="shared" si="71"/>
        <v>貨1C4EE</v>
      </c>
      <c r="B718" t="s">
        <v>2082</v>
      </c>
      <c r="C718" t="s">
        <v>2081</v>
      </c>
      <c r="D718" t="s">
        <v>2748</v>
      </c>
      <c r="E718" t="s">
        <v>2882</v>
      </c>
      <c r="F718">
        <v>1.8749999999999999E-2</v>
      </c>
      <c r="G718">
        <v>0</v>
      </c>
      <c r="H718">
        <v>2.23</v>
      </c>
      <c r="I718" t="s">
        <v>47</v>
      </c>
      <c r="J718"/>
      <c r="T718" s="292" t="str">
        <f t="shared" si="72"/>
        <v>トラック・バス</v>
      </c>
      <c r="U718" s="283" t="str">
        <f t="shared" si="73"/>
        <v>CNG</v>
      </c>
      <c r="V718" s="283" t="str">
        <f t="shared" si="74"/>
        <v>～1.7 t</v>
      </c>
      <c r="W718" s="283" t="str">
        <f t="shared" si="75"/>
        <v>H30</v>
      </c>
      <c r="X718" s="284" t="str">
        <f t="shared" si="75"/>
        <v>4EE</v>
      </c>
      <c r="Y718" s="271" t="s">
        <v>1769</v>
      </c>
      <c r="Z718" s="283">
        <f t="shared" si="76"/>
        <v>1.8749999999999999E-2</v>
      </c>
      <c r="AA718" s="283">
        <f t="shared" si="76"/>
        <v>0</v>
      </c>
      <c r="AB718" s="340">
        <f t="shared" si="76"/>
        <v>2.23</v>
      </c>
      <c r="AN718" s="47" t="s">
        <v>2674</v>
      </c>
      <c r="AO718" s="47"/>
    </row>
    <row r="719" spans="1:41">
      <c r="A719" t="str">
        <f t="shared" si="71"/>
        <v>貨1C5FE</v>
      </c>
      <c r="B719" t="s">
        <v>2082</v>
      </c>
      <c r="C719" t="s">
        <v>2081</v>
      </c>
      <c r="D719" t="s">
        <v>2748</v>
      </c>
      <c r="E719" t="s">
        <v>2883</v>
      </c>
      <c r="F719">
        <v>1.2500000000000001E-2</v>
      </c>
      <c r="G719">
        <v>0</v>
      </c>
      <c r="H719">
        <v>2.23</v>
      </c>
      <c r="I719" t="s">
        <v>47</v>
      </c>
      <c r="J719"/>
      <c r="K719" s="436"/>
      <c r="L719" s="436"/>
      <c r="M719" s="436"/>
      <c r="N719" s="436"/>
      <c r="O719" s="436"/>
      <c r="P719" s="436"/>
      <c r="Q719" s="436"/>
      <c r="R719" s="436"/>
      <c r="S719" s="436"/>
      <c r="T719" s="292" t="str">
        <f t="shared" si="72"/>
        <v>トラック・バス</v>
      </c>
      <c r="U719" s="283" t="str">
        <f t="shared" si="73"/>
        <v>CNG</v>
      </c>
      <c r="V719" s="283" t="str">
        <f t="shared" si="74"/>
        <v>～1.7 t</v>
      </c>
      <c r="W719" s="283" t="str">
        <f t="shared" si="75"/>
        <v>H30</v>
      </c>
      <c r="X719" s="284" t="str">
        <f t="shared" si="75"/>
        <v>5FE</v>
      </c>
      <c r="Y719" s="271" t="s">
        <v>2262</v>
      </c>
      <c r="Z719" s="283">
        <f t="shared" si="76"/>
        <v>1.2500000000000001E-2</v>
      </c>
      <c r="AA719" s="283">
        <f t="shared" si="76"/>
        <v>0</v>
      </c>
      <c r="AB719" s="340">
        <f t="shared" si="76"/>
        <v>2.23</v>
      </c>
      <c r="AN719" s="436" t="s">
        <v>2675</v>
      </c>
    </row>
    <row r="720" spans="1:41">
      <c r="A720" t="str">
        <f t="shared" si="71"/>
        <v>貨1C5EE</v>
      </c>
      <c r="B720" t="s">
        <v>2082</v>
      </c>
      <c r="C720" t="s">
        <v>2081</v>
      </c>
      <c r="D720" t="s">
        <v>2748</v>
      </c>
      <c r="E720" t="s">
        <v>2884</v>
      </c>
      <c r="F720">
        <v>1.2500000000000001E-2</v>
      </c>
      <c r="G720">
        <v>0</v>
      </c>
      <c r="H720">
        <v>2.23</v>
      </c>
      <c r="I720" t="s">
        <v>47</v>
      </c>
      <c r="J720"/>
      <c r="K720" s="436"/>
      <c r="L720" s="436"/>
      <c r="M720" s="436"/>
      <c r="N720" s="436"/>
      <c r="O720" s="436"/>
      <c r="P720" s="436"/>
      <c r="Q720" s="436"/>
      <c r="R720" s="436"/>
      <c r="S720" s="436"/>
      <c r="T720" s="292" t="str">
        <f t="shared" si="72"/>
        <v>トラック・バス</v>
      </c>
      <c r="U720" s="283" t="str">
        <f t="shared" si="73"/>
        <v>CNG</v>
      </c>
      <c r="V720" s="283" t="str">
        <f t="shared" si="74"/>
        <v>～1.7 t</v>
      </c>
      <c r="W720" s="283" t="str">
        <f t="shared" si="75"/>
        <v>H30</v>
      </c>
      <c r="X720" s="284" t="str">
        <f t="shared" si="75"/>
        <v>5EE</v>
      </c>
      <c r="Y720" s="271" t="s">
        <v>2262</v>
      </c>
      <c r="Z720" s="283">
        <f t="shared" si="76"/>
        <v>1.2500000000000001E-2</v>
      </c>
      <c r="AA720" s="283">
        <f t="shared" si="76"/>
        <v>0</v>
      </c>
      <c r="AB720" s="340">
        <f t="shared" si="76"/>
        <v>2.23</v>
      </c>
      <c r="AN720" s="47" t="s">
        <v>2676</v>
      </c>
    </row>
    <row r="721" spans="1:41">
      <c r="A721" t="str">
        <f t="shared" si="71"/>
        <v>貨1C6FE</v>
      </c>
      <c r="B721" t="s">
        <v>2082</v>
      </c>
      <c r="C721" t="s">
        <v>2081</v>
      </c>
      <c r="D721" t="s">
        <v>2748</v>
      </c>
      <c r="E721" t="s">
        <v>2885</v>
      </c>
      <c r="F721">
        <v>6.2500000000000003E-3</v>
      </c>
      <c r="G721">
        <v>0</v>
      </c>
      <c r="H721">
        <v>2.23</v>
      </c>
      <c r="I721" t="s">
        <v>47</v>
      </c>
      <c r="J721"/>
      <c r="K721" s="266"/>
      <c r="L721" s="266"/>
      <c r="M721" s="266"/>
      <c r="N721" s="266"/>
      <c r="O721" s="266"/>
      <c r="P721" s="266"/>
      <c r="Q721" s="266"/>
      <c r="R721" s="266"/>
      <c r="S721" s="266"/>
      <c r="T721" s="292" t="str">
        <f t="shared" si="72"/>
        <v>トラック・バス</v>
      </c>
      <c r="U721" s="283" t="str">
        <f t="shared" si="73"/>
        <v>CNG</v>
      </c>
      <c r="V721" s="283" t="str">
        <f t="shared" si="74"/>
        <v>～1.7 t</v>
      </c>
      <c r="W721" s="283" t="str">
        <f t="shared" si="75"/>
        <v>H30</v>
      </c>
      <c r="X721" s="284" t="str">
        <f t="shared" si="75"/>
        <v>6FE</v>
      </c>
      <c r="Y721" s="271" t="s">
        <v>2758</v>
      </c>
      <c r="Z721" s="283">
        <f t="shared" si="76"/>
        <v>6.2500000000000003E-3</v>
      </c>
      <c r="AA721" s="283">
        <f t="shared" si="76"/>
        <v>0</v>
      </c>
      <c r="AB721" s="340">
        <f t="shared" si="76"/>
        <v>2.23</v>
      </c>
      <c r="AN721" s="47" t="s">
        <v>2677</v>
      </c>
    </row>
    <row r="722" spans="1:41">
      <c r="A722" t="str">
        <f t="shared" si="71"/>
        <v>貨1C6EE</v>
      </c>
      <c r="B722" t="s">
        <v>2082</v>
      </c>
      <c r="C722" t="s">
        <v>2081</v>
      </c>
      <c r="D722" t="s">
        <v>2748</v>
      </c>
      <c r="E722" t="s">
        <v>2886</v>
      </c>
      <c r="F722">
        <v>6.2500000000000003E-3</v>
      </c>
      <c r="G722">
        <v>0</v>
      </c>
      <c r="H722">
        <v>2.23</v>
      </c>
      <c r="I722" t="s">
        <v>47</v>
      </c>
      <c r="J722"/>
      <c r="K722" s="436"/>
      <c r="L722" s="436"/>
      <c r="M722" s="436"/>
      <c r="N722" s="436"/>
      <c r="O722" s="436"/>
      <c r="P722" s="436"/>
      <c r="Q722" s="436"/>
      <c r="R722" s="436"/>
      <c r="S722" s="436"/>
      <c r="T722" s="292" t="str">
        <f t="shared" si="72"/>
        <v>トラック・バス</v>
      </c>
      <c r="U722" s="283" t="str">
        <f t="shared" si="73"/>
        <v>CNG</v>
      </c>
      <c r="V722" s="283" t="str">
        <f t="shared" si="74"/>
        <v>～1.7 t</v>
      </c>
      <c r="W722" s="283" t="str">
        <f t="shared" si="75"/>
        <v>H30</v>
      </c>
      <c r="X722" s="284" t="str">
        <f t="shared" si="75"/>
        <v>6EE</v>
      </c>
      <c r="Y722" s="271" t="s">
        <v>2758</v>
      </c>
      <c r="Z722" s="283">
        <f t="shared" si="76"/>
        <v>6.2500000000000003E-3</v>
      </c>
      <c r="AA722" s="283">
        <f t="shared" si="76"/>
        <v>0</v>
      </c>
      <c r="AB722" s="340">
        <f t="shared" si="76"/>
        <v>2.23</v>
      </c>
      <c r="AN722" s="436" t="s">
        <v>2678</v>
      </c>
    </row>
    <row r="723" spans="1:41">
      <c r="A723" t="str">
        <f t="shared" si="71"/>
        <v>貨2CTQ</v>
      </c>
      <c r="B723" t="s">
        <v>2090</v>
      </c>
      <c r="C723" t="s">
        <v>2083</v>
      </c>
      <c r="D723" t="s">
        <v>21</v>
      </c>
      <c r="E723" t="s">
        <v>85</v>
      </c>
      <c r="F723">
        <v>4.8750000000000002E-2</v>
      </c>
      <c r="G723">
        <v>0</v>
      </c>
      <c r="H723">
        <v>2.23</v>
      </c>
      <c r="I723" t="s">
        <v>47</v>
      </c>
      <c r="J723"/>
      <c r="K723" s="436"/>
      <c r="L723" s="436"/>
      <c r="M723" s="436"/>
      <c r="N723" s="436"/>
      <c r="O723" s="436"/>
      <c r="P723" s="436"/>
      <c r="Q723" s="436"/>
      <c r="R723" s="436"/>
      <c r="S723" s="436"/>
      <c r="T723" s="292" t="str">
        <f t="shared" si="72"/>
        <v>トラック・バス</v>
      </c>
      <c r="U723" s="283" t="str">
        <f t="shared" si="73"/>
        <v>CNG</v>
      </c>
      <c r="V723" s="283" t="str">
        <f t="shared" si="74"/>
        <v>1.7～2.5 t</v>
      </c>
      <c r="W723" s="283" t="str">
        <f t="shared" si="75"/>
        <v>H13</v>
      </c>
      <c r="X723" s="284" t="str">
        <f t="shared" si="75"/>
        <v>TQ</v>
      </c>
      <c r="Y723" s="271" t="s">
        <v>1765</v>
      </c>
      <c r="Z723" s="283">
        <f t="shared" si="76"/>
        <v>4.8750000000000002E-2</v>
      </c>
      <c r="AA723" s="283">
        <f t="shared" si="76"/>
        <v>0</v>
      </c>
      <c r="AB723" s="340">
        <f t="shared" si="76"/>
        <v>2.23</v>
      </c>
      <c r="AN723" s="47" t="s">
        <v>2679</v>
      </c>
    </row>
    <row r="724" spans="1:41">
      <c r="A724" t="str">
        <f t="shared" si="71"/>
        <v>貨2CLQ</v>
      </c>
      <c r="B724" t="s">
        <v>2090</v>
      </c>
      <c r="C724" t="s">
        <v>2083</v>
      </c>
      <c r="D724" t="s">
        <v>21</v>
      </c>
      <c r="E724" t="s">
        <v>77</v>
      </c>
      <c r="F724">
        <v>3.2500000000000001E-2</v>
      </c>
      <c r="G724">
        <v>0</v>
      </c>
      <c r="H724">
        <v>2.23</v>
      </c>
      <c r="I724" t="s">
        <v>47</v>
      </c>
      <c r="J724"/>
      <c r="K724" s="266"/>
      <c r="L724" s="266"/>
      <c r="M724" s="266"/>
      <c r="N724" s="266"/>
      <c r="O724" s="266"/>
      <c r="P724" s="266"/>
      <c r="Q724" s="266"/>
      <c r="R724" s="266"/>
      <c r="S724" s="266"/>
      <c r="T724" s="292" t="str">
        <f t="shared" si="72"/>
        <v>トラック・バス</v>
      </c>
      <c r="U724" s="283" t="str">
        <f t="shared" si="73"/>
        <v>CNG</v>
      </c>
      <c r="V724" s="283" t="str">
        <f t="shared" si="74"/>
        <v>1.7～2.5 t</v>
      </c>
      <c r="W724" s="283" t="str">
        <f t="shared" si="75"/>
        <v>H13</v>
      </c>
      <c r="X724" s="284" t="str">
        <f t="shared" si="75"/>
        <v>LQ</v>
      </c>
      <c r="Y724" s="271" t="s">
        <v>1766</v>
      </c>
      <c r="Z724" s="283">
        <f t="shared" si="76"/>
        <v>3.2500000000000001E-2</v>
      </c>
      <c r="AA724" s="283">
        <f t="shared" si="76"/>
        <v>0</v>
      </c>
      <c r="AB724" s="340">
        <f t="shared" si="76"/>
        <v>2.23</v>
      </c>
      <c r="AN724" s="47" t="s">
        <v>2680</v>
      </c>
    </row>
    <row r="725" spans="1:41">
      <c r="A725" t="str">
        <f t="shared" si="71"/>
        <v>貨2CUQ</v>
      </c>
      <c r="B725" t="s">
        <v>2090</v>
      </c>
      <c r="C725" t="s">
        <v>2083</v>
      </c>
      <c r="D725" t="s">
        <v>21</v>
      </c>
      <c r="E725" t="s">
        <v>92</v>
      </c>
      <c r="F725">
        <v>1.6250000000000001E-2</v>
      </c>
      <c r="G725">
        <v>0</v>
      </c>
      <c r="H725">
        <v>2.23</v>
      </c>
      <c r="I725" t="s">
        <v>47</v>
      </c>
      <c r="J725"/>
      <c r="T725" s="292" t="str">
        <f t="shared" si="72"/>
        <v>トラック・バス</v>
      </c>
      <c r="U725" s="283" t="str">
        <f t="shared" si="73"/>
        <v>CNG</v>
      </c>
      <c r="V725" s="283" t="str">
        <f t="shared" si="74"/>
        <v>1.7～2.5 t</v>
      </c>
      <c r="W725" s="283" t="str">
        <f t="shared" si="75"/>
        <v>H13</v>
      </c>
      <c r="X725" s="284" t="str">
        <f t="shared" si="75"/>
        <v>UQ</v>
      </c>
      <c r="Y725" s="271" t="s">
        <v>1767</v>
      </c>
      <c r="Z725" s="283">
        <f t="shared" si="76"/>
        <v>1.6250000000000001E-2</v>
      </c>
      <c r="AA725" s="283">
        <f t="shared" si="76"/>
        <v>0</v>
      </c>
      <c r="AB725" s="340">
        <f t="shared" si="76"/>
        <v>2.23</v>
      </c>
      <c r="AN725" s="47" t="s">
        <v>2681</v>
      </c>
    </row>
    <row r="726" spans="1:41">
      <c r="A726" t="str">
        <f t="shared" si="71"/>
        <v>貨2CAFF</v>
      </c>
      <c r="B726" t="s">
        <v>2090</v>
      </c>
      <c r="C726" t="s">
        <v>2083</v>
      </c>
      <c r="D726" t="s">
        <v>1979</v>
      </c>
      <c r="E726" t="s">
        <v>1164</v>
      </c>
      <c r="F726">
        <v>3.5000000000000003E-2</v>
      </c>
      <c r="G726">
        <v>0</v>
      </c>
      <c r="H726">
        <v>2.23</v>
      </c>
      <c r="I726" t="s">
        <v>47</v>
      </c>
      <c r="J726"/>
      <c r="T726" s="292" t="str">
        <f t="shared" si="72"/>
        <v>トラック・バス</v>
      </c>
      <c r="U726" s="283" t="str">
        <f t="shared" si="73"/>
        <v>CNG</v>
      </c>
      <c r="V726" s="283" t="str">
        <f t="shared" si="74"/>
        <v>1.7～2.5 t</v>
      </c>
      <c r="W726" s="283" t="str">
        <f t="shared" si="75"/>
        <v>H17</v>
      </c>
      <c r="X726" s="284" t="str">
        <f t="shared" si="75"/>
        <v>AFF</v>
      </c>
      <c r="Y726" s="271"/>
      <c r="Z726" s="283">
        <f t="shared" si="76"/>
        <v>3.5000000000000003E-2</v>
      </c>
      <c r="AA726" s="283">
        <f t="shared" si="76"/>
        <v>0</v>
      </c>
      <c r="AB726" s="340">
        <f t="shared" si="76"/>
        <v>2.23</v>
      </c>
      <c r="AN726" s="436" t="s">
        <v>2682</v>
      </c>
    </row>
    <row r="727" spans="1:41">
      <c r="A727" t="str">
        <f t="shared" si="71"/>
        <v>貨2CAEF</v>
      </c>
      <c r="B727" t="s">
        <v>2090</v>
      </c>
      <c r="C727" t="s">
        <v>2083</v>
      </c>
      <c r="D727" t="s">
        <v>1979</v>
      </c>
      <c r="E727" t="s">
        <v>1166</v>
      </c>
      <c r="F727">
        <v>1.7500000000000002E-2</v>
      </c>
      <c r="G727">
        <v>0</v>
      </c>
      <c r="H727">
        <v>2.23</v>
      </c>
      <c r="I727" t="s">
        <v>47</v>
      </c>
      <c r="J727"/>
      <c r="T727" s="292" t="str">
        <f t="shared" si="72"/>
        <v>トラック・バス</v>
      </c>
      <c r="U727" s="283" t="str">
        <f t="shared" si="73"/>
        <v>CNG</v>
      </c>
      <c r="V727" s="283" t="str">
        <f t="shared" si="74"/>
        <v>1.7～2.5 t</v>
      </c>
      <c r="W727" s="283" t="str">
        <f t="shared" si="75"/>
        <v>H17</v>
      </c>
      <c r="X727" s="284" t="str">
        <f t="shared" si="75"/>
        <v>AEF</v>
      </c>
      <c r="Y727" s="271"/>
      <c r="Z727" s="283">
        <f t="shared" si="76"/>
        <v>1.7500000000000002E-2</v>
      </c>
      <c r="AA727" s="283">
        <f t="shared" si="76"/>
        <v>0</v>
      </c>
      <c r="AB727" s="340">
        <f t="shared" si="76"/>
        <v>2.23</v>
      </c>
      <c r="AN727" s="47" t="s">
        <v>2683</v>
      </c>
    </row>
    <row r="728" spans="1:41">
      <c r="A728" t="str">
        <f t="shared" si="71"/>
        <v>貨2CCEF</v>
      </c>
      <c r="B728" t="s">
        <v>2090</v>
      </c>
      <c r="C728" t="s">
        <v>2083</v>
      </c>
      <c r="D728" t="s">
        <v>1979</v>
      </c>
      <c r="E728" t="s">
        <v>2086</v>
      </c>
      <c r="F728">
        <v>1.7500000000000002E-2</v>
      </c>
      <c r="G728">
        <v>0</v>
      </c>
      <c r="H728">
        <v>2.23</v>
      </c>
      <c r="I728" t="s">
        <v>47</v>
      </c>
      <c r="J728"/>
      <c r="T728" s="292" t="str">
        <f t="shared" si="72"/>
        <v>トラック・バス</v>
      </c>
      <c r="U728" s="283" t="str">
        <f t="shared" si="73"/>
        <v>CNG</v>
      </c>
      <c r="V728" s="283" t="str">
        <f t="shared" si="74"/>
        <v>1.7～2.5 t</v>
      </c>
      <c r="W728" s="283" t="str">
        <f t="shared" si="75"/>
        <v>H17</v>
      </c>
      <c r="X728" s="284" t="str">
        <f t="shared" si="75"/>
        <v>CEF</v>
      </c>
      <c r="Y728" s="271" t="s">
        <v>2261</v>
      </c>
      <c r="Z728" s="283">
        <f t="shared" si="76"/>
        <v>1.7500000000000002E-2</v>
      </c>
      <c r="AA728" s="283">
        <f t="shared" si="76"/>
        <v>0</v>
      </c>
      <c r="AB728" s="340">
        <f t="shared" si="76"/>
        <v>2.23</v>
      </c>
      <c r="AN728" s="47" t="s">
        <v>2684</v>
      </c>
    </row>
    <row r="729" spans="1:41">
      <c r="A729" t="str">
        <f t="shared" si="71"/>
        <v>貨2CCFF</v>
      </c>
      <c r="B729" t="s">
        <v>2090</v>
      </c>
      <c r="C729" t="s">
        <v>2083</v>
      </c>
      <c r="D729" t="s">
        <v>1979</v>
      </c>
      <c r="E729" t="s">
        <v>2087</v>
      </c>
      <c r="F729">
        <v>1.7500000000000002E-2</v>
      </c>
      <c r="G729">
        <v>0</v>
      </c>
      <c r="H729">
        <v>2.23</v>
      </c>
      <c r="I729" t="s">
        <v>47</v>
      </c>
      <c r="J729"/>
      <c r="T729" s="292" t="str">
        <f t="shared" si="72"/>
        <v>トラック・バス</v>
      </c>
      <c r="U729" s="283" t="str">
        <f t="shared" si="73"/>
        <v>CNG</v>
      </c>
      <c r="V729" s="283" t="str">
        <f t="shared" si="74"/>
        <v>1.7～2.5 t</v>
      </c>
      <c r="W729" s="283" t="str">
        <f t="shared" si="75"/>
        <v>H17</v>
      </c>
      <c r="X729" s="284" t="str">
        <f t="shared" si="75"/>
        <v>CFF</v>
      </c>
      <c r="Y729" s="271" t="s">
        <v>2261</v>
      </c>
      <c r="Z729" s="283">
        <f t="shared" si="76"/>
        <v>1.7500000000000002E-2</v>
      </c>
      <c r="AA729" s="283">
        <f t="shared" si="76"/>
        <v>0</v>
      </c>
      <c r="AB729" s="340">
        <f t="shared" si="76"/>
        <v>2.23</v>
      </c>
      <c r="AN729" s="266" t="s">
        <v>2685</v>
      </c>
    </row>
    <row r="730" spans="1:41">
      <c r="A730" t="str">
        <f t="shared" si="71"/>
        <v>貨2CDEF</v>
      </c>
      <c r="B730" t="s">
        <v>2090</v>
      </c>
      <c r="C730" t="s">
        <v>2083</v>
      </c>
      <c r="D730" t="s">
        <v>1979</v>
      </c>
      <c r="E730" t="s">
        <v>2088</v>
      </c>
      <c r="F730">
        <v>8.7500000000000008E-3</v>
      </c>
      <c r="G730">
        <v>0</v>
      </c>
      <c r="H730">
        <v>2.23</v>
      </c>
      <c r="I730" t="s">
        <v>47</v>
      </c>
      <c r="J730"/>
      <c r="T730" s="292" t="str">
        <f t="shared" si="72"/>
        <v>トラック・バス</v>
      </c>
      <c r="U730" s="283" t="str">
        <f t="shared" si="73"/>
        <v>CNG</v>
      </c>
      <c r="V730" s="283" t="str">
        <f t="shared" si="74"/>
        <v>1.7～2.5 t</v>
      </c>
      <c r="W730" s="283" t="str">
        <f t="shared" si="75"/>
        <v>H17</v>
      </c>
      <c r="X730" s="284" t="str">
        <f t="shared" si="75"/>
        <v>DEF</v>
      </c>
      <c r="Y730" s="271" t="s">
        <v>2262</v>
      </c>
      <c r="Z730" s="283">
        <f t="shared" si="76"/>
        <v>8.7500000000000008E-3</v>
      </c>
      <c r="AA730" s="283">
        <f t="shared" si="76"/>
        <v>0</v>
      </c>
      <c r="AB730" s="340">
        <f t="shared" si="76"/>
        <v>2.23</v>
      </c>
      <c r="AN730" s="47" t="s">
        <v>2686</v>
      </c>
    </row>
    <row r="731" spans="1:41">
      <c r="A731" t="str">
        <f t="shared" si="71"/>
        <v>貨2CDFF</v>
      </c>
      <c r="B731" t="s">
        <v>2090</v>
      </c>
      <c r="C731" t="s">
        <v>2083</v>
      </c>
      <c r="D731" t="s">
        <v>1979</v>
      </c>
      <c r="E731" t="s">
        <v>2089</v>
      </c>
      <c r="F731">
        <v>8.7500000000000008E-3</v>
      </c>
      <c r="G731">
        <v>0</v>
      </c>
      <c r="H731">
        <v>2.23</v>
      </c>
      <c r="I731" t="s">
        <v>47</v>
      </c>
      <c r="J731"/>
      <c r="T731" s="292" t="str">
        <f t="shared" si="72"/>
        <v>トラック・バス</v>
      </c>
      <c r="U731" s="283" t="str">
        <f t="shared" si="73"/>
        <v>CNG</v>
      </c>
      <c r="V731" s="283" t="str">
        <f t="shared" si="74"/>
        <v>1.7～2.5 t</v>
      </c>
      <c r="W731" s="283" t="str">
        <f t="shared" si="75"/>
        <v>H17</v>
      </c>
      <c r="X731" s="284" t="str">
        <f t="shared" si="75"/>
        <v>DFF</v>
      </c>
      <c r="Y731" s="271" t="s">
        <v>2262</v>
      </c>
      <c r="Z731" s="283">
        <f t="shared" si="76"/>
        <v>8.7500000000000008E-3</v>
      </c>
      <c r="AA731" s="283">
        <f t="shared" si="76"/>
        <v>0</v>
      </c>
      <c r="AB731" s="340">
        <f t="shared" si="76"/>
        <v>2.23</v>
      </c>
      <c r="AN731" s="266" t="s">
        <v>2687</v>
      </c>
    </row>
    <row r="732" spans="1:41">
      <c r="A732" t="str">
        <f t="shared" si="71"/>
        <v>貨2CLFF</v>
      </c>
      <c r="B732" t="s">
        <v>2090</v>
      </c>
      <c r="C732" t="s">
        <v>2083</v>
      </c>
      <c r="D732" t="s">
        <v>2382</v>
      </c>
      <c r="E732" t="s">
        <v>1178</v>
      </c>
      <c r="F732">
        <v>3.5000000000000003E-2</v>
      </c>
      <c r="G732">
        <v>0</v>
      </c>
      <c r="H732">
        <v>2.23</v>
      </c>
      <c r="I732" t="s">
        <v>47</v>
      </c>
      <c r="J732"/>
      <c r="T732" s="292" t="str">
        <f t="shared" si="72"/>
        <v>トラック・バス</v>
      </c>
      <c r="U732" s="283" t="str">
        <f t="shared" si="73"/>
        <v>CNG</v>
      </c>
      <c r="V732" s="283" t="str">
        <f t="shared" si="74"/>
        <v>1.7～2.5 t</v>
      </c>
      <c r="W732" s="283" t="str">
        <f t="shared" si="75"/>
        <v>H21</v>
      </c>
      <c r="X732" s="284" t="str">
        <f t="shared" si="75"/>
        <v>LFF</v>
      </c>
      <c r="Y732" s="271"/>
      <c r="Z732" s="283">
        <f t="shared" si="76"/>
        <v>3.5000000000000003E-2</v>
      </c>
      <c r="AA732" s="283">
        <f t="shared" si="76"/>
        <v>0</v>
      </c>
      <c r="AB732" s="340">
        <f t="shared" si="76"/>
        <v>2.23</v>
      </c>
      <c r="AN732" s="47" t="s">
        <v>2688</v>
      </c>
    </row>
    <row r="733" spans="1:41">
      <c r="A733" t="str">
        <f t="shared" ref="A733:A796" si="77">CONCATENATE(C733,E733)</f>
        <v>貨2CLEF</v>
      </c>
      <c r="B733" t="s">
        <v>2090</v>
      </c>
      <c r="C733" t="s">
        <v>2083</v>
      </c>
      <c r="D733" t="s">
        <v>2382</v>
      </c>
      <c r="E733" t="s">
        <v>1180</v>
      </c>
      <c r="F733">
        <v>1.7500000000000002E-2</v>
      </c>
      <c r="G733">
        <v>0</v>
      </c>
      <c r="H733">
        <v>2.23</v>
      </c>
      <c r="I733" t="s">
        <v>47</v>
      </c>
      <c r="J733"/>
      <c r="T733" s="292" t="str">
        <f t="shared" si="72"/>
        <v>トラック・バス</v>
      </c>
      <c r="U733" s="283" t="str">
        <f t="shared" si="73"/>
        <v>CNG</v>
      </c>
      <c r="V733" s="283" t="str">
        <f t="shared" si="74"/>
        <v>1.7～2.5 t</v>
      </c>
      <c r="W733" s="283" t="str">
        <f t="shared" si="75"/>
        <v>H21</v>
      </c>
      <c r="X733" s="284" t="str">
        <f t="shared" si="75"/>
        <v>LEF</v>
      </c>
      <c r="Y733" s="271"/>
      <c r="Z733" s="283">
        <f t="shared" si="76"/>
        <v>1.7500000000000002E-2</v>
      </c>
      <c r="AA733" s="283">
        <f t="shared" si="76"/>
        <v>0</v>
      </c>
      <c r="AB733" s="340">
        <f t="shared" si="76"/>
        <v>2.23</v>
      </c>
      <c r="AN733" s="47" t="s">
        <v>2689</v>
      </c>
    </row>
    <row r="734" spans="1:41">
      <c r="A734" t="str">
        <f t="shared" si="77"/>
        <v>貨2CMFF</v>
      </c>
      <c r="B734" t="s">
        <v>2090</v>
      </c>
      <c r="C734" t="s">
        <v>2083</v>
      </c>
      <c r="D734" t="s">
        <v>2382</v>
      </c>
      <c r="E734" t="s">
        <v>1182</v>
      </c>
      <c r="F734">
        <v>1.7500000000000002E-2</v>
      </c>
      <c r="G734">
        <v>0</v>
      </c>
      <c r="H734">
        <v>2.23</v>
      </c>
      <c r="I734" t="s">
        <v>47</v>
      </c>
      <c r="J734"/>
      <c r="T734" s="292" t="str">
        <f t="shared" si="72"/>
        <v>トラック・バス</v>
      </c>
      <c r="U734" s="283" t="str">
        <f t="shared" si="73"/>
        <v>CNG</v>
      </c>
      <c r="V734" s="283" t="str">
        <f t="shared" si="74"/>
        <v>1.7～2.5 t</v>
      </c>
      <c r="W734" s="283" t="str">
        <f t="shared" si="75"/>
        <v>H21</v>
      </c>
      <c r="X734" s="284" t="str">
        <f t="shared" si="75"/>
        <v>MFF</v>
      </c>
      <c r="Y734" s="271" t="s">
        <v>2261</v>
      </c>
      <c r="Z734" s="283">
        <f t="shared" si="76"/>
        <v>1.7500000000000002E-2</v>
      </c>
      <c r="AA734" s="283">
        <f t="shared" si="76"/>
        <v>0</v>
      </c>
      <c r="AB734" s="340">
        <f t="shared" si="76"/>
        <v>2.23</v>
      </c>
      <c r="AN734" s="266" t="s">
        <v>2690</v>
      </c>
    </row>
    <row r="735" spans="1:41">
      <c r="A735" t="str">
        <f t="shared" si="77"/>
        <v>貨2CMEF</v>
      </c>
      <c r="B735" t="s">
        <v>2090</v>
      </c>
      <c r="C735" t="s">
        <v>2083</v>
      </c>
      <c r="D735" t="s">
        <v>2382</v>
      </c>
      <c r="E735" t="s">
        <v>1184</v>
      </c>
      <c r="F735">
        <v>1.7500000000000002E-2</v>
      </c>
      <c r="G735">
        <v>0</v>
      </c>
      <c r="H735">
        <v>2.23</v>
      </c>
      <c r="I735" t="s">
        <v>47</v>
      </c>
      <c r="J735"/>
      <c r="T735" s="292" t="str">
        <f t="shared" si="72"/>
        <v>トラック・バス</v>
      </c>
      <c r="U735" s="283" t="str">
        <f t="shared" si="73"/>
        <v>CNG</v>
      </c>
      <c r="V735" s="283" t="str">
        <f t="shared" si="74"/>
        <v>1.7～2.5 t</v>
      </c>
      <c r="W735" s="283" t="str">
        <f t="shared" si="75"/>
        <v>H21</v>
      </c>
      <c r="X735" s="284" t="str">
        <f t="shared" si="75"/>
        <v>MEF</v>
      </c>
      <c r="Y735" s="271" t="s">
        <v>2261</v>
      </c>
      <c r="Z735" s="283">
        <f t="shared" si="76"/>
        <v>1.7500000000000002E-2</v>
      </c>
      <c r="AA735" s="283">
        <f t="shared" si="76"/>
        <v>0</v>
      </c>
      <c r="AB735" s="340">
        <f t="shared" si="76"/>
        <v>2.23</v>
      </c>
      <c r="AN735" s="47" t="s">
        <v>2691</v>
      </c>
    </row>
    <row r="736" spans="1:41" s="266" customFormat="1">
      <c r="A736" t="str">
        <f t="shared" si="77"/>
        <v>貨2CRFF</v>
      </c>
      <c r="B736" t="s">
        <v>2090</v>
      </c>
      <c r="C736" t="s">
        <v>2083</v>
      </c>
      <c r="D736" t="s">
        <v>2382</v>
      </c>
      <c r="E736" t="s">
        <v>1186</v>
      </c>
      <c r="F736">
        <v>8.7500000000000008E-3</v>
      </c>
      <c r="G736">
        <v>0</v>
      </c>
      <c r="H736">
        <v>2.23</v>
      </c>
      <c r="I736" t="s">
        <v>47</v>
      </c>
      <c r="J736"/>
      <c r="K736" s="47"/>
      <c r="L736" s="47"/>
      <c r="M736" s="47"/>
      <c r="N736" s="47"/>
      <c r="O736" s="47"/>
      <c r="P736" s="47"/>
      <c r="Q736" s="47"/>
      <c r="R736" s="47"/>
      <c r="S736" s="47"/>
      <c r="T736" s="292" t="str">
        <f t="shared" si="72"/>
        <v>トラック・バス</v>
      </c>
      <c r="U736" s="283" t="str">
        <f t="shared" si="73"/>
        <v>CNG</v>
      </c>
      <c r="V736" s="283" t="str">
        <f t="shared" si="74"/>
        <v>1.7～2.5 t</v>
      </c>
      <c r="W736" s="283" t="str">
        <f t="shared" si="75"/>
        <v>H21</v>
      </c>
      <c r="X736" s="284" t="str">
        <f t="shared" si="75"/>
        <v>RFF</v>
      </c>
      <c r="Y736" s="271" t="s">
        <v>2262</v>
      </c>
      <c r="Z736" s="283">
        <f t="shared" si="76"/>
        <v>8.7500000000000008E-3</v>
      </c>
      <c r="AA736" s="283">
        <f t="shared" si="76"/>
        <v>0</v>
      </c>
      <c r="AB736" s="340">
        <f t="shared" si="76"/>
        <v>2.23</v>
      </c>
      <c r="AN736" s="47" t="s">
        <v>2692</v>
      </c>
      <c r="AO736" s="47"/>
    </row>
    <row r="737" spans="1:41">
      <c r="A737" t="str">
        <f t="shared" si="77"/>
        <v>貨2CREF</v>
      </c>
      <c r="B737" t="s">
        <v>2090</v>
      </c>
      <c r="C737" t="s">
        <v>2083</v>
      </c>
      <c r="D737" t="s">
        <v>2382</v>
      </c>
      <c r="E737" t="s">
        <v>1188</v>
      </c>
      <c r="F737">
        <v>8.7500000000000008E-3</v>
      </c>
      <c r="G737">
        <v>0</v>
      </c>
      <c r="H737">
        <v>2.23</v>
      </c>
      <c r="I737" t="s">
        <v>47</v>
      </c>
      <c r="J737"/>
      <c r="T737" s="292" t="str">
        <f t="shared" si="72"/>
        <v>トラック・バス</v>
      </c>
      <c r="U737" s="283" t="str">
        <f t="shared" si="73"/>
        <v>CNG</v>
      </c>
      <c r="V737" s="283" t="str">
        <f t="shared" si="74"/>
        <v>1.7～2.5 t</v>
      </c>
      <c r="W737" s="283" t="str">
        <f t="shared" si="75"/>
        <v>H21</v>
      </c>
      <c r="X737" s="284" t="str">
        <f t="shared" si="75"/>
        <v>REF</v>
      </c>
      <c r="Y737" s="271" t="s">
        <v>2262</v>
      </c>
      <c r="Z737" s="283">
        <f t="shared" si="76"/>
        <v>8.7500000000000008E-3</v>
      </c>
      <c r="AA737" s="283">
        <f t="shared" si="76"/>
        <v>0</v>
      </c>
      <c r="AB737" s="340">
        <f t="shared" si="76"/>
        <v>2.23</v>
      </c>
      <c r="AN737" s="47" t="s">
        <v>2693</v>
      </c>
    </row>
    <row r="738" spans="1:41">
      <c r="A738" t="str">
        <f t="shared" si="77"/>
        <v>貨2CQFF</v>
      </c>
      <c r="B738" t="s">
        <v>2090</v>
      </c>
      <c r="C738" t="s">
        <v>2083</v>
      </c>
      <c r="D738" t="s">
        <v>2382</v>
      </c>
      <c r="E738" t="s">
        <v>1190</v>
      </c>
      <c r="F738">
        <v>3.15E-2</v>
      </c>
      <c r="G738">
        <v>0</v>
      </c>
      <c r="H738">
        <v>2.23</v>
      </c>
      <c r="I738" t="s">
        <v>47</v>
      </c>
      <c r="J738"/>
      <c r="T738" s="292" t="str">
        <f t="shared" si="72"/>
        <v>トラック・バス</v>
      </c>
      <c r="U738" s="283" t="str">
        <f t="shared" si="73"/>
        <v>CNG</v>
      </c>
      <c r="V738" s="283" t="str">
        <f t="shared" si="74"/>
        <v>1.7～2.5 t</v>
      </c>
      <c r="W738" s="283" t="str">
        <f t="shared" si="75"/>
        <v>H21</v>
      </c>
      <c r="X738" s="284" t="str">
        <f t="shared" si="75"/>
        <v>QFF</v>
      </c>
      <c r="Y738" s="271" t="s">
        <v>1762</v>
      </c>
      <c r="Z738" s="283">
        <f t="shared" si="76"/>
        <v>3.15E-2</v>
      </c>
      <c r="AA738" s="283">
        <f t="shared" si="76"/>
        <v>0</v>
      </c>
      <c r="AB738" s="340">
        <f t="shared" si="76"/>
        <v>2.23</v>
      </c>
      <c r="AN738" s="47" t="s">
        <v>2694</v>
      </c>
    </row>
    <row r="739" spans="1:41" s="266" customFormat="1">
      <c r="A739" t="str">
        <f t="shared" si="77"/>
        <v>貨2CQEF</v>
      </c>
      <c r="B739" t="s">
        <v>2090</v>
      </c>
      <c r="C739" t="s">
        <v>2083</v>
      </c>
      <c r="D739" t="s">
        <v>2382</v>
      </c>
      <c r="E739" t="s">
        <v>1192</v>
      </c>
      <c r="F739">
        <v>3.15E-2</v>
      </c>
      <c r="G739">
        <v>0</v>
      </c>
      <c r="H739">
        <v>2.23</v>
      </c>
      <c r="I739" t="s">
        <v>47</v>
      </c>
      <c r="J739"/>
      <c r="K739" s="47"/>
      <c r="L739" s="47"/>
      <c r="M739" s="47"/>
      <c r="N739" s="47"/>
      <c r="O739" s="47"/>
      <c r="P739" s="47"/>
      <c r="Q739" s="47"/>
      <c r="R739" s="47"/>
      <c r="S739" s="47"/>
      <c r="T739" s="292" t="str">
        <f t="shared" si="72"/>
        <v>トラック・バス</v>
      </c>
      <c r="U739" s="283" t="str">
        <f t="shared" si="73"/>
        <v>CNG</v>
      </c>
      <c r="V739" s="283" t="str">
        <f t="shared" si="74"/>
        <v>1.7～2.5 t</v>
      </c>
      <c r="W739" s="283" t="str">
        <f t="shared" si="75"/>
        <v>H21</v>
      </c>
      <c r="X739" s="284" t="str">
        <f t="shared" si="75"/>
        <v>QEF</v>
      </c>
      <c r="Y739" s="271" t="s">
        <v>1762</v>
      </c>
      <c r="Z739" s="283">
        <f t="shared" si="76"/>
        <v>3.15E-2</v>
      </c>
      <c r="AA739" s="283">
        <f t="shared" si="76"/>
        <v>0</v>
      </c>
      <c r="AB739" s="340">
        <f t="shared" si="76"/>
        <v>2.23</v>
      </c>
      <c r="AN739" s="47" t="s">
        <v>2695</v>
      </c>
      <c r="AO739" s="47"/>
    </row>
    <row r="740" spans="1:41">
      <c r="A740" t="str">
        <f t="shared" si="77"/>
        <v>貨2C3FF</v>
      </c>
      <c r="B740" t="s">
        <v>2090</v>
      </c>
      <c r="C740" t="s">
        <v>2083</v>
      </c>
      <c r="D740" t="s">
        <v>2744</v>
      </c>
      <c r="E740" t="s">
        <v>2887</v>
      </c>
      <c r="F740">
        <v>3.5000000000000003E-2</v>
      </c>
      <c r="G740">
        <v>0</v>
      </c>
      <c r="H740">
        <v>2.23</v>
      </c>
      <c r="I740" t="s">
        <v>47</v>
      </c>
      <c r="J740"/>
      <c r="T740" s="292" t="str">
        <f t="shared" si="72"/>
        <v>トラック・バス</v>
      </c>
      <c r="U740" s="283" t="str">
        <f t="shared" si="73"/>
        <v>CNG</v>
      </c>
      <c r="V740" s="283" t="str">
        <f t="shared" si="74"/>
        <v>1.7～2.5 t</v>
      </c>
      <c r="W740" s="283" t="str">
        <f t="shared" si="75"/>
        <v>H30</v>
      </c>
      <c r="X740" s="284" t="str">
        <f t="shared" si="75"/>
        <v>3FF</v>
      </c>
      <c r="Y740" s="271"/>
      <c r="Z740" s="283">
        <f t="shared" si="76"/>
        <v>3.5000000000000003E-2</v>
      </c>
      <c r="AA740" s="283">
        <f t="shared" si="76"/>
        <v>0</v>
      </c>
      <c r="AB740" s="340">
        <f t="shared" si="76"/>
        <v>2.23</v>
      </c>
      <c r="AD740" s="436"/>
      <c r="AE740" s="436"/>
      <c r="AF740" s="436"/>
      <c r="AG740" s="436"/>
      <c r="AH740" s="436"/>
      <c r="AI740" s="436"/>
      <c r="AN740" s="436" t="s">
        <v>2696</v>
      </c>
    </row>
    <row r="741" spans="1:41">
      <c r="A741" t="str">
        <f t="shared" si="77"/>
        <v>貨2C3EF</v>
      </c>
      <c r="B741" t="s">
        <v>2090</v>
      </c>
      <c r="C741" t="s">
        <v>2083</v>
      </c>
      <c r="D741" t="s">
        <v>2744</v>
      </c>
      <c r="E741" t="s">
        <v>2888</v>
      </c>
      <c r="F741">
        <v>1.7500000000000002E-2</v>
      </c>
      <c r="G741">
        <v>0</v>
      </c>
      <c r="H741">
        <v>2.23</v>
      </c>
      <c r="I741" t="s">
        <v>47</v>
      </c>
      <c r="J741"/>
      <c r="T741" s="292" t="str">
        <f t="shared" si="72"/>
        <v>トラック・バス</v>
      </c>
      <c r="U741" s="283" t="str">
        <f t="shared" si="73"/>
        <v>CNG</v>
      </c>
      <c r="V741" s="283" t="str">
        <f t="shared" si="74"/>
        <v>1.7～2.5 t</v>
      </c>
      <c r="W741" s="283" t="str">
        <f t="shared" si="75"/>
        <v>H30</v>
      </c>
      <c r="X741" s="284" t="str">
        <f t="shared" si="75"/>
        <v>3EF</v>
      </c>
      <c r="Y741" s="271"/>
      <c r="Z741" s="283">
        <f t="shared" si="76"/>
        <v>1.7500000000000002E-2</v>
      </c>
      <c r="AA741" s="283">
        <f t="shared" si="76"/>
        <v>0</v>
      </c>
      <c r="AB741" s="340">
        <f t="shared" si="76"/>
        <v>2.23</v>
      </c>
      <c r="AD741" s="436"/>
      <c r="AE741" s="436"/>
      <c r="AF741" s="436"/>
      <c r="AG741" s="436"/>
      <c r="AH741" s="436"/>
      <c r="AI741" s="436"/>
      <c r="AN741" s="47" t="s">
        <v>2697</v>
      </c>
    </row>
    <row r="742" spans="1:41" s="266" customFormat="1">
      <c r="A742" t="str">
        <f t="shared" si="77"/>
        <v>貨2C4FF</v>
      </c>
      <c r="B742" t="s">
        <v>2090</v>
      </c>
      <c r="C742" t="s">
        <v>2083</v>
      </c>
      <c r="D742" t="s">
        <v>2748</v>
      </c>
      <c r="E742" t="s">
        <v>2889</v>
      </c>
      <c r="F742">
        <v>2.6250000000000002E-2</v>
      </c>
      <c r="G742">
        <v>0</v>
      </c>
      <c r="H742">
        <v>2.23</v>
      </c>
      <c r="I742" t="s">
        <v>47</v>
      </c>
      <c r="J742"/>
      <c r="T742" s="292" t="str">
        <f t="shared" si="72"/>
        <v>トラック・バス</v>
      </c>
      <c r="U742" s="283" t="str">
        <f t="shared" si="73"/>
        <v>CNG</v>
      </c>
      <c r="V742" s="283" t="str">
        <f t="shared" si="74"/>
        <v>1.7～2.5 t</v>
      </c>
      <c r="W742" s="283" t="str">
        <f t="shared" si="75"/>
        <v>H30</v>
      </c>
      <c r="X742" s="284" t="str">
        <f t="shared" si="75"/>
        <v>4FF</v>
      </c>
      <c r="Y742" s="271" t="s">
        <v>1769</v>
      </c>
      <c r="Z742" s="283">
        <f t="shared" si="76"/>
        <v>2.6250000000000002E-2</v>
      </c>
      <c r="AA742" s="283">
        <f t="shared" si="76"/>
        <v>0</v>
      </c>
      <c r="AB742" s="340">
        <f t="shared" si="76"/>
        <v>2.23</v>
      </c>
      <c r="AN742" s="47"/>
      <c r="AO742" s="47"/>
    </row>
    <row r="743" spans="1:41" s="436" customFormat="1">
      <c r="A743" t="str">
        <f t="shared" si="77"/>
        <v>貨2C4EF</v>
      </c>
      <c r="B743" t="s">
        <v>2090</v>
      </c>
      <c r="C743" t="s">
        <v>2083</v>
      </c>
      <c r="D743" t="s">
        <v>2748</v>
      </c>
      <c r="E743" t="s">
        <v>2890</v>
      </c>
      <c r="F743">
        <v>2.6249999999999999E-2</v>
      </c>
      <c r="G743">
        <v>0</v>
      </c>
      <c r="H743">
        <v>2.23</v>
      </c>
      <c r="I743" t="s">
        <v>47</v>
      </c>
      <c r="J743"/>
      <c r="K743" s="47"/>
      <c r="L743" s="47"/>
      <c r="M743" s="47"/>
      <c r="N743" s="47"/>
      <c r="O743" s="47"/>
      <c r="P743" s="47"/>
      <c r="Q743" s="47"/>
      <c r="R743" s="47"/>
      <c r="S743" s="47"/>
      <c r="T743" s="292" t="str">
        <f t="shared" si="72"/>
        <v>トラック・バス</v>
      </c>
      <c r="U743" s="283" t="str">
        <f t="shared" si="73"/>
        <v>CNG</v>
      </c>
      <c r="V743" s="283" t="str">
        <f t="shared" si="74"/>
        <v>1.7～2.5 t</v>
      </c>
      <c r="W743" s="283" t="str">
        <f t="shared" si="75"/>
        <v>H30</v>
      </c>
      <c r="X743" s="284" t="str">
        <f t="shared" si="75"/>
        <v>4EF</v>
      </c>
      <c r="Y743" s="271" t="s">
        <v>1769</v>
      </c>
      <c r="Z743" s="283">
        <f t="shared" si="76"/>
        <v>2.6249999999999999E-2</v>
      </c>
      <c r="AA743" s="283">
        <f t="shared" si="76"/>
        <v>0</v>
      </c>
      <c r="AB743" s="340">
        <f t="shared" si="76"/>
        <v>2.23</v>
      </c>
      <c r="AN743" s="47"/>
      <c r="AO743" s="47"/>
    </row>
    <row r="744" spans="1:41" s="436" customFormat="1">
      <c r="A744" t="str">
        <f t="shared" si="77"/>
        <v>貨2C5FF</v>
      </c>
      <c r="B744" t="s">
        <v>2090</v>
      </c>
      <c r="C744" t="s">
        <v>2083</v>
      </c>
      <c r="D744" t="s">
        <v>2748</v>
      </c>
      <c r="E744" t="s">
        <v>2891</v>
      </c>
      <c r="F744">
        <v>1.7500000000000002E-2</v>
      </c>
      <c r="G744">
        <v>0</v>
      </c>
      <c r="H744">
        <v>2.23</v>
      </c>
      <c r="I744" t="s">
        <v>47</v>
      </c>
      <c r="J744"/>
      <c r="K744" s="47"/>
      <c r="L744" s="47"/>
      <c r="M744" s="47"/>
      <c r="N744" s="47"/>
      <c r="O744" s="47"/>
      <c r="P744" s="47"/>
      <c r="Q744" s="47"/>
      <c r="R744" s="47"/>
      <c r="S744" s="47"/>
      <c r="T744" s="292" t="str">
        <f t="shared" si="72"/>
        <v>トラック・バス</v>
      </c>
      <c r="U744" s="283" t="str">
        <f t="shared" si="73"/>
        <v>CNG</v>
      </c>
      <c r="V744" s="283" t="str">
        <f t="shared" si="74"/>
        <v>1.7～2.5 t</v>
      </c>
      <c r="W744" s="283" t="str">
        <f t="shared" si="75"/>
        <v>H30</v>
      </c>
      <c r="X744" s="284" t="str">
        <f t="shared" si="75"/>
        <v>5FF</v>
      </c>
      <c r="Y744" s="271" t="s">
        <v>2262</v>
      </c>
      <c r="Z744" s="283">
        <f t="shared" si="76"/>
        <v>1.7500000000000002E-2</v>
      </c>
      <c r="AA744" s="283">
        <f t="shared" si="76"/>
        <v>0</v>
      </c>
      <c r="AB744" s="340">
        <f t="shared" si="76"/>
        <v>2.23</v>
      </c>
      <c r="AN744" s="266"/>
      <c r="AO744" s="47"/>
    </row>
    <row r="745" spans="1:41" s="266" customFormat="1">
      <c r="A745" t="str">
        <f t="shared" si="77"/>
        <v>貨2C5EF</v>
      </c>
      <c r="B745" t="s">
        <v>2090</v>
      </c>
      <c r="C745" t="s">
        <v>2083</v>
      </c>
      <c r="D745" t="s">
        <v>2748</v>
      </c>
      <c r="E745" t="s">
        <v>2892</v>
      </c>
      <c r="F745">
        <v>1.7500000000000002E-2</v>
      </c>
      <c r="G745">
        <v>0</v>
      </c>
      <c r="H745">
        <v>2.23</v>
      </c>
      <c r="I745" t="s">
        <v>47</v>
      </c>
      <c r="J745"/>
      <c r="T745" s="292" t="str">
        <f t="shared" si="72"/>
        <v>トラック・バス</v>
      </c>
      <c r="U745" s="283" t="str">
        <f t="shared" si="73"/>
        <v>CNG</v>
      </c>
      <c r="V745" s="283" t="str">
        <f t="shared" si="74"/>
        <v>1.7～2.5 t</v>
      </c>
      <c r="W745" s="283" t="str">
        <f t="shared" si="75"/>
        <v>H30</v>
      </c>
      <c r="X745" s="284" t="str">
        <f t="shared" si="75"/>
        <v>5EF</v>
      </c>
      <c r="Y745" s="271" t="s">
        <v>2262</v>
      </c>
      <c r="Z745" s="283">
        <f t="shared" si="76"/>
        <v>1.7500000000000002E-2</v>
      </c>
      <c r="AA745" s="283">
        <f t="shared" si="76"/>
        <v>0</v>
      </c>
      <c r="AB745" s="340">
        <f t="shared" si="76"/>
        <v>2.23</v>
      </c>
      <c r="AN745" s="436"/>
      <c r="AO745" s="47"/>
    </row>
    <row r="746" spans="1:41" s="436" customFormat="1">
      <c r="A746" t="str">
        <f t="shared" si="77"/>
        <v>貨2C6FF</v>
      </c>
      <c r="B746" t="s">
        <v>2090</v>
      </c>
      <c r="C746" t="s">
        <v>2083</v>
      </c>
      <c r="D746" t="s">
        <v>2748</v>
      </c>
      <c r="E746" t="s">
        <v>2893</v>
      </c>
      <c r="F746">
        <v>8.7500000000000008E-3</v>
      </c>
      <c r="G746">
        <v>0</v>
      </c>
      <c r="H746">
        <v>2.23</v>
      </c>
      <c r="I746" t="s">
        <v>47</v>
      </c>
      <c r="J746"/>
      <c r="K746" s="47"/>
      <c r="L746" s="47"/>
      <c r="M746" s="47"/>
      <c r="N746" s="47"/>
      <c r="O746" s="47"/>
      <c r="P746" s="47"/>
      <c r="Q746" s="47"/>
      <c r="R746" s="47"/>
      <c r="S746" s="47"/>
      <c r="T746" s="292" t="str">
        <f t="shared" si="72"/>
        <v>トラック・バス</v>
      </c>
      <c r="U746" s="283" t="str">
        <f t="shared" si="73"/>
        <v>CNG</v>
      </c>
      <c r="V746" s="283" t="str">
        <f t="shared" si="74"/>
        <v>1.7～2.5 t</v>
      </c>
      <c r="W746" s="283" t="str">
        <f t="shared" si="75"/>
        <v>H30</v>
      </c>
      <c r="X746" s="284" t="str">
        <f t="shared" si="75"/>
        <v>6FF</v>
      </c>
      <c r="Y746" s="271" t="s">
        <v>2758</v>
      </c>
      <c r="Z746" s="283">
        <f t="shared" si="76"/>
        <v>8.7500000000000008E-3</v>
      </c>
      <c r="AA746" s="283">
        <f t="shared" si="76"/>
        <v>0</v>
      </c>
      <c r="AB746" s="340">
        <f t="shared" si="76"/>
        <v>2.23</v>
      </c>
      <c r="AO746" s="47"/>
    </row>
    <row r="747" spans="1:41" s="436" customFormat="1">
      <c r="A747" t="str">
        <f t="shared" si="77"/>
        <v>貨2C6EF</v>
      </c>
      <c r="B747" t="s">
        <v>2090</v>
      </c>
      <c r="C747" t="s">
        <v>2083</v>
      </c>
      <c r="D747" t="s">
        <v>2748</v>
      </c>
      <c r="E747" t="s">
        <v>2894</v>
      </c>
      <c r="F747">
        <v>8.7500000000000008E-3</v>
      </c>
      <c r="G747">
        <v>0</v>
      </c>
      <c r="H747">
        <v>2.23</v>
      </c>
      <c r="I747" t="s">
        <v>47</v>
      </c>
      <c r="J747"/>
      <c r="K747" s="47"/>
      <c r="L747" s="47"/>
      <c r="M747" s="47"/>
      <c r="N747" s="47"/>
      <c r="O747" s="47"/>
      <c r="P747" s="47"/>
      <c r="Q747" s="47"/>
      <c r="R747" s="47"/>
      <c r="S747" s="47"/>
      <c r="T747" s="292" t="str">
        <f t="shared" si="72"/>
        <v>トラック・バス</v>
      </c>
      <c r="U747" s="283" t="str">
        <f t="shared" si="73"/>
        <v>CNG</v>
      </c>
      <c r="V747" s="283" t="str">
        <f t="shared" si="74"/>
        <v>1.7～2.5 t</v>
      </c>
      <c r="W747" s="283" t="str">
        <f t="shared" si="75"/>
        <v>H30</v>
      </c>
      <c r="X747" s="284" t="str">
        <f t="shared" si="75"/>
        <v>6EF</v>
      </c>
      <c r="Y747" s="271" t="s">
        <v>2758</v>
      </c>
      <c r="Z747" s="283">
        <f t="shared" si="76"/>
        <v>8.7500000000000008E-3</v>
      </c>
      <c r="AA747" s="283">
        <f t="shared" si="76"/>
        <v>0</v>
      </c>
      <c r="AB747" s="340">
        <f t="shared" si="76"/>
        <v>2.23</v>
      </c>
      <c r="AN747" s="266"/>
      <c r="AO747" s="47"/>
    </row>
    <row r="748" spans="1:41" s="266" customFormat="1">
      <c r="A748" t="str">
        <f t="shared" si="77"/>
        <v>貨3CTQ</v>
      </c>
      <c r="B748" t="s">
        <v>2092</v>
      </c>
      <c r="C748" t="s">
        <v>2091</v>
      </c>
      <c r="D748" t="s">
        <v>21</v>
      </c>
      <c r="E748" t="s">
        <v>85</v>
      </c>
      <c r="F748">
        <v>4.8750000000000002E-2</v>
      </c>
      <c r="G748">
        <v>0</v>
      </c>
      <c r="H748">
        <v>2.23</v>
      </c>
      <c r="I748" t="s">
        <v>47</v>
      </c>
      <c r="J748"/>
      <c r="T748" s="292" t="str">
        <f t="shared" si="72"/>
        <v>トラック・バス</v>
      </c>
      <c r="U748" s="283" t="str">
        <f t="shared" si="73"/>
        <v>CNG</v>
      </c>
      <c r="V748" s="283" t="str">
        <f t="shared" si="74"/>
        <v>2.5～3.5 t</v>
      </c>
      <c r="W748" s="283" t="str">
        <f t="shared" si="75"/>
        <v>H13</v>
      </c>
      <c r="X748" s="284" t="str">
        <f t="shared" si="75"/>
        <v>TQ</v>
      </c>
      <c r="Y748" s="271" t="s">
        <v>1765</v>
      </c>
      <c r="Z748" s="283">
        <f t="shared" si="76"/>
        <v>4.8750000000000002E-2</v>
      </c>
      <c r="AA748" s="283">
        <f t="shared" si="76"/>
        <v>0</v>
      </c>
      <c r="AB748" s="340">
        <f t="shared" si="76"/>
        <v>2.23</v>
      </c>
      <c r="AN748" s="436"/>
      <c r="AO748" s="47"/>
    </row>
    <row r="749" spans="1:41" s="436" customFormat="1">
      <c r="A749" t="str">
        <f t="shared" si="77"/>
        <v>貨3CLQ</v>
      </c>
      <c r="B749" t="s">
        <v>2092</v>
      </c>
      <c r="C749" t="s">
        <v>2091</v>
      </c>
      <c r="D749" t="s">
        <v>21</v>
      </c>
      <c r="E749" t="s">
        <v>77</v>
      </c>
      <c r="F749">
        <v>3.2500000000000001E-2</v>
      </c>
      <c r="G749">
        <v>0</v>
      </c>
      <c r="H749">
        <v>2.23</v>
      </c>
      <c r="I749" t="s">
        <v>47</v>
      </c>
      <c r="J749"/>
      <c r="T749" s="292" t="str">
        <f t="shared" si="72"/>
        <v>トラック・バス</v>
      </c>
      <c r="U749" s="283" t="str">
        <f t="shared" si="73"/>
        <v>CNG</v>
      </c>
      <c r="V749" s="283" t="str">
        <f t="shared" si="74"/>
        <v>2.5～3.5 t</v>
      </c>
      <c r="W749" s="283" t="str">
        <f t="shared" si="75"/>
        <v>H13</v>
      </c>
      <c r="X749" s="284" t="str">
        <f t="shared" si="75"/>
        <v>LQ</v>
      </c>
      <c r="Y749" s="271" t="s">
        <v>1766</v>
      </c>
      <c r="Z749" s="283">
        <f t="shared" si="76"/>
        <v>3.2500000000000001E-2</v>
      </c>
      <c r="AA749" s="283">
        <f t="shared" si="76"/>
        <v>0</v>
      </c>
      <c r="AB749" s="340">
        <f t="shared" si="76"/>
        <v>2.23</v>
      </c>
      <c r="AD749" s="47"/>
      <c r="AE749" s="47"/>
      <c r="AF749" s="47"/>
      <c r="AG749" s="47"/>
      <c r="AH749" s="47"/>
      <c r="AI749" s="47"/>
      <c r="AO749" s="47"/>
    </row>
    <row r="750" spans="1:41" s="436" customFormat="1">
      <c r="A750" t="str">
        <f t="shared" si="77"/>
        <v>貨3CUQ</v>
      </c>
      <c r="B750" t="s">
        <v>2092</v>
      </c>
      <c r="C750" t="s">
        <v>2091</v>
      </c>
      <c r="D750" t="s">
        <v>21</v>
      </c>
      <c r="E750" t="s">
        <v>92</v>
      </c>
      <c r="F750">
        <v>1.6250000000000001E-2</v>
      </c>
      <c r="G750">
        <v>0</v>
      </c>
      <c r="H750">
        <v>2.23</v>
      </c>
      <c r="I750" t="s">
        <v>47</v>
      </c>
      <c r="J750"/>
      <c r="T750" s="292" t="str">
        <f t="shared" si="72"/>
        <v>トラック・バス</v>
      </c>
      <c r="U750" s="283" t="str">
        <f t="shared" si="73"/>
        <v>CNG</v>
      </c>
      <c r="V750" s="283" t="str">
        <f t="shared" si="74"/>
        <v>2.5～3.5 t</v>
      </c>
      <c r="W750" s="283" t="str">
        <f t="shared" si="75"/>
        <v>H13</v>
      </c>
      <c r="X750" s="284" t="str">
        <f t="shared" si="75"/>
        <v>UQ</v>
      </c>
      <c r="Y750" s="271" t="s">
        <v>1767</v>
      </c>
      <c r="Z750" s="283">
        <f t="shared" si="76"/>
        <v>1.6250000000000001E-2</v>
      </c>
      <c r="AA750" s="283">
        <f t="shared" si="76"/>
        <v>0</v>
      </c>
      <c r="AB750" s="340">
        <f t="shared" si="76"/>
        <v>2.23</v>
      </c>
      <c r="AD750" s="47"/>
      <c r="AE750" s="47"/>
      <c r="AF750" s="47"/>
      <c r="AG750" s="47"/>
      <c r="AH750" s="47"/>
      <c r="AI750" s="47"/>
      <c r="AN750" s="266"/>
      <c r="AO750" s="47"/>
    </row>
    <row r="751" spans="1:41" s="266" customFormat="1">
      <c r="A751" t="str">
        <f t="shared" si="77"/>
        <v>貨3CAFF</v>
      </c>
      <c r="B751" t="s">
        <v>2092</v>
      </c>
      <c r="C751" t="s">
        <v>2091</v>
      </c>
      <c r="D751" t="s">
        <v>1979</v>
      </c>
      <c r="E751" t="s">
        <v>1164</v>
      </c>
      <c r="F751">
        <v>3.5000000000000003E-2</v>
      </c>
      <c r="G751">
        <v>0</v>
      </c>
      <c r="H751">
        <v>2.23</v>
      </c>
      <c r="I751" t="s">
        <v>47</v>
      </c>
      <c r="J751"/>
      <c r="T751" s="292" t="str">
        <f t="shared" si="72"/>
        <v>トラック・バス</v>
      </c>
      <c r="U751" s="283" t="str">
        <f t="shared" si="73"/>
        <v>CNG</v>
      </c>
      <c r="V751" s="283" t="str">
        <f t="shared" si="74"/>
        <v>2.5～3.5 t</v>
      </c>
      <c r="W751" s="283" t="str">
        <f t="shared" si="75"/>
        <v>H17</v>
      </c>
      <c r="X751" s="284" t="str">
        <f t="shared" si="75"/>
        <v>AFF</v>
      </c>
      <c r="Y751" s="271"/>
      <c r="Z751" s="283">
        <f t="shared" si="76"/>
        <v>3.5000000000000003E-2</v>
      </c>
      <c r="AA751" s="283">
        <f t="shared" si="76"/>
        <v>0</v>
      </c>
      <c r="AB751" s="340">
        <f t="shared" si="76"/>
        <v>2.23</v>
      </c>
      <c r="AN751" s="436"/>
      <c r="AO751" s="47"/>
    </row>
    <row r="752" spans="1:41">
      <c r="A752" t="str">
        <f t="shared" si="77"/>
        <v>貨3CAEF</v>
      </c>
      <c r="B752" t="s">
        <v>2092</v>
      </c>
      <c r="C752" t="s">
        <v>2091</v>
      </c>
      <c r="D752" t="s">
        <v>1979</v>
      </c>
      <c r="E752" t="s">
        <v>1166</v>
      </c>
      <c r="F752">
        <v>1.7500000000000002E-2</v>
      </c>
      <c r="G752">
        <v>0</v>
      </c>
      <c r="H752">
        <v>2.23</v>
      </c>
      <c r="I752" t="s">
        <v>47</v>
      </c>
      <c r="J752"/>
      <c r="K752" s="436"/>
      <c r="L752" s="436"/>
      <c r="M752" s="436"/>
      <c r="N752" s="436"/>
      <c r="O752" s="436"/>
      <c r="P752" s="436"/>
      <c r="Q752" s="436"/>
      <c r="R752" s="436"/>
      <c r="S752" s="436"/>
      <c r="T752" s="292" t="str">
        <f t="shared" si="72"/>
        <v>トラック・バス</v>
      </c>
      <c r="U752" s="283" t="str">
        <f t="shared" si="73"/>
        <v>CNG</v>
      </c>
      <c r="V752" s="283" t="str">
        <f t="shared" si="74"/>
        <v>2.5～3.5 t</v>
      </c>
      <c r="W752" s="283" t="str">
        <f t="shared" si="75"/>
        <v>H17</v>
      </c>
      <c r="X752" s="284" t="str">
        <f t="shared" si="75"/>
        <v>AEF</v>
      </c>
      <c r="Y752" s="271"/>
      <c r="Z752" s="283">
        <f t="shared" si="76"/>
        <v>1.7500000000000002E-2</v>
      </c>
      <c r="AA752" s="283">
        <f t="shared" si="76"/>
        <v>0</v>
      </c>
      <c r="AB752" s="340">
        <f t="shared" si="76"/>
        <v>2.23</v>
      </c>
      <c r="AN752" s="436"/>
    </row>
    <row r="753" spans="1:40">
      <c r="A753" t="str">
        <f t="shared" si="77"/>
        <v>貨3CCEF</v>
      </c>
      <c r="B753" t="s">
        <v>2092</v>
      </c>
      <c r="C753" t="s">
        <v>2091</v>
      </c>
      <c r="D753" t="s">
        <v>1979</v>
      </c>
      <c r="E753" t="s">
        <v>2086</v>
      </c>
      <c r="F753">
        <v>1.7500000000000002E-2</v>
      </c>
      <c r="G753">
        <v>0</v>
      </c>
      <c r="H753">
        <v>2.23</v>
      </c>
      <c r="I753" t="s">
        <v>47</v>
      </c>
      <c r="J753"/>
      <c r="K753" s="436"/>
      <c r="L753" s="436"/>
      <c r="M753" s="436"/>
      <c r="N753" s="436"/>
      <c r="O753" s="436"/>
      <c r="P753" s="436"/>
      <c r="Q753" s="436"/>
      <c r="R753" s="436"/>
      <c r="S753" s="436"/>
      <c r="T753" s="292" t="str">
        <f t="shared" si="72"/>
        <v>トラック・バス</v>
      </c>
      <c r="U753" s="283" t="str">
        <f t="shared" si="73"/>
        <v>CNG</v>
      </c>
      <c r="V753" s="283" t="str">
        <f t="shared" si="74"/>
        <v>2.5～3.5 t</v>
      </c>
      <c r="W753" s="283" t="str">
        <f t="shared" si="75"/>
        <v>H17</v>
      </c>
      <c r="X753" s="284" t="str">
        <f t="shared" si="75"/>
        <v>CEF</v>
      </c>
      <c r="Y753" s="271" t="s">
        <v>2261</v>
      </c>
      <c r="Z753" s="283">
        <f t="shared" si="76"/>
        <v>1.7500000000000002E-2</v>
      </c>
      <c r="AA753" s="283">
        <f t="shared" si="76"/>
        <v>0</v>
      </c>
      <c r="AB753" s="340">
        <f t="shared" si="76"/>
        <v>2.23</v>
      </c>
      <c r="AN753" s="266"/>
    </row>
    <row r="754" spans="1:40">
      <c r="A754" t="str">
        <f t="shared" si="77"/>
        <v>貨3CCFF</v>
      </c>
      <c r="B754" t="s">
        <v>2092</v>
      </c>
      <c r="C754" t="s">
        <v>2091</v>
      </c>
      <c r="D754" t="s">
        <v>1979</v>
      </c>
      <c r="E754" t="s">
        <v>2087</v>
      </c>
      <c r="F754">
        <v>1.7500000000000002E-2</v>
      </c>
      <c r="G754">
        <v>0</v>
      </c>
      <c r="H754">
        <v>2.23</v>
      </c>
      <c r="I754" t="s">
        <v>47</v>
      </c>
      <c r="J754"/>
      <c r="K754" s="266"/>
      <c r="L754" s="266"/>
      <c r="M754" s="266"/>
      <c r="N754" s="266"/>
      <c r="O754" s="266"/>
      <c r="P754" s="266"/>
      <c r="Q754" s="266"/>
      <c r="R754" s="266"/>
      <c r="S754" s="266"/>
      <c r="T754" s="292" t="str">
        <f t="shared" si="72"/>
        <v>トラック・バス</v>
      </c>
      <c r="U754" s="283" t="str">
        <f t="shared" si="73"/>
        <v>CNG</v>
      </c>
      <c r="V754" s="283" t="str">
        <f t="shared" si="74"/>
        <v>2.5～3.5 t</v>
      </c>
      <c r="W754" s="283" t="str">
        <f t="shared" si="75"/>
        <v>H17</v>
      </c>
      <c r="X754" s="284" t="str">
        <f t="shared" si="75"/>
        <v>CFF</v>
      </c>
      <c r="Y754" s="271" t="s">
        <v>2261</v>
      </c>
      <c r="Z754" s="283">
        <f t="shared" si="76"/>
        <v>1.7500000000000002E-2</v>
      </c>
      <c r="AA754" s="283">
        <f t="shared" si="76"/>
        <v>0</v>
      </c>
      <c r="AB754" s="340">
        <f t="shared" si="76"/>
        <v>2.23</v>
      </c>
    </row>
    <row r="755" spans="1:40">
      <c r="A755" t="str">
        <f t="shared" si="77"/>
        <v>貨3CDEF</v>
      </c>
      <c r="B755" t="s">
        <v>2092</v>
      </c>
      <c r="C755" t="s">
        <v>2091</v>
      </c>
      <c r="D755" t="s">
        <v>1979</v>
      </c>
      <c r="E755" t="s">
        <v>2088</v>
      </c>
      <c r="F755">
        <v>8.7500000000000008E-3</v>
      </c>
      <c r="G755">
        <v>0</v>
      </c>
      <c r="H755">
        <v>2.23</v>
      </c>
      <c r="I755" t="s">
        <v>47</v>
      </c>
      <c r="J755"/>
      <c r="K755" s="436"/>
      <c r="L755" s="436"/>
      <c r="M755" s="436"/>
      <c r="N755" s="436"/>
      <c r="O755" s="436"/>
      <c r="P755" s="436"/>
      <c r="Q755" s="436"/>
      <c r="R755" s="436"/>
      <c r="S755" s="436"/>
      <c r="T755" s="292" t="str">
        <f t="shared" si="72"/>
        <v>トラック・バス</v>
      </c>
      <c r="U755" s="283" t="str">
        <f t="shared" si="73"/>
        <v>CNG</v>
      </c>
      <c r="V755" s="283" t="str">
        <f t="shared" si="74"/>
        <v>2.5～3.5 t</v>
      </c>
      <c r="W755" s="283" t="str">
        <f t="shared" si="75"/>
        <v>H17</v>
      </c>
      <c r="X755" s="284" t="str">
        <f t="shared" si="75"/>
        <v>DEF</v>
      </c>
      <c r="Y755" s="271" t="s">
        <v>2262</v>
      </c>
      <c r="Z755" s="283">
        <f t="shared" si="76"/>
        <v>8.7500000000000008E-3</v>
      </c>
      <c r="AA755" s="283">
        <f t="shared" si="76"/>
        <v>0</v>
      </c>
      <c r="AB755" s="340">
        <f t="shared" si="76"/>
        <v>2.23</v>
      </c>
    </row>
    <row r="756" spans="1:40">
      <c r="A756" t="str">
        <f t="shared" si="77"/>
        <v>貨3CDFF</v>
      </c>
      <c r="B756" t="s">
        <v>2092</v>
      </c>
      <c r="C756" t="s">
        <v>2091</v>
      </c>
      <c r="D756" t="s">
        <v>1979</v>
      </c>
      <c r="E756" t="s">
        <v>2089</v>
      </c>
      <c r="F756">
        <v>8.7500000000000008E-3</v>
      </c>
      <c r="G756">
        <v>0</v>
      </c>
      <c r="H756">
        <v>2.23</v>
      </c>
      <c r="I756" t="s">
        <v>47</v>
      </c>
      <c r="J756"/>
      <c r="K756" s="436"/>
      <c r="L756" s="436"/>
      <c r="M756" s="436"/>
      <c r="N756" s="436"/>
      <c r="O756" s="436"/>
      <c r="P756" s="436"/>
      <c r="Q756" s="436"/>
      <c r="R756" s="436"/>
      <c r="S756" s="436"/>
      <c r="T756" s="292" t="str">
        <f t="shared" si="72"/>
        <v>トラック・バス</v>
      </c>
      <c r="U756" s="283" t="str">
        <f t="shared" si="73"/>
        <v>CNG</v>
      </c>
      <c r="V756" s="283" t="str">
        <f t="shared" si="74"/>
        <v>2.5～3.5 t</v>
      </c>
      <c r="W756" s="283" t="str">
        <f t="shared" si="75"/>
        <v>H17</v>
      </c>
      <c r="X756" s="284" t="str">
        <f t="shared" si="75"/>
        <v>DFF</v>
      </c>
      <c r="Y756" s="271" t="s">
        <v>2262</v>
      </c>
      <c r="Z756" s="283">
        <f t="shared" si="76"/>
        <v>8.7500000000000008E-3</v>
      </c>
      <c r="AA756" s="283">
        <f t="shared" si="76"/>
        <v>0</v>
      </c>
      <c r="AB756" s="340">
        <f t="shared" si="76"/>
        <v>2.23</v>
      </c>
    </row>
    <row r="757" spans="1:40">
      <c r="A757" t="str">
        <f t="shared" si="77"/>
        <v>貨3CLFF</v>
      </c>
      <c r="B757" t="s">
        <v>2092</v>
      </c>
      <c r="C757" t="s">
        <v>2091</v>
      </c>
      <c r="D757" t="s">
        <v>2382</v>
      </c>
      <c r="E757" t="s">
        <v>1178</v>
      </c>
      <c r="F757">
        <v>3.5000000000000003E-2</v>
      </c>
      <c r="G757">
        <v>0</v>
      </c>
      <c r="H757">
        <v>2.23</v>
      </c>
      <c r="I757" t="s">
        <v>47</v>
      </c>
      <c r="J757"/>
      <c r="K757" s="266"/>
      <c r="L757" s="266"/>
      <c r="M757" s="266"/>
      <c r="N757" s="266"/>
      <c r="O757" s="266"/>
      <c r="P757" s="266"/>
      <c r="Q757" s="266"/>
      <c r="R757" s="266"/>
      <c r="S757" s="266"/>
      <c r="T757" s="292" t="str">
        <f t="shared" si="72"/>
        <v>トラック・バス</v>
      </c>
      <c r="U757" s="283" t="str">
        <f t="shared" si="73"/>
        <v>CNG</v>
      </c>
      <c r="V757" s="283" t="str">
        <f t="shared" si="74"/>
        <v>2.5～3.5 t</v>
      </c>
      <c r="W757" s="283" t="str">
        <f t="shared" si="75"/>
        <v>H21</v>
      </c>
      <c r="X757" s="284" t="str">
        <f t="shared" si="75"/>
        <v>LFF</v>
      </c>
      <c r="Y757" s="271"/>
      <c r="Z757" s="283">
        <f t="shared" si="76"/>
        <v>3.5000000000000003E-2</v>
      </c>
      <c r="AA757" s="283">
        <f t="shared" si="76"/>
        <v>0</v>
      </c>
      <c r="AB757" s="340">
        <f t="shared" si="76"/>
        <v>2.23</v>
      </c>
    </row>
    <row r="758" spans="1:40">
      <c r="A758" t="str">
        <f t="shared" si="77"/>
        <v>貨3CLEF</v>
      </c>
      <c r="B758" t="s">
        <v>2092</v>
      </c>
      <c r="C758" t="s">
        <v>2091</v>
      </c>
      <c r="D758" t="s">
        <v>2382</v>
      </c>
      <c r="E758" t="s">
        <v>1180</v>
      </c>
      <c r="F758">
        <v>1.7500000000000002E-2</v>
      </c>
      <c r="G758">
        <v>0</v>
      </c>
      <c r="H758">
        <v>2.23</v>
      </c>
      <c r="I758" t="s">
        <v>47</v>
      </c>
      <c r="J758"/>
      <c r="T758" s="292" t="str">
        <f t="shared" si="72"/>
        <v>トラック・バス</v>
      </c>
      <c r="U758" s="283" t="str">
        <f t="shared" si="73"/>
        <v>CNG</v>
      </c>
      <c r="V758" s="283" t="str">
        <f t="shared" si="74"/>
        <v>2.5～3.5 t</v>
      </c>
      <c r="W758" s="283" t="str">
        <f t="shared" si="75"/>
        <v>H21</v>
      </c>
      <c r="X758" s="284" t="str">
        <f t="shared" si="75"/>
        <v>LEF</v>
      </c>
      <c r="Y758" s="271"/>
      <c r="Z758" s="283">
        <f t="shared" si="76"/>
        <v>1.7500000000000002E-2</v>
      </c>
      <c r="AA758" s="283">
        <f t="shared" si="76"/>
        <v>0</v>
      </c>
      <c r="AB758" s="340">
        <f t="shared" si="76"/>
        <v>2.23</v>
      </c>
    </row>
    <row r="759" spans="1:40">
      <c r="A759" t="str">
        <f t="shared" si="77"/>
        <v>貨3CMFF</v>
      </c>
      <c r="B759" t="s">
        <v>2092</v>
      </c>
      <c r="C759" t="s">
        <v>2091</v>
      </c>
      <c r="D759" t="s">
        <v>2382</v>
      </c>
      <c r="E759" t="s">
        <v>1182</v>
      </c>
      <c r="F759">
        <v>1.7500000000000002E-2</v>
      </c>
      <c r="G759">
        <v>0</v>
      </c>
      <c r="H759">
        <v>2.23</v>
      </c>
      <c r="I759" t="s">
        <v>47</v>
      </c>
      <c r="J759"/>
      <c r="T759" s="292" t="str">
        <f t="shared" si="72"/>
        <v>トラック・バス</v>
      </c>
      <c r="U759" s="283" t="str">
        <f t="shared" si="73"/>
        <v>CNG</v>
      </c>
      <c r="V759" s="283" t="str">
        <f t="shared" si="74"/>
        <v>2.5～3.5 t</v>
      </c>
      <c r="W759" s="283" t="str">
        <f t="shared" si="75"/>
        <v>H21</v>
      </c>
      <c r="X759" s="284" t="str">
        <f t="shared" si="75"/>
        <v>MFF</v>
      </c>
      <c r="Y759" s="271" t="s">
        <v>2261</v>
      </c>
      <c r="Z759" s="283">
        <f t="shared" si="76"/>
        <v>1.7500000000000002E-2</v>
      </c>
      <c r="AA759" s="283">
        <f t="shared" si="76"/>
        <v>0</v>
      </c>
      <c r="AB759" s="340">
        <f t="shared" si="76"/>
        <v>2.23</v>
      </c>
    </row>
    <row r="760" spans="1:40">
      <c r="A760" t="str">
        <f t="shared" si="77"/>
        <v>貨3CMEF</v>
      </c>
      <c r="B760" t="s">
        <v>2092</v>
      </c>
      <c r="C760" t="s">
        <v>2091</v>
      </c>
      <c r="D760" t="s">
        <v>2382</v>
      </c>
      <c r="E760" t="s">
        <v>1184</v>
      </c>
      <c r="F760">
        <v>1.7500000000000002E-2</v>
      </c>
      <c r="G760">
        <v>0</v>
      </c>
      <c r="H760">
        <v>2.23</v>
      </c>
      <c r="I760" t="s">
        <v>47</v>
      </c>
      <c r="J760"/>
      <c r="T760" s="292" t="str">
        <f t="shared" si="72"/>
        <v>トラック・バス</v>
      </c>
      <c r="U760" s="283" t="str">
        <f t="shared" si="73"/>
        <v>CNG</v>
      </c>
      <c r="V760" s="283" t="str">
        <f t="shared" si="74"/>
        <v>2.5～3.5 t</v>
      </c>
      <c r="W760" s="283" t="str">
        <f t="shared" si="75"/>
        <v>H21</v>
      </c>
      <c r="X760" s="284" t="str">
        <f t="shared" si="75"/>
        <v>MEF</v>
      </c>
      <c r="Y760" s="271" t="s">
        <v>2261</v>
      </c>
      <c r="Z760" s="283">
        <f t="shared" si="76"/>
        <v>1.7500000000000002E-2</v>
      </c>
      <c r="AA760" s="283">
        <f t="shared" si="76"/>
        <v>0</v>
      </c>
      <c r="AB760" s="340">
        <f t="shared" si="76"/>
        <v>2.23</v>
      </c>
    </row>
    <row r="761" spans="1:40">
      <c r="A761" t="str">
        <f t="shared" si="77"/>
        <v>貨3CRFF</v>
      </c>
      <c r="B761" t="s">
        <v>2092</v>
      </c>
      <c r="C761" t="s">
        <v>2091</v>
      </c>
      <c r="D761" t="s">
        <v>2382</v>
      </c>
      <c r="E761" t="s">
        <v>1186</v>
      </c>
      <c r="F761">
        <v>8.7500000000000008E-3</v>
      </c>
      <c r="G761">
        <v>0</v>
      </c>
      <c r="H761">
        <v>2.23</v>
      </c>
      <c r="I761" t="s">
        <v>47</v>
      </c>
      <c r="J761"/>
      <c r="T761" s="292" t="str">
        <f t="shared" si="72"/>
        <v>トラック・バス</v>
      </c>
      <c r="U761" s="283" t="str">
        <f t="shared" si="73"/>
        <v>CNG</v>
      </c>
      <c r="V761" s="283" t="str">
        <f t="shared" si="74"/>
        <v>2.5～3.5 t</v>
      </c>
      <c r="W761" s="283" t="str">
        <f t="shared" si="75"/>
        <v>H21</v>
      </c>
      <c r="X761" s="284" t="str">
        <f t="shared" si="75"/>
        <v>RFF</v>
      </c>
      <c r="Y761" s="271" t="s">
        <v>2262</v>
      </c>
      <c r="Z761" s="283">
        <f t="shared" si="76"/>
        <v>8.7500000000000008E-3</v>
      </c>
      <c r="AA761" s="283">
        <f t="shared" si="76"/>
        <v>0</v>
      </c>
      <c r="AB761" s="340">
        <f t="shared" si="76"/>
        <v>2.23</v>
      </c>
    </row>
    <row r="762" spans="1:40">
      <c r="A762" t="str">
        <f t="shared" si="77"/>
        <v>貨3CREF</v>
      </c>
      <c r="B762" t="s">
        <v>2092</v>
      </c>
      <c r="C762" t="s">
        <v>2091</v>
      </c>
      <c r="D762" t="s">
        <v>2382</v>
      </c>
      <c r="E762" t="s">
        <v>1188</v>
      </c>
      <c r="F762">
        <v>8.7500000000000008E-3</v>
      </c>
      <c r="G762">
        <v>0</v>
      </c>
      <c r="H762">
        <v>2.23</v>
      </c>
      <c r="I762" t="s">
        <v>47</v>
      </c>
      <c r="J762"/>
      <c r="T762" s="292" t="str">
        <f t="shared" si="72"/>
        <v>トラック・バス</v>
      </c>
      <c r="U762" s="283" t="str">
        <f t="shared" si="73"/>
        <v>CNG</v>
      </c>
      <c r="V762" s="283" t="str">
        <f t="shared" si="74"/>
        <v>2.5～3.5 t</v>
      </c>
      <c r="W762" s="283" t="str">
        <f t="shared" si="75"/>
        <v>H21</v>
      </c>
      <c r="X762" s="284" t="str">
        <f t="shared" si="75"/>
        <v>REF</v>
      </c>
      <c r="Y762" s="271" t="s">
        <v>2262</v>
      </c>
      <c r="Z762" s="283">
        <f t="shared" si="76"/>
        <v>8.7500000000000008E-3</v>
      </c>
      <c r="AA762" s="283">
        <f t="shared" si="76"/>
        <v>0</v>
      </c>
      <c r="AB762" s="340">
        <f t="shared" si="76"/>
        <v>2.23</v>
      </c>
    </row>
    <row r="763" spans="1:40">
      <c r="A763" t="str">
        <f t="shared" si="77"/>
        <v>貨3CQFF</v>
      </c>
      <c r="B763" t="s">
        <v>2092</v>
      </c>
      <c r="C763" t="s">
        <v>2091</v>
      </c>
      <c r="D763" t="s">
        <v>2382</v>
      </c>
      <c r="E763" t="s">
        <v>1190</v>
      </c>
      <c r="F763">
        <v>3.15E-2</v>
      </c>
      <c r="G763">
        <v>0</v>
      </c>
      <c r="H763">
        <v>2.23</v>
      </c>
      <c r="I763" t="s">
        <v>47</v>
      </c>
      <c r="J763"/>
      <c r="T763" s="292" t="str">
        <f t="shared" si="72"/>
        <v>トラック・バス</v>
      </c>
      <c r="U763" s="283" t="str">
        <f t="shared" si="73"/>
        <v>CNG</v>
      </c>
      <c r="V763" s="283" t="str">
        <f t="shared" si="74"/>
        <v>2.5～3.5 t</v>
      </c>
      <c r="W763" s="283" t="str">
        <f t="shared" si="75"/>
        <v>H21</v>
      </c>
      <c r="X763" s="284" t="str">
        <f t="shared" si="75"/>
        <v>QFF</v>
      </c>
      <c r="Y763" s="271" t="s">
        <v>1762</v>
      </c>
      <c r="Z763" s="283">
        <f t="shared" si="76"/>
        <v>3.15E-2</v>
      </c>
      <c r="AA763" s="283">
        <f t="shared" si="76"/>
        <v>0</v>
      </c>
      <c r="AB763" s="340">
        <f t="shared" si="76"/>
        <v>2.23</v>
      </c>
    </row>
    <row r="764" spans="1:40">
      <c r="A764" t="str">
        <f t="shared" si="77"/>
        <v>貨3CQEF</v>
      </c>
      <c r="B764" t="s">
        <v>2092</v>
      </c>
      <c r="C764" t="s">
        <v>2091</v>
      </c>
      <c r="D764" t="s">
        <v>2382</v>
      </c>
      <c r="E764" t="s">
        <v>1192</v>
      </c>
      <c r="F764">
        <v>3.15E-2</v>
      </c>
      <c r="G764">
        <v>0</v>
      </c>
      <c r="H764">
        <v>2.23</v>
      </c>
      <c r="I764" t="s">
        <v>47</v>
      </c>
      <c r="J764"/>
      <c r="T764" s="292" t="str">
        <f t="shared" si="72"/>
        <v>トラック・バス</v>
      </c>
      <c r="U764" s="283" t="str">
        <f t="shared" si="73"/>
        <v>CNG</v>
      </c>
      <c r="V764" s="283" t="str">
        <f t="shared" si="74"/>
        <v>2.5～3.5 t</v>
      </c>
      <c r="W764" s="283" t="str">
        <f t="shared" si="75"/>
        <v>H21</v>
      </c>
      <c r="X764" s="284" t="str">
        <f t="shared" si="75"/>
        <v>QEF</v>
      </c>
      <c r="Y764" s="271" t="s">
        <v>1762</v>
      </c>
      <c r="Z764" s="283">
        <f t="shared" si="76"/>
        <v>3.15E-2</v>
      </c>
      <c r="AA764" s="283">
        <f t="shared" si="76"/>
        <v>0</v>
      </c>
      <c r="AB764" s="340">
        <f t="shared" si="76"/>
        <v>2.23</v>
      </c>
    </row>
    <row r="765" spans="1:40">
      <c r="A765" t="str">
        <f t="shared" si="77"/>
        <v>貨3C3FF</v>
      </c>
      <c r="B765" t="s">
        <v>2092</v>
      </c>
      <c r="C765" t="s">
        <v>2091</v>
      </c>
      <c r="D765" t="s">
        <v>2750</v>
      </c>
      <c r="E765" t="s">
        <v>2595</v>
      </c>
      <c r="F765">
        <v>3.5000000000000003E-2</v>
      </c>
      <c r="G765">
        <v>0</v>
      </c>
      <c r="H765">
        <v>2.23</v>
      </c>
      <c r="I765" t="s">
        <v>47</v>
      </c>
      <c r="J765"/>
      <c r="T765" s="292" t="str">
        <f t="shared" si="72"/>
        <v>トラック・バス</v>
      </c>
      <c r="U765" s="283" t="str">
        <f t="shared" si="73"/>
        <v>CNG</v>
      </c>
      <c r="V765" s="283" t="str">
        <f t="shared" si="74"/>
        <v>2.5～3.5 t</v>
      </c>
      <c r="W765" s="283" t="str">
        <f t="shared" si="75"/>
        <v>H30</v>
      </c>
      <c r="X765" s="284" t="str">
        <f t="shared" si="75"/>
        <v>3FF</v>
      </c>
      <c r="Y765" s="271"/>
      <c r="Z765" s="283">
        <f t="shared" si="76"/>
        <v>3.5000000000000003E-2</v>
      </c>
      <c r="AA765" s="283">
        <f t="shared" si="76"/>
        <v>0</v>
      </c>
      <c r="AB765" s="340">
        <f t="shared" si="76"/>
        <v>2.23</v>
      </c>
    </row>
    <row r="766" spans="1:40">
      <c r="A766" t="str">
        <f t="shared" si="77"/>
        <v>貨3C3EF</v>
      </c>
      <c r="B766" t="s">
        <v>2092</v>
      </c>
      <c r="C766" t="s">
        <v>2091</v>
      </c>
      <c r="D766" t="s">
        <v>2750</v>
      </c>
      <c r="E766" t="s">
        <v>2592</v>
      </c>
      <c r="F766">
        <v>1.7500000000000002E-2</v>
      </c>
      <c r="G766">
        <v>0</v>
      </c>
      <c r="H766">
        <v>2.23</v>
      </c>
      <c r="I766" t="s">
        <v>47</v>
      </c>
      <c r="J766"/>
      <c r="T766" s="292" t="str">
        <f t="shared" si="72"/>
        <v>トラック・バス</v>
      </c>
      <c r="U766" s="283" t="str">
        <f t="shared" si="73"/>
        <v>CNG</v>
      </c>
      <c r="V766" s="283" t="str">
        <f t="shared" si="74"/>
        <v>2.5～3.5 t</v>
      </c>
      <c r="W766" s="283" t="str">
        <f t="shared" si="75"/>
        <v>H30</v>
      </c>
      <c r="X766" s="284" t="str">
        <f t="shared" si="75"/>
        <v>3EF</v>
      </c>
      <c r="Y766" s="271"/>
      <c r="Z766" s="283">
        <f t="shared" si="76"/>
        <v>1.7500000000000002E-2</v>
      </c>
      <c r="AA766" s="283">
        <f t="shared" si="76"/>
        <v>0</v>
      </c>
      <c r="AB766" s="340">
        <f t="shared" si="76"/>
        <v>2.23</v>
      </c>
    </row>
    <row r="767" spans="1:40">
      <c r="A767" t="str">
        <f t="shared" si="77"/>
        <v>貨3C4FF</v>
      </c>
      <c r="B767" t="s">
        <v>2092</v>
      </c>
      <c r="C767" t="s">
        <v>2091</v>
      </c>
      <c r="D767" t="s">
        <v>2750</v>
      </c>
      <c r="E767" t="s">
        <v>2625</v>
      </c>
      <c r="F767">
        <v>2.6250000000000002E-2</v>
      </c>
      <c r="G767">
        <v>0</v>
      </c>
      <c r="H767">
        <v>2.23</v>
      </c>
      <c r="I767" t="s">
        <v>47</v>
      </c>
      <c r="J767"/>
      <c r="T767" s="292" t="str">
        <f t="shared" si="72"/>
        <v>トラック・バス</v>
      </c>
      <c r="U767" s="283" t="str">
        <f t="shared" si="73"/>
        <v>CNG</v>
      </c>
      <c r="V767" s="283" t="str">
        <f t="shared" si="74"/>
        <v>2.5～3.5 t</v>
      </c>
      <c r="W767" s="283" t="str">
        <f t="shared" si="75"/>
        <v>H30</v>
      </c>
      <c r="X767" s="284" t="str">
        <f t="shared" si="75"/>
        <v>4FF</v>
      </c>
      <c r="Y767" s="271" t="s">
        <v>1769</v>
      </c>
      <c r="Z767" s="283">
        <f t="shared" si="76"/>
        <v>2.6250000000000002E-2</v>
      </c>
      <c r="AA767" s="283">
        <f t="shared" si="76"/>
        <v>0</v>
      </c>
      <c r="AB767" s="340">
        <f t="shared" si="76"/>
        <v>2.23</v>
      </c>
    </row>
    <row r="768" spans="1:40">
      <c r="A768" t="str">
        <f t="shared" si="77"/>
        <v>貨3C4EF</v>
      </c>
      <c r="B768" t="s">
        <v>2092</v>
      </c>
      <c r="C768" t="s">
        <v>2091</v>
      </c>
      <c r="D768" t="s">
        <v>2750</v>
      </c>
      <c r="E768" t="s">
        <v>2622</v>
      </c>
      <c r="F768">
        <v>2.6249999999999999E-2</v>
      </c>
      <c r="G768">
        <v>0</v>
      </c>
      <c r="H768">
        <v>2.23</v>
      </c>
      <c r="I768" t="s">
        <v>47</v>
      </c>
      <c r="J768"/>
      <c r="T768" s="292" t="str">
        <f t="shared" si="72"/>
        <v>トラック・バス</v>
      </c>
      <c r="U768" s="283" t="str">
        <f t="shared" si="73"/>
        <v>CNG</v>
      </c>
      <c r="V768" s="283" t="str">
        <f t="shared" si="74"/>
        <v>2.5～3.5 t</v>
      </c>
      <c r="W768" s="283" t="str">
        <f t="shared" si="75"/>
        <v>H30</v>
      </c>
      <c r="X768" s="284" t="str">
        <f t="shared" si="75"/>
        <v>4EF</v>
      </c>
      <c r="Y768" s="271" t="s">
        <v>1769</v>
      </c>
      <c r="Z768" s="283">
        <f t="shared" si="76"/>
        <v>2.6249999999999999E-2</v>
      </c>
      <c r="AA768" s="283">
        <f t="shared" si="76"/>
        <v>0</v>
      </c>
      <c r="AB768" s="340">
        <f t="shared" si="76"/>
        <v>2.23</v>
      </c>
    </row>
    <row r="769" spans="1:28">
      <c r="A769" t="str">
        <f t="shared" si="77"/>
        <v>貨3C5FF</v>
      </c>
      <c r="B769" t="s">
        <v>2092</v>
      </c>
      <c r="C769" t="s">
        <v>2091</v>
      </c>
      <c r="D769" t="s">
        <v>2750</v>
      </c>
      <c r="E769" t="s">
        <v>2655</v>
      </c>
      <c r="F769">
        <v>1.7500000000000002E-2</v>
      </c>
      <c r="G769">
        <v>0</v>
      </c>
      <c r="H769">
        <v>2.23</v>
      </c>
      <c r="I769" t="s">
        <v>47</v>
      </c>
      <c r="J769"/>
      <c r="T769" s="292" t="str">
        <f t="shared" si="72"/>
        <v>トラック・バス</v>
      </c>
      <c r="U769" s="283" t="str">
        <f t="shared" si="73"/>
        <v>CNG</v>
      </c>
      <c r="V769" s="283" t="str">
        <f t="shared" si="74"/>
        <v>2.5～3.5 t</v>
      </c>
      <c r="W769" s="283" t="str">
        <f t="shared" si="75"/>
        <v>H30</v>
      </c>
      <c r="X769" s="284" t="str">
        <f t="shared" si="75"/>
        <v>5FF</v>
      </c>
      <c r="Y769" s="271" t="s">
        <v>2262</v>
      </c>
      <c r="Z769" s="283">
        <f t="shared" si="76"/>
        <v>1.7500000000000002E-2</v>
      </c>
      <c r="AA769" s="283">
        <f t="shared" si="76"/>
        <v>0</v>
      </c>
      <c r="AB769" s="340">
        <f t="shared" si="76"/>
        <v>2.23</v>
      </c>
    </row>
    <row r="770" spans="1:28">
      <c r="A770" t="str">
        <f t="shared" si="77"/>
        <v>貨3C5EF</v>
      </c>
      <c r="B770" t="s">
        <v>2092</v>
      </c>
      <c r="C770" t="s">
        <v>2091</v>
      </c>
      <c r="D770" t="s">
        <v>2750</v>
      </c>
      <c r="E770" t="s">
        <v>2652</v>
      </c>
      <c r="F770">
        <v>1.7500000000000002E-2</v>
      </c>
      <c r="G770">
        <v>0</v>
      </c>
      <c r="H770">
        <v>2.23</v>
      </c>
      <c r="I770" t="s">
        <v>47</v>
      </c>
      <c r="J770"/>
      <c r="T770" s="292" t="str">
        <f t="shared" si="72"/>
        <v>トラック・バス</v>
      </c>
      <c r="U770" s="283" t="str">
        <f t="shared" si="73"/>
        <v>CNG</v>
      </c>
      <c r="V770" s="283" t="str">
        <f t="shared" si="74"/>
        <v>2.5～3.5 t</v>
      </c>
      <c r="W770" s="283" t="str">
        <f t="shared" si="75"/>
        <v>H30</v>
      </c>
      <c r="X770" s="284" t="str">
        <f t="shared" si="75"/>
        <v>5EF</v>
      </c>
      <c r="Y770" s="271" t="s">
        <v>2262</v>
      </c>
      <c r="Z770" s="283">
        <f t="shared" si="76"/>
        <v>1.7500000000000002E-2</v>
      </c>
      <c r="AA770" s="283">
        <f t="shared" si="76"/>
        <v>0</v>
      </c>
      <c r="AB770" s="340">
        <f t="shared" si="76"/>
        <v>2.23</v>
      </c>
    </row>
    <row r="771" spans="1:28">
      <c r="A771" t="str">
        <f t="shared" si="77"/>
        <v>貨3C6FF</v>
      </c>
      <c r="B771" t="s">
        <v>2092</v>
      </c>
      <c r="C771" t="s">
        <v>2091</v>
      </c>
      <c r="D771" t="s">
        <v>2750</v>
      </c>
      <c r="E771" t="s">
        <v>2685</v>
      </c>
      <c r="F771">
        <v>8.7500000000000008E-3</v>
      </c>
      <c r="G771">
        <v>0</v>
      </c>
      <c r="H771">
        <v>2.23</v>
      </c>
      <c r="I771" t="s">
        <v>47</v>
      </c>
      <c r="J771"/>
      <c r="T771" s="292" t="str">
        <f t="shared" si="72"/>
        <v>トラック・バス</v>
      </c>
      <c r="U771" s="283" t="str">
        <f t="shared" si="73"/>
        <v>CNG</v>
      </c>
      <c r="V771" s="283" t="str">
        <f t="shared" si="74"/>
        <v>2.5～3.5 t</v>
      </c>
      <c r="W771" s="283" t="str">
        <f t="shared" si="75"/>
        <v>H30</v>
      </c>
      <c r="X771" s="284" t="str">
        <f t="shared" si="75"/>
        <v>6FF</v>
      </c>
      <c r="Y771" s="271" t="s">
        <v>2758</v>
      </c>
      <c r="Z771" s="283">
        <f t="shared" si="76"/>
        <v>8.7500000000000008E-3</v>
      </c>
      <c r="AA771" s="283">
        <f t="shared" si="76"/>
        <v>0</v>
      </c>
      <c r="AB771" s="340">
        <f t="shared" si="76"/>
        <v>2.23</v>
      </c>
    </row>
    <row r="772" spans="1:28">
      <c r="A772" t="str">
        <f t="shared" si="77"/>
        <v>貨3C6EF</v>
      </c>
      <c r="B772" t="s">
        <v>2092</v>
      </c>
      <c r="C772" t="s">
        <v>2091</v>
      </c>
      <c r="D772" t="s">
        <v>2750</v>
      </c>
      <c r="E772" t="s">
        <v>2682</v>
      </c>
      <c r="F772">
        <v>8.7500000000000008E-3</v>
      </c>
      <c r="G772">
        <v>0</v>
      </c>
      <c r="H772">
        <v>2.23</v>
      </c>
      <c r="I772" t="s">
        <v>47</v>
      </c>
      <c r="J772"/>
      <c r="T772" s="292" t="str">
        <f t="shared" si="72"/>
        <v>トラック・バス</v>
      </c>
      <c r="U772" s="283" t="str">
        <f t="shared" si="73"/>
        <v>CNG</v>
      </c>
      <c r="V772" s="283" t="str">
        <f t="shared" si="74"/>
        <v>2.5～3.5 t</v>
      </c>
      <c r="W772" s="283" t="str">
        <f t="shared" si="75"/>
        <v>H30</v>
      </c>
      <c r="X772" s="284" t="str">
        <f t="shared" si="75"/>
        <v>6EF</v>
      </c>
      <c r="Y772" s="271" t="s">
        <v>2758</v>
      </c>
      <c r="Z772" s="283">
        <f t="shared" si="76"/>
        <v>8.7500000000000008E-3</v>
      </c>
      <c r="AA772" s="283">
        <f t="shared" si="76"/>
        <v>0</v>
      </c>
      <c r="AB772" s="340">
        <f t="shared" si="76"/>
        <v>2.23</v>
      </c>
    </row>
    <row r="773" spans="1:28">
      <c r="A773" t="str">
        <f t="shared" si="77"/>
        <v>貨4CTR</v>
      </c>
      <c r="B773" t="s">
        <v>2100</v>
      </c>
      <c r="C773" t="s">
        <v>2099</v>
      </c>
      <c r="D773" t="s">
        <v>29</v>
      </c>
      <c r="E773" t="s">
        <v>1215</v>
      </c>
      <c r="F773">
        <v>9.7500000000000003E-2</v>
      </c>
      <c r="G773">
        <v>0</v>
      </c>
      <c r="H773">
        <v>2.23</v>
      </c>
      <c r="I773" t="s">
        <v>47</v>
      </c>
      <c r="J773"/>
      <c r="T773" s="292" t="str">
        <f t="shared" ref="T773:T836" si="78">IF(LEFT(C773,1)="貨","トラック・バス","乗用車")</f>
        <v>トラック・バス</v>
      </c>
      <c r="U773" s="283" t="str">
        <f t="shared" ref="U773:U836" si="79">VLOOKUP(RIGHT(C773,1),$AL$4:$AM$8,2,FALSE)</f>
        <v>CNG</v>
      </c>
      <c r="V773" s="283" t="str">
        <f t="shared" ref="V773:V836" si="80">VLOOKUP(VALUE(MID(C773,2,1)),$AL$10:$AM$15,2,FALSE)</f>
        <v>3.5 t～</v>
      </c>
      <c r="W773" s="283" t="str">
        <f t="shared" ref="W773:X836" si="81">D773</f>
        <v>H15,H16</v>
      </c>
      <c r="X773" s="284" t="str">
        <f t="shared" si="81"/>
        <v>TR</v>
      </c>
      <c r="Y773" s="271" t="s">
        <v>1765</v>
      </c>
      <c r="Z773" s="283">
        <f t="shared" ref="Z773:AB836" si="82">F773</f>
        <v>9.7500000000000003E-2</v>
      </c>
      <c r="AA773" s="283">
        <f t="shared" si="82"/>
        <v>0</v>
      </c>
      <c r="AB773" s="340">
        <f t="shared" si="82"/>
        <v>2.23</v>
      </c>
    </row>
    <row r="774" spans="1:28">
      <c r="A774" t="str">
        <f t="shared" si="77"/>
        <v>貨4CLR</v>
      </c>
      <c r="B774" t="s">
        <v>2100</v>
      </c>
      <c r="C774" t="s">
        <v>2099</v>
      </c>
      <c r="D774" t="s">
        <v>29</v>
      </c>
      <c r="E774" t="s">
        <v>1217</v>
      </c>
      <c r="F774">
        <v>6.5000000000000002E-2</v>
      </c>
      <c r="G774">
        <v>0</v>
      </c>
      <c r="H774">
        <v>2.23</v>
      </c>
      <c r="I774" t="s">
        <v>47</v>
      </c>
      <c r="J774"/>
      <c r="T774" s="292" t="str">
        <f t="shared" si="78"/>
        <v>トラック・バス</v>
      </c>
      <c r="U774" s="283" t="str">
        <f t="shared" si="79"/>
        <v>CNG</v>
      </c>
      <c r="V774" s="283" t="str">
        <f t="shared" si="80"/>
        <v>3.5 t～</v>
      </c>
      <c r="W774" s="283" t="str">
        <f t="shared" si="81"/>
        <v>H15,H16</v>
      </c>
      <c r="X774" s="284" t="str">
        <f t="shared" si="81"/>
        <v>LR</v>
      </c>
      <c r="Y774" s="271" t="s">
        <v>1766</v>
      </c>
      <c r="Z774" s="283">
        <f t="shared" si="82"/>
        <v>6.5000000000000002E-2</v>
      </c>
      <c r="AA774" s="283">
        <f t="shared" si="82"/>
        <v>0</v>
      </c>
      <c r="AB774" s="340">
        <f t="shared" si="82"/>
        <v>2.23</v>
      </c>
    </row>
    <row r="775" spans="1:28">
      <c r="A775" t="str">
        <f t="shared" si="77"/>
        <v>貨4CUR</v>
      </c>
      <c r="B775" t="s">
        <v>2100</v>
      </c>
      <c r="C775" t="s">
        <v>2099</v>
      </c>
      <c r="D775" t="s">
        <v>29</v>
      </c>
      <c r="E775" t="s">
        <v>1219</v>
      </c>
      <c r="F775">
        <v>3.2500000000000001E-2</v>
      </c>
      <c r="G775">
        <v>0</v>
      </c>
      <c r="H775">
        <v>2.23</v>
      </c>
      <c r="I775" t="s">
        <v>47</v>
      </c>
      <c r="J775"/>
      <c r="T775" s="292" t="str">
        <f t="shared" si="78"/>
        <v>トラック・バス</v>
      </c>
      <c r="U775" s="283" t="str">
        <f t="shared" si="79"/>
        <v>CNG</v>
      </c>
      <c r="V775" s="283" t="str">
        <f t="shared" si="80"/>
        <v>3.5 t～</v>
      </c>
      <c r="W775" s="283" t="str">
        <f t="shared" si="81"/>
        <v>H15,H16</v>
      </c>
      <c r="X775" s="284" t="str">
        <f t="shared" si="81"/>
        <v>UR</v>
      </c>
      <c r="Y775" s="271" t="s">
        <v>1767</v>
      </c>
      <c r="Z775" s="283">
        <f t="shared" si="82"/>
        <v>3.2500000000000001E-2</v>
      </c>
      <c r="AA775" s="283">
        <f t="shared" si="82"/>
        <v>0</v>
      </c>
      <c r="AB775" s="340">
        <f t="shared" si="82"/>
        <v>2.23</v>
      </c>
    </row>
    <row r="776" spans="1:28">
      <c r="A776" t="str">
        <f t="shared" si="77"/>
        <v>貨4CAFG</v>
      </c>
      <c r="B776" t="s">
        <v>2100</v>
      </c>
      <c r="C776" t="s">
        <v>2099</v>
      </c>
      <c r="D776" t="s">
        <v>1979</v>
      </c>
      <c r="E776" t="s">
        <v>1221</v>
      </c>
      <c r="F776">
        <v>7.4999999999999997E-2</v>
      </c>
      <c r="G776">
        <v>0</v>
      </c>
      <c r="H776">
        <v>2.23</v>
      </c>
      <c r="I776" t="s">
        <v>47</v>
      </c>
      <c r="J776"/>
      <c r="T776" s="292" t="str">
        <f t="shared" si="78"/>
        <v>トラック・バス</v>
      </c>
      <c r="U776" s="283" t="str">
        <f t="shared" si="79"/>
        <v>CNG</v>
      </c>
      <c r="V776" s="283" t="str">
        <f t="shared" si="80"/>
        <v>3.5 t～</v>
      </c>
      <c r="W776" s="283" t="str">
        <f t="shared" si="81"/>
        <v>H17</v>
      </c>
      <c r="X776" s="284" t="str">
        <f t="shared" si="81"/>
        <v>AFG</v>
      </c>
      <c r="Y776" s="271"/>
      <c r="Z776" s="283">
        <f t="shared" si="82"/>
        <v>7.4999999999999997E-2</v>
      </c>
      <c r="AA776" s="283">
        <f t="shared" si="82"/>
        <v>0</v>
      </c>
      <c r="AB776" s="340">
        <f t="shared" si="82"/>
        <v>2.23</v>
      </c>
    </row>
    <row r="777" spans="1:28">
      <c r="A777" t="str">
        <f t="shared" si="77"/>
        <v>貨4CAEG</v>
      </c>
      <c r="B777" t="s">
        <v>2100</v>
      </c>
      <c r="C777" t="s">
        <v>2099</v>
      </c>
      <c r="D777" t="s">
        <v>1979</v>
      </c>
      <c r="E777" t="s">
        <v>1223</v>
      </c>
      <c r="F777">
        <v>3.7499999999999999E-2</v>
      </c>
      <c r="G777">
        <v>0</v>
      </c>
      <c r="H777">
        <v>2.23</v>
      </c>
      <c r="I777" t="s">
        <v>47</v>
      </c>
      <c r="J777"/>
      <c r="T777" s="292" t="str">
        <f t="shared" si="78"/>
        <v>トラック・バス</v>
      </c>
      <c r="U777" s="283" t="str">
        <f t="shared" si="79"/>
        <v>CNG</v>
      </c>
      <c r="V777" s="283" t="str">
        <f t="shared" si="80"/>
        <v>3.5 t～</v>
      </c>
      <c r="W777" s="283" t="str">
        <f t="shared" si="81"/>
        <v>H17</v>
      </c>
      <c r="X777" s="284" t="str">
        <f t="shared" si="81"/>
        <v>AEG</v>
      </c>
      <c r="Y777" s="271"/>
      <c r="Z777" s="283">
        <f t="shared" si="82"/>
        <v>3.7499999999999999E-2</v>
      </c>
      <c r="AA777" s="283">
        <f t="shared" si="82"/>
        <v>0</v>
      </c>
      <c r="AB777" s="340">
        <f t="shared" si="82"/>
        <v>2.23</v>
      </c>
    </row>
    <row r="778" spans="1:28">
      <c r="A778" t="str">
        <f t="shared" si="77"/>
        <v>貨4CBEG</v>
      </c>
      <c r="B778" t="s">
        <v>2100</v>
      </c>
      <c r="C778" t="s">
        <v>2099</v>
      </c>
      <c r="D778" t="s">
        <v>1979</v>
      </c>
      <c r="E778" t="s">
        <v>2093</v>
      </c>
      <c r="F778">
        <v>6.7500000000000004E-2</v>
      </c>
      <c r="G778">
        <v>0</v>
      </c>
      <c r="H778">
        <v>2.23</v>
      </c>
      <c r="I778" t="s">
        <v>47</v>
      </c>
      <c r="J778"/>
      <c r="T778" s="292" t="str">
        <f t="shared" si="78"/>
        <v>トラック・バス</v>
      </c>
      <c r="U778" s="283" t="str">
        <f t="shared" si="79"/>
        <v>CNG</v>
      </c>
      <c r="V778" s="283" t="str">
        <f t="shared" si="80"/>
        <v>3.5 t～</v>
      </c>
      <c r="W778" s="283" t="str">
        <f t="shared" si="81"/>
        <v>H17</v>
      </c>
      <c r="X778" s="284" t="str">
        <f t="shared" si="81"/>
        <v>BEG</v>
      </c>
      <c r="Y778" s="271" t="s">
        <v>2398</v>
      </c>
      <c r="Z778" s="283">
        <f t="shared" si="82"/>
        <v>6.7500000000000004E-2</v>
      </c>
      <c r="AA778" s="283">
        <f t="shared" si="82"/>
        <v>0</v>
      </c>
      <c r="AB778" s="340">
        <f t="shared" si="82"/>
        <v>2.23</v>
      </c>
    </row>
    <row r="779" spans="1:28">
      <c r="A779" t="str">
        <f t="shared" si="77"/>
        <v>貨4CBFG</v>
      </c>
      <c r="B779" t="s">
        <v>2100</v>
      </c>
      <c r="C779" t="s">
        <v>2099</v>
      </c>
      <c r="D779" t="s">
        <v>1979</v>
      </c>
      <c r="E779" t="s">
        <v>2094</v>
      </c>
      <c r="F779">
        <v>6.7500000000000004E-2</v>
      </c>
      <c r="G779">
        <v>0</v>
      </c>
      <c r="H779">
        <v>2.23</v>
      </c>
      <c r="I779" t="s">
        <v>47</v>
      </c>
      <c r="J779"/>
      <c r="T779" s="292" t="str">
        <f t="shared" si="78"/>
        <v>トラック・バス</v>
      </c>
      <c r="U779" s="283" t="str">
        <f t="shared" si="79"/>
        <v>CNG</v>
      </c>
      <c r="V779" s="283" t="str">
        <f t="shared" si="80"/>
        <v>3.5 t～</v>
      </c>
      <c r="W779" s="283" t="str">
        <f t="shared" si="81"/>
        <v>H17</v>
      </c>
      <c r="X779" s="284" t="str">
        <f t="shared" si="81"/>
        <v>BFG</v>
      </c>
      <c r="Y779" s="271" t="s">
        <v>2398</v>
      </c>
      <c r="Z779" s="283">
        <f t="shared" si="82"/>
        <v>6.7500000000000004E-2</v>
      </c>
      <c r="AA779" s="283">
        <f t="shared" si="82"/>
        <v>0</v>
      </c>
      <c r="AB779" s="340">
        <f t="shared" si="82"/>
        <v>2.23</v>
      </c>
    </row>
    <row r="780" spans="1:28">
      <c r="A780" t="str">
        <f t="shared" si="77"/>
        <v>貨4CNEG</v>
      </c>
      <c r="B780" t="s">
        <v>2100</v>
      </c>
      <c r="C780" t="s">
        <v>2099</v>
      </c>
      <c r="D780" t="s">
        <v>1979</v>
      </c>
      <c r="E780" t="s">
        <v>1231</v>
      </c>
      <c r="F780">
        <v>6.7500000000000004E-2</v>
      </c>
      <c r="G780">
        <v>0</v>
      </c>
      <c r="H780">
        <v>2.23</v>
      </c>
      <c r="I780" t="s">
        <v>47</v>
      </c>
      <c r="J780"/>
      <c r="T780" s="292" t="str">
        <f t="shared" si="78"/>
        <v>トラック・バス</v>
      </c>
      <c r="U780" s="283" t="str">
        <f t="shared" si="79"/>
        <v>CNG</v>
      </c>
      <c r="V780" s="283" t="str">
        <f t="shared" si="80"/>
        <v>3.5 t～</v>
      </c>
      <c r="W780" s="283" t="str">
        <f t="shared" si="81"/>
        <v>H17</v>
      </c>
      <c r="X780" s="284" t="str">
        <f t="shared" si="81"/>
        <v>NEG</v>
      </c>
      <c r="Y780" s="271" t="s">
        <v>2398</v>
      </c>
      <c r="Z780" s="283">
        <f t="shared" si="82"/>
        <v>6.7500000000000004E-2</v>
      </c>
      <c r="AA780" s="283">
        <f t="shared" si="82"/>
        <v>0</v>
      </c>
      <c r="AB780" s="340">
        <f t="shared" si="82"/>
        <v>2.23</v>
      </c>
    </row>
    <row r="781" spans="1:28">
      <c r="A781" t="str">
        <f t="shared" si="77"/>
        <v>貨4CNFG</v>
      </c>
      <c r="B781" t="s">
        <v>2100</v>
      </c>
      <c r="C781" t="s">
        <v>2099</v>
      </c>
      <c r="D781" t="s">
        <v>1979</v>
      </c>
      <c r="E781" t="s">
        <v>1233</v>
      </c>
      <c r="F781">
        <v>6.7500000000000004E-2</v>
      </c>
      <c r="G781">
        <v>0</v>
      </c>
      <c r="H781">
        <v>2.23</v>
      </c>
      <c r="I781" t="s">
        <v>47</v>
      </c>
      <c r="J781"/>
      <c r="T781" s="292" t="str">
        <f t="shared" si="78"/>
        <v>トラック・バス</v>
      </c>
      <c r="U781" s="283" t="str">
        <f t="shared" si="79"/>
        <v>CNG</v>
      </c>
      <c r="V781" s="283" t="str">
        <f t="shared" si="80"/>
        <v>3.5 t～</v>
      </c>
      <c r="W781" s="283" t="str">
        <f t="shared" si="81"/>
        <v>H17</v>
      </c>
      <c r="X781" s="284" t="str">
        <f t="shared" si="81"/>
        <v>NFG</v>
      </c>
      <c r="Y781" s="271" t="s">
        <v>2398</v>
      </c>
      <c r="Z781" s="283">
        <f t="shared" si="82"/>
        <v>6.7500000000000004E-2</v>
      </c>
      <c r="AA781" s="283">
        <f t="shared" si="82"/>
        <v>0</v>
      </c>
      <c r="AB781" s="340">
        <f t="shared" si="82"/>
        <v>2.23</v>
      </c>
    </row>
    <row r="782" spans="1:28">
      <c r="A782" t="str">
        <f t="shared" si="77"/>
        <v>貨4CPEG</v>
      </c>
      <c r="B782" t="s">
        <v>2100</v>
      </c>
      <c r="C782" t="s">
        <v>2099</v>
      </c>
      <c r="D782" t="s">
        <v>1979</v>
      </c>
      <c r="E782" t="s">
        <v>1235</v>
      </c>
      <c r="F782">
        <v>7.4999999999999997E-2</v>
      </c>
      <c r="G782">
        <v>0</v>
      </c>
      <c r="H782">
        <v>2.23</v>
      </c>
      <c r="I782" t="s">
        <v>47</v>
      </c>
      <c r="J782"/>
      <c r="T782" s="292" t="str">
        <f t="shared" si="78"/>
        <v>トラック・バス</v>
      </c>
      <c r="U782" s="283" t="str">
        <f t="shared" si="79"/>
        <v>CNG</v>
      </c>
      <c r="V782" s="283" t="str">
        <f t="shared" si="80"/>
        <v>3.5 t～</v>
      </c>
      <c r="W782" s="283" t="str">
        <f t="shared" si="81"/>
        <v>H17</v>
      </c>
      <c r="X782" s="284" t="str">
        <f t="shared" si="81"/>
        <v>PEG</v>
      </c>
      <c r="Y782" s="271" t="s">
        <v>2401</v>
      </c>
      <c r="Z782" s="283">
        <f t="shared" si="82"/>
        <v>7.4999999999999997E-2</v>
      </c>
      <c r="AA782" s="283">
        <f t="shared" si="82"/>
        <v>0</v>
      </c>
      <c r="AB782" s="340">
        <f t="shared" si="82"/>
        <v>2.23</v>
      </c>
    </row>
    <row r="783" spans="1:28">
      <c r="A783" t="str">
        <f t="shared" si="77"/>
        <v>貨4CPFG</v>
      </c>
      <c r="B783" t="s">
        <v>2100</v>
      </c>
      <c r="C783" t="s">
        <v>2099</v>
      </c>
      <c r="D783" t="s">
        <v>1979</v>
      </c>
      <c r="E783" t="s">
        <v>1237</v>
      </c>
      <c r="F783">
        <v>7.4999999999999997E-2</v>
      </c>
      <c r="G783">
        <v>0</v>
      </c>
      <c r="H783">
        <v>2.23</v>
      </c>
      <c r="I783" t="s">
        <v>47</v>
      </c>
      <c r="J783"/>
      <c r="T783" s="292" t="str">
        <f t="shared" si="78"/>
        <v>トラック・バス</v>
      </c>
      <c r="U783" s="283" t="str">
        <f t="shared" si="79"/>
        <v>CNG</v>
      </c>
      <c r="V783" s="283" t="str">
        <f t="shared" si="80"/>
        <v>3.5 t～</v>
      </c>
      <c r="W783" s="283" t="str">
        <f t="shared" si="81"/>
        <v>H17</v>
      </c>
      <c r="X783" s="284" t="str">
        <f t="shared" si="81"/>
        <v>PFG</v>
      </c>
      <c r="Y783" s="271" t="s">
        <v>2401</v>
      </c>
      <c r="Z783" s="283">
        <f t="shared" si="82"/>
        <v>7.4999999999999997E-2</v>
      </c>
      <c r="AA783" s="283">
        <f t="shared" si="82"/>
        <v>0</v>
      </c>
      <c r="AB783" s="340">
        <f t="shared" si="82"/>
        <v>2.23</v>
      </c>
    </row>
    <row r="784" spans="1:28">
      <c r="A784" t="str">
        <f t="shared" si="77"/>
        <v>貨5CLFG</v>
      </c>
      <c r="B784" t="s">
        <v>2895</v>
      </c>
      <c r="C784" t="s">
        <v>2896</v>
      </c>
      <c r="D784" t="s">
        <v>2382</v>
      </c>
      <c r="E784" t="s">
        <v>1239</v>
      </c>
      <c r="F784">
        <v>2.5000000000000001E-2</v>
      </c>
      <c r="G784">
        <v>0</v>
      </c>
      <c r="H784">
        <v>2.23</v>
      </c>
      <c r="I784" t="s">
        <v>47</v>
      </c>
      <c r="J784"/>
      <c r="T784" s="292" t="str">
        <f t="shared" si="78"/>
        <v>トラック・バス</v>
      </c>
      <c r="U784" s="283" t="str">
        <f t="shared" si="79"/>
        <v>CNG</v>
      </c>
      <c r="V784" s="283" t="str">
        <f t="shared" si="80"/>
        <v>12 t～</v>
      </c>
      <c r="W784" s="283" t="str">
        <f t="shared" si="81"/>
        <v>H21</v>
      </c>
      <c r="X784" s="284" t="str">
        <f t="shared" si="81"/>
        <v>LFG</v>
      </c>
      <c r="Y784" s="271"/>
      <c r="Z784" s="283">
        <f t="shared" si="82"/>
        <v>2.5000000000000001E-2</v>
      </c>
      <c r="AA784" s="283">
        <f t="shared" si="82"/>
        <v>0</v>
      </c>
      <c r="AB784" s="340">
        <f t="shared" si="82"/>
        <v>2.23</v>
      </c>
    </row>
    <row r="785" spans="1:41">
      <c r="A785" t="str">
        <f t="shared" si="77"/>
        <v>貨5CLEG</v>
      </c>
      <c r="B785" t="s">
        <v>2895</v>
      </c>
      <c r="C785" t="s">
        <v>2896</v>
      </c>
      <c r="D785" t="s">
        <v>2382</v>
      </c>
      <c r="E785" t="s">
        <v>1241</v>
      </c>
      <c r="F785">
        <v>1.2500000000000001E-2</v>
      </c>
      <c r="G785">
        <v>0</v>
      </c>
      <c r="H785">
        <v>2.23</v>
      </c>
      <c r="I785" t="s">
        <v>47</v>
      </c>
      <c r="J785"/>
      <c r="T785" s="292" t="str">
        <f t="shared" si="78"/>
        <v>トラック・バス</v>
      </c>
      <c r="U785" s="283" t="str">
        <f t="shared" si="79"/>
        <v>CNG</v>
      </c>
      <c r="V785" s="283" t="str">
        <f t="shared" si="80"/>
        <v>12 t～</v>
      </c>
      <c r="W785" s="283" t="str">
        <f t="shared" si="81"/>
        <v>H21</v>
      </c>
      <c r="X785" s="284" t="str">
        <f t="shared" si="81"/>
        <v>LEG</v>
      </c>
      <c r="Y785" s="271"/>
      <c r="Z785" s="283">
        <f t="shared" si="82"/>
        <v>1.2500000000000001E-2</v>
      </c>
      <c r="AA785" s="283">
        <f t="shared" si="82"/>
        <v>0</v>
      </c>
      <c r="AB785" s="340">
        <f t="shared" si="82"/>
        <v>2.23</v>
      </c>
    </row>
    <row r="786" spans="1:41">
      <c r="A786" t="str">
        <f t="shared" si="77"/>
        <v>貨5CMFG</v>
      </c>
      <c r="B786" t="s">
        <v>2897</v>
      </c>
      <c r="C786" t="s">
        <v>2896</v>
      </c>
      <c r="D786" t="s">
        <v>2382</v>
      </c>
      <c r="E786" t="s">
        <v>1243</v>
      </c>
      <c r="F786">
        <v>1.2500000000000001E-2</v>
      </c>
      <c r="G786">
        <v>0</v>
      </c>
      <c r="H786">
        <v>2.23</v>
      </c>
      <c r="I786" t="s">
        <v>47</v>
      </c>
      <c r="J786"/>
      <c r="T786" s="292" t="str">
        <f t="shared" si="78"/>
        <v>トラック・バス</v>
      </c>
      <c r="U786" s="283" t="str">
        <f t="shared" si="79"/>
        <v>CNG</v>
      </c>
      <c r="V786" s="283" t="str">
        <f t="shared" si="80"/>
        <v>12 t～</v>
      </c>
      <c r="W786" s="283" t="str">
        <f t="shared" si="81"/>
        <v>H21</v>
      </c>
      <c r="X786" s="284" t="str">
        <f t="shared" si="81"/>
        <v>MFG</v>
      </c>
      <c r="Y786" s="271" t="s">
        <v>2261</v>
      </c>
      <c r="Z786" s="283">
        <f t="shared" si="82"/>
        <v>1.2500000000000001E-2</v>
      </c>
      <c r="AA786" s="283">
        <f t="shared" si="82"/>
        <v>0</v>
      </c>
      <c r="AB786" s="340">
        <f t="shared" si="82"/>
        <v>2.23</v>
      </c>
    </row>
    <row r="787" spans="1:41">
      <c r="A787" t="str">
        <f t="shared" si="77"/>
        <v>貨5CMEG</v>
      </c>
      <c r="B787" t="s">
        <v>2897</v>
      </c>
      <c r="C787" t="s">
        <v>2896</v>
      </c>
      <c r="D787" t="s">
        <v>2382</v>
      </c>
      <c r="E787" t="s">
        <v>1245</v>
      </c>
      <c r="F787">
        <v>1.2500000000000001E-2</v>
      </c>
      <c r="G787">
        <v>0</v>
      </c>
      <c r="H787">
        <v>2.23</v>
      </c>
      <c r="I787" t="s">
        <v>47</v>
      </c>
      <c r="J787"/>
      <c r="T787" s="292" t="str">
        <f t="shared" si="78"/>
        <v>トラック・バス</v>
      </c>
      <c r="U787" s="283" t="str">
        <f t="shared" si="79"/>
        <v>CNG</v>
      </c>
      <c r="V787" s="283" t="str">
        <f t="shared" si="80"/>
        <v>12 t～</v>
      </c>
      <c r="W787" s="283" t="str">
        <f t="shared" si="81"/>
        <v>H21</v>
      </c>
      <c r="X787" s="284" t="str">
        <f t="shared" si="81"/>
        <v>MEG</v>
      </c>
      <c r="Y787" s="271" t="s">
        <v>2261</v>
      </c>
      <c r="Z787" s="283">
        <f t="shared" si="82"/>
        <v>1.2500000000000001E-2</v>
      </c>
      <c r="AA787" s="283">
        <f t="shared" si="82"/>
        <v>0</v>
      </c>
      <c r="AB787" s="340">
        <f t="shared" si="82"/>
        <v>2.23</v>
      </c>
    </row>
    <row r="788" spans="1:41">
      <c r="A788" t="str">
        <f t="shared" si="77"/>
        <v>貨5CRFG</v>
      </c>
      <c r="B788" t="s">
        <v>2897</v>
      </c>
      <c r="C788" t="s">
        <v>2896</v>
      </c>
      <c r="D788" t="s">
        <v>2382</v>
      </c>
      <c r="E788" t="s">
        <v>1247</v>
      </c>
      <c r="F788">
        <v>6.2500000000000003E-3</v>
      </c>
      <c r="G788">
        <v>0</v>
      </c>
      <c r="H788">
        <v>2.23</v>
      </c>
      <c r="I788" t="s">
        <v>47</v>
      </c>
      <c r="J788"/>
      <c r="T788" s="292" t="str">
        <f t="shared" si="78"/>
        <v>トラック・バス</v>
      </c>
      <c r="U788" s="283" t="str">
        <f t="shared" si="79"/>
        <v>CNG</v>
      </c>
      <c r="V788" s="283" t="str">
        <f t="shared" si="80"/>
        <v>12 t～</v>
      </c>
      <c r="W788" s="283" t="str">
        <f t="shared" si="81"/>
        <v>H21</v>
      </c>
      <c r="X788" s="284" t="str">
        <f t="shared" si="81"/>
        <v>RFG</v>
      </c>
      <c r="Y788" s="271" t="s">
        <v>2262</v>
      </c>
      <c r="Z788" s="283">
        <f t="shared" si="82"/>
        <v>6.2500000000000003E-3</v>
      </c>
      <c r="AA788" s="283">
        <f t="shared" si="82"/>
        <v>0</v>
      </c>
      <c r="AB788" s="340">
        <f t="shared" si="82"/>
        <v>2.23</v>
      </c>
    </row>
    <row r="789" spans="1:41">
      <c r="A789" t="str">
        <f t="shared" si="77"/>
        <v>貨5CREG</v>
      </c>
      <c r="B789" t="s">
        <v>2897</v>
      </c>
      <c r="C789" t="s">
        <v>2896</v>
      </c>
      <c r="D789" t="s">
        <v>2382</v>
      </c>
      <c r="E789" t="s">
        <v>1249</v>
      </c>
      <c r="F789">
        <v>6.2500000000000003E-3</v>
      </c>
      <c r="G789">
        <v>0</v>
      </c>
      <c r="H789">
        <v>2.23</v>
      </c>
      <c r="I789" t="s">
        <v>47</v>
      </c>
      <c r="J789"/>
      <c r="T789" s="292" t="str">
        <f t="shared" si="78"/>
        <v>トラック・バス</v>
      </c>
      <c r="U789" s="283" t="str">
        <f t="shared" si="79"/>
        <v>CNG</v>
      </c>
      <c r="V789" s="283" t="str">
        <f t="shared" si="80"/>
        <v>12 t～</v>
      </c>
      <c r="W789" s="283" t="str">
        <f t="shared" si="81"/>
        <v>H21</v>
      </c>
      <c r="X789" s="284" t="str">
        <f t="shared" si="81"/>
        <v>REG</v>
      </c>
      <c r="Y789" s="271" t="s">
        <v>2262</v>
      </c>
      <c r="Z789" s="283">
        <f t="shared" si="82"/>
        <v>6.2500000000000003E-3</v>
      </c>
      <c r="AA789" s="283">
        <f t="shared" si="82"/>
        <v>0</v>
      </c>
      <c r="AB789" s="340">
        <f t="shared" si="82"/>
        <v>2.23</v>
      </c>
    </row>
    <row r="790" spans="1:41">
      <c r="A790" t="str">
        <f t="shared" si="77"/>
        <v>貨5CQFG</v>
      </c>
      <c r="B790" t="s">
        <v>2897</v>
      </c>
      <c r="C790" t="s">
        <v>2896</v>
      </c>
      <c r="D790" t="s">
        <v>2382</v>
      </c>
      <c r="E790" t="s">
        <v>2368</v>
      </c>
      <c r="F790">
        <v>2.2499999999999999E-2</v>
      </c>
      <c r="G790">
        <v>0</v>
      </c>
      <c r="H790">
        <v>2.23</v>
      </c>
      <c r="I790" t="s">
        <v>47</v>
      </c>
      <c r="J790"/>
      <c r="T790" s="292" t="str">
        <f t="shared" si="78"/>
        <v>トラック・バス</v>
      </c>
      <c r="U790" s="283" t="str">
        <f t="shared" si="79"/>
        <v>CNG</v>
      </c>
      <c r="V790" s="283" t="str">
        <f t="shared" si="80"/>
        <v>12 t～</v>
      </c>
      <c r="W790" s="283" t="str">
        <f t="shared" si="81"/>
        <v>H21</v>
      </c>
      <c r="X790" s="284" t="str">
        <f t="shared" si="81"/>
        <v>QFG</v>
      </c>
      <c r="Y790" s="271" t="s">
        <v>1762</v>
      </c>
      <c r="Z790" s="283">
        <f t="shared" si="82"/>
        <v>2.2499999999999999E-2</v>
      </c>
      <c r="AA790" s="283">
        <f t="shared" si="82"/>
        <v>0</v>
      </c>
      <c r="AB790" s="340">
        <f t="shared" si="82"/>
        <v>2.23</v>
      </c>
    </row>
    <row r="791" spans="1:41">
      <c r="A791" t="str">
        <f t="shared" si="77"/>
        <v>貨5CQEG</v>
      </c>
      <c r="B791" t="s">
        <v>2897</v>
      </c>
      <c r="C791" t="s">
        <v>2896</v>
      </c>
      <c r="D791" t="s">
        <v>2382</v>
      </c>
      <c r="E791" t="s">
        <v>2369</v>
      </c>
      <c r="F791">
        <v>2.2499999999999999E-2</v>
      </c>
      <c r="G791">
        <v>0</v>
      </c>
      <c r="H791">
        <v>2.23</v>
      </c>
      <c r="I791" t="s">
        <v>47</v>
      </c>
      <c r="J791"/>
      <c r="T791" s="292" t="str">
        <f t="shared" si="78"/>
        <v>トラック・バス</v>
      </c>
      <c r="U791" s="283" t="str">
        <f t="shared" si="79"/>
        <v>CNG</v>
      </c>
      <c r="V791" s="283" t="str">
        <f t="shared" si="80"/>
        <v>12 t～</v>
      </c>
      <c r="W791" s="283" t="str">
        <f t="shared" si="81"/>
        <v>H21</v>
      </c>
      <c r="X791" s="284" t="str">
        <f t="shared" si="81"/>
        <v>QEG</v>
      </c>
      <c r="Y791" s="271" t="s">
        <v>1762</v>
      </c>
      <c r="Z791" s="283">
        <f t="shared" si="82"/>
        <v>2.2499999999999999E-2</v>
      </c>
      <c r="AA791" s="283">
        <f t="shared" si="82"/>
        <v>0</v>
      </c>
      <c r="AB791" s="340">
        <f t="shared" si="82"/>
        <v>2.23</v>
      </c>
    </row>
    <row r="792" spans="1:41">
      <c r="A792" t="str">
        <f t="shared" si="77"/>
        <v>貨4CSFG</v>
      </c>
      <c r="B792" t="s">
        <v>2898</v>
      </c>
      <c r="C792" t="s">
        <v>2099</v>
      </c>
      <c r="D792" t="s">
        <v>2390</v>
      </c>
      <c r="E792" t="s">
        <v>1251</v>
      </c>
      <c r="F792">
        <v>2.5000000000000001E-2</v>
      </c>
      <c r="G792">
        <v>0</v>
      </c>
      <c r="H792">
        <v>2.23</v>
      </c>
      <c r="I792" t="s">
        <v>47</v>
      </c>
      <c r="J792"/>
      <c r="T792" s="292" t="str">
        <f t="shared" si="78"/>
        <v>トラック・バス</v>
      </c>
      <c r="U792" s="283" t="str">
        <f t="shared" si="79"/>
        <v>CNG</v>
      </c>
      <c r="V792" s="283" t="str">
        <f t="shared" si="80"/>
        <v>3.5 t～</v>
      </c>
      <c r="W792" s="283" t="str">
        <f t="shared" si="81"/>
        <v>H22</v>
      </c>
      <c r="X792" s="284" t="str">
        <f t="shared" si="81"/>
        <v>SFG</v>
      </c>
      <c r="Y792" s="271"/>
      <c r="Z792" s="283">
        <f t="shared" si="82"/>
        <v>2.5000000000000001E-2</v>
      </c>
      <c r="AA792" s="283">
        <f t="shared" si="82"/>
        <v>0</v>
      </c>
      <c r="AB792" s="340">
        <f t="shared" si="82"/>
        <v>2.23</v>
      </c>
      <c r="AD792" s="266"/>
      <c r="AE792" s="266"/>
      <c r="AF792" s="266"/>
      <c r="AG792" s="266"/>
      <c r="AH792" s="266"/>
      <c r="AI792" s="266"/>
    </row>
    <row r="793" spans="1:41">
      <c r="A793" t="str">
        <f t="shared" si="77"/>
        <v>貨4CSEG</v>
      </c>
      <c r="B793" t="s">
        <v>2898</v>
      </c>
      <c r="C793" t="s">
        <v>2099</v>
      </c>
      <c r="D793" t="s">
        <v>2390</v>
      </c>
      <c r="E793" t="s">
        <v>1253</v>
      </c>
      <c r="F793">
        <v>1.2500000000000001E-2</v>
      </c>
      <c r="G793">
        <v>0</v>
      </c>
      <c r="H793">
        <v>2.23</v>
      </c>
      <c r="I793" t="s">
        <v>47</v>
      </c>
      <c r="J793"/>
      <c r="T793" s="292" t="str">
        <f t="shared" si="78"/>
        <v>トラック・バス</v>
      </c>
      <c r="U793" s="283" t="str">
        <f t="shared" si="79"/>
        <v>CNG</v>
      </c>
      <c r="V793" s="283" t="str">
        <f t="shared" si="80"/>
        <v>3.5 t～</v>
      </c>
      <c r="W793" s="283" t="str">
        <f t="shared" si="81"/>
        <v>H22</v>
      </c>
      <c r="X793" s="284" t="str">
        <f t="shared" si="81"/>
        <v>SEG</v>
      </c>
      <c r="Y793" s="271"/>
      <c r="Z793" s="283">
        <f t="shared" si="82"/>
        <v>1.2500000000000001E-2</v>
      </c>
      <c r="AA793" s="283">
        <f t="shared" si="82"/>
        <v>0</v>
      </c>
      <c r="AB793" s="340">
        <f t="shared" si="82"/>
        <v>2.23</v>
      </c>
      <c r="AD793" s="266"/>
      <c r="AE793" s="266"/>
      <c r="AF793" s="266"/>
      <c r="AG793" s="266"/>
      <c r="AH793" s="266"/>
      <c r="AI793" s="266"/>
    </row>
    <row r="794" spans="1:41">
      <c r="A794" t="str">
        <f t="shared" si="77"/>
        <v>貨4CTFG</v>
      </c>
      <c r="B794" t="s">
        <v>2899</v>
      </c>
      <c r="C794" t="s">
        <v>2099</v>
      </c>
      <c r="D794" t="s">
        <v>2390</v>
      </c>
      <c r="E794" t="s">
        <v>1255</v>
      </c>
      <c r="F794">
        <v>2.2499999999999999E-2</v>
      </c>
      <c r="G794">
        <v>0</v>
      </c>
      <c r="H794">
        <v>2.23</v>
      </c>
      <c r="I794" t="s">
        <v>47</v>
      </c>
      <c r="J794"/>
      <c r="T794" s="292" t="str">
        <f t="shared" si="78"/>
        <v>トラック・バス</v>
      </c>
      <c r="U794" s="283" t="str">
        <f t="shared" si="79"/>
        <v>CNG</v>
      </c>
      <c r="V794" s="283" t="str">
        <f t="shared" si="80"/>
        <v>3.5 t～</v>
      </c>
      <c r="W794" s="283" t="str">
        <f t="shared" si="81"/>
        <v>H22</v>
      </c>
      <c r="X794" s="284" t="str">
        <f t="shared" si="81"/>
        <v>TFG</v>
      </c>
      <c r="Y794" s="271" t="s">
        <v>1762</v>
      </c>
      <c r="Z794" s="283">
        <f t="shared" si="82"/>
        <v>2.2499999999999999E-2</v>
      </c>
      <c r="AA794" s="283">
        <f t="shared" si="82"/>
        <v>0</v>
      </c>
      <c r="AB794" s="340">
        <f t="shared" si="82"/>
        <v>2.23</v>
      </c>
      <c r="AD794" s="266"/>
      <c r="AE794" s="266"/>
      <c r="AF794" s="266"/>
      <c r="AG794" s="266"/>
      <c r="AH794" s="266"/>
      <c r="AI794" s="266"/>
    </row>
    <row r="795" spans="1:41">
      <c r="A795" t="str">
        <f t="shared" si="77"/>
        <v>貨4CTEG</v>
      </c>
      <c r="B795" t="s">
        <v>2899</v>
      </c>
      <c r="C795" t="s">
        <v>2099</v>
      </c>
      <c r="D795" t="s">
        <v>2390</v>
      </c>
      <c r="E795" t="s">
        <v>1257</v>
      </c>
      <c r="F795">
        <v>2.2499999999999999E-2</v>
      </c>
      <c r="G795">
        <v>0</v>
      </c>
      <c r="H795">
        <v>2.23</v>
      </c>
      <c r="I795" t="s">
        <v>47</v>
      </c>
      <c r="J795"/>
      <c r="T795" s="292" t="str">
        <f t="shared" si="78"/>
        <v>トラック・バス</v>
      </c>
      <c r="U795" s="283" t="str">
        <f t="shared" si="79"/>
        <v>CNG</v>
      </c>
      <c r="V795" s="283" t="str">
        <f t="shared" si="80"/>
        <v>3.5 t～</v>
      </c>
      <c r="W795" s="283" t="str">
        <f t="shared" si="81"/>
        <v>H22</v>
      </c>
      <c r="X795" s="284" t="str">
        <f t="shared" si="81"/>
        <v>TEG</v>
      </c>
      <c r="Y795" s="271" t="s">
        <v>1762</v>
      </c>
      <c r="Z795" s="283">
        <f t="shared" si="82"/>
        <v>2.2499999999999999E-2</v>
      </c>
      <c r="AA795" s="283">
        <f t="shared" si="82"/>
        <v>0</v>
      </c>
      <c r="AB795" s="340">
        <f t="shared" si="82"/>
        <v>2.23</v>
      </c>
      <c r="AD795" s="266"/>
      <c r="AE795" s="266"/>
      <c r="AF795" s="266"/>
      <c r="AG795" s="266"/>
      <c r="AH795" s="266"/>
      <c r="AI795" s="266"/>
    </row>
    <row r="796" spans="1:41" s="266" customFormat="1">
      <c r="A796" t="str">
        <f t="shared" si="77"/>
        <v>貨4C2FG</v>
      </c>
      <c r="B796" t="s">
        <v>2899</v>
      </c>
      <c r="C796" t="s">
        <v>2099</v>
      </c>
      <c r="D796" t="s">
        <v>2900</v>
      </c>
      <c r="E796" t="s">
        <v>2901</v>
      </c>
      <c r="F796">
        <v>1.4999999999999999E-2</v>
      </c>
      <c r="G796">
        <v>0</v>
      </c>
      <c r="H796">
        <v>2.23</v>
      </c>
      <c r="I796" t="s">
        <v>47</v>
      </c>
      <c r="J796"/>
      <c r="K796" s="47"/>
      <c r="L796" s="47"/>
      <c r="M796" s="47"/>
      <c r="N796" s="47"/>
      <c r="O796" s="47"/>
      <c r="P796" s="47"/>
      <c r="Q796" s="47"/>
      <c r="R796" s="47"/>
      <c r="S796" s="47"/>
      <c r="T796" s="292" t="str">
        <f t="shared" si="78"/>
        <v>トラック・バス</v>
      </c>
      <c r="U796" s="283" t="str">
        <f t="shared" si="79"/>
        <v>CNG</v>
      </c>
      <c r="V796" s="283" t="str">
        <f t="shared" si="80"/>
        <v>3.5 t～</v>
      </c>
      <c r="W796" s="283" t="str">
        <f t="shared" si="81"/>
        <v>H28</v>
      </c>
      <c r="X796" s="284" t="str">
        <f t="shared" si="81"/>
        <v>2FG</v>
      </c>
      <c r="Y796" s="271"/>
      <c r="Z796" s="283">
        <f t="shared" si="82"/>
        <v>1.4999999999999999E-2</v>
      </c>
      <c r="AA796" s="283">
        <f t="shared" si="82"/>
        <v>0</v>
      </c>
      <c r="AB796" s="340">
        <f t="shared" si="82"/>
        <v>2.23</v>
      </c>
      <c r="AN796" s="47"/>
      <c r="AO796" s="47"/>
    </row>
    <row r="797" spans="1:41" s="266" customFormat="1">
      <c r="A797" t="str">
        <f t="shared" ref="A797:A860" si="83">CONCATENATE(C797,E797)</f>
        <v>貨4C2EG</v>
      </c>
      <c r="B797" t="s">
        <v>2899</v>
      </c>
      <c r="C797" t="s">
        <v>2099</v>
      </c>
      <c r="D797" t="s">
        <v>2865</v>
      </c>
      <c r="E797" t="s">
        <v>2902</v>
      </c>
      <c r="F797">
        <v>7.4999999999999997E-3</v>
      </c>
      <c r="G797">
        <v>0</v>
      </c>
      <c r="H797">
        <v>2.23</v>
      </c>
      <c r="I797" t="s">
        <v>47</v>
      </c>
      <c r="J797"/>
      <c r="K797" s="47"/>
      <c r="L797" s="47"/>
      <c r="M797" s="47"/>
      <c r="N797" s="47"/>
      <c r="O797" s="47"/>
      <c r="P797" s="47"/>
      <c r="Q797" s="47"/>
      <c r="R797" s="47"/>
      <c r="S797" s="435"/>
      <c r="T797" s="292" t="str">
        <f t="shared" si="78"/>
        <v>トラック・バス</v>
      </c>
      <c r="U797" s="283" t="str">
        <f t="shared" si="79"/>
        <v>CNG</v>
      </c>
      <c r="V797" s="283" t="str">
        <f t="shared" si="80"/>
        <v>3.5 t～</v>
      </c>
      <c r="W797" s="283" t="str">
        <f t="shared" si="81"/>
        <v>H28</v>
      </c>
      <c r="X797" s="284" t="str">
        <f t="shared" si="81"/>
        <v>2EG</v>
      </c>
      <c r="Y797" s="271"/>
      <c r="Z797" s="283">
        <f t="shared" si="82"/>
        <v>7.4999999999999997E-3</v>
      </c>
      <c r="AA797" s="283">
        <f t="shared" si="82"/>
        <v>0</v>
      </c>
      <c r="AB797" s="340">
        <f t="shared" si="82"/>
        <v>2.23</v>
      </c>
      <c r="AN797" s="47"/>
      <c r="AO797" s="47"/>
    </row>
    <row r="798" spans="1:41">
      <c r="A798" t="str">
        <f t="shared" si="83"/>
        <v>貨1メTP</v>
      </c>
      <c r="B798" t="s">
        <v>2102</v>
      </c>
      <c r="C798" t="s">
        <v>2101</v>
      </c>
      <c r="D798" t="s">
        <v>16</v>
      </c>
      <c r="E798" t="s">
        <v>84</v>
      </c>
      <c r="F798">
        <v>0.105</v>
      </c>
      <c r="G798">
        <v>0</v>
      </c>
      <c r="H798">
        <v>1.37</v>
      </c>
      <c r="I798" t="s">
        <v>1259</v>
      </c>
      <c r="J798"/>
      <c r="T798" s="292" t="str">
        <f t="shared" si="78"/>
        <v>トラック・バス</v>
      </c>
      <c r="U798" s="283" t="str">
        <f t="shared" si="79"/>
        <v>メタノール</v>
      </c>
      <c r="V798" s="283" t="str">
        <f t="shared" si="80"/>
        <v>～1.7 t</v>
      </c>
      <c r="W798" s="283" t="str">
        <f t="shared" si="81"/>
        <v>H14</v>
      </c>
      <c r="X798" s="284" t="str">
        <f t="shared" si="81"/>
        <v>TP</v>
      </c>
      <c r="Y798" s="271" t="s">
        <v>1765</v>
      </c>
      <c r="Z798" s="283">
        <f t="shared" si="82"/>
        <v>0.105</v>
      </c>
      <c r="AA798" s="283">
        <f t="shared" si="82"/>
        <v>0</v>
      </c>
      <c r="AB798" s="340">
        <f t="shared" si="82"/>
        <v>1.37</v>
      </c>
      <c r="AD798" s="266"/>
      <c r="AE798" s="266"/>
      <c r="AF798" s="266"/>
      <c r="AG798" s="266"/>
      <c r="AH798" s="266"/>
      <c r="AI798" s="266"/>
      <c r="AN798" s="266"/>
    </row>
    <row r="799" spans="1:41">
      <c r="A799" t="str">
        <f t="shared" si="83"/>
        <v>貨1メLP</v>
      </c>
      <c r="B799" t="s">
        <v>2102</v>
      </c>
      <c r="C799" t="s">
        <v>2101</v>
      </c>
      <c r="D799" t="s">
        <v>16</v>
      </c>
      <c r="E799" t="s">
        <v>76</v>
      </c>
      <c r="F799">
        <v>7.0000000000000007E-2</v>
      </c>
      <c r="G799">
        <v>0</v>
      </c>
      <c r="H799">
        <v>1.37</v>
      </c>
      <c r="I799" t="s">
        <v>1259</v>
      </c>
      <c r="J799"/>
      <c r="T799" s="292" t="str">
        <f t="shared" si="78"/>
        <v>トラック・バス</v>
      </c>
      <c r="U799" s="283" t="str">
        <f t="shared" si="79"/>
        <v>メタノール</v>
      </c>
      <c r="V799" s="283" t="str">
        <f t="shared" si="80"/>
        <v>～1.7 t</v>
      </c>
      <c r="W799" s="283" t="str">
        <f t="shared" si="81"/>
        <v>H14</v>
      </c>
      <c r="X799" s="284" t="str">
        <f t="shared" si="81"/>
        <v>LP</v>
      </c>
      <c r="Y799" s="271" t="s">
        <v>1766</v>
      </c>
      <c r="Z799" s="283">
        <f t="shared" si="82"/>
        <v>7.0000000000000007E-2</v>
      </c>
      <c r="AA799" s="283">
        <f t="shared" si="82"/>
        <v>0</v>
      </c>
      <c r="AB799" s="340">
        <f t="shared" si="82"/>
        <v>1.37</v>
      </c>
      <c r="AD799" s="266"/>
      <c r="AE799" s="266"/>
      <c r="AF799" s="266"/>
      <c r="AG799" s="266"/>
      <c r="AH799" s="266"/>
      <c r="AI799" s="266"/>
      <c r="AN799" s="266"/>
    </row>
    <row r="800" spans="1:41">
      <c r="A800" t="str">
        <f t="shared" si="83"/>
        <v>貨1メUP</v>
      </c>
      <c r="B800" t="s">
        <v>2102</v>
      </c>
      <c r="C800" t="s">
        <v>2101</v>
      </c>
      <c r="D800" t="s">
        <v>16</v>
      </c>
      <c r="E800" t="s">
        <v>91</v>
      </c>
      <c r="F800">
        <v>3.5000000000000003E-2</v>
      </c>
      <c r="G800">
        <v>0</v>
      </c>
      <c r="H800">
        <v>1.37</v>
      </c>
      <c r="I800" t="s">
        <v>1259</v>
      </c>
      <c r="J800"/>
      <c r="T800" s="292" t="str">
        <f t="shared" si="78"/>
        <v>トラック・バス</v>
      </c>
      <c r="U800" s="283" t="str">
        <f t="shared" si="79"/>
        <v>メタノール</v>
      </c>
      <c r="V800" s="283" t="str">
        <f t="shared" si="80"/>
        <v>～1.7 t</v>
      </c>
      <c r="W800" s="283" t="str">
        <f t="shared" si="81"/>
        <v>H14</v>
      </c>
      <c r="X800" s="284" t="str">
        <f t="shared" si="81"/>
        <v>UP</v>
      </c>
      <c r="Y800" s="271" t="s">
        <v>1767</v>
      </c>
      <c r="Z800" s="283">
        <f t="shared" si="82"/>
        <v>3.5000000000000003E-2</v>
      </c>
      <c r="AA800" s="283">
        <f t="shared" si="82"/>
        <v>0</v>
      </c>
      <c r="AB800" s="340">
        <f t="shared" si="82"/>
        <v>1.37</v>
      </c>
      <c r="AD800" s="266"/>
      <c r="AE800" s="266"/>
      <c r="AF800" s="266"/>
      <c r="AG800" s="266"/>
      <c r="AH800" s="266"/>
      <c r="AI800" s="266"/>
    </row>
    <row r="801" spans="1:41">
      <c r="A801" t="str">
        <f t="shared" si="83"/>
        <v>貨1メAHE</v>
      </c>
      <c r="B801" t="s">
        <v>2102</v>
      </c>
      <c r="C801" t="s">
        <v>2101</v>
      </c>
      <c r="D801" t="s">
        <v>1979</v>
      </c>
      <c r="E801" t="s">
        <v>1266</v>
      </c>
      <c r="F801">
        <v>7.0000000000000007E-2</v>
      </c>
      <c r="G801">
        <v>0</v>
      </c>
      <c r="H801">
        <v>1.37</v>
      </c>
      <c r="I801" t="s">
        <v>1259</v>
      </c>
      <c r="J801"/>
      <c r="T801" s="292" t="str">
        <f t="shared" si="78"/>
        <v>トラック・バス</v>
      </c>
      <c r="U801" s="283" t="str">
        <f t="shared" si="79"/>
        <v>メタノール</v>
      </c>
      <c r="V801" s="283" t="str">
        <f t="shared" si="80"/>
        <v>～1.7 t</v>
      </c>
      <c r="W801" s="283" t="str">
        <f t="shared" si="81"/>
        <v>H17</v>
      </c>
      <c r="X801" s="284" t="str">
        <f t="shared" si="81"/>
        <v>AHE</v>
      </c>
      <c r="Y801" s="271"/>
      <c r="Z801" s="283">
        <f t="shared" si="82"/>
        <v>7.0000000000000007E-2</v>
      </c>
      <c r="AA801" s="283">
        <f t="shared" si="82"/>
        <v>0</v>
      </c>
      <c r="AB801" s="340">
        <f t="shared" si="82"/>
        <v>1.37</v>
      </c>
      <c r="AD801" s="266"/>
      <c r="AE801" s="266"/>
      <c r="AF801" s="266"/>
      <c r="AG801" s="266"/>
      <c r="AH801" s="266"/>
      <c r="AI801" s="266"/>
    </row>
    <row r="802" spans="1:41" s="266" customFormat="1">
      <c r="A802" t="str">
        <f t="shared" si="83"/>
        <v>貨1メAGE</v>
      </c>
      <c r="B802" t="s">
        <v>2102</v>
      </c>
      <c r="C802" t="s">
        <v>2101</v>
      </c>
      <c r="D802" t="s">
        <v>1979</v>
      </c>
      <c r="E802" t="s">
        <v>1269</v>
      </c>
      <c r="F802">
        <v>3.5000000000000003E-2</v>
      </c>
      <c r="G802">
        <v>0</v>
      </c>
      <c r="H802">
        <v>1.37</v>
      </c>
      <c r="I802" t="s">
        <v>1259</v>
      </c>
      <c r="J802"/>
      <c r="T802" s="292" t="str">
        <f t="shared" si="78"/>
        <v>トラック・バス</v>
      </c>
      <c r="U802" s="283" t="str">
        <f t="shared" si="79"/>
        <v>メタノール</v>
      </c>
      <c r="V802" s="283" t="str">
        <f t="shared" si="80"/>
        <v>～1.7 t</v>
      </c>
      <c r="W802" s="283" t="str">
        <f t="shared" si="81"/>
        <v>H17</v>
      </c>
      <c r="X802" s="284" t="str">
        <f t="shared" si="81"/>
        <v>AGE</v>
      </c>
      <c r="Y802" s="271"/>
      <c r="Z802" s="283">
        <f t="shared" si="82"/>
        <v>3.5000000000000003E-2</v>
      </c>
      <c r="AA802" s="283">
        <f t="shared" si="82"/>
        <v>0</v>
      </c>
      <c r="AB802" s="340">
        <f t="shared" si="82"/>
        <v>1.37</v>
      </c>
      <c r="AN802" s="47"/>
      <c r="AO802" s="47"/>
    </row>
    <row r="803" spans="1:41" s="266" customFormat="1">
      <c r="A803" t="str">
        <f t="shared" si="83"/>
        <v>貨1メCGE</v>
      </c>
      <c r="B803" t="s">
        <v>2102</v>
      </c>
      <c r="C803" t="s">
        <v>2101</v>
      </c>
      <c r="D803" t="s">
        <v>1979</v>
      </c>
      <c r="E803" t="s">
        <v>1915</v>
      </c>
      <c r="F803">
        <v>3.5000000000000003E-2</v>
      </c>
      <c r="G803">
        <v>0</v>
      </c>
      <c r="H803">
        <v>1.37</v>
      </c>
      <c r="I803" t="s">
        <v>1259</v>
      </c>
      <c r="J803"/>
      <c r="T803" s="292" t="str">
        <f t="shared" si="78"/>
        <v>トラック・バス</v>
      </c>
      <c r="U803" s="283" t="str">
        <f t="shared" si="79"/>
        <v>メタノール</v>
      </c>
      <c r="V803" s="283" t="str">
        <f t="shared" si="80"/>
        <v>～1.7 t</v>
      </c>
      <c r="W803" s="283" t="str">
        <f t="shared" si="81"/>
        <v>H17</v>
      </c>
      <c r="X803" s="284" t="str">
        <f t="shared" si="81"/>
        <v>CGE</v>
      </c>
      <c r="Y803" s="271" t="s">
        <v>2261</v>
      </c>
      <c r="Z803" s="283">
        <f t="shared" si="82"/>
        <v>3.5000000000000003E-2</v>
      </c>
      <c r="AA803" s="283">
        <f t="shared" si="82"/>
        <v>0</v>
      </c>
      <c r="AB803" s="340">
        <f t="shared" si="82"/>
        <v>1.37</v>
      </c>
      <c r="AN803" s="47"/>
      <c r="AO803" s="47"/>
    </row>
    <row r="804" spans="1:41">
      <c r="A804" t="str">
        <f t="shared" si="83"/>
        <v>貨1メCHE</v>
      </c>
      <c r="B804" t="s">
        <v>2102</v>
      </c>
      <c r="C804" t="s">
        <v>2101</v>
      </c>
      <c r="D804" t="s">
        <v>1979</v>
      </c>
      <c r="E804" t="s">
        <v>1919</v>
      </c>
      <c r="F804">
        <v>3.5000000000000003E-2</v>
      </c>
      <c r="G804">
        <v>0</v>
      </c>
      <c r="H804">
        <v>1.37</v>
      </c>
      <c r="I804" t="s">
        <v>1259</v>
      </c>
      <c r="J804"/>
      <c r="T804" s="292" t="str">
        <f t="shared" si="78"/>
        <v>トラック・バス</v>
      </c>
      <c r="U804" s="283" t="str">
        <f t="shared" si="79"/>
        <v>メタノール</v>
      </c>
      <c r="V804" s="283" t="str">
        <f t="shared" si="80"/>
        <v>～1.7 t</v>
      </c>
      <c r="W804" s="283" t="str">
        <f t="shared" si="81"/>
        <v>H17</v>
      </c>
      <c r="X804" s="284" t="str">
        <f t="shared" si="81"/>
        <v>CHE</v>
      </c>
      <c r="Y804" s="271" t="s">
        <v>2261</v>
      </c>
      <c r="Z804" s="283">
        <f t="shared" si="82"/>
        <v>3.5000000000000003E-2</v>
      </c>
      <c r="AA804" s="283">
        <f t="shared" si="82"/>
        <v>0</v>
      </c>
      <c r="AB804" s="340">
        <f t="shared" si="82"/>
        <v>1.37</v>
      </c>
      <c r="AD804" s="266"/>
      <c r="AE804" s="266"/>
      <c r="AF804" s="266"/>
      <c r="AG804" s="266"/>
      <c r="AH804" s="266"/>
      <c r="AI804" s="266"/>
      <c r="AN804" s="266"/>
    </row>
    <row r="805" spans="1:41">
      <c r="A805" t="str">
        <f t="shared" si="83"/>
        <v>貨1メDGE</v>
      </c>
      <c r="B805" t="s">
        <v>2102</v>
      </c>
      <c r="C805" t="s">
        <v>2101</v>
      </c>
      <c r="D805" t="s">
        <v>1979</v>
      </c>
      <c r="E805" t="s">
        <v>1926</v>
      </c>
      <c r="F805">
        <v>1.7500000000000002E-2</v>
      </c>
      <c r="G805">
        <v>0</v>
      </c>
      <c r="H805">
        <v>1.37</v>
      </c>
      <c r="I805" t="s">
        <v>1259</v>
      </c>
      <c r="J805"/>
      <c r="T805" s="292" t="str">
        <f t="shared" si="78"/>
        <v>トラック・バス</v>
      </c>
      <c r="U805" s="283" t="str">
        <f t="shared" si="79"/>
        <v>メタノール</v>
      </c>
      <c r="V805" s="283" t="str">
        <f t="shared" si="80"/>
        <v>～1.7 t</v>
      </c>
      <c r="W805" s="283" t="str">
        <f t="shared" si="81"/>
        <v>H17</v>
      </c>
      <c r="X805" s="284" t="str">
        <f t="shared" si="81"/>
        <v>DGE</v>
      </c>
      <c r="Y805" s="271" t="s">
        <v>2262</v>
      </c>
      <c r="Z805" s="283">
        <f t="shared" si="82"/>
        <v>1.7500000000000002E-2</v>
      </c>
      <c r="AA805" s="283">
        <f t="shared" si="82"/>
        <v>0</v>
      </c>
      <c r="AB805" s="340">
        <f t="shared" si="82"/>
        <v>1.37</v>
      </c>
      <c r="AD805" s="266"/>
      <c r="AE805" s="266"/>
      <c r="AF805" s="266"/>
      <c r="AG805" s="266"/>
      <c r="AH805" s="266"/>
      <c r="AI805" s="266"/>
      <c r="AN805" s="266"/>
    </row>
    <row r="806" spans="1:41">
      <c r="A806" t="str">
        <f t="shared" si="83"/>
        <v>貨1メDHE</v>
      </c>
      <c r="B806" t="s">
        <v>2102</v>
      </c>
      <c r="C806" t="s">
        <v>2101</v>
      </c>
      <c r="D806" t="s">
        <v>1979</v>
      </c>
      <c r="E806" t="s">
        <v>1930</v>
      </c>
      <c r="F806">
        <v>1.7500000000000002E-2</v>
      </c>
      <c r="G806">
        <v>0</v>
      </c>
      <c r="H806">
        <v>1.37</v>
      </c>
      <c r="I806" t="s">
        <v>1259</v>
      </c>
      <c r="J806"/>
      <c r="T806" s="292" t="str">
        <f t="shared" si="78"/>
        <v>トラック・バス</v>
      </c>
      <c r="U806" s="283" t="str">
        <f t="shared" si="79"/>
        <v>メタノール</v>
      </c>
      <c r="V806" s="283" t="str">
        <f t="shared" si="80"/>
        <v>～1.7 t</v>
      </c>
      <c r="W806" s="283" t="str">
        <f t="shared" si="81"/>
        <v>H17</v>
      </c>
      <c r="X806" s="284" t="str">
        <f t="shared" si="81"/>
        <v>DHE</v>
      </c>
      <c r="Y806" s="271" t="s">
        <v>2262</v>
      </c>
      <c r="Z806" s="283">
        <f t="shared" si="82"/>
        <v>1.7500000000000002E-2</v>
      </c>
      <c r="AA806" s="283">
        <f t="shared" si="82"/>
        <v>0</v>
      </c>
      <c r="AB806" s="340">
        <f t="shared" si="82"/>
        <v>1.37</v>
      </c>
      <c r="AD806" s="266"/>
      <c r="AE806" s="266"/>
      <c r="AF806" s="266"/>
      <c r="AG806" s="266"/>
      <c r="AH806" s="266"/>
      <c r="AI806" s="266"/>
    </row>
    <row r="807" spans="1:41">
      <c r="A807" t="str">
        <f t="shared" si="83"/>
        <v>貨1メLHE</v>
      </c>
      <c r="B807" t="s">
        <v>2102</v>
      </c>
      <c r="C807" t="s">
        <v>2101</v>
      </c>
      <c r="D807" t="s">
        <v>2382</v>
      </c>
      <c r="E807" t="s">
        <v>1280</v>
      </c>
      <c r="F807">
        <v>0.04</v>
      </c>
      <c r="G807">
        <v>0</v>
      </c>
      <c r="H807">
        <v>1.37</v>
      </c>
      <c r="I807" t="s">
        <v>1259</v>
      </c>
      <c r="J807"/>
      <c r="T807" s="292" t="str">
        <f t="shared" si="78"/>
        <v>トラック・バス</v>
      </c>
      <c r="U807" s="283" t="str">
        <f t="shared" si="79"/>
        <v>メタノール</v>
      </c>
      <c r="V807" s="283" t="str">
        <f t="shared" si="80"/>
        <v>～1.7 t</v>
      </c>
      <c r="W807" s="283" t="str">
        <f t="shared" si="81"/>
        <v>H21</v>
      </c>
      <c r="X807" s="284" t="str">
        <f t="shared" si="81"/>
        <v>LHE</v>
      </c>
      <c r="Y807" s="271"/>
      <c r="Z807" s="283">
        <f t="shared" si="82"/>
        <v>0.04</v>
      </c>
      <c r="AA807" s="283">
        <f t="shared" si="82"/>
        <v>0</v>
      </c>
      <c r="AB807" s="340">
        <f t="shared" si="82"/>
        <v>1.37</v>
      </c>
      <c r="AD807" s="266"/>
      <c r="AE807" s="266"/>
      <c r="AF807" s="266"/>
      <c r="AG807" s="266"/>
      <c r="AH807" s="266"/>
      <c r="AI807" s="266"/>
    </row>
    <row r="808" spans="1:41" s="266" customFormat="1">
      <c r="A808" t="str">
        <f t="shared" si="83"/>
        <v>貨1メLGE</v>
      </c>
      <c r="B808" t="s">
        <v>2102</v>
      </c>
      <c r="C808" t="s">
        <v>2101</v>
      </c>
      <c r="D808" t="s">
        <v>2382</v>
      </c>
      <c r="E808" t="s">
        <v>1282</v>
      </c>
      <c r="F808">
        <v>0.02</v>
      </c>
      <c r="G808">
        <v>0</v>
      </c>
      <c r="H808">
        <v>1.37</v>
      </c>
      <c r="I808" t="s">
        <v>1259</v>
      </c>
      <c r="J808"/>
      <c r="T808" s="292" t="str">
        <f t="shared" si="78"/>
        <v>トラック・バス</v>
      </c>
      <c r="U808" s="283" t="str">
        <f t="shared" si="79"/>
        <v>メタノール</v>
      </c>
      <c r="V808" s="283" t="str">
        <f t="shared" si="80"/>
        <v>～1.7 t</v>
      </c>
      <c r="W808" s="283" t="str">
        <f t="shared" si="81"/>
        <v>H21</v>
      </c>
      <c r="X808" s="284" t="str">
        <f t="shared" si="81"/>
        <v>LGE</v>
      </c>
      <c r="Y808" s="271"/>
      <c r="Z808" s="283">
        <f t="shared" si="82"/>
        <v>0.02</v>
      </c>
      <c r="AA808" s="283">
        <f t="shared" si="82"/>
        <v>0</v>
      </c>
      <c r="AB808" s="340">
        <f t="shared" si="82"/>
        <v>1.37</v>
      </c>
      <c r="AN808" s="47"/>
      <c r="AO808" s="47"/>
    </row>
    <row r="809" spans="1:41" s="266" customFormat="1">
      <c r="A809" t="str">
        <f t="shared" si="83"/>
        <v>貨1メMHE</v>
      </c>
      <c r="B809" t="s">
        <v>2102</v>
      </c>
      <c r="C809" t="s">
        <v>2101</v>
      </c>
      <c r="D809" t="s">
        <v>2382</v>
      </c>
      <c r="E809" t="s">
        <v>1284</v>
      </c>
      <c r="F809">
        <v>0.02</v>
      </c>
      <c r="G809">
        <v>0</v>
      </c>
      <c r="H809">
        <v>1.37</v>
      </c>
      <c r="I809" t="s">
        <v>1259</v>
      </c>
      <c r="J809"/>
      <c r="T809" s="292" t="str">
        <f t="shared" si="78"/>
        <v>トラック・バス</v>
      </c>
      <c r="U809" s="283" t="str">
        <f t="shared" si="79"/>
        <v>メタノール</v>
      </c>
      <c r="V809" s="283" t="str">
        <f t="shared" si="80"/>
        <v>～1.7 t</v>
      </c>
      <c r="W809" s="283" t="str">
        <f t="shared" si="81"/>
        <v>H21</v>
      </c>
      <c r="X809" s="284" t="str">
        <f t="shared" si="81"/>
        <v>MHE</v>
      </c>
      <c r="Y809" s="271" t="s">
        <v>2261</v>
      </c>
      <c r="Z809" s="283">
        <f t="shared" si="82"/>
        <v>0.02</v>
      </c>
      <c r="AA809" s="283">
        <f t="shared" si="82"/>
        <v>0</v>
      </c>
      <c r="AB809" s="340">
        <f t="shared" si="82"/>
        <v>1.37</v>
      </c>
      <c r="AN809" s="47"/>
      <c r="AO809" s="47"/>
    </row>
    <row r="810" spans="1:41" s="436" customFormat="1">
      <c r="A810" t="str">
        <f t="shared" si="83"/>
        <v>貨1メMGE</v>
      </c>
      <c r="B810" t="s">
        <v>2102</v>
      </c>
      <c r="C810" t="s">
        <v>2101</v>
      </c>
      <c r="D810" t="s">
        <v>2382</v>
      </c>
      <c r="E810" t="s">
        <v>1286</v>
      </c>
      <c r="F810">
        <v>0.02</v>
      </c>
      <c r="G810">
        <v>0</v>
      </c>
      <c r="H810">
        <v>1.37</v>
      </c>
      <c r="I810" t="s">
        <v>1259</v>
      </c>
      <c r="J810"/>
      <c r="K810" s="47"/>
      <c r="L810" s="47"/>
      <c r="M810" s="47"/>
      <c r="N810" s="47"/>
      <c r="O810" s="47"/>
      <c r="P810" s="47"/>
      <c r="Q810" s="47"/>
      <c r="R810" s="47"/>
      <c r="S810" s="47"/>
      <c r="T810" s="292" t="str">
        <f t="shared" si="78"/>
        <v>トラック・バス</v>
      </c>
      <c r="U810" s="283" t="str">
        <f t="shared" si="79"/>
        <v>メタノール</v>
      </c>
      <c r="V810" s="283" t="str">
        <f t="shared" si="80"/>
        <v>～1.7 t</v>
      </c>
      <c r="W810" s="283" t="str">
        <f t="shared" si="81"/>
        <v>H21</v>
      </c>
      <c r="X810" s="284" t="str">
        <f t="shared" si="81"/>
        <v>MGE</v>
      </c>
      <c r="Y810" s="271" t="s">
        <v>2261</v>
      </c>
      <c r="Z810" s="283">
        <f t="shared" si="82"/>
        <v>0.02</v>
      </c>
      <c r="AA810" s="283">
        <f t="shared" si="82"/>
        <v>0</v>
      </c>
      <c r="AB810" s="340">
        <f t="shared" si="82"/>
        <v>1.37</v>
      </c>
      <c r="AN810" s="266"/>
      <c r="AO810" s="47"/>
    </row>
    <row r="811" spans="1:41" s="266" customFormat="1">
      <c r="A811" t="str">
        <f t="shared" si="83"/>
        <v>貨1メRHE</v>
      </c>
      <c r="B811" t="s">
        <v>2102</v>
      </c>
      <c r="C811" t="s">
        <v>2101</v>
      </c>
      <c r="D811" t="s">
        <v>2382</v>
      </c>
      <c r="E811" t="s">
        <v>1288</v>
      </c>
      <c r="F811">
        <v>0.01</v>
      </c>
      <c r="G811">
        <v>0</v>
      </c>
      <c r="H811">
        <v>1.37</v>
      </c>
      <c r="I811" t="s">
        <v>1259</v>
      </c>
      <c r="J811"/>
      <c r="K811" s="47"/>
      <c r="L811" s="47"/>
      <c r="M811" s="47"/>
      <c r="N811" s="47"/>
      <c r="O811" s="47"/>
      <c r="P811" s="47"/>
      <c r="Q811" s="47"/>
      <c r="R811" s="47"/>
      <c r="S811" s="47"/>
      <c r="T811" s="292" t="str">
        <f t="shared" si="78"/>
        <v>トラック・バス</v>
      </c>
      <c r="U811" s="283" t="str">
        <f t="shared" si="79"/>
        <v>メタノール</v>
      </c>
      <c r="V811" s="283" t="str">
        <f t="shared" si="80"/>
        <v>～1.7 t</v>
      </c>
      <c r="W811" s="283" t="str">
        <f t="shared" si="81"/>
        <v>H21</v>
      </c>
      <c r="X811" s="284" t="str">
        <f t="shared" si="81"/>
        <v>RHE</v>
      </c>
      <c r="Y811" s="271" t="s">
        <v>2262</v>
      </c>
      <c r="Z811" s="283">
        <f t="shared" si="82"/>
        <v>0.01</v>
      </c>
      <c r="AA811" s="283">
        <f t="shared" si="82"/>
        <v>0</v>
      </c>
      <c r="AB811" s="340">
        <f t="shared" si="82"/>
        <v>1.37</v>
      </c>
      <c r="AO811" s="47"/>
    </row>
    <row r="812" spans="1:41" s="436" customFormat="1">
      <c r="A812" t="str">
        <f t="shared" si="83"/>
        <v>貨1メRGE</v>
      </c>
      <c r="B812" t="s">
        <v>2102</v>
      </c>
      <c r="C812" t="s">
        <v>2101</v>
      </c>
      <c r="D812" t="s">
        <v>2382</v>
      </c>
      <c r="E812" t="s">
        <v>1290</v>
      </c>
      <c r="F812">
        <v>0.01</v>
      </c>
      <c r="G812">
        <v>0</v>
      </c>
      <c r="H812">
        <v>1.37</v>
      </c>
      <c r="I812" t="s">
        <v>1259</v>
      </c>
      <c r="J812"/>
      <c r="K812" s="47"/>
      <c r="L812" s="47"/>
      <c r="M812" s="47"/>
      <c r="N812" s="47"/>
      <c r="O812" s="47"/>
      <c r="P812" s="47"/>
      <c r="Q812" s="47"/>
      <c r="R812" s="47"/>
      <c r="S812" s="47"/>
      <c r="T812" s="292" t="str">
        <f t="shared" si="78"/>
        <v>トラック・バス</v>
      </c>
      <c r="U812" s="283" t="str">
        <f t="shared" si="79"/>
        <v>メタノール</v>
      </c>
      <c r="V812" s="283" t="str">
        <f t="shared" si="80"/>
        <v>～1.7 t</v>
      </c>
      <c r="W812" s="283" t="str">
        <f t="shared" si="81"/>
        <v>H21</v>
      </c>
      <c r="X812" s="284" t="str">
        <f t="shared" si="81"/>
        <v>RGE</v>
      </c>
      <c r="Y812" s="271" t="s">
        <v>2262</v>
      </c>
      <c r="Z812" s="283">
        <f t="shared" si="82"/>
        <v>0.01</v>
      </c>
      <c r="AA812" s="283">
        <f t="shared" si="82"/>
        <v>0</v>
      </c>
      <c r="AB812" s="340">
        <f t="shared" si="82"/>
        <v>1.37</v>
      </c>
      <c r="AO812" s="47"/>
    </row>
    <row r="813" spans="1:41" s="266" customFormat="1">
      <c r="A813" t="str">
        <f t="shared" si="83"/>
        <v>貨1メQHE</v>
      </c>
      <c r="B813" t="s">
        <v>2102</v>
      </c>
      <c r="C813" t="s">
        <v>2101</v>
      </c>
      <c r="D813" t="s">
        <v>2382</v>
      </c>
      <c r="E813" t="s">
        <v>1292</v>
      </c>
      <c r="F813">
        <v>3.6000000000000004E-2</v>
      </c>
      <c r="G813">
        <v>0</v>
      </c>
      <c r="H813">
        <v>1.37</v>
      </c>
      <c r="I813" t="s">
        <v>1259</v>
      </c>
      <c r="J813"/>
      <c r="K813" s="47"/>
      <c r="L813" s="47"/>
      <c r="M813" s="47"/>
      <c r="N813" s="47"/>
      <c r="O813" s="47"/>
      <c r="P813" s="47"/>
      <c r="Q813" s="47"/>
      <c r="R813" s="47"/>
      <c r="S813" s="47"/>
      <c r="T813" s="292" t="str">
        <f t="shared" si="78"/>
        <v>トラック・バス</v>
      </c>
      <c r="U813" s="283" t="str">
        <f t="shared" si="79"/>
        <v>メタノール</v>
      </c>
      <c r="V813" s="283" t="str">
        <f t="shared" si="80"/>
        <v>～1.7 t</v>
      </c>
      <c r="W813" s="283" t="str">
        <f t="shared" si="81"/>
        <v>H21</v>
      </c>
      <c r="X813" s="284" t="str">
        <f t="shared" si="81"/>
        <v>QHE</v>
      </c>
      <c r="Y813" s="271" t="s">
        <v>1762</v>
      </c>
      <c r="Z813" s="283">
        <f t="shared" si="82"/>
        <v>3.6000000000000004E-2</v>
      </c>
      <c r="AA813" s="283">
        <f t="shared" si="82"/>
        <v>0</v>
      </c>
      <c r="AB813" s="340">
        <f t="shared" si="82"/>
        <v>1.37</v>
      </c>
      <c r="AO813" s="47"/>
    </row>
    <row r="814" spans="1:41" s="266" customFormat="1">
      <c r="A814" t="str">
        <f t="shared" si="83"/>
        <v>貨1メQGE</v>
      </c>
      <c r="B814" t="s">
        <v>2102</v>
      </c>
      <c r="C814" t="s">
        <v>2101</v>
      </c>
      <c r="D814" t="s">
        <v>2382</v>
      </c>
      <c r="E814" t="s">
        <v>1294</v>
      </c>
      <c r="F814">
        <v>3.6000000000000004E-2</v>
      </c>
      <c r="G814">
        <v>0</v>
      </c>
      <c r="H814">
        <v>1.37</v>
      </c>
      <c r="I814" t="s">
        <v>1259</v>
      </c>
      <c r="J814"/>
      <c r="T814" s="292" t="str">
        <f t="shared" si="78"/>
        <v>トラック・バス</v>
      </c>
      <c r="U814" s="283" t="str">
        <f t="shared" si="79"/>
        <v>メタノール</v>
      </c>
      <c r="V814" s="283" t="str">
        <f t="shared" si="80"/>
        <v>～1.7 t</v>
      </c>
      <c r="W814" s="283" t="str">
        <f t="shared" si="81"/>
        <v>H21</v>
      </c>
      <c r="X814" s="284" t="str">
        <f t="shared" si="81"/>
        <v>QGE</v>
      </c>
      <c r="Y814" s="271" t="s">
        <v>1762</v>
      </c>
      <c r="Z814" s="283">
        <f t="shared" si="82"/>
        <v>3.6000000000000004E-2</v>
      </c>
      <c r="AA814" s="283">
        <f t="shared" si="82"/>
        <v>0</v>
      </c>
      <c r="AB814" s="340">
        <f t="shared" si="82"/>
        <v>1.37</v>
      </c>
      <c r="AN814" s="436"/>
      <c r="AO814" s="47"/>
    </row>
    <row r="815" spans="1:41" s="266" customFormat="1">
      <c r="A815" t="str">
        <f t="shared" si="83"/>
        <v>貨1メ3HE</v>
      </c>
      <c r="B815" t="s">
        <v>2102</v>
      </c>
      <c r="C815" t="s">
        <v>2101</v>
      </c>
      <c r="D815" t="s">
        <v>2746</v>
      </c>
      <c r="E815" t="s">
        <v>2903</v>
      </c>
      <c r="F815">
        <v>7.4999999999999997E-2</v>
      </c>
      <c r="G815">
        <v>0</v>
      </c>
      <c r="H815">
        <v>1.37</v>
      </c>
      <c r="I815" t="s">
        <v>1259</v>
      </c>
      <c r="J815"/>
      <c r="T815" s="292" t="str">
        <f t="shared" si="78"/>
        <v>トラック・バス</v>
      </c>
      <c r="U815" s="283" t="str">
        <f t="shared" si="79"/>
        <v>メタノール</v>
      </c>
      <c r="V815" s="283" t="str">
        <f t="shared" si="80"/>
        <v>～1.7 t</v>
      </c>
      <c r="W815" s="283" t="str">
        <f t="shared" si="81"/>
        <v>H30</v>
      </c>
      <c r="X815" s="284" t="str">
        <f t="shared" si="81"/>
        <v>3HE</v>
      </c>
      <c r="Y815" s="271"/>
      <c r="Z815" s="283">
        <f t="shared" si="82"/>
        <v>7.4999999999999997E-2</v>
      </c>
      <c r="AA815" s="283">
        <f t="shared" si="82"/>
        <v>0</v>
      </c>
      <c r="AB815" s="340">
        <f t="shared" si="82"/>
        <v>1.37</v>
      </c>
      <c r="AO815" s="47"/>
    </row>
    <row r="816" spans="1:41" s="436" customFormat="1">
      <c r="A816" t="str">
        <f t="shared" si="83"/>
        <v>貨1メ3GE</v>
      </c>
      <c r="B816" t="s">
        <v>2102</v>
      </c>
      <c r="C816" t="s">
        <v>2101</v>
      </c>
      <c r="D816" t="s">
        <v>2746</v>
      </c>
      <c r="E816" t="s">
        <v>2904</v>
      </c>
      <c r="F816">
        <v>3.7499999999999999E-2</v>
      </c>
      <c r="G816">
        <v>0</v>
      </c>
      <c r="H816">
        <v>1.37</v>
      </c>
      <c r="I816" t="s">
        <v>1259</v>
      </c>
      <c r="J816"/>
      <c r="T816" s="292" t="str">
        <f t="shared" si="78"/>
        <v>トラック・バス</v>
      </c>
      <c r="U816" s="283" t="str">
        <f t="shared" si="79"/>
        <v>メタノール</v>
      </c>
      <c r="V816" s="283" t="str">
        <f t="shared" si="80"/>
        <v>～1.7 t</v>
      </c>
      <c r="W816" s="283" t="str">
        <f t="shared" si="81"/>
        <v>H30</v>
      </c>
      <c r="X816" s="284" t="str">
        <f t="shared" si="81"/>
        <v>3GE</v>
      </c>
      <c r="Y816" s="271"/>
      <c r="Z816" s="283">
        <f t="shared" si="82"/>
        <v>3.7499999999999999E-2</v>
      </c>
      <c r="AA816" s="283">
        <f t="shared" si="82"/>
        <v>0</v>
      </c>
      <c r="AB816" s="340">
        <f t="shared" si="82"/>
        <v>1.37</v>
      </c>
      <c r="AN816" s="266"/>
      <c r="AO816" s="47"/>
    </row>
    <row r="817" spans="1:41" s="266" customFormat="1">
      <c r="A817" t="str">
        <f t="shared" si="83"/>
        <v>貨1メ4HE</v>
      </c>
      <c r="B817" t="s">
        <v>2102</v>
      </c>
      <c r="C817" t="s">
        <v>2101</v>
      </c>
      <c r="D817" t="s">
        <v>2750</v>
      </c>
      <c r="E817" t="s">
        <v>2905</v>
      </c>
      <c r="F817">
        <v>5.6249999999999994E-2</v>
      </c>
      <c r="G817">
        <v>0</v>
      </c>
      <c r="H817">
        <v>1.37</v>
      </c>
      <c r="I817" t="s">
        <v>1259</v>
      </c>
      <c r="J817"/>
      <c r="T817" s="292" t="str">
        <f t="shared" si="78"/>
        <v>トラック・バス</v>
      </c>
      <c r="U817" s="283" t="str">
        <f t="shared" si="79"/>
        <v>メタノール</v>
      </c>
      <c r="V817" s="283" t="str">
        <f t="shared" si="80"/>
        <v>～1.7 t</v>
      </c>
      <c r="W817" s="283" t="str">
        <f t="shared" si="81"/>
        <v>H30</v>
      </c>
      <c r="X817" s="284" t="str">
        <f t="shared" si="81"/>
        <v>4HE</v>
      </c>
      <c r="Y817" s="271" t="s">
        <v>1769</v>
      </c>
      <c r="Z817" s="283">
        <f t="shared" si="82"/>
        <v>5.6249999999999994E-2</v>
      </c>
      <c r="AA817" s="283">
        <f t="shared" si="82"/>
        <v>0</v>
      </c>
      <c r="AB817" s="340">
        <f t="shared" si="82"/>
        <v>1.37</v>
      </c>
      <c r="AO817" s="47"/>
    </row>
    <row r="818" spans="1:41" s="436" customFormat="1">
      <c r="A818" t="str">
        <f t="shared" si="83"/>
        <v>貨1メ4GE</v>
      </c>
      <c r="B818" t="s">
        <v>2102</v>
      </c>
      <c r="C818" t="s">
        <v>2101</v>
      </c>
      <c r="D818" t="s">
        <v>2750</v>
      </c>
      <c r="E818" t="s">
        <v>2906</v>
      </c>
      <c r="F818">
        <v>5.6249999999999994E-2</v>
      </c>
      <c r="G818">
        <v>0</v>
      </c>
      <c r="H818">
        <v>1.37</v>
      </c>
      <c r="I818" t="s">
        <v>1259</v>
      </c>
      <c r="J818"/>
      <c r="T818" s="292" t="str">
        <f t="shared" si="78"/>
        <v>トラック・バス</v>
      </c>
      <c r="U818" s="283" t="str">
        <f t="shared" si="79"/>
        <v>メタノール</v>
      </c>
      <c r="V818" s="283" t="str">
        <f t="shared" si="80"/>
        <v>～1.7 t</v>
      </c>
      <c r="W818" s="283" t="str">
        <f t="shared" si="81"/>
        <v>H30</v>
      </c>
      <c r="X818" s="284" t="str">
        <f t="shared" si="81"/>
        <v>4GE</v>
      </c>
      <c r="Y818" s="271" t="s">
        <v>1769</v>
      </c>
      <c r="Z818" s="283">
        <f t="shared" si="82"/>
        <v>5.6249999999999994E-2</v>
      </c>
      <c r="AA818" s="283">
        <f t="shared" si="82"/>
        <v>0</v>
      </c>
      <c r="AB818" s="340">
        <f t="shared" si="82"/>
        <v>1.37</v>
      </c>
      <c r="AO818" s="47"/>
    </row>
    <row r="819" spans="1:41" s="266" customFormat="1">
      <c r="A819" t="str">
        <f t="shared" si="83"/>
        <v>貨1メ5HE</v>
      </c>
      <c r="B819" t="s">
        <v>2102</v>
      </c>
      <c r="C819" t="s">
        <v>2101</v>
      </c>
      <c r="D819" t="s">
        <v>2750</v>
      </c>
      <c r="E819" t="s">
        <v>2907</v>
      </c>
      <c r="F819">
        <v>3.7499999999999999E-2</v>
      </c>
      <c r="G819">
        <v>0</v>
      </c>
      <c r="H819">
        <v>1.37</v>
      </c>
      <c r="I819" t="s">
        <v>1259</v>
      </c>
      <c r="J819"/>
      <c r="T819" s="292" t="str">
        <f t="shared" si="78"/>
        <v>トラック・バス</v>
      </c>
      <c r="U819" s="283" t="str">
        <f t="shared" si="79"/>
        <v>メタノール</v>
      </c>
      <c r="V819" s="283" t="str">
        <f t="shared" si="80"/>
        <v>～1.7 t</v>
      </c>
      <c r="W819" s="283" t="str">
        <f t="shared" si="81"/>
        <v>H30</v>
      </c>
      <c r="X819" s="284" t="str">
        <f t="shared" si="81"/>
        <v>5HE</v>
      </c>
      <c r="Y819" s="271" t="s">
        <v>2262</v>
      </c>
      <c r="Z819" s="283">
        <f t="shared" si="82"/>
        <v>3.7499999999999999E-2</v>
      </c>
      <c r="AA819" s="283">
        <f t="shared" si="82"/>
        <v>0</v>
      </c>
      <c r="AB819" s="340">
        <f t="shared" si="82"/>
        <v>1.37</v>
      </c>
      <c r="AO819" s="47"/>
    </row>
    <row r="820" spans="1:41" s="266" customFormat="1">
      <c r="A820" t="str">
        <f t="shared" si="83"/>
        <v>貨1メ5GE</v>
      </c>
      <c r="B820" t="s">
        <v>2102</v>
      </c>
      <c r="C820" t="s">
        <v>2101</v>
      </c>
      <c r="D820" t="s">
        <v>2750</v>
      </c>
      <c r="E820" t="s">
        <v>2908</v>
      </c>
      <c r="F820">
        <v>3.7499999999999999E-2</v>
      </c>
      <c r="G820">
        <v>0</v>
      </c>
      <c r="H820">
        <v>1.37</v>
      </c>
      <c r="I820" t="s">
        <v>1259</v>
      </c>
      <c r="J820"/>
      <c r="T820" s="292" t="str">
        <f t="shared" si="78"/>
        <v>トラック・バス</v>
      </c>
      <c r="U820" s="283" t="str">
        <f t="shared" si="79"/>
        <v>メタノール</v>
      </c>
      <c r="V820" s="283" t="str">
        <f t="shared" si="80"/>
        <v>～1.7 t</v>
      </c>
      <c r="W820" s="283" t="str">
        <f t="shared" si="81"/>
        <v>H30</v>
      </c>
      <c r="X820" s="284" t="str">
        <f t="shared" si="81"/>
        <v>5GE</v>
      </c>
      <c r="Y820" s="271" t="s">
        <v>2262</v>
      </c>
      <c r="Z820" s="283">
        <f t="shared" si="82"/>
        <v>3.7499999999999999E-2</v>
      </c>
      <c r="AA820" s="283">
        <f t="shared" si="82"/>
        <v>0</v>
      </c>
      <c r="AB820" s="340">
        <f t="shared" si="82"/>
        <v>1.37</v>
      </c>
      <c r="AN820" s="436"/>
      <c r="AO820" s="47"/>
    </row>
    <row r="821" spans="1:41" s="266" customFormat="1">
      <c r="A821" t="str">
        <f t="shared" si="83"/>
        <v>貨1メ6HE</v>
      </c>
      <c r="B821" t="s">
        <v>2102</v>
      </c>
      <c r="C821" t="s">
        <v>2101</v>
      </c>
      <c r="D821" t="s">
        <v>2750</v>
      </c>
      <c r="E821" t="s">
        <v>2909</v>
      </c>
      <c r="F821">
        <v>1.8749999999999999E-2</v>
      </c>
      <c r="G821">
        <v>0</v>
      </c>
      <c r="H821">
        <v>1.37</v>
      </c>
      <c r="I821" t="s">
        <v>1259</v>
      </c>
      <c r="J821"/>
      <c r="T821" s="292" t="str">
        <f t="shared" si="78"/>
        <v>トラック・バス</v>
      </c>
      <c r="U821" s="283" t="str">
        <f t="shared" si="79"/>
        <v>メタノール</v>
      </c>
      <c r="V821" s="283" t="str">
        <f t="shared" si="80"/>
        <v>～1.7 t</v>
      </c>
      <c r="W821" s="283" t="str">
        <f t="shared" si="81"/>
        <v>H30</v>
      </c>
      <c r="X821" s="284" t="str">
        <f t="shared" si="81"/>
        <v>6HE</v>
      </c>
      <c r="Y821" s="271" t="s">
        <v>2758</v>
      </c>
      <c r="Z821" s="283">
        <f t="shared" si="82"/>
        <v>1.8749999999999999E-2</v>
      </c>
      <c r="AA821" s="283">
        <f t="shared" si="82"/>
        <v>0</v>
      </c>
      <c r="AB821" s="340">
        <f t="shared" si="82"/>
        <v>1.37</v>
      </c>
      <c r="AO821" s="47"/>
    </row>
    <row r="822" spans="1:41" s="436" customFormat="1">
      <c r="A822" t="str">
        <f t="shared" si="83"/>
        <v>貨1メ6GE</v>
      </c>
      <c r="B822" t="s">
        <v>2102</v>
      </c>
      <c r="C822" t="s">
        <v>2101</v>
      </c>
      <c r="D822" t="s">
        <v>2750</v>
      </c>
      <c r="E822" t="s">
        <v>2910</v>
      </c>
      <c r="F822">
        <v>1.8749999999999999E-2</v>
      </c>
      <c r="G822">
        <v>0</v>
      </c>
      <c r="H822">
        <v>1.37</v>
      </c>
      <c r="I822" t="s">
        <v>1259</v>
      </c>
      <c r="J822"/>
      <c r="T822" s="292" t="str">
        <f t="shared" si="78"/>
        <v>トラック・バス</v>
      </c>
      <c r="U822" s="283" t="str">
        <f t="shared" si="79"/>
        <v>メタノール</v>
      </c>
      <c r="V822" s="283" t="str">
        <f t="shared" si="80"/>
        <v>～1.7 t</v>
      </c>
      <c r="W822" s="283" t="str">
        <f t="shared" si="81"/>
        <v>H30</v>
      </c>
      <c r="X822" s="284" t="str">
        <f t="shared" si="81"/>
        <v>6GE</v>
      </c>
      <c r="Y822" s="271" t="s">
        <v>2758</v>
      </c>
      <c r="Z822" s="283">
        <f t="shared" si="82"/>
        <v>1.8749999999999999E-2</v>
      </c>
      <c r="AA822" s="283">
        <f t="shared" si="82"/>
        <v>0</v>
      </c>
      <c r="AB822" s="340">
        <f t="shared" si="82"/>
        <v>1.37</v>
      </c>
      <c r="AN822" s="266"/>
      <c r="AO822" s="47"/>
    </row>
    <row r="823" spans="1:41" s="266" customFormat="1">
      <c r="A823" t="str">
        <f t="shared" si="83"/>
        <v>貨2メTQ</v>
      </c>
      <c r="B823" t="s">
        <v>2104</v>
      </c>
      <c r="C823" t="s">
        <v>2103</v>
      </c>
      <c r="D823" t="s">
        <v>20</v>
      </c>
      <c r="E823" t="s">
        <v>85</v>
      </c>
      <c r="F823">
        <v>0.18375</v>
      </c>
      <c r="G823">
        <v>0</v>
      </c>
      <c r="H823">
        <v>1.37</v>
      </c>
      <c r="I823" t="s">
        <v>1259</v>
      </c>
      <c r="J823"/>
      <c r="T823" s="292" t="str">
        <f t="shared" si="78"/>
        <v>トラック・バス</v>
      </c>
      <c r="U823" s="283" t="str">
        <f t="shared" si="79"/>
        <v>メタノール</v>
      </c>
      <c r="V823" s="283" t="str">
        <f t="shared" si="80"/>
        <v>1.7～2.5 t</v>
      </c>
      <c r="W823" s="283" t="str">
        <f t="shared" si="81"/>
        <v>H15</v>
      </c>
      <c r="X823" s="284" t="str">
        <f t="shared" si="81"/>
        <v>TQ</v>
      </c>
      <c r="Y823" s="271" t="s">
        <v>1765</v>
      </c>
      <c r="Z823" s="283">
        <f t="shared" si="82"/>
        <v>0.18375</v>
      </c>
      <c r="AA823" s="283">
        <f t="shared" si="82"/>
        <v>0</v>
      </c>
      <c r="AB823" s="340">
        <f t="shared" si="82"/>
        <v>1.37</v>
      </c>
      <c r="AO823" s="47"/>
    </row>
    <row r="824" spans="1:41" s="436" customFormat="1">
      <c r="A824" t="str">
        <f t="shared" si="83"/>
        <v>貨2メLQ</v>
      </c>
      <c r="B824" t="s">
        <v>2104</v>
      </c>
      <c r="C824" t="s">
        <v>2103</v>
      </c>
      <c r="D824" t="s">
        <v>20</v>
      </c>
      <c r="E824" t="s">
        <v>77</v>
      </c>
      <c r="F824">
        <v>0.1225</v>
      </c>
      <c r="G824">
        <v>0</v>
      </c>
      <c r="H824">
        <v>1.37</v>
      </c>
      <c r="I824" t="s">
        <v>1259</v>
      </c>
      <c r="J824"/>
      <c r="T824" s="292" t="str">
        <f t="shared" si="78"/>
        <v>トラック・バス</v>
      </c>
      <c r="U824" s="283" t="str">
        <f t="shared" si="79"/>
        <v>メタノール</v>
      </c>
      <c r="V824" s="283" t="str">
        <f t="shared" si="80"/>
        <v>1.7～2.5 t</v>
      </c>
      <c r="W824" s="283" t="str">
        <f t="shared" si="81"/>
        <v>H15</v>
      </c>
      <c r="X824" s="284" t="str">
        <f t="shared" si="81"/>
        <v>LQ</v>
      </c>
      <c r="Y824" s="271" t="s">
        <v>1766</v>
      </c>
      <c r="Z824" s="283">
        <f t="shared" si="82"/>
        <v>0.1225</v>
      </c>
      <c r="AA824" s="283">
        <f t="shared" si="82"/>
        <v>0</v>
      </c>
      <c r="AB824" s="340">
        <f t="shared" si="82"/>
        <v>1.37</v>
      </c>
      <c r="AD824" s="47"/>
      <c r="AE824" s="47"/>
      <c r="AF824" s="47"/>
      <c r="AG824" s="47"/>
      <c r="AH824" s="47"/>
      <c r="AI824" s="47"/>
      <c r="AO824" s="47"/>
    </row>
    <row r="825" spans="1:41" s="266" customFormat="1">
      <c r="A825" t="str">
        <f t="shared" si="83"/>
        <v>貨2メUQ</v>
      </c>
      <c r="B825" t="s">
        <v>2104</v>
      </c>
      <c r="C825" t="s">
        <v>2103</v>
      </c>
      <c r="D825" t="s">
        <v>20</v>
      </c>
      <c r="E825" t="s">
        <v>92</v>
      </c>
      <c r="F825">
        <v>6.1249999999999999E-2</v>
      </c>
      <c r="G825">
        <v>0</v>
      </c>
      <c r="H825">
        <v>1.37</v>
      </c>
      <c r="I825" t="s">
        <v>1259</v>
      </c>
      <c r="J825"/>
      <c r="T825" s="292" t="str">
        <f t="shared" si="78"/>
        <v>トラック・バス</v>
      </c>
      <c r="U825" s="283" t="str">
        <f t="shared" si="79"/>
        <v>メタノール</v>
      </c>
      <c r="V825" s="283" t="str">
        <f t="shared" si="80"/>
        <v>1.7～2.5 t</v>
      </c>
      <c r="W825" s="283" t="str">
        <f t="shared" si="81"/>
        <v>H15</v>
      </c>
      <c r="X825" s="284" t="str">
        <f t="shared" si="81"/>
        <v>UQ</v>
      </c>
      <c r="Y825" s="271" t="s">
        <v>1767</v>
      </c>
      <c r="Z825" s="283">
        <f t="shared" si="82"/>
        <v>6.1249999999999999E-2</v>
      </c>
      <c r="AA825" s="283">
        <f t="shared" si="82"/>
        <v>0</v>
      </c>
      <c r="AB825" s="340">
        <f t="shared" si="82"/>
        <v>1.37</v>
      </c>
      <c r="AO825" s="47"/>
    </row>
    <row r="826" spans="1:41" s="266" customFormat="1">
      <c r="A826" t="str">
        <f t="shared" si="83"/>
        <v>貨2メAHF</v>
      </c>
      <c r="B826" t="s">
        <v>2104</v>
      </c>
      <c r="C826" t="s">
        <v>2103</v>
      </c>
      <c r="D826" t="s">
        <v>1979</v>
      </c>
      <c r="E826" t="s">
        <v>1299</v>
      </c>
      <c r="F826">
        <v>0.125</v>
      </c>
      <c r="G826">
        <v>0</v>
      </c>
      <c r="H826">
        <v>1.37</v>
      </c>
      <c r="I826" t="s">
        <v>1259</v>
      </c>
      <c r="J826"/>
      <c r="T826" s="292" t="str">
        <f t="shared" si="78"/>
        <v>トラック・バス</v>
      </c>
      <c r="U826" s="283" t="str">
        <f t="shared" si="79"/>
        <v>メタノール</v>
      </c>
      <c r="V826" s="283" t="str">
        <f t="shared" si="80"/>
        <v>1.7～2.5 t</v>
      </c>
      <c r="W826" s="283" t="str">
        <f t="shared" si="81"/>
        <v>H17</v>
      </c>
      <c r="X826" s="284" t="str">
        <f t="shared" si="81"/>
        <v>AHF</v>
      </c>
      <c r="Y826" s="271"/>
      <c r="Z826" s="283">
        <f t="shared" si="82"/>
        <v>0.125</v>
      </c>
      <c r="AA826" s="283">
        <f t="shared" si="82"/>
        <v>0</v>
      </c>
      <c r="AB826" s="340">
        <f t="shared" si="82"/>
        <v>1.37</v>
      </c>
      <c r="AN826" s="436"/>
      <c r="AO826" s="47"/>
    </row>
    <row r="827" spans="1:41" s="266" customFormat="1">
      <c r="A827" t="str">
        <f t="shared" si="83"/>
        <v>貨2メAGF</v>
      </c>
      <c r="B827" t="s">
        <v>2104</v>
      </c>
      <c r="C827" t="s">
        <v>2103</v>
      </c>
      <c r="D827" t="s">
        <v>1979</v>
      </c>
      <c r="E827" t="s">
        <v>1301</v>
      </c>
      <c r="F827">
        <v>6.25E-2</v>
      </c>
      <c r="G827">
        <v>0</v>
      </c>
      <c r="H827">
        <v>1.37</v>
      </c>
      <c r="I827" t="s">
        <v>1259</v>
      </c>
      <c r="J827"/>
      <c r="T827" s="292" t="str">
        <f t="shared" si="78"/>
        <v>トラック・バス</v>
      </c>
      <c r="U827" s="283" t="str">
        <f t="shared" si="79"/>
        <v>メタノール</v>
      </c>
      <c r="V827" s="283" t="str">
        <f t="shared" si="80"/>
        <v>1.7～2.5 t</v>
      </c>
      <c r="W827" s="283" t="str">
        <f t="shared" si="81"/>
        <v>H17</v>
      </c>
      <c r="X827" s="284" t="str">
        <f t="shared" si="81"/>
        <v>AGF</v>
      </c>
      <c r="Y827" s="271"/>
      <c r="Z827" s="283">
        <f t="shared" si="82"/>
        <v>6.25E-2</v>
      </c>
      <c r="AA827" s="283">
        <f t="shared" si="82"/>
        <v>0</v>
      </c>
      <c r="AB827" s="340">
        <f t="shared" si="82"/>
        <v>1.37</v>
      </c>
      <c r="AO827" s="47"/>
    </row>
    <row r="828" spans="1:41">
      <c r="A828" t="str">
        <f t="shared" si="83"/>
        <v>貨2メCGF</v>
      </c>
      <c r="B828" t="s">
        <v>2104</v>
      </c>
      <c r="C828" t="s">
        <v>2103</v>
      </c>
      <c r="D828" t="s">
        <v>1979</v>
      </c>
      <c r="E828" t="s">
        <v>1916</v>
      </c>
      <c r="F828">
        <v>6.25E-2</v>
      </c>
      <c r="G828">
        <v>0</v>
      </c>
      <c r="H828">
        <v>1.37</v>
      </c>
      <c r="I828" t="s">
        <v>1259</v>
      </c>
      <c r="J828"/>
      <c r="K828" s="436"/>
      <c r="L828" s="436"/>
      <c r="M828" s="436"/>
      <c r="N828" s="436"/>
      <c r="O828" s="436"/>
      <c r="P828" s="436"/>
      <c r="Q828" s="436"/>
      <c r="R828" s="436"/>
      <c r="S828" s="436"/>
      <c r="T828" s="292" t="str">
        <f t="shared" si="78"/>
        <v>トラック・バス</v>
      </c>
      <c r="U828" s="283" t="str">
        <f t="shared" si="79"/>
        <v>メタノール</v>
      </c>
      <c r="V828" s="283" t="str">
        <f t="shared" si="80"/>
        <v>1.7～2.5 t</v>
      </c>
      <c r="W828" s="283" t="str">
        <f t="shared" si="81"/>
        <v>H17</v>
      </c>
      <c r="X828" s="284" t="str">
        <f t="shared" si="81"/>
        <v>CGF</v>
      </c>
      <c r="Y828" s="271" t="s">
        <v>2261</v>
      </c>
      <c r="Z828" s="283">
        <f t="shared" si="82"/>
        <v>6.25E-2</v>
      </c>
      <c r="AA828" s="283">
        <f t="shared" si="82"/>
        <v>0</v>
      </c>
      <c r="AB828" s="340">
        <f t="shared" si="82"/>
        <v>1.37</v>
      </c>
      <c r="AN828" s="266"/>
    </row>
    <row r="829" spans="1:41">
      <c r="A829" t="str">
        <f t="shared" si="83"/>
        <v>貨2メCHF</v>
      </c>
      <c r="B829" t="s">
        <v>2104</v>
      </c>
      <c r="C829" t="s">
        <v>2103</v>
      </c>
      <c r="D829" t="s">
        <v>1979</v>
      </c>
      <c r="E829" t="s">
        <v>1920</v>
      </c>
      <c r="F829">
        <v>6.25E-2</v>
      </c>
      <c r="G829">
        <v>0</v>
      </c>
      <c r="H829">
        <v>1.37</v>
      </c>
      <c r="I829" t="s">
        <v>1259</v>
      </c>
      <c r="J829"/>
      <c r="K829" s="266"/>
      <c r="L829" s="266"/>
      <c r="M829" s="266"/>
      <c r="N829" s="266"/>
      <c r="O829" s="266"/>
      <c r="P829" s="266"/>
      <c r="Q829" s="266"/>
      <c r="R829" s="266"/>
      <c r="S829" s="266"/>
      <c r="T829" s="292" t="str">
        <f t="shared" si="78"/>
        <v>トラック・バス</v>
      </c>
      <c r="U829" s="283" t="str">
        <f t="shared" si="79"/>
        <v>メタノール</v>
      </c>
      <c r="V829" s="283" t="str">
        <f t="shared" si="80"/>
        <v>1.7～2.5 t</v>
      </c>
      <c r="W829" s="283" t="str">
        <f t="shared" si="81"/>
        <v>H17</v>
      </c>
      <c r="X829" s="284" t="str">
        <f t="shared" si="81"/>
        <v>CHF</v>
      </c>
      <c r="Y829" s="271" t="s">
        <v>2261</v>
      </c>
      <c r="Z829" s="283">
        <f t="shared" si="82"/>
        <v>6.25E-2</v>
      </c>
      <c r="AA829" s="283">
        <f t="shared" si="82"/>
        <v>0</v>
      </c>
      <c r="AB829" s="340">
        <f t="shared" si="82"/>
        <v>1.37</v>
      </c>
      <c r="AN829" s="266"/>
    </row>
    <row r="830" spans="1:41">
      <c r="A830" t="str">
        <f t="shared" si="83"/>
        <v>貨2メDGF</v>
      </c>
      <c r="B830" t="s">
        <v>2104</v>
      </c>
      <c r="C830" t="s">
        <v>2103</v>
      </c>
      <c r="D830" t="s">
        <v>1979</v>
      </c>
      <c r="E830" t="s">
        <v>1927</v>
      </c>
      <c r="F830">
        <v>3.125E-2</v>
      </c>
      <c r="G830">
        <v>0</v>
      </c>
      <c r="H830">
        <v>1.37</v>
      </c>
      <c r="I830" t="s">
        <v>1259</v>
      </c>
      <c r="J830"/>
      <c r="K830" s="436"/>
      <c r="L830" s="436"/>
      <c r="M830" s="436"/>
      <c r="N830" s="436"/>
      <c r="O830" s="436"/>
      <c r="P830" s="436"/>
      <c r="Q830" s="436"/>
      <c r="R830" s="436"/>
      <c r="S830" s="436"/>
      <c r="T830" s="292" t="str">
        <f t="shared" si="78"/>
        <v>トラック・バス</v>
      </c>
      <c r="U830" s="283" t="str">
        <f t="shared" si="79"/>
        <v>メタノール</v>
      </c>
      <c r="V830" s="283" t="str">
        <f t="shared" si="80"/>
        <v>1.7～2.5 t</v>
      </c>
      <c r="W830" s="283" t="str">
        <f t="shared" si="81"/>
        <v>H17</v>
      </c>
      <c r="X830" s="284" t="str">
        <f t="shared" si="81"/>
        <v>DGF</v>
      </c>
      <c r="Y830" s="271" t="s">
        <v>2262</v>
      </c>
      <c r="Z830" s="283">
        <f t="shared" si="82"/>
        <v>3.125E-2</v>
      </c>
      <c r="AA830" s="283">
        <f t="shared" si="82"/>
        <v>0</v>
      </c>
      <c r="AB830" s="340">
        <f t="shared" si="82"/>
        <v>1.37</v>
      </c>
      <c r="AD830" s="266"/>
      <c r="AE830" s="266"/>
      <c r="AF830" s="266"/>
      <c r="AG830" s="266"/>
      <c r="AH830" s="266"/>
      <c r="AI830" s="266"/>
    </row>
    <row r="831" spans="1:41">
      <c r="A831" t="str">
        <f t="shared" si="83"/>
        <v>貨2メDHF</v>
      </c>
      <c r="B831" t="s">
        <v>2104</v>
      </c>
      <c r="C831" t="s">
        <v>2103</v>
      </c>
      <c r="D831" t="s">
        <v>1979</v>
      </c>
      <c r="E831" t="s">
        <v>1931</v>
      </c>
      <c r="F831">
        <v>3.125E-2</v>
      </c>
      <c r="G831">
        <v>0</v>
      </c>
      <c r="H831">
        <v>1.37</v>
      </c>
      <c r="I831" t="s">
        <v>1259</v>
      </c>
      <c r="J831"/>
      <c r="K831" s="266"/>
      <c r="L831" s="266"/>
      <c r="M831" s="266"/>
      <c r="N831" s="266"/>
      <c r="O831" s="266"/>
      <c r="P831" s="266"/>
      <c r="Q831" s="266"/>
      <c r="R831" s="266"/>
      <c r="S831" s="266"/>
      <c r="T831" s="292" t="str">
        <f t="shared" si="78"/>
        <v>トラック・バス</v>
      </c>
      <c r="U831" s="283" t="str">
        <f t="shared" si="79"/>
        <v>メタノール</v>
      </c>
      <c r="V831" s="283" t="str">
        <f t="shared" si="80"/>
        <v>1.7～2.5 t</v>
      </c>
      <c r="W831" s="283" t="str">
        <f t="shared" si="81"/>
        <v>H17</v>
      </c>
      <c r="X831" s="284" t="str">
        <f t="shared" si="81"/>
        <v>DHF</v>
      </c>
      <c r="Y831" s="271" t="s">
        <v>2262</v>
      </c>
      <c r="Z831" s="283">
        <f t="shared" si="82"/>
        <v>3.125E-2</v>
      </c>
      <c r="AA831" s="283">
        <f t="shared" si="82"/>
        <v>0</v>
      </c>
      <c r="AB831" s="340">
        <f t="shared" si="82"/>
        <v>1.37</v>
      </c>
    </row>
    <row r="832" spans="1:41" s="266" customFormat="1">
      <c r="A832" t="str">
        <f t="shared" si="83"/>
        <v>貨2メLHF</v>
      </c>
      <c r="B832" t="s">
        <v>2104</v>
      </c>
      <c r="C832" t="s">
        <v>2103</v>
      </c>
      <c r="D832" t="s">
        <v>2382</v>
      </c>
      <c r="E832" t="s">
        <v>1311</v>
      </c>
      <c r="F832">
        <v>7.4999999999999997E-2</v>
      </c>
      <c r="G832">
        <v>0</v>
      </c>
      <c r="H832">
        <v>1.37</v>
      </c>
      <c r="I832" t="s">
        <v>1259</v>
      </c>
      <c r="J832"/>
      <c r="T832" s="292" t="str">
        <f t="shared" si="78"/>
        <v>トラック・バス</v>
      </c>
      <c r="U832" s="283" t="str">
        <f t="shared" si="79"/>
        <v>メタノール</v>
      </c>
      <c r="V832" s="283" t="str">
        <f t="shared" si="80"/>
        <v>1.7～2.5 t</v>
      </c>
      <c r="W832" s="283" t="str">
        <f t="shared" si="81"/>
        <v>H21</v>
      </c>
      <c r="X832" s="284" t="str">
        <f t="shared" si="81"/>
        <v>LHF</v>
      </c>
      <c r="Y832" s="271"/>
      <c r="Z832" s="283">
        <f t="shared" si="82"/>
        <v>7.4999999999999997E-2</v>
      </c>
      <c r="AA832" s="283">
        <f t="shared" si="82"/>
        <v>0</v>
      </c>
      <c r="AB832" s="340">
        <f t="shared" si="82"/>
        <v>1.37</v>
      </c>
      <c r="AN832" s="47"/>
      <c r="AO832" s="47"/>
    </row>
    <row r="833" spans="1:41">
      <c r="A833" t="str">
        <f t="shared" si="83"/>
        <v>貨2メLGF</v>
      </c>
      <c r="B833" t="s">
        <v>2104</v>
      </c>
      <c r="C833" t="s">
        <v>2103</v>
      </c>
      <c r="D833" t="s">
        <v>2382</v>
      </c>
      <c r="E833" t="s">
        <v>1313</v>
      </c>
      <c r="F833">
        <v>3.7499999999999999E-2</v>
      </c>
      <c r="G833">
        <v>0</v>
      </c>
      <c r="H833">
        <v>1.37</v>
      </c>
      <c r="I833" t="s">
        <v>1259</v>
      </c>
      <c r="J833"/>
      <c r="K833" s="266"/>
      <c r="L833" s="266"/>
      <c r="M833" s="266"/>
      <c r="N833" s="266"/>
      <c r="O833" s="266"/>
      <c r="P833" s="266"/>
      <c r="Q833" s="266"/>
      <c r="R833" s="266"/>
      <c r="S833" s="266"/>
      <c r="T833" s="292" t="str">
        <f t="shared" si="78"/>
        <v>トラック・バス</v>
      </c>
      <c r="U833" s="283" t="str">
        <f t="shared" si="79"/>
        <v>メタノール</v>
      </c>
      <c r="V833" s="283" t="str">
        <f t="shared" si="80"/>
        <v>1.7～2.5 t</v>
      </c>
      <c r="W833" s="283" t="str">
        <f t="shared" si="81"/>
        <v>H21</v>
      </c>
      <c r="X833" s="284" t="str">
        <f t="shared" si="81"/>
        <v>LGF</v>
      </c>
      <c r="Y833" s="271"/>
      <c r="Z833" s="283">
        <f t="shared" si="82"/>
        <v>3.7499999999999999E-2</v>
      </c>
      <c r="AA833" s="283">
        <f t="shared" si="82"/>
        <v>0</v>
      </c>
      <c r="AB833" s="340">
        <f t="shared" si="82"/>
        <v>1.37</v>
      </c>
    </row>
    <row r="834" spans="1:41" s="266" customFormat="1">
      <c r="A834" t="str">
        <f t="shared" si="83"/>
        <v>貨2メMHF</v>
      </c>
      <c r="B834" t="s">
        <v>2104</v>
      </c>
      <c r="C834" t="s">
        <v>2103</v>
      </c>
      <c r="D834" t="s">
        <v>2382</v>
      </c>
      <c r="E834" t="s">
        <v>1315</v>
      </c>
      <c r="F834">
        <v>3.7499999999999999E-2</v>
      </c>
      <c r="G834">
        <v>0</v>
      </c>
      <c r="H834">
        <v>1.37</v>
      </c>
      <c r="I834" t="s">
        <v>1259</v>
      </c>
      <c r="J834"/>
      <c r="K834" s="47"/>
      <c r="L834" s="47"/>
      <c r="M834" s="47"/>
      <c r="N834" s="47"/>
      <c r="O834" s="47"/>
      <c r="P834" s="47"/>
      <c r="Q834" s="47"/>
      <c r="R834" s="47"/>
      <c r="S834" s="47"/>
      <c r="T834" s="292" t="str">
        <f t="shared" si="78"/>
        <v>トラック・バス</v>
      </c>
      <c r="U834" s="283" t="str">
        <f t="shared" si="79"/>
        <v>メタノール</v>
      </c>
      <c r="V834" s="283" t="str">
        <f t="shared" si="80"/>
        <v>1.7～2.5 t</v>
      </c>
      <c r="W834" s="283" t="str">
        <f t="shared" si="81"/>
        <v>H21</v>
      </c>
      <c r="X834" s="284" t="str">
        <f t="shared" si="81"/>
        <v>MHF</v>
      </c>
      <c r="Y834" s="271" t="s">
        <v>2261</v>
      </c>
      <c r="Z834" s="283">
        <f t="shared" si="82"/>
        <v>3.7499999999999999E-2</v>
      </c>
      <c r="AA834" s="283">
        <f t="shared" si="82"/>
        <v>0</v>
      </c>
      <c r="AB834" s="340">
        <f t="shared" si="82"/>
        <v>1.37</v>
      </c>
      <c r="AO834" s="47"/>
    </row>
    <row r="835" spans="1:41">
      <c r="A835" t="str">
        <f t="shared" si="83"/>
        <v>貨2メMGF</v>
      </c>
      <c r="B835" t="s">
        <v>2104</v>
      </c>
      <c r="C835" t="s">
        <v>2103</v>
      </c>
      <c r="D835" t="s">
        <v>2382</v>
      </c>
      <c r="E835" t="s">
        <v>1317</v>
      </c>
      <c r="F835">
        <v>3.7499999999999999E-2</v>
      </c>
      <c r="G835">
        <v>0</v>
      </c>
      <c r="H835">
        <v>1.37</v>
      </c>
      <c r="I835" t="s">
        <v>1259</v>
      </c>
      <c r="J835"/>
      <c r="T835" s="292" t="str">
        <f t="shared" si="78"/>
        <v>トラック・バス</v>
      </c>
      <c r="U835" s="283" t="str">
        <f t="shared" si="79"/>
        <v>メタノール</v>
      </c>
      <c r="V835" s="283" t="str">
        <f t="shared" si="80"/>
        <v>1.7～2.5 t</v>
      </c>
      <c r="W835" s="283" t="str">
        <f t="shared" si="81"/>
        <v>H21</v>
      </c>
      <c r="X835" s="284" t="str">
        <f t="shared" si="81"/>
        <v>MGF</v>
      </c>
      <c r="Y835" s="271" t="s">
        <v>2261</v>
      </c>
      <c r="Z835" s="283">
        <f t="shared" si="82"/>
        <v>3.7499999999999999E-2</v>
      </c>
      <c r="AA835" s="283">
        <f t="shared" si="82"/>
        <v>0</v>
      </c>
      <c r="AB835" s="340">
        <f t="shared" si="82"/>
        <v>1.37</v>
      </c>
      <c r="AD835" s="266"/>
      <c r="AE835" s="266"/>
      <c r="AF835" s="266"/>
      <c r="AG835" s="266"/>
      <c r="AH835" s="266"/>
      <c r="AI835" s="266"/>
    </row>
    <row r="836" spans="1:41" s="435" customFormat="1">
      <c r="A836" t="str">
        <f t="shared" si="83"/>
        <v>貨2メRHF</v>
      </c>
      <c r="B836" t="s">
        <v>2104</v>
      </c>
      <c r="C836" t="s">
        <v>2103</v>
      </c>
      <c r="D836" t="s">
        <v>2382</v>
      </c>
      <c r="E836" t="s">
        <v>1319</v>
      </c>
      <c r="F836">
        <v>1.8749999999999999E-2</v>
      </c>
      <c r="G836">
        <v>0</v>
      </c>
      <c r="H836">
        <v>1.37</v>
      </c>
      <c r="I836" t="s">
        <v>1259</v>
      </c>
      <c r="J836"/>
      <c r="K836" s="47"/>
      <c r="L836" s="47"/>
      <c r="M836" s="47"/>
      <c r="N836" s="47"/>
      <c r="O836" s="47"/>
      <c r="P836" s="47"/>
      <c r="Q836" s="47"/>
      <c r="R836" s="47"/>
      <c r="S836" s="47"/>
      <c r="T836" s="292" t="str">
        <f t="shared" si="78"/>
        <v>トラック・バス</v>
      </c>
      <c r="U836" s="283" t="str">
        <f t="shared" si="79"/>
        <v>メタノール</v>
      </c>
      <c r="V836" s="283" t="str">
        <f t="shared" si="80"/>
        <v>1.7～2.5 t</v>
      </c>
      <c r="W836" s="283" t="str">
        <f t="shared" si="81"/>
        <v>H21</v>
      </c>
      <c r="X836" s="284" t="str">
        <f t="shared" si="81"/>
        <v>RHF</v>
      </c>
      <c r="Y836" s="271" t="s">
        <v>2262</v>
      </c>
      <c r="Z836" s="283">
        <f t="shared" si="82"/>
        <v>1.8749999999999999E-2</v>
      </c>
      <c r="AA836" s="283">
        <f t="shared" si="82"/>
        <v>0</v>
      </c>
      <c r="AB836" s="340">
        <f t="shared" si="82"/>
        <v>1.37</v>
      </c>
      <c r="AD836" s="266"/>
      <c r="AE836" s="266"/>
      <c r="AF836" s="266"/>
      <c r="AG836" s="266"/>
      <c r="AH836" s="266"/>
      <c r="AI836" s="266"/>
      <c r="AN836" s="266"/>
      <c r="AO836" s="47"/>
    </row>
    <row r="837" spans="1:41">
      <c r="A837" t="str">
        <f t="shared" si="83"/>
        <v>貨2メRGF</v>
      </c>
      <c r="B837" t="s">
        <v>2104</v>
      </c>
      <c r="C837" t="s">
        <v>2103</v>
      </c>
      <c r="D837" t="s">
        <v>2382</v>
      </c>
      <c r="E837" t="s">
        <v>1321</v>
      </c>
      <c r="F837">
        <v>1.8749999999999999E-2</v>
      </c>
      <c r="G837">
        <v>0</v>
      </c>
      <c r="H837">
        <v>1.37</v>
      </c>
      <c r="I837" t="s">
        <v>1259</v>
      </c>
      <c r="J837"/>
      <c r="T837" s="292" t="str">
        <f t="shared" ref="T837:T900" si="84">IF(LEFT(C837,1)="貨","トラック・バス","乗用車")</f>
        <v>トラック・バス</v>
      </c>
      <c r="U837" s="283" t="str">
        <f t="shared" ref="U837:U900" si="85">VLOOKUP(RIGHT(C837,1),$AL$4:$AM$8,2,FALSE)</f>
        <v>メタノール</v>
      </c>
      <c r="V837" s="283" t="str">
        <f t="shared" ref="V837:V900" si="86">VLOOKUP(VALUE(MID(C837,2,1)),$AL$10:$AM$15,2,FALSE)</f>
        <v>1.7～2.5 t</v>
      </c>
      <c r="W837" s="283" t="str">
        <f t="shared" ref="W837:X900" si="87">D837</f>
        <v>H21</v>
      </c>
      <c r="X837" s="284" t="str">
        <f t="shared" si="87"/>
        <v>RGF</v>
      </c>
      <c r="Y837" s="271" t="s">
        <v>2262</v>
      </c>
      <c r="Z837" s="283">
        <f t="shared" ref="Z837:AB900" si="88">F837</f>
        <v>1.8749999999999999E-2</v>
      </c>
      <c r="AA837" s="283">
        <f t="shared" si="88"/>
        <v>0</v>
      </c>
      <c r="AB837" s="340">
        <f t="shared" si="88"/>
        <v>1.37</v>
      </c>
      <c r="AD837" s="266"/>
      <c r="AE837" s="266"/>
      <c r="AF837" s="266"/>
      <c r="AG837" s="266"/>
      <c r="AH837" s="266"/>
      <c r="AI837" s="266"/>
    </row>
    <row r="838" spans="1:41" s="435" customFormat="1">
      <c r="A838" t="str">
        <f t="shared" si="83"/>
        <v>貨2メQHF</v>
      </c>
      <c r="B838" t="s">
        <v>2104</v>
      </c>
      <c r="C838" t="s">
        <v>2103</v>
      </c>
      <c r="D838" t="s">
        <v>2382</v>
      </c>
      <c r="E838" t="s">
        <v>1323</v>
      </c>
      <c r="F838">
        <v>6.7500000000000004E-2</v>
      </c>
      <c r="G838">
        <v>0</v>
      </c>
      <c r="H838">
        <v>1.37</v>
      </c>
      <c r="I838" t="s">
        <v>1259</v>
      </c>
      <c r="J838"/>
      <c r="K838" s="266"/>
      <c r="L838" s="266"/>
      <c r="M838" s="266"/>
      <c r="N838" s="266"/>
      <c r="O838" s="266"/>
      <c r="P838" s="266"/>
      <c r="Q838" s="266"/>
      <c r="R838" s="266"/>
      <c r="S838" s="266"/>
      <c r="T838" s="292" t="str">
        <f t="shared" si="84"/>
        <v>トラック・バス</v>
      </c>
      <c r="U838" s="283" t="str">
        <f t="shared" si="85"/>
        <v>メタノール</v>
      </c>
      <c r="V838" s="283" t="str">
        <f t="shared" si="86"/>
        <v>1.7～2.5 t</v>
      </c>
      <c r="W838" s="283" t="str">
        <f t="shared" si="87"/>
        <v>H21</v>
      </c>
      <c r="X838" s="284" t="str">
        <f t="shared" si="87"/>
        <v>QHF</v>
      </c>
      <c r="Y838" s="271" t="s">
        <v>1762</v>
      </c>
      <c r="Z838" s="283">
        <f t="shared" si="88"/>
        <v>6.7500000000000004E-2</v>
      </c>
      <c r="AA838" s="283">
        <f t="shared" si="88"/>
        <v>0</v>
      </c>
      <c r="AB838" s="340">
        <f t="shared" si="88"/>
        <v>1.37</v>
      </c>
      <c r="AD838" s="266"/>
      <c r="AE838" s="266"/>
      <c r="AF838" s="266"/>
      <c r="AG838" s="266"/>
      <c r="AH838" s="266"/>
      <c r="AI838" s="266"/>
      <c r="AO838" s="47"/>
    </row>
    <row r="839" spans="1:41" s="436" customFormat="1">
      <c r="A839" t="str">
        <f t="shared" si="83"/>
        <v>貨2メQGF</v>
      </c>
      <c r="B839" t="s">
        <v>2104</v>
      </c>
      <c r="C839" t="s">
        <v>2103</v>
      </c>
      <c r="D839" t="s">
        <v>2382</v>
      </c>
      <c r="E839" t="s">
        <v>1325</v>
      </c>
      <c r="F839">
        <v>6.7500000000000004E-2</v>
      </c>
      <c r="G839">
        <v>0</v>
      </c>
      <c r="H839">
        <v>1.37</v>
      </c>
      <c r="I839" t="s">
        <v>1259</v>
      </c>
      <c r="J839"/>
      <c r="K839" s="47"/>
      <c r="L839" s="47"/>
      <c r="M839" s="47"/>
      <c r="N839" s="47"/>
      <c r="O839" s="47"/>
      <c r="P839" s="47"/>
      <c r="Q839" s="47"/>
      <c r="R839" s="47"/>
      <c r="S839" s="47"/>
      <c r="T839" s="292" t="str">
        <f t="shared" si="84"/>
        <v>トラック・バス</v>
      </c>
      <c r="U839" s="283" t="str">
        <f t="shared" si="85"/>
        <v>メタノール</v>
      </c>
      <c r="V839" s="283" t="str">
        <f t="shared" si="86"/>
        <v>1.7～2.5 t</v>
      </c>
      <c r="W839" s="283" t="str">
        <f t="shared" si="87"/>
        <v>H21</v>
      </c>
      <c r="X839" s="284" t="str">
        <f t="shared" si="87"/>
        <v>QGF</v>
      </c>
      <c r="Y839" s="271" t="s">
        <v>1762</v>
      </c>
      <c r="Z839" s="283">
        <f t="shared" si="88"/>
        <v>6.7500000000000004E-2</v>
      </c>
      <c r="AA839" s="283">
        <f t="shared" si="88"/>
        <v>0</v>
      </c>
      <c r="AB839" s="340">
        <f t="shared" si="88"/>
        <v>1.37</v>
      </c>
      <c r="AN839" s="47"/>
      <c r="AO839" s="47"/>
    </row>
    <row r="840" spans="1:41" s="436" customFormat="1">
      <c r="A840" t="str">
        <f t="shared" si="83"/>
        <v>貨2メ3HF</v>
      </c>
      <c r="B840" t="s">
        <v>2104</v>
      </c>
      <c r="C840" t="s">
        <v>2103</v>
      </c>
      <c r="D840" t="s">
        <v>2744</v>
      </c>
      <c r="E840" t="s">
        <v>2911</v>
      </c>
      <c r="F840">
        <v>0.12</v>
      </c>
      <c r="G840">
        <v>0</v>
      </c>
      <c r="H840">
        <v>1.37</v>
      </c>
      <c r="I840" t="s">
        <v>1259</v>
      </c>
      <c r="J840"/>
      <c r="K840" s="266"/>
      <c r="L840" s="266"/>
      <c r="M840" s="266"/>
      <c r="N840" s="266"/>
      <c r="O840" s="266"/>
      <c r="P840" s="266"/>
      <c r="Q840" s="266"/>
      <c r="R840" s="266"/>
      <c r="S840" s="266"/>
      <c r="T840" s="292" t="str">
        <f t="shared" si="84"/>
        <v>トラック・バス</v>
      </c>
      <c r="U840" s="283" t="str">
        <f t="shared" si="85"/>
        <v>メタノール</v>
      </c>
      <c r="V840" s="283" t="str">
        <f t="shared" si="86"/>
        <v>1.7～2.5 t</v>
      </c>
      <c r="W840" s="283" t="str">
        <f t="shared" si="87"/>
        <v>H30</v>
      </c>
      <c r="X840" s="284" t="str">
        <f t="shared" si="87"/>
        <v>3HF</v>
      </c>
      <c r="Y840" s="271"/>
      <c r="Z840" s="283">
        <f t="shared" si="88"/>
        <v>0.12</v>
      </c>
      <c r="AA840" s="283">
        <f t="shared" si="88"/>
        <v>0</v>
      </c>
      <c r="AB840" s="340">
        <f t="shared" si="88"/>
        <v>1.37</v>
      </c>
      <c r="AN840" s="435"/>
      <c r="AO840" s="47"/>
    </row>
    <row r="841" spans="1:41" s="436" customFormat="1">
      <c r="A841" t="str">
        <f t="shared" si="83"/>
        <v>貨2メ3GF</v>
      </c>
      <c r="B841" t="s">
        <v>2104</v>
      </c>
      <c r="C841" t="s">
        <v>2103</v>
      </c>
      <c r="D841" t="s">
        <v>2744</v>
      </c>
      <c r="E841" t="s">
        <v>2912</v>
      </c>
      <c r="F841">
        <v>0.06</v>
      </c>
      <c r="G841">
        <v>0</v>
      </c>
      <c r="H841">
        <v>1.37</v>
      </c>
      <c r="I841" t="s">
        <v>1259</v>
      </c>
      <c r="J841"/>
      <c r="K841" s="47"/>
      <c r="L841" s="47"/>
      <c r="M841" s="47"/>
      <c r="N841" s="47"/>
      <c r="O841" s="47"/>
      <c r="P841" s="47"/>
      <c r="Q841" s="47"/>
      <c r="R841" s="47"/>
      <c r="S841" s="47"/>
      <c r="T841" s="292" t="str">
        <f t="shared" si="84"/>
        <v>トラック・バス</v>
      </c>
      <c r="U841" s="283" t="str">
        <f t="shared" si="85"/>
        <v>メタノール</v>
      </c>
      <c r="V841" s="283" t="str">
        <f t="shared" si="86"/>
        <v>1.7～2.5 t</v>
      </c>
      <c r="W841" s="283" t="str">
        <f t="shared" si="87"/>
        <v>H30</v>
      </c>
      <c r="X841" s="284" t="str">
        <f t="shared" si="87"/>
        <v>3GF</v>
      </c>
      <c r="Y841" s="271"/>
      <c r="Z841" s="283">
        <f t="shared" si="88"/>
        <v>0.06</v>
      </c>
      <c r="AA841" s="283">
        <f t="shared" si="88"/>
        <v>0</v>
      </c>
      <c r="AB841" s="340">
        <f t="shared" si="88"/>
        <v>1.37</v>
      </c>
      <c r="AO841" s="47"/>
    </row>
    <row r="842" spans="1:41" s="436" customFormat="1">
      <c r="A842" t="str">
        <f t="shared" si="83"/>
        <v>貨2メ4HF</v>
      </c>
      <c r="B842" t="s">
        <v>2104</v>
      </c>
      <c r="C842" t="s">
        <v>2103</v>
      </c>
      <c r="D842" t="s">
        <v>2748</v>
      </c>
      <c r="E842" t="s">
        <v>2913</v>
      </c>
      <c r="F842">
        <v>0.09</v>
      </c>
      <c r="G842">
        <v>0</v>
      </c>
      <c r="H842">
        <v>1.37</v>
      </c>
      <c r="I842" t="s">
        <v>1259</v>
      </c>
      <c r="J842"/>
      <c r="K842" s="435"/>
      <c r="L842" s="435"/>
      <c r="M842" s="435"/>
      <c r="N842" s="435"/>
      <c r="O842" s="435"/>
      <c r="P842" s="435"/>
      <c r="Q842" s="435"/>
      <c r="R842" s="435"/>
      <c r="S842" s="435"/>
      <c r="T842" s="292" t="str">
        <f t="shared" si="84"/>
        <v>トラック・バス</v>
      </c>
      <c r="U842" s="283" t="str">
        <f t="shared" si="85"/>
        <v>メタノール</v>
      </c>
      <c r="V842" s="283" t="str">
        <f t="shared" si="86"/>
        <v>1.7～2.5 t</v>
      </c>
      <c r="W842" s="283" t="str">
        <f t="shared" si="87"/>
        <v>H30</v>
      </c>
      <c r="X842" s="284" t="str">
        <f t="shared" si="87"/>
        <v>4HF</v>
      </c>
      <c r="Y842" s="271" t="s">
        <v>1769</v>
      </c>
      <c r="Z842" s="283">
        <f t="shared" si="88"/>
        <v>0.09</v>
      </c>
      <c r="AA842" s="283">
        <f t="shared" si="88"/>
        <v>0</v>
      </c>
      <c r="AB842" s="340">
        <f t="shared" si="88"/>
        <v>1.37</v>
      </c>
      <c r="AO842" s="47"/>
    </row>
    <row r="843" spans="1:41" s="436" customFormat="1">
      <c r="A843" t="str">
        <f t="shared" si="83"/>
        <v>貨2メ4GF</v>
      </c>
      <c r="B843" t="s">
        <v>2104</v>
      </c>
      <c r="C843" t="s">
        <v>2103</v>
      </c>
      <c r="D843" t="s">
        <v>2748</v>
      </c>
      <c r="E843" t="s">
        <v>2914</v>
      </c>
      <c r="F843">
        <v>0.09</v>
      </c>
      <c r="G843">
        <v>0</v>
      </c>
      <c r="H843">
        <v>1.37</v>
      </c>
      <c r="I843" t="s">
        <v>1259</v>
      </c>
      <c r="J843"/>
      <c r="K843" s="47"/>
      <c r="L843" s="47"/>
      <c r="M843" s="47"/>
      <c r="N843" s="47"/>
      <c r="O843" s="47"/>
      <c r="P843" s="47"/>
      <c r="Q843" s="47"/>
      <c r="R843" s="47"/>
      <c r="S843" s="47"/>
      <c r="T843" s="292" t="str">
        <f t="shared" si="84"/>
        <v>トラック・バス</v>
      </c>
      <c r="U843" s="283" t="str">
        <f t="shared" si="85"/>
        <v>メタノール</v>
      </c>
      <c r="V843" s="283" t="str">
        <f t="shared" si="86"/>
        <v>1.7～2.5 t</v>
      </c>
      <c r="W843" s="283" t="str">
        <f t="shared" si="87"/>
        <v>H30</v>
      </c>
      <c r="X843" s="284" t="str">
        <f t="shared" si="87"/>
        <v>4GF</v>
      </c>
      <c r="Y843" s="271" t="s">
        <v>1769</v>
      </c>
      <c r="Z843" s="283">
        <f t="shared" si="88"/>
        <v>0.09</v>
      </c>
      <c r="AA843" s="283">
        <f t="shared" si="88"/>
        <v>0</v>
      </c>
      <c r="AB843" s="340">
        <f t="shared" si="88"/>
        <v>1.37</v>
      </c>
      <c r="AD843" s="47"/>
      <c r="AE843" s="47"/>
      <c r="AF843" s="47"/>
      <c r="AG843" s="47"/>
      <c r="AH843" s="47"/>
      <c r="AI843" s="47"/>
      <c r="AO843" s="47"/>
    </row>
    <row r="844" spans="1:41" s="436" customFormat="1">
      <c r="A844" t="str">
        <f t="shared" si="83"/>
        <v>貨2メ5HF</v>
      </c>
      <c r="B844" t="s">
        <v>2104</v>
      </c>
      <c r="C844" t="s">
        <v>2103</v>
      </c>
      <c r="D844" t="s">
        <v>2748</v>
      </c>
      <c r="E844" t="s">
        <v>2915</v>
      </c>
      <c r="F844">
        <v>0.06</v>
      </c>
      <c r="G844">
        <v>0</v>
      </c>
      <c r="H844">
        <v>1.37</v>
      </c>
      <c r="I844" t="s">
        <v>1259</v>
      </c>
      <c r="J844"/>
      <c r="K844" s="435"/>
      <c r="L844" s="435"/>
      <c r="M844" s="435"/>
      <c r="N844" s="435"/>
      <c r="O844" s="435"/>
      <c r="P844" s="435"/>
      <c r="Q844" s="435"/>
      <c r="R844" s="435"/>
      <c r="S844" s="435"/>
      <c r="T844" s="292" t="str">
        <f t="shared" si="84"/>
        <v>トラック・バス</v>
      </c>
      <c r="U844" s="283" t="str">
        <f t="shared" si="85"/>
        <v>メタノール</v>
      </c>
      <c r="V844" s="283" t="str">
        <f t="shared" si="86"/>
        <v>1.7～2.5 t</v>
      </c>
      <c r="W844" s="283" t="str">
        <f t="shared" si="87"/>
        <v>H30</v>
      </c>
      <c r="X844" s="284" t="str">
        <f t="shared" si="87"/>
        <v>5HF</v>
      </c>
      <c r="Y844" s="271" t="s">
        <v>2262</v>
      </c>
      <c r="Z844" s="283">
        <f t="shared" si="88"/>
        <v>0.06</v>
      </c>
      <c r="AA844" s="283">
        <f t="shared" si="88"/>
        <v>0</v>
      </c>
      <c r="AB844" s="340">
        <f t="shared" si="88"/>
        <v>1.37</v>
      </c>
      <c r="AD844" s="47"/>
      <c r="AE844" s="47"/>
      <c r="AF844" s="47"/>
      <c r="AG844" s="47"/>
      <c r="AH844" s="47"/>
      <c r="AI844" s="47"/>
      <c r="AO844" s="47"/>
    </row>
    <row r="845" spans="1:41">
      <c r="A845" t="str">
        <f t="shared" si="83"/>
        <v>貨2メ5GF</v>
      </c>
      <c r="B845" t="s">
        <v>2104</v>
      </c>
      <c r="C845" t="s">
        <v>2103</v>
      </c>
      <c r="D845" t="s">
        <v>2748</v>
      </c>
      <c r="E845" t="s">
        <v>2916</v>
      </c>
      <c r="F845">
        <v>0.06</v>
      </c>
      <c r="G845">
        <v>0</v>
      </c>
      <c r="H845">
        <v>1.37</v>
      </c>
      <c r="I845" t="s">
        <v>1259</v>
      </c>
      <c r="J845"/>
      <c r="K845" s="436"/>
      <c r="L845" s="436"/>
      <c r="M845" s="436"/>
      <c r="N845" s="436"/>
      <c r="O845" s="436"/>
      <c r="P845" s="436"/>
      <c r="Q845" s="436"/>
      <c r="R845" s="436"/>
      <c r="S845" s="436"/>
      <c r="T845" s="292" t="str">
        <f t="shared" si="84"/>
        <v>トラック・バス</v>
      </c>
      <c r="U845" s="283" t="str">
        <f t="shared" si="85"/>
        <v>メタノール</v>
      </c>
      <c r="V845" s="283" t="str">
        <f t="shared" si="86"/>
        <v>1.7～2.5 t</v>
      </c>
      <c r="W845" s="283" t="str">
        <f t="shared" si="87"/>
        <v>H30</v>
      </c>
      <c r="X845" s="284" t="str">
        <f t="shared" si="87"/>
        <v>5GF</v>
      </c>
      <c r="Y845" s="271" t="s">
        <v>2262</v>
      </c>
      <c r="Z845" s="283">
        <f t="shared" si="88"/>
        <v>0.06</v>
      </c>
      <c r="AA845" s="283">
        <f t="shared" si="88"/>
        <v>0</v>
      </c>
      <c r="AB845" s="340">
        <f t="shared" si="88"/>
        <v>1.37</v>
      </c>
      <c r="AN845" s="436"/>
    </row>
    <row r="846" spans="1:41">
      <c r="A846" t="str">
        <f t="shared" si="83"/>
        <v>貨2メ6HF</v>
      </c>
      <c r="B846" t="s">
        <v>2104</v>
      </c>
      <c r="C846" t="s">
        <v>2103</v>
      </c>
      <c r="D846" t="s">
        <v>2748</v>
      </c>
      <c r="E846" t="s">
        <v>2917</v>
      </c>
      <c r="F846">
        <v>0.03</v>
      </c>
      <c r="G846">
        <v>0</v>
      </c>
      <c r="H846">
        <v>1.37</v>
      </c>
      <c r="I846" t="s">
        <v>1259</v>
      </c>
      <c r="J846"/>
      <c r="K846" s="436"/>
      <c r="L846" s="436"/>
      <c r="M846" s="436"/>
      <c r="N846" s="436"/>
      <c r="O846" s="436"/>
      <c r="P846" s="436"/>
      <c r="Q846" s="436"/>
      <c r="R846" s="436"/>
      <c r="S846" s="436"/>
      <c r="T846" s="292" t="str">
        <f t="shared" si="84"/>
        <v>トラック・バス</v>
      </c>
      <c r="U846" s="283" t="str">
        <f t="shared" si="85"/>
        <v>メタノール</v>
      </c>
      <c r="V846" s="283" t="str">
        <f t="shared" si="86"/>
        <v>1.7～2.5 t</v>
      </c>
      <c r="W846" s="283" t="str">
        <f t="shared" si="87"/>
        <v>H30</v>
      </c>
      <c r="X846" s="284" t="str">
        <f t="shared" si="87"/>
        <v>6HF</v>
      </c>
      <c r="Y846" s="271" t="s">
        <v>2758</v>
      </c>
      <c r="Z846" s="283">
        <f t="shared" si="88"/>
        <v>0.03</v>
      </c>
      <c r="AA846" s="283">
        <f t="shared" si="88"/>
        <v>0</v>
      </c>
      <c r="AB846" s="340">
        <f t="shared" si="88"/>
        <v>1.37</v>
      </c>
      <c r="AN846" s="436"/>
    </row>
    <row r="847" spans="1:41">
      <c r="A847" t="str">
        <f t="shared" si="83"/>
        <v>貨2メ6GF</v>
      </c>
      <c r="B847" t="s">
        <v>2104</v>
      </c>
      <c r="C847" t="s">
        <v>2103</v>
      </c>
      <c r="D847" t="s">
        <v>2748</v>
      </c>
      <c r="E847" t="s">
        <v>2918</v>
      </c>
      <c r="F847">
        <v>0.03</v>
      </c>
      <c r="G847">
        <v>0</v>
      </c>
      <c r="H847">
        <v>1.37</v>
      </c>
      <c r="I847" t="s">
        <v>1259</v>
      </c>
      <c r="J847"/>
      <c r="K847" s="436"/>
      <c r="L847" s="436"/>
      <c r="M847" s="436"/>
      <c r="N847" s="436"/>
      <c r="O847" s="436"/>
      <c r="P847" s="436"/>
      <c r="Q847" s="436"/>
      <c r="R847" s="436"/>
      <c r="S847" s="436"/>
      <c r="T847" s="292" t="str">
        <f t="shared" si="84"/>
        <v>トラック・バス</v>
      </c>
      <c r="U847" s="283" t="str">
        <f t="shared" si="85"/>
        <v>メタノール</v>
      </c>
      <c r="V847" s="283" t="str">
        <f t="shared" si="86"/>
        <v>1.7～2.5 t</v>
      </c>
      <c r="W847" s="283" t="str">
        <f t="shared" si="87"/>
        <v>H30</v>
      </c>
      <c r="X847" s="284" t="str">
        <f t="shared" si="87"/>
        <v>6GF</v>
      </c>
      <c r="Y847" s="271" t="s">
        <v>2758</v>
      </c>
      <c r="Z847" s="283">
        <f t="shared" si="88"/>
        <v>0.03</v>
      </c>
      <c r="AA847" s="283">
        <f t="shared" si="88"/>
        <v>0</v>
      </c>
      <c r="AB847" s="340">
        <f t="shared" si="88"/>
        <v>1.37</v>
      </c>
    </row>
    <row r="848" spans="1:41">
      <c r="A848" t="str">
        <f t="shared" si="83"/>
        <v>貨3メTQ</v>
      </c>
      <c r="B848" t="s">
        <v>2106</v>
      </c>
      <c r="C848" t="s">
        <v>2105</v>
      </c>
      <c r="D848" t="s">
        <v>20</v>
      </c>
      <c r="E848" t="s">
        <v>85</v>
      </c>
      <c r="F848">
        <v>0.18375</v>
      </c>
      <c r="G848">
        <v>0</v>
      </c>
      <c r="H848">
        <v>1.37</v>
      </c>
      <c r="I848" t="s">
        <v>1259</v>
      </c>
      <c r="J848"/>
      <c r="K848" s="436"/>
      <c r="L848" s="436"/>
      <c r="M848" s="436"/>
      <c r="N848" s="436"/>
      <c r="O848" s="436"/>
      <c r="P848" s="436"/>
      <c r="Q848" s="436"/>
      <c r="R848" s="436"/>
      <c r="S848" s="436"/>
      <c r="T848" s="292" t="str">
        <f t="shared" si="84"/>
        <v>トラック・バス</v>
      </c>
      <c r="U848" s="283" t="str">
        <f t="shared" si="85"/>
        <v>メタノール</v>
      </c>
      <c r="V848" s="283" t="str">
        <f t="shared" si="86"/>
        <v>2.5～3.5 t</v>
      </c>
      <c r="W848" s="283" t="str">
        <f t="shared" si="87"/>
        <v>H15</v>
      </c>
      <c r="X848" s="284" t="str">
        <f t="shared" si="87"/>
        <v>TQ</v>
      </c>
      <c r="Y848" s="271" t="s">
        <v>1765</v>
      </c>
      <c r="Z848" s="283">
        <f t="shared" si="88"/>
        <v>0.18375</v>
      </c>
      <c r="AA848" s="283">
        <f t="shared" si="88"/>
        <v>0</v>
      </c>
      <c r="AB848" s="340">
        <f t="shared" si="88"/>
        <v>1.37</v>
      </c>
    </row>
    <row r="849" spans="1:41">
      <c r="A849" t="str">
        <f t="shared" si="83"/>
        <v>貨3メLQ</v>
      </c>
      <c r="B849" t="s">
        <v>2106</v>
      </c>
      <c r="C849" t="s">
        <v>2105</v>
      </c>
      <c r="D849" t="s">
        <v>20</v>
      </c>
      <c r="E849" t="s">
        <v>77</v>
      </c>
      <c r="F849">
        <v>0.1225</v>
      </c>
      <c r="G849">
        <v>0</v>
      </c>
      <c r="H849">
        <v>1.37</v>
      </c>
      <c r="I849" t="s">
        <v>1259</v>
      </c>
      <c r="J849"/>
      <c r="K849" s="436"/>
      <c r="L849" s="436"/>
      <c r="M849" s="436"/>
      <c r="N849" s="436"/>
      <c r="O849" s="436"/>
      <c r="P849" s="436"/>
      <c r="Q849" s="436"/>
      <c r="R849" s="436"/>
      <c r="S849" s="436"/>
      <c r="T849" s="292" t="str">
        <f t="shared" si="84"/>
        <v>トラック・バス</v>
      </c>
      <c r="U849" s="283" t="str">
        <f t="shared" si="85"/>
        <v>メタノール</v>
      </c>
      <c r="V849" s="283" t="str">
        <f t="shared" si="86"/>
        <v>2.5～3.5 t</v>
      </c>
      <c r="W849" s="283" t="str">
        <f t="shared" si="87"/>
        <v>H15</v>
      </c>
      <c r="X849" s="284" t="str">
        <f t="shared" si="87"/>
        <v>LQ</v>
      </c>
      <c r="Y849" s="271" t="s">
        <v>1766</v>
      </c>
      <c r="Z849" s="283">
        <f t="shared" si="88"/>
        <v>0.1225</v>
      </c>
      <c r="AA849" s="283">
        <f t="shared" si="88"/>
        <v>0</v>
      </c>
      <c r="AB849" s="340">
        <f t="shared" si="88"/>
        <v>1.37</v>
      </c>
    </row>
    <row r="850" spans="1:41">
      <c r="A850" t="str">
        <f t="shared" si="83"/>
        <v>貨3メUQ</v>
      </c>
      <c r="B850" t="s">
        <v>2106</v>
      </c>
      <c r="C850" t="s">
        <v>2105</v>
      </c>
      <c r="D850" t="s">
        <v>20</v>
      </c>
      <c r="E850" t="s">
        <v>92</v>
      </c>
      <c r="F850">
        <v>6.1249999999999999E-2</v>
      </c>
      <c r="G850">
        <v>0</v>
      </c>
      <c r="H850">
        <v>1.37</v>
      </c>
      <c r="I850" t="s">
        <v>1259</v>
      </c>
      <c r="J850"/>
      <c r="K850" s="436"/>
      <c r="L850" s="436"/>
      <c r="M850" s="436"/>
      <c r="N850" s="436"/>
      <c r="O850" s="436"/>
      <c r="P850" s="436"/>
      <c r="Q850" s="436"/>
      <c r="R850" s="436"/>
      <c r="S850" s="436"/>
      <c r="T850" s="292" t="str">
        <f t="shared" si="84"/>
        <v>トラック・バス</v>
      </c>
      <c r="U850" s="283" t="str">
        <f t="shared" si="85"/>
        <v>メタノール</v>
      </c>
      <c r="V850" s="283" t="str">
        <f t="shared" si="86"/>
        <v>2.5～3.5 t</v>
      </c>
      <c r="W850" s="283" t="str">
        <f t="shared" si="87"/>
        <v>H15</v>
      </c>
      <c r="X850" s="284" t="str">
        <f t="shared" si="87"/>
        <v>UQ</v>
      </c>
      <c r="Y850" s="271" t="s">
        <v>1767</v>
      </c>
      <c r="Z850" s="283">
        <f t="shared" si="88"/>
        <v>6.1249999999999999E-2</v>
      </c>
      <c r="AA850" s="283">
        <f t="shared" si="88"/>
        <v>0</v>
      </c>
      <c r="AB850" s="340">
        <f t="shared" si="88"/>
        <v>1.37</v>
      </c>
    </row>
    <row r="851" spans="1:41">
      <c r="A851" t="str">
        <f t="shared" si="83"/>
        <v>貨3メAHF</v>
      </c>
      <c r="B851" t="s">
        <v>2106</v>
      </c>
      <c r="C851" t="s">
        <v>2105</v>
      </c>
      <c r="D851" t="s">
        <v>1979</v>
      </c>
      <c r="E851" t="s">
        <v>1299</v>
      </c>
      <c r="F851">
        <v>0.125</v>
      </c>
      <c r="G851">
        <v>0</v>
      </c>
      <c r="H851">
        <v>1.37</v>
      </c>
      <c r="I851" t="s">
        <v>1259</v>
      </c>
      <c r="J851"/>
      <c r="T851" s="292" t="str">
        <f t="shared" si="84"/>
        <v>トラック・バス</v>
      </c>
      <c r="U851" s="283" t="str">
        <f t="shared" si="85"/>
        <v>メタノール</v>
      </c>
      <c r="V851" s="283" t="str">
        <f t="shared" si="86"/>
        <v>2.5～3.5 t</v>
      </c>
      <c r="W851" s="283" t="str">
        <f t="shared" si="87"/>
        <v>H17</v>
      </c>
      <c r="X851" s="284" t="str">
        <f t="shared" si="87"/>
        <v>AHF</v>
      </c>
      <c r="Y851" s="271"/>
      <c r="Z851" s="283">
        <f t="shared" si="88"/>
        <v>0.125</v>
      </c>
      <c r="AA851" s="283">
        <f t="shared" si="88"/>
        <v>0</v>
      </c>
      <c r="AB851" s="340">
        <f t="shared" si="88"/>
        <v>1.37</v>
      </c>
    </row>
    <row r="852" spans="1:41">
      <c r="A852" t="str">
        <f t="shared" si="83"/>
        <v>貨3メAGF</v>
      </c>
      <c r="B852" t="s">
        <v>2106</v>
      </c>
      <c r="C852" t="s">
        <v>2105</v>
      </c>
      <c r="D852" t="s">
        <v>1979</v>
      </c>
      <c r="E852" t="s">
        <v>1301</v>
      </c>
      <c r="F852">
        <v>6.25E-2</v>
      </c>
      <c r="G852">
        <v>0</v>
      </c>
      <c r="H852">
        <v>1.37</v>
      </c>
      <c r="I852" t="s">
        <v>1259</v>
      </c>
      <c r="J852"/>
      <c r="T852" s="292" t="str">
        <f t="shared" si="84"/>
        <v>トラック・バス</v>
      </c>
      <c r="U852" s="283" t="str">
        <f t="shared" si="85"/>
        <v>メタノール</v>
      </c>
      <c r="V852" s="283" t="str">
        <f t="shared" si="86"/>
        <v>2.5～3.5 t</v>
      </c>
      <c r="W852" s="283" t="str">
        <f t="shared" si="87"/>
        <v>H17</v>
      </c>
      <c r="X852" s="284" t="str">
        <f t="shared" si="87"/>
        <v>AGF</v>
      </c>
      <c r="Y852" s="271"/>
      <c r="Z852" s="283">
        <f t="shared" si="88"/>
        <v>6.25E-2</v>
      </c>
      <c r="AA852" s="283">
        <f t="shared" si="88"/>
        <v>0</v>
      </c>
      <c r="AB852" s="340">
        <f t="shared" si="88"/>
        <v>1.37</v>
      </c>
      <c r="AD852" s="436"/>
      <c r="AE852" s="436"/>
      <c r="AF852" s="436"/>
      <c r="AG852" s="436"/>
      <c r="AH852" s="436"/>
      <c r="AI852" s="436"/>
    </row>
    <row r="853" spans="1:41">
      <c r="A853" t="str">
        <f t="shared" si="83"/>
        <v>貨3メCGF</v>
      </c>
      <c r="B853" t="s">
        <v>2106</v>
      </c>
      <c r="C853" t="s">
        <v>2105</v>
      </c>
      <c r="D853" t="s">
        <v>1979</v>
      </c>
      <c r="E853" t="s">
        <v>1916</v>
      </c>
      <c r="F853">
        <v>6.25E-2</v>
      </c>
      <c r="G853">
        <v>0</v>
      </c>
      <c r="H853">
        <v>1.37</v>
      </c>
      <c r="I853" t="s">
        <v>1259</v>
      </c>
      <c r="J853"/>
      <c r="T853" s="292" t="str">
        <f t="shared" si="84"/>
        <v>トラック・バス</v>
      </c>
      <c r="U853" s="283" t="str">
        <f t="shared" si="85"/>
        <v>メタノール</v>
      </c>
      <c r="V853" s="283" t="str">
        <f t="shared" si="86"/>
        <v>2.5～3.5 t</v>
      </c>
      <c r="W853" s="283" t="str">
        <f t="shared" si="87"/>
        <v>H17</v>
      </c>
      <c r="X853" s="284" t="str">
        <f t="shared" si="87"/>
        <v>CGF</v>
      </c>
      <c r="Y853" s="271" t="s">
        <v>2261</v>
      </c>
      <c r="Z853" s="283">
        <f t="shared" si="88"/>
        <v>6.25E-2</v>
      </c>
      <c r="AA853" s="283">
        <f t="shared" si="88"/>
        <v>0</v>
      </c>
      <c r="AB853" s="340">
        <f t="shared" si="88"/>
        <v>1.37</v>
      </c>
      <c r="AD853" s="436"/>
      <c r="AE853" s="436"/>
      <c r="AF853" s="436"/>
      <c r="AG853" s="436"/>
      <c r="AH853" s="436"/>
      <c r="AI853" s="436"/>
    </row>
    <row r="854" spans="1:41" s="436" customFormat="1">
      <c r="A854" t="str">
        <f t="shared" si="83"/>
        <v>貨3メCHF</v>
      </c>
      <c r="B854" t="s">
        <v>2106</v>
      </c>
      <c r="C854" t="s">
        <v>2105</v>
      </c>
      <c r="D854" t="s">
        <v>1979</v>
      </c>
      <c r="E854" t="s">
        <v>1920</v>
      </c>
      <c r="F854">
        <v>6.25E-2</v>
      </c>
      <c r="G854">
        <v>0</v>
      </c>
      <c r="H854">
        <v>1.37</v>
      </c>
      <c r="I854" t="s">
        <v>1259</v>
      </c>
      <c r="J854"/>
      <c r="K854" s="47"/>
      <c r="L854" s="47"/>
      <c r="M854" s="47"/>
      <c r="N854" s="47"/>
      <c r="O854" s="47"/>
      <c r="P854" s="47"/>
      <c r="Q854" s="47"/>
      <c r="R854" s="47"/>
      <c r="S854" s="47"/>
      <c r="T854" s="292" t="str">
        <f t="shared" si="84"/>
        <v>トラック・バス</v>
      </c>
      <c r="U854" s="283" t="str">
        <f t="shared" si="85"/>
        <v>メタノール</v>
      </c>
      <c r="V854" s="283" t="str">
        <f t="shared" si="86"/>
        <v>2.5～3.5 t</v>
      </c>
      <c r="W854" s="283" t="str">
        <f t="shared" si="87"/>
        <v>H17</v>
      </c>
      <c r="X854" s="284" t="str">
        <f t="shared" si="87"/>
        <v>CHF</v>
      </c>
      <c r="Y854" s="271" t="s">
        <v>2261</v>
      </c>
      <c r="Z854" s="283">
        <f t="shared" si="88"/>
        <v>6.25E-2</v>
      </c>
      <c r="AA854" s="283">
        <f t="shared" si="88"/>
        <v>0</v>
      </c>
      <c r="AB854" s="340">
        <f t="shared" si="88"/>
        <v>1.37</v>
      </c>
      <c r="AN854" s="47"/>
      <c r="AO854" s="47"/>
    </row>
    <row r="855" spans="1:41" s="436" customFormat="1">
      <c r="A855" t="str">
        <f t="shared" si="83"/>
        <v>貨3メDGF</v>
      </c>
      <c r="B855" t="s">
        <v>2106</v>
      </c>
      <c r="C855" t="s">
        <v>2105</v>
      </c>
      <c r="D855" t="s">
        <v>1979</v>
      </c>
      <c r="E855" t="s">
        <v>1927</v>
      </c>
      <c r="F855">
        <v>3.125E-2</v>
      </c>
      <c r="G855">
        <v>0</v>
      </c>
      <c r="H855">
        <v>1.37</v>
      </c>
      <c r="I855" t="s">
        <v>1259</v>
      </c>
      <c r="J855"/>
      <c r="K855" s="47"/>
      <c r="L855" s="47"/>
      <c r="M855" s="47"/>
      <c r="N855" s="47"/>
      <c r="O855" s="47"/>
      <c r="P855" s="47"/>
      <c r="Q855" s="47"/>
      <c r="R855" s="47"/>
      <c r="S855" s="47"/>
      <c r="T855" s="292" t="str">
        <f t="shared" si="84"/>
        <v>トラック・バス</v>
      </c>
      <c r="U855" s="283" t="str">
        <f t="shared" si="85"/>
        <v>メタノール</v>
      </c>
      <c r="V855" s="283" t="str">
        <f t="shared" si="86"/>
        <v>2.5～3.5 t</v>
      </c>
      <c r="W855" s="283" t="str">
        <f t="shared" si="87"/>
        <v>H17</v>
      </c>
      <c r="X855" s="284" t="str">
        <f t="shared" si="87"/>
        <v>DGF</v>
      </c>
      <c r="Y855" s="271" t="s">
        <v>2262</v>
      </c>
      <c r="Z855" s="283">
        <f t="shared" si="88"/>
        <v>3.125E-2</v>
      </c>
      <c r="AA855" s="283">
        <f t="shared" si="88"/>
        <v>0</v>
      </c>
      <c r="AB855" s="340">
        <f t="shared" si="88"/>
        <v>1.37</v>
      </c>
      <c r="AN855" s="47"/>
      <c r="AO855" s="47"/>
    </row>
    <row r="856" spans="1:41" s="436" customFormat="1">
      <c r="A856" t="str">
        <f t="shared" si="83"/>
        <v>貨3メDHF</v>
      </c>
      <c r="B856" t="s">
        <v>2106</v>
      </c>
      <c r="C856" t="s">
        <v>2105</v>
      </c>
      <c r="D856" t="s">
        <v>1979</v>
      </c>
      <c r="E856" t="s">
        <v>1931</v>
      </c>
      <c r="F856">
        <v>3.125E-2</v>
      </c>
      <c r="G856">
        <v>0</v>
      </c>
      <c r="H856">
        <v>1.37</v>
      </c>
      <c r="I856" t="s">
        <v>1259</v>
      </c>
      <c r="J856"/>
      <c r="K856" s="47"/>
      <c r="L856" s="47"/>
      <c r="M856" s="47"/>
      <c r="N856" s="47"/>
      <c r="O856" s="47"/>
      <c r="P856" s="47"/>
      <c r="Q856" s="47"/>
      <c r="R856" s="47"/>
      <c r="S856" s="47"/>
      <c r="T856" s="292" t="str">
        <f t="shared" si="84"/>
        <v>トラック・バス</v>
      </c>
      <c r="U856" s="283" t="str">
        <f t="shared" si="85"/>
        <v>メタノール</v>
      </c>
      <c r="V856" s="283" t="str">
        <f t="shared" si="86"/>
        <v>2.5～3.5 t</v>
      </c>
      <c r="W856" s="283" t="str">
        <f t="shared" si="87"/>
        <v>H17</v>
      </c>
      <c r="X856" s="284" t="str">
        <f t="shared" si="87"/>
        <v>DHF</v>
      </c>
      <c r="Y856" s="271" t="s">
        <v>2262</v>
      </c>
      <c r="Z856" s="283">
        <f t="shared" si="88"/>
        <v>3.125E-2</v>
      </c>
      <c r="AA856" s="283">
        <f t="shared" si="88"/>
        <v>0</v>
      </c>
      <c r="AB856" s="340">
        <f t="shared" si="88"/>
        <v>1.37</v>
      </c>
      <c r="AO856" s="47"/>
    </row>
    <row r="857" spans="1:41" s="436" customFormat="1">
      <c r="A857" t="str">
        <f t="shared" si="83"/>
        <v>貨3メLHF</v>
      </c>
      <c r="B857" t="s">
        <v>2106</v>
      </c>
      <c r="C857" t="s">
        <v>2105</v>
      </c>
      <c r="D857" t="s">
        <v>2382</v>
      </c>
      <c r="E857" t="s">
        <v>1311</v>
      </c>
      <c r="F857">
        <v>7.4999999999999997E-2</v>
      </c>
      <c r="G857">
        <v>0</v>
      </c>
      <c r="H857">
        <v>1.37</v>
      </c>
      <c r="I857" t="s">
        <v>1259</v>
      </c>
      <c r="J857"/>
      <c r="K857" s="47"/>
      <c r="L857" s="47"/>
      <c r="M857" s="47"/>
      <c r="N857" s="47"/>
      <c r="O857" s="47"/>
      <c r="P857" s="47"/>
      <c r="Q857" s="47"/>
      <c r="R857" s="47"/>
      <c r="S857" s="47"/>
      <c r="T857" s="292" t="str">
        <f t="shared" si="84"/>
        <v>トラック・バス</v>
      </c>
      <c r="U857" s="283" t="str">
        <f t="shared" si="85"/>
        <v>メタノール</v>
      </c>
      <c r="V857" s="283" t="str">
        <f t="shared" si="86"/>
        <v>2.5～3.5 t</v>
      </c>
      <c r="W857" s="283" t="str">
        <f t="shared" si="87"/>
        <v>H21</v>
      </c>
      <c r="X857" s="284" t="str">
        <f t="shared" si="87"/>
        <v>LHF</v>
      </c>
      <c r="Y857" s="271"/>
      <c r="Z857" s="283">
        <f t="shared" si="88"/>
        <v>7.4999999999999997E-2</v>
      </c>
      <c r="AA857" s="283">
        <f t="shared" si="88"/>
        <v>0</v>
      </c>
      <c r="AB857" s="340">
        <f t="shared" si="88"/>
        <v>1.37</v>
      </c>
      <c r="AO857" s="47"/>
    </row>
    <row r="858" spans="1:41" s="436" customFormat="1">
      <c r="A858" t="str">
        <f t="shared" si="83"/>
        <v>貨3メLGF</v>
      </c>
      <c r="B858" t="s">
        <v>2106</v>
      </c>
      <c r="C858" t="s">
        <v>2105</v>
      </c>
      <c r="D858" t="s">
        <v>2382</v>
      </c>
      <c r="E858" t="s">
        <v>1313</v>
      </c>
      <c r="F858">
        <v>3.7499999999999999E-2</v>
      </c>
      <c r="G858">
        <v>0</v>
      </c>
      <c r="H858">
        <v>1.37</v>
      </c>
      <c r="I858" t="s">
        <v>1259</v>
      </c>
      <c r="J858"/>
      <c r="K858" s="47"/>
      <c r="L858" s="47"/>
      <c r="M858" s="47"/>
      <c r="N858" s="47"/>
      <c r="O858" s="47"/>
      <c r="P858" s="47"/>
      <c r="Q858" s="47"/>
      <c r="R858" s="47"/>
      <c r="S858" s="47"/>
      <c r="T858" s="292" t="str">
        <f t="shared" si="84"/>
        <v>トラック・バス</v>
      </c>
      <c r="U858" s="283" t="str">
        <f t="shared" si="85"/>
        <v>メタノール</v>
      </c>
      <c r="V858" s="283" t="str">
        <f t="shared" si="86"/>
        <v>2.5～3.5 t</v>
      </c>
      <c r="W858" s="283" t="str">
        <f t="shared" si="87"/>
        <v>H21</v>
      </c>
      <c r="X858" s="284" t="str">
        <f t="shared" si="87"/>
        <v>LGF</v>
      </c>
      <c r="Y858" s="271"/>
      <c r="Z858" s="283">
        <f t="shared" si="88"/>
        <v>3.7499999999999999E-2</v>
      </c>
      <c r="AA858" s="283">
        <f t="shared" si="88"/>
        <v>0</v>
      </c>
      <c r="AB858" s="340">
        <f t="shared" si="88"/>
        <v>1.37</v>
      </c>
      <c r="AD858" s="47"/>
      <c r="AE858" s="47"/>
      <c r="AF858" s="47"/>
      <c r="AG858" s="47"/>
      <c r="AH858" s="47"/>
      <c r="AI858" s="47"/>
      <c r="AO858" s="47"/>
    </row>
    <row r="859" spans="1:41" s="436" customFormat="1">
      <c r="A859" t="str">
        <f t="shared" si="83"/>
        <v>貨3メMHF</v>
      </c>
      <c r="B859" t="s">
        <v>2106</v>
      </c>
      <c r="C859" t="s">
        <v>2105</v>
      </c>
      <c r="D859" t="s">
        <v>2382</v>
      </c>
      <c r="E859" t="s">
        <v>1315</v>
      </c>
      <c r="F859">
        <v>3.7499999999999999E-2</v>
      </c>
      <c r="G859">
        <v>0</v>
      </c>
      <c r="H859">
        <v>1.37</v>
      </c>
      <c r="I859" t="s">
        <v>1259</v>
      </c>
      <c r="J859"/>
      <c r="K859" s="47"/>
      <c r="L859" s="47"/>
      <c r="M859" s="47"/>
      <c r="N859" s="47"/>
      <c r="O859" s="47"/>
      <c r="P859" s="47"/>
      <c r="Q859" s="47"/>
      <c r="R859" s="47"/>
      <c r="S859" s="47"/>
      <c r="T859" s="292" t="str">
        <f t="shared" si="84"/>
        <v>トラック・バス</v>
      </c>
      <c r="U859" s="283" t="str">
        <f t="shared" si="85"/>
        <v>メタノール</v>
      </c>
      <c r="V859" s="283" t="str">
        <f t="shared" si="86"/>
        <v>2.5～3.5 t</v>
      </c>
      <c r="W859" s="283" t="str">
        <f t="shared" si="87"/>
        <v>H21</v>
      </c>
      <c r="X859" s="284" t="str">
        <f t="shared" si="87"/>
        <v>MHF</v>
      </c>
      <c r="Y859" s="271" t="s">
        <v>2261</v>
      </c>
      <c r="Z859" s="283">
        <f t="shared" si="88"/>
        <v>3.7499999999999999E-2</v>
      </c>
      <c r="AA859" s="283">
        <f t="shared" si="88"/>
        <v>0</v>
      </c>
      <c r="AB859" s="340">
        <f t="shared" si="88"/>
        <v>1.37</v>
      </c>
      <c r="AD859" s="47"/>
      <c r="AE859" s="47"/>
      <c r="AF859" s="47"/>
      <c r="AG859" s="47"/>
      <c r="AH859" s="47"/>
      <c r="AI859" s="47"/>
      <c r="AO859" s="47"/>
    </row>
    <row r="860" spans="1:41">
      <c r="A860" t="str">
        <f t="shared" si="83"/>
        <v>貨3メMGF</v>
      </c>
      <c r="B860" t="s">
        <v>2106</v>
      </c>
      <c r="C860" t="s">
        <v>2105</v>
      </c>
      <c r="D860" t="s">
        <v>2382</v>
      </c>
      <c r="E860" t="s">
        <v>1317</v>
      </c>
      <c r="F860">
        <v>3.7499999999999999E-2</v>
      </c>
      <c r="G860">
        <v>0</v>
      </c>
      <c r="H860">
        <v>1.37</v>
      </c>
      <c r="I860" t="s">
        <v>1259</v>
      </c>
      <c r="J860"/>
      <c r="K860" s="436"/>
      <c r="L860" s="436"/>
      <c r="M860" s="436"/>
      <c r="N860" s="436"/>
      <c r="O860" s="436"/>
      <c r="P860" s="436"/>
      <c r="Q860" s="436"/>
      <c r="R860" s="436"/>
      <c r="S860" s="436"/>
      <c r="T860" s="292" t="str">
        <f t="shared" si="84"/>
        <v>トラック・バス</v>
      </c>
      <c r="U860" s="283" t="str">
        <f t="shared" si="85"/>
        <v>メタノール</v>
      </c>
      <c r="V860" s="283" t="str">
        <f t="shared" si="86"/>
        <v>2.5～3.5 t</v>
      </c>
      <c r="W860" s="283" t="str">
        <f t="shared" si="87"/>
        <v>H21</v>
      </c>
      <c r="X860" s="284" t="str">
        <f t="shared" si="87"/>
        <v>MGF</v>
      </c>
      <c r="Y860" s="271" t="s">
        <v>2261</v>
      </c>
      <c r="Z860" s="283">
        <f t="shared" si="88"/>
        <v>3.7499999999999999E-2</v>
      </c>
      <c r="AA860" s="283">
        <f t="shared" si="88"/>
        <v>0</v>
      </c>
      <c r="AB860" s="340">
        <f t="shared" si="88"/>
        <v>1.37</v>
      </c>
      <c r="AN860" s="436"/>
    </row>
    <row r="861" spans="1:41">
      <c r="A861" t="str">
        <f t="shared" ref="A861:A924" si="89">CONCATENATE(C861,E861)</f>
        <v>貨3メRHF</v>
      </c>
      <c r="B861" t="s">
        <v>2106</v>
      </c>
      <c r="C861" t="s">
        <v>2105</v>
      </c>
      <c r="D861" t="s">
        <v>2382</v>
      </c>
      <c r="E861" t="s">
        <v>1319</v>
      </c>
      <c r="F861">
        <v>1.8749999999999999E-2</v>
      </c>
      <c r="G861">
        <v>0</v>
      </c>
      <c r="H861">
        <v>1.37</v>
      </c>
      <c r="I861" t="s">
        <v>1259</v>
      </c>
      <c r="J861"/>
      <c r="K861" s="436"/>
      <c r="L861" s="436"/>
      <c r="M861" s="436"/>
      <c r="N861" s="436"/>
      <c r="O861" s="436"/>
      <c r="P861" s="436"/>
      <c r="Q861" s="436"/>
      <c r="R861" s="436"/>
      <c r="S861" s="436"/>
      <c r="T861" s="292" t="str">
        <f t="shared" si="84"/>
        <v>トラック・バス</v>
      </c>
      <c r="U861" s="283" t="str">
        <f t="shared" si="85"/>
        <v>メタノール</v>
      </c>
      <c r="V861" s="283" t="str">
        <f t="shared" si="86"/>
        <v>2.5～3.5 t</v>
      </c>
      <c r="W861" s="283" t="str">
        <f t="shared" si="87"/>
        <v>H21</v>
      </c>
      <c r="X861" s="284" t="str">
        <f t="shared" si="87"/>
        <v>RHF</v>
      </c>
      <c r="Y861" s="271" t="s">
        <v>2262</v>
      </c>
      <c r="Z861" s="283">
        <f t="shared" si="88"/>
        <v>1.8749999999999999E-2</v>
      </c>
      <c r="AA861" s="283">
        <f t="shared" si="88"/>
        <v>0</v>
      </c>
      <c r="AB861" s="340">
        <f t="shared" si="88"/>
        <v>1.37</v>
      </c>
      <c r="AN861" s="436"/>
    </row>
    <row r="862" spans="1:41">
      <c r="A862" t="str">
        <f t="shared" si="89"/>
        <v>貨3メRGF</v>
      </c>
      <c r="B862" t="s">
        <v>2106</v>
      </c>
      <c r="C862" t="s">
        <v>2105</v>
      </c>
      <c r="D862" t="s">
        <v>2382</v>
      </c>
      <c r="E862" t="s">
        <v>1321</v>
      </c>
      <c r="F862">
        <v>1.8749999999999999E-2</v>
      </c>
      <c r="G862">
        <v>0</v>
      </c>
      <c r="H862">
        <v>1.37</v>
      </c>
      <c r="I862" t="s">
        <v>1259</v>
      </c>
      <c r="J862"/>
      <c r="K862" s="436"/>
      <c r="L862" s="436"/>
      <c r="M862" s="436"/>
      <c r="N862" s="436"/>
      <c r="O862" s="436"/>
      <c r="P862" s="436"/>
      <c r="Q862" s="436"/>
      <c r="R862" s="436"/>
      <c r="S862" s="436"/>
      <c r="T862" s="292" t="str">
        <f t="shared" si="84"/>
        <v>トラック・バス</v>
      </c>
      <c r="U862" s="283" t="str">
        <f t="shared" si="85"/>
        <v>メタノール</v>
      </c>
      <c r="V862" s="283" t="str">
        <f t="shared" si="86"/>
        <v>2.5～3.5 t</v>
      </c>
      <c r="W862" s="283" t="str">
        <f t="shared" si="87"/>
        <v>H21</v>
      </c>
      <c r="X862" s="284" t="str">
        <f t="shared" si="87"/>
        <v>RGF</v>
      </c>
      <c r="Y862" s="271" t="s">
        <v>2262</v>
      </c>
      <c r="Z862" s="283">
        <f t="shared" si="88"/>
        <v>1.8749999999999999E-2</v>
      </c>
      <c r="AA862" s="283">
        <f t="shared" si="88"/>
        <v>0</v>
      </c>
      <c r="AB862" s="340">
        <f t="shared" si="88"/>
        <v>1.37</v>
      </c>
    </row>
    <row r="863" spans="1:41">
      <c r="A863" t="str">
        <f t="shared" si="89"/>
        <v>貨3メQHF</v>
      </c>
      <c r="B863" t="s">
        <v>2106</v>
      </c>
      <c r="C863" t="s">
        <v>2105</v>
      </c>
      <c r="D863" t="s">
        <v>2382</v>
      </c>
      <c r="E863" t="s">
        <v>1323</v>
      </c>
      <c r="F863">
        <v>6.7500000000000004E-2</v>
      </c>
      <c r="G863">
        <v>0</v>
      </c>
      <c r="H863">
        <v>1.37</v>
      </c>
      <c r="I863" t="s">
        <v>1259</v>
      </c>
      <c r="J863"/>
      <c r="K863" s="436"/>
      <c r="L863" s="436"/>
      <c r="M863" s="436"/>
      <c r="N863" s="436"/>
      <c r="O863" s="436"/>
      <c r="P863" s="436"/>
      <c r="Q863" s="436"/>
      <c r="R863" s="436"/>
      <c r="S863" s="436"/>
      <c r="T863" s="292" t="str">
        <f t="shared" si="84"/>
        <v>トラック・バス</v>
      </c>
      <c r="U863" s="283" t="str">
        <f t="shared" si="85"/>
        <v>メタノール</v>
      </c>
      <c r="V863" s="283" t="str">
        <f t="shared" si="86"/>
        <v>2.5～3.5 t</v>
      </c>
      <c r="W863" s="283" t="str">
        <f t="shared" si="87"/>
        <v>H21</v>
      </c>
      <c r="X863" s="284" t="str">
        <f t="shared" si="87"/>
        <v>QHF</v>
      </c>
      <c r="Y863" s="271" t="s">
        <v>1762</v>
      </c>
      <c r="Z863" s="283">
        <f t="shared" si="88"/>
        <v>6.7500000000000004E-2</v>
      </c>
      <c r="AA863" s="283">
        <f t="shared" si="88"/>
        <v>0</v>
      </c>
      <c r="AB863" s="340">
        <f t="shared" si="88"/>
        <v>1.37</v>
      </c>
    </row>
    <row r="864" spans="1:41">
      <c r="A864" t="str">
        <f t="shared" si="89"/>
        <v>貨3メQGF</v>
      </c>
      <c r="B864" t="s">
        <v>2106</v>
      </c>
      <c r="C864" t="s">
        <v>2105</v>
      </c>
      <c r="D864" t="s">
        <v>2382</v>
      </c>
      <c r="E864" t="s">
        <v>1325</v>
      </c>
      <c r="F864">
        <v>6.7500000000000004E-2</v>
      </c>
      <c r="G864">
        <v>0</v>
      </c>
      <c r="H864">
        <v>1.37</v>
      </c>
      <c r="I864" t="s">
        <v>1259</v>
      </c>
      <c r="J864"/>
      <c r="K864" s="436"/>
      <c r="L864" s="436"/>
      <c r="M864" s="436"/>
      <c r="N864" s="436"/>
      <c r="O864" s="436"/>
      <c r="P864" s="436"/>
      <c r="Q864" s="436"/>
      <c r="R864" s="436"/>
      <c r="S864" s="436"/>
      <c r="T864" s="292" t="str">
        <f t="shared" si="84"/>
        <v>トラック・バス</v>
      </c>
      <c r="U864" s="283" t="str">
        <f t="shared" si="85"/>
        <v>メタノール</v>
      </c>
      <c r="V864" s="283" t="str">
        <f t="shared" si="86"/>
        <v>2.5～3.5 t</v>
      </c>
      <c r="W864" s="283" t="str">
        <f t="shared" si="87"/>
        <v>H21</v>
      </c>
      <c r="X864" s="284" t="str">
        <f t="shared" si="87"/>
        <v>QGF</v>
      </c>
      <c r="Y864" s="271" t="s">
        <v>1762</v>
      </c>
      <c r="Z864" s="283">
        <f t="shared" si="88"/>
        <v>6.7500000000000004E-2</v>
      </c>
      <c r="AA864" s="283">
        <f t="shared" si="88"/>
        <v>0</v>
      </c>
      <c r="AB864" s="340">
        <f t="shared" si="88"/>
        <v>1.37</v>
      </c>
    </row>
    <row r="865" spans="1:28">
      <c r="A865" t="str">
        <f t="shared" si="89"/>
        <v>貨3メ3HF</v>
      </c>
      <c r="B865" t="s">
        <v>2106</v>
      </c>
      <c r="C865" t="s">
        <v>2105</v>
      </c>
      <c r="D865" t="s">
        <v>2750</v>
      </c>
      <c r="E865" t="s">
        <v>2601</v>
      </c>
      <c r="F865">
        <v>0.12</v>
      </c>
      <c r="G865">
        <v>0</v>
      </c>
      <c r="H865">
        <v>1.37</v>
      </c>
      <c r="I865" t="s">
        <v>1259</v>
      </c>
      <c r="J865"/>
      <c r="K865" s="436"/>
      <c r="L865" s="436"/>
      <c r="M865" s="436"/>
      <c r="N865" s="436"/>
      <c r="O865" s="436"/>
      <c r="P865" s="436"/>
      <c r="Q865" s="436"/>
      <c r="R865" s="436"/>
      <c r="S865" s="436"/>
      <c r="T865" s="292" t="str">
        <f t="shared" si="84"/>
        <v>トラック・バス</v>
      </c>
      <c r="U865" s="283" t="str">
        <f t="shared" si="85"/>
        <v>メタノール</v>
      </c>
      <c r="V865" s="283" t="str">
        <f t="shared" si="86"/>
        <v>2.5～3.5 t</v>
      </c>
      <c r="W865" s="283" t="str">
        <f t="shared" si="87"/>
        <v>H30</v>
      </c>
      <c r="X865" s="284" t="str">
        <f t="shared" si="87"/>
        <v>3HF</v>
      </c>
      <c r="Y865" s="271"/>
      <c r="Z865" s="283">
        <f t="shared" si="88"/>
        <v>0.12</v>
      </c>
      <c r="AA865" s="283">
        <f t="shared" si="88"/>
        <v>0</v>
      </c>
      <c r="AB865" s="340">
        <f t="shared" si="88"/>
        <v>1.37</v>
      </c>
    </row>
    <row r="866" spans="1:28">
      <c r="A866" t="str">
        <f t="shared" si="89"/>
        <v>貨3メ3GF</v>
      </c>
      <c r="B866" t="s">
        <v>2106</v>
      </c>
      <c r="C866" t="s">
        <v>2105</v>
      </c>
      <c r="D866" t="s">
        <v>2750</v>
      </c>
      <c r="E866" t="s">
        <v>2598</v>
      </c>
      <c r="F866">
        <v>0.06</v>
      </c>
      <c r="G866">
        <v>0</v>
      </c>
      <c r="H866">
        <v>1.37</v>
      </c>
      <c r="I866" t="s">
        <v>1259</v>
      </c>
      <c r="J866"/>
      <c r="T866" s="292" t="str">
        <f t="shared" si="84"/>
        <v>トラック・バス</v>
      </c>
      <c r="U866" s="283" t="str">
        <f t="shared" si="85"/>
        <v>メタノール</v>
      </c>
      <c r="V866" s="283" t="str">
        <f t="shared" si="86"/>
        <v>2.5～3.5 t</v>
      </c>
      <c r="W866" s="283" t="str">
        <f t="shared" si="87"/>
        <v>H30</v>
      </c>
      <c r="X866" s="284" t="str">
        <f t="shared" si="87"/>
        <v>3GF</v>
      </c>
      <c r="Y866" s="271"/>
      <c r="Z866" s="283">
        <f t="shared" si="88"/>
        <v>0.06</v>
      </c>
      <c r="AA866" s="283">
        <f t="shared" si="88"/>
        <v>0</v>
      </c>
      <c r="AB866" s="340">
        <f t="shared" si="88"/>
        <v>1.37</v>
      </c>
    </row>
    <row r="867" spans="1:28">
      <c r="A867" t="str">
        <f t="shared" si="89"/>
        <v>貨3メ4HF</v>
      </c>
      <c r="B867" t="s">
        <v>2106</v>
      </c>
      <c r="C867" t="s">
        <v>2105</v>
      </c>
      <c r="D867" t="s">
        <v>2750</v>
      </c>
      <c r="E867" t="s">
        <v>2631</v>
      </c>
      <c r="F867">
        <v>0.09</v>
      </c>
      <c r="G867">
        <v>0</v>
      </c>
      <c r="H867">
        <v>1.37</v>
      </c>
      <c r="I867" t="s">
        <v>1259</v>
      </c>
      <c r="J867"/>
      <c r="T867" s="292" t="str">
        <f t="shared" si="84"/>
        <v>トラック・バス</v>
      </c>
      <c r="U867" s="283" t="str">
        <f t="shared" si="85"/>
        <v>メタノール</v>
      </c>
      <c r="V867" s="283" t="str">
        <f t="shared" si="86"/>
        <v>2.5～3.5 t</v>
      </c>
      <c r="W867" s="283" t="str">
        <f t="shared" si="87"/>
        <v>H30</v>
      </c>
      <c r="X867" s="284" t="str">
        <f t="shared" si="87"/>
        <v>4HF</v>
      </c>
      <c r="Y867" s="271" t="s">
        <v>1769</v>
      </c>
      <c r="Z867" s="283">
        <f t="shared" si="88"/>
        <v>0.09</v>
      </c>
      <c r="AA867" s="283">
        <f t="shared" si="88"/>
        <v>0</v>
      </c>
      <c r="AB867" s="340">
        <f t="shared" si="88"/>
        <v>1.37</v>
      </c>
    </row>
    <row r="868" spans="1:28">
      <c r="A868" t="str">
        <f t="shared" si="89"/>
        <v>貨3メ4GF</v>
      </c>
      <c r="B868" t="s">
        <v>2106</v>
      </c>
      <c r="C868" t="s">
        <v>2105</v>
      </c>
      <c r="D868" t="s">
        <v>2750</v>
      </c>
      <c r="E868" t="s">
        <v>2628</v>
      </c>
      <c r="F868">
        <v>0.09</v>
      </c>
      <c r="G868">
        <v>0</v>
      </c>
      <c r="H868">
        <v>1.37</v>
      </c>
      <c r="I868" t="s">
        <v>1259</v>
      </c>
      <c r="J868"/>
      <c r="T868" s="292" t="str">
        <f t="shared" si="84"/>
        <v>トラック・バス</v>
      </c>
      <c r="U868" s="283" t="str">
        <f t="shared" si="85"/>
        <v>メタノール</v>
      </c>
      <c r="V868" s="283" t="str">
        <f t="shared" si="86"/>
        <v>2.5～3.5 t</v>
      </c>
      <c r="W868" s="283" t="str">
        <f t="shared" si="87"/>
        <v>H30</v>
      </c>
      <c r="X868" s="284" t="str">
        <f t="shared" si="87"/>
        <v>4GF</v>
      </c>
      <c r="Y868" s="271" t="s">
        <v>1769</v>
      </c>
      <c r="Z868" s="283">
        <f t="shared" si="88"/>
        <v>0.09</v>
      </c>
      <c r="AA868" s="283">
        <f t="shared" si="88"/>
        <v>0</v>
      </c>
      <c r="AB868" s="340">
        <f t="shared" si="88"/>
        <v>1.37</v>
      </c>
    </row>
    <row r="869" spans="1:28">
      <c r="A869" t="str">
        <f t="shared" si="89"/>
        <v>貨3メ5HF</v>
      </c>
      <c r="B869" t="s">
        <v>2106</v>
      </c>
      <c r="C869" t="s">
        <v>2105</v>
      </c>
      <c r="D869" t="s">
        <v>2750</v>
      </c>
      <c r="E869" t="s">
        <v>2661</v>
      </c>
      <c r="F869">
        <v>0.06</v>
      </c>
      <c r="G869">
        <v>0</v>
      </c>
      <c r="H869">
        <v>1.37</v>
      </c>
      <c r="I869" t="s">
        <v>1259</v>
      </c>
      <c r="J869"/>
      <c r="T869" s="292" t="str">
        <f t="shared" si="84"/>
        <v>トラック・バス</v>
      </c>
      <c r="U869" s="283" t="str">
        <f t="shared" si="85"/>
        <v>メタノール</v>
      </c>
      <c r="V869" s="283" t="str">
        <f t="shared" si="86"/>
        <v>2.5～3.5 t</v>
      </c>
      <c r="W869" s="283" t="str">
        <f t="shared" si="87"/>
        <v>H30</v>
      </c>
      <c r="X869" s="284" t="str">
        <f t="shared" si="87"/>
        <v>5HF</v>
      </c>
      <c r="Y869" s="271" t="s">
        <v>2262</v>
      </c>
      <c r="Z869" s="283">
        <f t="shared" si="88"/>
        <v>0.06</v>
      </c>
      <c r="AA869" s="283">
        <f t="shared" si="88"/>
        <v>0</v>
      </c>
      <c r="AB869" s="340">
        <f t="shared" si="88"/>
        <v>1.37</v>
      </c>
    </row>
    <row r="870" spans="1:28">
      <c r="A870" t="str">
        <f t="shared" si="89"/>
        <v>貨3メ5GF</v>
      </c>
      <c r="B870" t="s">
        <v>2106</v>
      </c>
      <c r="C870" t="s">
        <v>2105</v>
      </c>
      <c r="D870" t="s">
        <v>2750</v>
      </c>
      <c r="E870" t="s">
        <v>2658</v>
      </c>
      <c r="F870">
        <v>0.06</v>
      </c>
      <c r="G870">
        <v>0</v>
      </c>
      <c r="H870">
        <v>1.37</v>
      </c>
      <c r="I870" t="s">
        <v>1259</v>
      </c>
      <c r="J870"/>
      <c r="T870" s="292" t="str">
        <f t="shared" si="84"/>
        <v>トラック・バス</v>
      </c>
      <c r="U870" s="283" t="str">
        <f t="shared" si="85"/>
        <v>メタノール</v>
      </c>
      <c r="V870" s="283" t="str">
        <f t="shared" si="86"/>
        <v>2.5～3.5 t</v>
      </c>
      <c r="W870" s="283" t="str">
        <f t="shared" si="87"/>
        <v>H30</v>
      </c>
      <c r="X870" s="284" t="str">
        <f t="shared" si="87"/>
        <v>5GF</v>
      </c>
      <c r="Y870" s="271" t="s">
        <v>2262</v>
      </c>
      <c r="Z870" s="283">
        <f t="shared" si="88"/>
        <v>0.06</v>
      </c>
      <c r="AA870" s="283">
        <f t="shared" si="88"/>
        <v>0</v>
      </c>
      <c r="AB870" s="340">
        <f t="shared" si="88"/>
        <v>1.37</v>
      </c>
    </row>
    <row r="871" spans="1:28">
      <c r="A871" t="str">
        <f t="shared" si="89"/>
        <v>貨3メ6HF</v>
      </c>
      <c r="B871" t="s">
        <v>2106</v>
      </c>
      <c r="C871" t="s">
        <v>2105</v>
      </c>
      <c r="D871" t="s">
        <v>2750</v>
      </c>
      <c r="E871" t="s">
        <v>2691</v>
      </c>
      <c r="F871">
        <v>0.03</v>
      </c>
      <c r="G871">
        <v>0</v>
      </c>
      <c r="H871">
        <v>1.37</v>
      </c>
      <c r="I871" t="s">
        <v>1259</v>
      </c>
      <c r="J871"/>
      <c r="T871" s="292" t="str">
        <f t="shared" si="84"/>
        <v>トラック・バス</v>
      </c>
      <c r="U871" s="283" t="str">
        <f t="shared" si="85"/>
        <v>メタノール</v>
      </c>
      <c r="V871" s="283" t="str">
        <f t="shared" si="86"/>
        <v>2.5～3.5 t</v>
      </c>
      <c r="W871" s="283" t="str">
        <f t="shared" si="87"/>
        <v>H30</v>
      </c>
      <c r="X871" s="284" t="str">
        <f t="shared" si="87"/>
        <v>6HF</v>
      </c>
      <c r="Y871" s="271" t="s">
        <v>2758</v>
      </c>
      <c r="Z871" s="283">
        <f t="shared" si="88"/>
        <v>0.03</v>
      </c>
      <c r="AA871" s="283">
        <f t="shared" si="88"/>
        <v>0</v>
      </c>
      <c r="AB871" s="340">
        <f t="shared" si="88"/>
        <v>1.37</v>
      </c>
    </row>
    <row r="872" spans="1:28">
      <c r="A872" t="str">
        <f t="shared" si="89"/>
        <v>貨3メ6GF</v>
      </c>
      <c r="B872" t="s">
        <v>2106</v>
      </c>
      <c r="C872" t="s">
        <v>2105</v>
      </c>
      <c r="D872" t="s">
        <v>2750</v>
      </c>
      <c r="E872" t="s">
        <v>2688</v>
      </c>
      <c r="F872">
        <v>0.03</v>
      </c>
      <c r="G872">
        <v>0</v>
      </c>
      <c r="H872">
        <v>1.37</v>
      </c>
      <c r="I872" t="s">
        <v>1259</v>
      </c>
      <c r="J872"/>
      <c r="T872" s="292" t="str">
        <f t="shared" si="84"/>
        <v>トラック・バス</v>
      </c>
      <c r="U872" s="283" t="str">
        <f t="shared" si="85"/>
        <v>メタノール</v>
      </c>
      <c r="V872" s="283" t="str">
        <f t="shared" si="86"/>
        <v>2.5～3.5 t</v>
      </c>
      <c r="W872" s="283" t="str">
        <f t="shared" si="87"/>
        <v>H30</v>
      </c>
      <c r="X872" s="284" t="str">
        <f t="shared" si="87"/>
        <v>6GF</v>
      </c>
      <c r="Y872" s="271" t="s">
        <v>2758</v>
      </c>
      <c r="Z872" s="283">
        <f t="shared" si="88"/>
        <v>0.03</v>
      </c>
      <c r="AA872" s="283">
        <f t="shared" si="88"/>
        <v>0</v>
      </c>
      <c r="AB872" s="340">
        <f t="shared" si="88"/>
        <v>1.37</v>
      </c>
    </row>
    <row r="873" spans="1:28">
      <c r="A873" t="str">
        <f t="shared" si="89"/>
        <v>貨4メTR</v>
      </c>
      <c r="B873" t="s">
        <v>2108</v>
      </c>
      <c r="C873" t="s">
        <v>2107</v>
      </c>
      <c r="D873" t="s">
        <v>29</v>
      </c>
      <c r="E873" t="s">
        <v>1215</v>
      </c>
      <c r="F873">
        <v>9.7500000000000003E-2</v>
      </c>
      <c r="G873">
        <v>0</v>
      </c>
      <c r="H873">
        <v>1.37</v>
      </c>
      <c r="I873" t="s">
        <v>1259</v>
      </c>
      <c r="J873"/>
      <c r="T873" s="292" t="str">
        <f t="shared" si="84"/>
        <v>トラック・バス</v>
      </c>
      <c r="U873" s="283" t="str">
        <f t="shared" si="85"/>
        <v>メタノール</v>
      </c>
      <c r="V873" s="283" t="str">
        <f t="shared" si="86"/>
        <v>3.5 t～</v>
      </c>
      <c r="W873" s="283" t="str">
        <f t="shared" si="87"/>
        <v>H15,H16</v>
      </c>
      <c r="X873" s="284" t="str">
        <f t="shared" si="87"/>
        <v>TR</v>
      </c>
      <c r="Y873" s="271" t="s">
        <v>1765</v>
      </c>
      <c r="Z873" s="283">
        <f t="shared" si="88"/>
        <v>9.7500000000000003E-2</v>
      </c>
      <c r="AA873" s="283">
        <f t="shared" si="88"/>
        <v>0</v>
      </c>
      <c r="AB873" s="340">
        <f t="shared" si="88"/>
        <v>1.37</v>
      </c>
    </row>
    <row r="874" spans="1:28">
      <c r="A874" t="str">
        <f t="shared" si="89"/>
        <v>貨4メLR</v>
      </c>
      <c r="B874" t="s">
        <v>2108</v>
      </c>
      <c r="C874" t="s">
        <v>2107</v>
      </c>
      <c r="D874" t="s">
        <v>29</v>
      </c>
      <c r="E874" t="s">
        <v>1217</v>
      </c>
      <c r="F874">
        <v>6.5000000000000002E-2</v>
      </c>
      <c r="G874">
        <v>0</v>
      </c>
      <c r="H874">
        <v>1.37</v>
      </c>
      <c r="I874" t="s">
        <v>1259</v>
      </c>
      <c r="J874"/>
      <c r="T874" s="292" t="str">
        <f t="shared" si="84"/>
        <v>トラック・バス</v>
      </c>
      <c r="U874" s="283" t="str">
        <f t="shared" si="85"/>
        <v>メタノール</v>
      </c>
      <c r="V874" s="283" t="str">
        <f t="shared" si="86"/>
        <v>3.5 t～</v>
      </c>
      <c r="W874" s="283" t="str">
        <f t="shared" si="87"/>
        <v>H15,H16</v>
      </c>
      <c r="X874" s="284" t="str">
        <f t="shared" si="87"/>
        <v>LR</v>
      </c>
      <c r="Y874" s="271" t="s">
        <v>1766</v>
      </c>
      <c r="Z874" s="283">
        <f t="shared" si="88"/>
        <v>6.5000000000000002E-2</v>
      </c>
      <c r="AA874" s="283">
        <f t="shared" si="88"/>
        <v>0</v>
      </c>
      <c r="AB874" s="340">
        <f t="shared" si="88"/>
        <v>1.37</v>
      </c>
    </row>
    <row r="875" spans="1:28">
      <c r="A875" t="str">
        <f t="shared" si="89"/>
        <v>貨4メUR</v>
      </c>
      <c r="B875" t="s">
        <v>2108</v>
      </c>
      <c r="C875" t="s">
        <v>2107</v>
      </c>
      <c r="D875" t="s">
        <v>29</v>
      </c>
      <c r="E875" t="s">
        <v>1219</v>
      </c>
      <c r="F875">
        <v>3.2500000000000001E-2</v>
      </c>
      <c r="G875">
        <v>0</v>
      </c>
      <c r="H875">
        <v>1.37</v>
      </c>
      <c r="I875" t="s">
        <v>1259</v>
      </c>
      <c r="J875"/>
      <c r="T875" s="292" t="str">
        <f t="shared" si="84"/>
        <v>トラック・バス</v>
      </c>
      <c r="U875" s="283" t="str">
        <f t="shared" si="85"/>
        <v>メタノール</v>
      </c>
      <c r="V875" s="283" t="str">
        <f t="shared" si="86"/>
        <v>3.5 t～</v>
      </c>
      <c r="W875" s="283" t="str">
        <f t="shared" si="87"/>
        <v>H15,H16</v>
      </c>
      <c r="X875" s="284" t="str">
        <f t="shared" si="87"/>
        <v>UR</v>
      </c>
      <c r="Y875" s="271" t="s">
        <v>1767</v>
      </c>
      <c r="Z875" s="283">
        <f t="shared" si="88"/>
        <v>3.2500000000000001E-2</v>
      </c>
      <c r="AA875" s="283">
        <f t="shared" si="88"/>
        <v>0</v>
      </c>
      <c r="AB875" s="340">
        <f t="shared" si="88"/>
        <v>1.37</v>
      </c>
    </row>
    <row r="876" spans="1:28">
      <c r="A876" t="str">
        <f t="shared" si="89"/>
        <v>貨4メAHG</v>
      </c>
      <c r="B876" t="s">
        <v>2108</v>
      </c>
      <c r="C876" t="s">
        <v>2107</v>
      </c>
      <c r="D876" t="s">
        <v>1979</v>
      </c>
      <c r="E876" t="s">
        <v>1349</v>
      </c>
      <c r="F876">
        <v>7.4999999999999997E-2</v>
      </c>
      <c r="G876">
        <v>0</v>
      </c>
      <c r="H876">
        <v>1.37</v>
      </c>
      <c r="I876" t="s">
        <v>1259</v>
      </c>
      <c r="J876"/>
      <c r="T876" s="292" t="str">
        <f t="shared" si="84"/>
        <v>トラック・バス</v>
      </c>
      <c r="U876" s="283" t="str">
        <f t="shared" si="85"/>
        <v>メタノール</v>
      </c>
      <c r="V876" s="283" t="str">
        <f t="shared" si="86"/>
        <v>3.5 t～</v>
      </c>
      <c r="W876" s="283" t="str">
        <f t="shared" si="87"/>
        <v>H17</v>
      </c>
      <c r="X876" s="284" t="str">
        <f t="shared" si="87"/>
        <v>AHG</v>
      </c>
      <c r="Y876" s="271"/>
      <c r="Z876" s="283">
        <f t="shared" si="88"/>
        <v>7.4999999999999997E-2</v>
      </c>
      <c r="AA876" s="283">
        <f t="shared" si="88"/>
        <v>0</v>
      </c>
      <c r="AB876" s="340">
        <f t="shared" si="88"/>
        <v>1.37</v>
      </c>
    </row>
    <row r="877" spans="1:28">
      <c r="A877" t="str">
        <f t="shared" si="89"/>
        <v>貨4メAGG</v>
      </c>
      <c r="B877" t="s">
        <v>2108</v>
      </c>
      <c r="C877" t="s">
        <v>2107</v>
      </c>
      <c r="D877" t="s">
        <v>1979</v>
      </c>
      <c r="E877" t="s">
        <v>1351</v>
      </c>
      <c r="F877">
        <v>3.7499999999999999E-2</v>
      </c>
      <c r="G877">
        <v>0</v>
      </c>
      <c r="H877">
        <v>1.37</v>
      </c>
      <c r="I877" t="s">
        <v>1259</v>
      </c>
      <c r="J877"/>
      <c r="T877" s="292" t="str">
        <f t="shared" si="84"/>
        <v>トラック・バス</v>
      </c>
      <c r="U877" s="283" t="str">
        <f t="shared" si="85"/>
        <v>メタノール</v>
      </c>
      <c r="V877" s="283" t="str">
        <f t="shared" si="86"/>
        <v>3.5 t～</v>
      </c>
      <c r="W877" s="283" t="str">
        <f t="shared" si="87"/>
        <v>H17</v>
      </c>
      <c r="X877" s="284" t="str">
        <f t="shared" si="87"/>
        <v>AGG</v>
      </c>
      <c r="Y877" s="271"/>
      <c r="Z877" s="283">
        <f t="shared" si="88"/>
        <v>3.7499999999999999E-2</v>
      </c>
      <c r="AA877" s="283">
        <f t="shared" si="88"/>
        <v>0</v>
      </c>
      <c r="AB877" s="340">
        <f t="shared" si="88"/>
        <v>1.37</v>
      </c>
    </row>
    <row r="878" spans="1:28">
      <c r="A878" t="str">
        <f t="shared" si="89"/>
        <v>貨4メBGG</v>
      </c>
      <c r="B878" t="s">
        <v>2108</v>
      </c>
      <c r="C878" t="s">
        <v>2107</v>
      </c>
      <c r="D878" t="s">
        <v>1979</v>
      </c>
      <c r="E878" t="s">
        <v>1353</v>
      </c>
      <c r="F878">
        <v>6.7500000000000004E-2</v>
      </c>
      <c r="G878">
        <v>0</v>
      </c>
      <c r="H878">
        <v>1.37</v>
      </c>
      <c r="I878" t="s">
        <v>1259</v>
      </c>
      <c r="J878"/>
      <c r="T878" s="292" t="str">
        <f t="shared" si="84"/>
        <v>トラック・バス</v>
      </c>
      <c r="U878" s="283" t="str">
        <f t="shared" si="85"/>
        <v>メタノール</v>
      </c>
      <c r="V878" s="283" t="str">
        <f t="shared" si="86"/>
        <v>3.5 t～</v>
      </c>
      <c r="W878" s="283" t="str">
        <f t="shared" si="87"/>
        <v>H17</v>
      </c>
      <c r="X878" s="284" t="str">
        <f t="shared" si="87"/>
        <v>BGG</v>
      </c>
      <c r="Y878" s="271" t="s">
        <v>2398</v>
      </c>
      <c r="Z878" s="283">
        <f t="shared" si="88"/>
        <v>6.7500000000000004E-2</v>
      </c>
      <c r="AA878" s="283">
        <f t="shared" si="88"/>
        <v>0</v>
      </c>
      <c r="AB878" s="340">
        <f t="shared" si="88"/>
        <v>1.37</v>
      </c>
    </row>
    <row r="879" spans="1:28">
      <c r="A879" t="str">
        <f t="shared" si="89"/>
        <v>貨4メBHG</v>
      </c>
      <c r="B879" t="s">
        <v>2108</v>
      </c>
      <c r="C879" t="s">
        <v>2107</v>
      </c>
      <c r="D879" t="s">
        <v>1979</v>
      </c>
      <c r="E879" t="s">
        <v>1355</v>
      </c>
      <c r="F879">
        <v>6.7500000000000004E-2</v>
      </c>
      <c r="G879">
        <v>0</v>
      </c>
      <c r="H879">
        <v>1.37</v>
      </c>
      <c r="I879" t="s">
        <v>1259</v>
      </c>
      <c r="J879"/>
      <c r="T879" s="292" t="str">
        <f t="shared" si="84"/>
        <v>トラック・バス</v>
      </c>
      <c r="U879" s="283" t="str">
        <f t="shared" si="85"/>
        <v>メタノール</v>
      </c>
      <c r="V879" s="283" t="str">
        <f t="shared" si="86"/>
        <v>3.5 t～</v>
      </c>
      <c r="W879" s="283" t="str">
        <f t="shared" si="87"/>
        <v>H17</v>
      </c>
      <c r="X879" s="284" t="str">
        <f t="shared" si="87"/>
        <v>BHG</v>
      </c>
      <c r="Y879" s="271" t="s">
        <v>2398</v>
      </c>
      <c r="Z879" s="283">
        <f t="shared" si="88"/>
        <v>6.7500000000000004E-2</v>
      </c>
      <c r="AA879" s="283">
        <f t="shared" si="88"/>
        <v>0</v>
      </c>
      <c r="AB879" s="340">
        <f t="shared" si="88"/>
        <v>1.37</v>
      </c>
    </row>
    <row r="880" spans="1:28">
      <c r="A880" t="str">
        <f t="shared" si="89"/>
        <v>貨4メLHG</v>
      </c>
      <c r="B880" t="s">
        <v>2919</v>
      </c>
      <c r="C880" t="s">
        <v>2107</v>
      </c>
      <c r="D880" t="s">
        <v>2382</v>
      </c>
      <c r="E880" t="s">
        <v>1361</v>
      </c>
      <c r="F880">
        <v>2.5000000000000001E-2</v>
      </c>
      <c r="G880">
        <v>0</v>
      </c>
      <c r="H880">
        <v>1.37</v>
      </c>
      <c r="I880" t="s">
        <v>1259</v>
      </c>
      <c r="J880"/>
      <c r="T880" s="292" t="str">
        <f t="shared" si="84"/>
        <v>トラック・バス</v>
      </c>
      <c r="U880" s="283" t="str">
        <f t="shared" si="85"/>
        <v>メタノール</v>
      </c>
      <c r="V880" s="283" t="str">
        <f t="shared" si="86"/>
        <v>3.5 t～</v>
      </c>
      <c r="W880" s="283" t="str">
        <f t="shared" si="87"/>
        <v>H21</v>
      </c>
      <c r="X880" s="284" t="str">
        <f t="shared" si="87"/>
        <v>LHG</v>
      </c>
      <c r="Y880" s="271"/>
      <c r="Z880" s="283">
        <f t="shared" si="88"/>
        <v>2.5000000000000001E-2</v>
      </c>
      <c r="AA880" s="283">
        <f t="shared" si="88"/>
        <v>0</v>
      </c>
      <c r="AB880" s="340">
        <f t="shared" si="88"/>
        <v>1.37</v>
      </c>
    </row>
    <row r="881" spans="1:28">
      <c r="A881" t="str">
        <f t="shared" si="89"/>
        <v>貨4メLGG</v>
      </c>
      <c r="B881" t="s">
        <v>2919</v>
      </c>
      <c r="C881" t="s">
        <v>2107</v>
      </c>
      <c r="D881" t="s">
        <v>2382</v>
      </c>
      <c r="E881" t="s">
        <v>1363</v>
      </c>
      <c r="F881">
        <v>1.2500000000000001E-2</v>
      </c>
      <c r="G881">
        <v>0</v>
      </c>
      <c r="H881">
        <v>1.37</v>
      </c>
      <c r="I881" t="s">
        <v>1259</v>
      </c>
      <c r="J881"/>
      <c r="T881" s="292" t="str">
        <f t="shared" si="84"/>
        <v>トラック・バス</v>
      </c>
      <c r="U881" s="283" t="str">
        <f t="shared" si="85"/>
        <v>メタノール</v>
      </c>
      <c r="V881" s="283" t="str">
        <f t="shared" si="86"/>
        <v>3.5 t～</v>
      </c>
      <c r="W881" s="283" t="str">
        <f t="shared" si="87"/>
        <v>H21</v>
      </c>
      <c r="X881" s="284" t="str">
        <f t="shared" si="87"/>
        <v>LGG</v>
      </c>
      <c r="Y881" s="271"/>
      <c r="Z881" s="283">
        <f t="shared" si="88"/>
        <v>1.2500000000000001E-2</v>
      </c>
      <c r="AA881" s="283">
        <f t="shared" si="88"/>
        <v>0</v>
      </c>
      <c r="AB881" s="340">
        <f t="shared" si="88"/>
        <v>1.37</v>
      </c>
    </row>
    <row r="882" spans="1:28">
      <c r="A882" t="str">
        <f t="shared" si="89"/>
        <v>貨4メMHG</v>
      </c>
      <c r="B882" t="s">
        <v>2920</v>
      </c>
      <c r="C882" t="s">
        <v>2107</v>
      </c>
      <c r="D882" t="s">
        <v>2382</v>
      </c>
      <c r="E882" t="s">
        <v>1365</v>
      </c>
      <c r="F882">
        <v>1.2500000000000001E-2</v>
      </c>
      <c r="G882">
        <v>0</v>
      </c>
      <c r="H882">
        <v>1.37</v>
      </c>
      <c r="I882" t="s">
        <v>1259</v>
      </c>
      <c r="J882"/>
      <c r="T882" s="292" t="str">
        <f t="shared" si="84"/>
        <v>トラック・バス</v>
      </c>
      <c r="U882" s="283" t="str">
        <f t="shared" si="85"/>
        <v>メタノール</v>
      </c>
      <c r="V882" s="283" t="str">
        <f t="shared" si="86"/>
        <v>3.5 t～</v>
      </c>
      <c r="W882" s="283" t="str">
        <f t="shared" si="87"/>
        <v>H21</v>
      </c>
      <c r="X882" s="284" t="str">
        <f t="shared" si="87"/>
        <v>MHG</v>
      </c>
      <c r="Y882" s="271" t="s">
        <v>2261</v>
      </c>
      <c r="Z882" s="283">
        <f t="shared" si="88"/>
        <v>1.2500000000000001E-2</v>
      </c>
      <c r="AA882" s="283">
        <f t="shared" si="88"/>
        <v>0</v>
      </c>
      <c r="AB882" s="340">
        <f t="shared" si="88"/>
        <v>1.37</v>
      </c>
    </row>
    <row r="883" spans="1:28">
      <c r="A883" t="str">
        <f t="shared" si="89"/>
        <v>貨4メMGG</v>
      </c>
      <c r="B883" t="s">
        <v>2920</v>
      </c>
      <c r="C883" t="s">
        <v>2107</v>
      </c>
      <c r="D883" t="s">
        <v>2382</v>
      </c>
      <c r="E883" t="s">
        <v>1367</v>
      </c>
      <c r="F883">
        <v>1.2500000000000001E-2</v>
      </c>
      <c r="G883">
        <v>0</v>
      </c>
      <c r="H883">
        <v>1.37</v>
      </c>
      <c r="I883" t="s">
        <v>1259</v>
      </c>
      <c r="J883"/>
      <c r="T883" s="292" t="str">
        <f t="shared" si="84"/>
        <v>トラック・バス</v>
      </c>
      <c r="U883" s="283" t="str">
        <f t="shared" si="85"/>
        <v>メタノール</v>
      </c>
      <c r="V883" s="283" t="str">
        <f t="shared" si="86"/>
        <v>3.5 t～</v>
      </c>
      <c r="W883" s="283" t="str">
        <f t="shared" si="87"/>
        <v>H21</v>
      </c>
      <c r="X883" s="284" t="str">
        <f t="shared" si="87"/>
        <v>MGG</v>
      </c>
      <c r="Y883" s="271" t="s">
        <v>2261</v>
      </c>
      <c r="Z883" s="283">
        <f t="shared" si="88"/>
        <v>1.2500000000000001E-2</v>
      </c>
      <c r="AA883" s="283">
        <f t="shared" si="88"/>
        <v>0</v>
      </c>
      <c r="AB883" s="340">
        <f t="shared" si="88"/>
        <v>1.37</v>
      </c>
    </row>
    <row r="884" spans="1:28">
      <c r="A884" t="str">
        <f t="shared" si="89"/>
        <v>貨4メRHG</v>
      </c>
      <c r="B884" t="s">
        <v>2920</v>
      </c>
      <c r="C884" t="s">
        <v>2107</v>
      </c>
      <c r="D884" t="s">
        <v>2382</v>
      </c>
      <c r="E884" t="s">
        <v>1369</v>
      </c>
      <c r="F884">
        <v>6.2500000000000003E-3</v>
      </c>
      <c r="G884">
        <v>0</v>
      </c>
      <c r="H884">
        <v>1.37</v>
      </c>
      <c r="I884" t="s">
        <v>1259</v>
      </c>
      <c r="J884"/>
      <c r="T884" s="292" t="str">
        <f t="shared" si="84"/>
        <v>トラック・バス</v>
      </c>
      <c r="U884" s="283" t="str">
        <f t="shared" si="85"/>
        <v>メタノール</v>
      </c>
      <c r="V884" s="283" t="str">
        <f t="shared" si="86"/>
        <v>3.5 t～</v>
      </c>
      <c r="W884" s="283" t="str">
        <f t="shared" si="87"/>
        <v>H21</v>
      </c>
      <c r="X884" s="284" t="str">
        <f t="shared" si="87"/>
        <v>RHG</v>
      </c>
      <c r="Y884" s="271" t="s">
        <v>2262</v>
      </c>
      <c r="Z884" s="283">
        <f t="shared" si="88"/>
        <v>6.2500000000000003E-3</v>
      </c>
      <c r="AA884" s="283">
        <f t="shared" si="88"/>
        <v>0</v>
      </c>
      <c r="AB884" s="340">
        <f t="shared" si="88"/>
        <v>1.37</v>
      </c>
    </row>
    <row r="885" spans="1:28">
      <c r="A885" t="str">
        <f t="shared" si="89"/>
        <v>貨4メRGG</v>
      </c>
      <c r="B885" t="s">
        <v>2920</v>
      </c>
      <c r="C885" t="s">
        <v>2107</v>
      </c>
      <c r="D885" t="s">
        <v>2382</v>
      </c>
      <c r="E885" t="s">
        <v>1371</v>
      </c>
      <c r="F885">
        <v>6.2500000000000003E-3</v>
      </c>
      <c r="G885">
        <v>0</v>
      </c>
      <c r="H885">
        <v>1.37</v>
      </c>
      <c r="I885" t="s">
        <v>1259</v>
      </c>
      <c r="J885"/>
      <c r="T885" s="292" t="str">
        <f t="shared" si="84"/>
        <v>トラック・バス</v>
      </c>
      <c r="U885" s="283" t="str">
        <f t="shared" si="85"/>
        <v>メタノール</v>
      </c>
      <c r="V885" s="283" t="str">
        <f t="shared" si="86"/>
        <v>3.5 t～</v>
      </c>
      <c r="W885" s="283" t="str">
        <f t="shared" si="87"/>
        <v>H21</v>
      </c>
      <c r="X885" s="284" t="str">
        <f t="shared" si="87"/>
        <v>RGG</v>
      </c>
      <c r="Y885" s="271" t="s">
        <v>2262</v>
      </c>
      <c r="Z885" s="283">
        <f t="shared" si="88"/>
        <v>6.2500000000000003E-3</v>
      </c>
      <c r="AA885" s="283">
        <f t="shared" si="88"/>
        <v>0</v>
      </c>
      <c r="AB885" s="340">
        <f t="shared" si="88"/>
        <v>1.37</v>
      </c>
    </row>
    <row r="886" spans="1:28">
      <c r="A886" t="str">
        <f t="shared" si="89"/>
        <v>貨4メQHG</v>
      </c>
      <c r="B886" t="s">
        <v>2920</v>
      </c>
      <c r="C886" t="s">
        <v>2107</v>
      </c>
      <c r="D886" t="s">
        <v>2382</v>
      </c>
      <c r="E886" t="s">
        <v>1373</v>
      </c>
      <c r="F886">
        <v>2.2499999999999999E-2</v>
      </c>
      <c r="G886">
        <v>0</v>
      </c>
      <c r="H886">
        <v>1.37</v>
      </c>
      <c r="I886" t="s">
        <v>1259</v>
      </c>
      <c r="J886"/>
      <c r="T886" s="292" t="str">
        <f t="shared" si="84"/>
        <v>トラック・バス</v>
      </c>
      <c r="U886" s="283" t="str">
        <f t="shared" si="85"/>
        <v>メタノール</v>
      </c>
      <c r="V886" s="283" t="str">
        <f t="shared" si="86"/>
        <v>3.5 t～</v>
      </c>
      <c r="W886" s="283" t="str">
        <f t="shared" si="87"/>
        <v>H21</v>
      </c>
      <c r="X886" s="284" t="str">
        <f t="shared" si="87"/>
        <v>QHG</v>
      </c>
      <c r="Y886" s="271" t="s">
        <v>1762</v>
      </c>
      <c r="Z886" s="283">
        <f t="shared" si="88"/>
        <v>2.2499999999999999E-2</v>
      </c>
      <c r="AA886" s="283">
        <f t="shared" si="88"/>
        <v>0</v>
      </c>
      <c r="AB886" s="340">
        <f t="shared" si="88"/>
        <v>1.37</v>
      </c>
    </row>
    <row r="887" spans="1:28">
      <c r="A887" t="str">
        <f t="shared" si="89"/>
        <v>貨4メQGG</v>
      </c>
      <c r="B887" t="s">
        <v>2920</v>
      </c>
      <c r="C887" t="s">
        <v>2107</v>
      </c>
      <c r="D887" t="s">
        <v>2382</v>
      </c>
      <c r="E887" t="s">
        <v>1375</v>
      </c>
      <c r="F887">
        <v>2.2499999999999999E-2</v>
      </c>
      <c r="G887">
        <v>0</v>
      </c>
      <c r="H887">
        <v>1.37</v>
      </c>
      <c r="I887" t="s">
        <v>1259</v>
      </c>
      <c r="J887"/>
      <c r="T887" s="292" t="str">
        <f t="shared" si="84"/>
        <v>トラック・バス</v>
      </c>
      <c r="U887" s="283" t="str">
        <f t="shared" si="85"/>
        <v>メタノール</v>
      </c>
      <c r="V887" s="283" t="str">
        <f t="shared" si="86"/>
        <v>3.5 t～</v>
      </c>
      <c r="W887" s="283" t="str">
        <f t="shared" si="87"/>
        <v>H21</v>
      </c>
      <c r="X887" s="284" t="str">
        <f t="shared" si="87"/>
        <v>QGG</v>
      </c>
      <c r="Y887" s="271" t="s">
        <v>1762</v>
      </c>
      <c r="Z887" s="283">
        <f t="shared" si="88"/>
        <v>2.2499999999999999E-2</v>
      </c>
      <c r="AA887" s="283">
        <f t="shared" si="88"/>
        <v>0</v>
      </c>
      <c r="AB887" s="340">
        <f t="shared" si="88"/>
        <v>1.37</v>
      </c>
    </row>
    <row r="888" spans="1:28">
      <c r="A888" t="str">
        <f t="shared" si="89"/>
        <v>貨4メSHG</v>
      </c>
      <c r="B888" t="s">
        <v>2921</v>
      </c>
      <c r="C888" t="s">
        <v>2107</v>
      </c>
      <c r="D888" t="s">
        <v>2390</v>
      </c>
      <c r="E888" t="s">
        <v>1377</v>
      </c>
      <c r="F888">
        <v>2.5000000000000001E-2</v>
      </c>
      <c r="G888">
        <v>0</v>
      </c>
      <c r="H888">
        <v>1.37</v>
      </c>
      <c r="I888" t="s">
        <v>1259</v>
      </c>
      <c r="J888"/>
      <c r="T888" s="292" t="str">
        <f t="shared" si="84"/>
        <v>トラック・バス</v>
      </c>
      <c r="U888" s="283" t="str">
        <f t="shared" si="85"/>
        <v>メタノール</v>
      </c>
      <c r="V888" s="283" t="str">
        <f t="shared" si="86"/>
        <v>3.5 t～</v>
      </c>
      <c r="W888" s="283" t="str">
        <f t="shared" si="87"/>
        <v>H22</v>
      </c>
      <c r="X888" s="284" t="str">
        <f t="shared" si="87"/>
        <v>SHG</v>
      </c>
      <c r="Y888" s="271"/>
      <c r="Z888" s="283">
        <f t="shared" si="88"/>
        <v>2.5000000000000001E-2</v>
      </c>
      <c r="AA888" s="283">
        <f t="shared" si="88"/>
        <v>0</v>
      </c>
      <c r="AB888" s="340">
        <f t="shared" si="88"/>
        <v>1.37</v>
      </c>
    </row>
    <row r="889" spans="1:28">
      <c r="A889" t="str">
        <f t="shared" si="89"/>
        <v>貨4メSGG</v>
      </c>
      <c r="B889" t="s">
        <v>2921</v>
      </c>
      <c r="C889" t="s">
        <v>2107</v>
      </c>
      <c r="D889" t="s">
        <v>2390</v>
      </c>
      <c r="E889" t="s">
        <v>1379</v>
      </c>
      <c r="F889">
        <v>1.2500000000000001E-2</v>
      </c>
      <c r="G889">
        <v>0</v>
      </c>
      <c r="H889">
        <v>1.37</v>
      </c>
      <c r="I889" t="s">
        <v>1259</v>
      </c>
      <c r="J889"/>
      <c r="T889" s="292" t="str">
        <f t="shared" si="84"/>
        <v>トラック・バス</v>
      </c>
      <c r="U889" s="283" t="str">
        <f t="shared" si="85"/>
        <v>メタノール</v>
      </c>
      <c r="V889" s="283" t="str">
        <f t="shared" si="86"/>
        <v>3.5 t～</v>
      </c>
      <c r="W889" s="283" t="str">
        <f t="shared" si="87"/>
        <v>H22</v>
      </c>
      <c r="X889" s="284" t="str">
        <f t="shared" si="87"/>
        <v>SGG</v>
      </c>
      <c r="Y889" s="271"/>
      <c r="Z889" s="283">
        <f t="shared" si="88"/>
        <v>1.2500000000000001E-2</v>
      </c>
      <c r="AA889" s="283">
        <f t="shared" si="88"/>
        <v>0</v>
      </c>
      <c r="AB889" s="340">
        <f t="shared" si="88"/>
        <v>1.37</v>
      </c>
    </row>
    <row r="890" spans="1:28">
      <c r="A890" t="str">
        <f t="shared" si="89"/>
        <v>貨4メTHG</v>
      </c>
      <c r="B890" t="s">
        <v>2922</v>
      </c>
      <c r="C890" t="s">
        <v>2107</v>
      </c>
      <c r="D890" t="s">
        <v>2390</v>
      </c>
      <c r="E890" t="s">
        <v>1381</v>
      </c>
      <c r="F890">
        <v>2.2499999999999999E-2</v>
      </c>
      <c r="G890">
        <v>0</v>
      </c>
      <c r="H890">
        <v>1.37</v>
      </c>
      <c r="I890" t="s">
        <v>1259</v>
      </c>
      <c r="J890"/>
      <c r="T890" s="292" t="str">
        <f t="shared" si="84"/>
        <v>トラック・バス</v>
      </c>
      <c r="U890" s="283" t="str">
        <f t="shared" si="85"/>
        <v>メタノール</v>
      </c>
      <c r="V890" s="283" t="str">
        <f t="shared" si="86"/>
        <v>3.5 t～</v>
      </c>
      <c r="W890" s="283" t="str">
        <f t="shared" si="87"/>
        <v>H22</v>
      </c>
      <c r="X890" s="284" t="str">
        <f t="shared" si="87"/>
        <v>THG</v>
      </c>
      <c r="Y890" s="271" t="s">
        <v>1762</v>
      </c>
      <c r="Z890" s="283">
        <f t="shared" si="88"/>
        <v>2.2499999999999999E-2</v>
      </c>
      <c r="AA890" s="283">
        <f t="shared" si="88"/>
        <v>0</v>
      </c>
      <c r="AB890" s="340">
        <f t="shared" si="88"/>
        <v>1.37</v>
      </c>
    </row>
    <row r="891" spans="1:28">
      <c r="A891" t="str">
        <f t="shared" si="89"/>
        <v>貨4メTGG</v>
      </c>
      <c r="B891" t="s">
        <v>2922</v>
      </c>
      <c r="C891" t="s">
        <v>2107</v>
      </c>
      <c r="D891" t="s">
        <v>2390</v>
      </c>
      <c r="E891" t="s">
        <v>1383</v>
      </c>
      <c r="F891">
        <v>2.2499999999999999E-2</v>
      </c>
      <c r="G891">
        <v>0</v>
      </c>
      <c r="H891">
        <v>1.37</v>
      </c>
      <c r="I891" t="s">
        <v>1259</v>
      </c>
      <c r="J891"/>
      <c r="T891" s="292" t="str">
        <f t="shared" si="84"/>
        <v>トラック・バス</v>
      </c>
      <c r="U891" s="283" t="str">
        <f t="shared" si="85"/>
        <v>メタノール</v>
      </c>
      <c r="V891" s="283" t="str">
        <f t="shared" si="86"/>
        <v>3.5 t～</v>
      </c>
      <c r="W891" s="283" t="str">
        <f t="shared" si="87"/>
        <v>H22</v>
      </c>
      <c r="X891" s="284" t="str">
        <f t="shared" si="87"/>
        <v>TGG</v>
      </c>
      <c r="Y891" s="271" t="s">
        <v>1762</v>
      </c>
      <c r="Z891" s="283">
        <f t="shared" si="88"/>
        <v>2.2499999999999999E-2</v>
      </c>
      <c r="AA891" s="283">
        <f t="shared" si="88"/>
        <v>0</v>
      </c>
      <c r="AB891" s="340">
        <f t="shared" si="88"/>
        <v>1.37</v>
      </c>
    </row>
    <row r="892" spans="1:28">
      <c r="A892" t="str">
        <f t="shared" si="89"/>
        <v>貨4メ2HG</v>
      </c>
      <c r="B892" t="s">
        <v>2108</v>
      </c>
      <c r="C892" t="s">
        <v>2107</v>
      </c>
      <c r="D892" t="s">
        <v>2865</v>
      </c>
      <c r="E892" t="s">
        <v>2923</v>
      </c>
      <c r="F892">
        <v>1.4999999999999999E-2</v>
      </c>
      <c r="G892">
        <v>0</v>
      </c>
      <c r="H892">
        <v>1.37</v>
      </c>
      <c r="I892" t="s">
        <v>1259</v>
      </c>
      <c r="J892"/>
      <c r="T892" s="292" t="str">
        <f t="shared" si="84"/>
        <v>トラック・バス</v>
      </c>
      <c r="U892" s="283" t="str">
        <f t="shared" si="85"/>
        <v>メタノール</v>
      </c>
      <c r="V892" s="283" t="str">
        <f t="shared" si="86"/>
        <v>3.5 t～</v>
      </c>
      <c r="W892" s="283" t="str">
        <f t="shared" si="87"/>
        <v>H28</v>
      </c>
      <c r="X892" s="284" t="str">
        <f t="shared" si="87"/>
        <v>2HG</v>
      </c>
      <c r="Y892" s="271"/>
      <c r="Z892" s="283">
        <f t="shared" si="88"/>
        <v>1.4999999999999999E-2</v>
      </c>
      <c r="AA892" s="283">
        <f t="shared" si="88"/>
        <v>0</v>
      </c>
      <c r="AB892" s="340">
        <f t="shared" si="88"/>
        <v>1.37</v>
      </c>
    </row>
    <row r="893" spans="1:28">
      <c r="A893" t="str">
        <f t="shared" si="89"/>
        <v>貨4メ2GG</v>
      </c>
      <c r="B893" t="s">
        <v>2108</v>
      </c>
      <c r="C893" t="s">
        <v>2107</v>
      </c>
      <c r="D893" t="s">
        <v>2865</v>
      </c>
      <c r="E893" t="s">
        <v>2924</v>
      </c>
      <c r="F893">
        <v>7.4999999999999997E-3</v>
      </c>
      <c r="G893">
        <v>0</v>
      </c>
      <c r="H893">
        <v>1.37</v>
      </c>
      <c r="I893" t="s">
        <v>1259</v>
      </c>
      <c r="J893"/>
      <c r="T893" s="292" t="str">
        <f t="shared" si="84"/>
        <v>トラック・バス</v>
      </c>
      <c r="U893" s="283" t="str">
        <f t="shared" si="85"/>
        <v>メタノール</v>
      </c>
      <c r="V893" s="283" t="str">
        <f t="shared" si="86"/>
        <v>3.5 t～</v>
      </c>
      <c r="W893" s="283" t="str">
        <f t="shared" si="87"/>
        <v>H28</v>
      </c>
      <c r="X893" s="284" t="str">
        <f t="shared" si="87"/>
        <v>2GG</v>
      </c>
      <c r="Y893" s="271"/>
      <c r="Z893" s="283">
        <f t="shared" si="88"/>
        <v>7.4999999999999997E-3</v>
      </c>
      <c r="AA893" s="283">
        <f t="shared" si="88"/>
        <v>0</v>
      </c>
      <c r="AB893" s="340">
        <f t="shared" si="88"/>
        <v>1.37</v>
      </c>
    </row>
    <row r="894" spans="1:28">
      <c r="A894" t="str">
        <f t="shared" si="89"/>
        <v>乗0ガ-</v>
      </c>
      <c r="B894" t="s">
        <v>2115</v>
      </c>
      <c r="C894" t="s">
        <v>2114</v>
      </c>
      <c r="D894" t="s">
        <v>2456</v>
      </c>
      <c r="E894" t="s">
        <v>2457</v>
      </c>
      <c r="F894">
        <v>2.1800000000000002</v>
      </c>
      <c r="G894">
        <v>0</v>
      </c>
      <c r="H894">
        <v>2.3199999999999998</v>
      </c>
      <c r="I894" t="s">
        <v>232</v>
      </c>
      <c r="J894"/>
      <c r="T894" s="292" t="str">
        <f t="shared" si="84"/>
        <v>乗用車</v>
      </c>
      <c r="U894" s="283" t="str">
        <f t="shared" si="85"/>
        <v>ガソリン</v>
      </c>
      <c r="V894" s="283" t="str">
        <f t="shared" si="86"/>
        <v>全て</v>
      </c>
      <c r="W894" s="283" t="str">
        <f t="shared" si="87"/>
        <v>S50前</v>
      </c>
      <c r="X894" s="284" t="str">
        <f t="shared" si="87"/>
        <v>-</v>
      </c>
      <c r="Y894" s="271"/>
      <c r="Z894" s="283">
        <f t="shared" si="88"/>
        <v>2.1800000000000002</v>
      </c>
      <c r="AA894" s="283">
        <f t="shared" si="88"/>
        <v>0</v>
      </c>
      <c r="AB894" s="340">
        <f t="shared" si="88"/>
        <v>2.3199999999999998</v>
      </c>
    </row>
    <row r="895" spans="1:28">
      <c r="A895" t="str">
        <f t="shared" si="89"/>
        <v>乗0ガA</v>
      </c>
      <c r="B895" t="s">
        <v>2115</v>
      </c>
      <c r="C895" t="s">
        <v>2114</v>
      </c>
      <c r="D895" t="s">
        <v>2459</v>
      </c>
      <c r="E895" t="s">
        <v>35</v>
      </c>
      <c r="F895">
        <v>1.2</v>
      </c>
      <c r="G895">
        <v>0</v>
      </c>
      <c r="H895">
        <v>2.3199999999999998</v>
      </c>
      <c r="I895" t="s">
        <v>232</v>
      </c>
      <c r="J895"/>
      <c r="T895" s="292" t="str">
        <f t="shared" si="84"/>
        <v>乗用車</v>
      </c>
      <c r="U895" s="283" t="str">
        <f t="shared" si="85"/>
        <v>ガソリン</v>
      </c>
      <c r="V895" s="283" t="str">
        <f t="shared" si="86"/>
        <v>全て</v>
      </c>
      <c r="W895" s="283" t="str">
        <f t="shared" si="87"/>
        <v>S50</v>
      </c>
      <c r="X895" s="284" t="str">
        <f t="shared" si="87"/>
        <v>A</v>
      </c>
      <c r="Y895" s="271"/>
      <c r="Z895" s="283">
        <f t="shared" si="88"/>
        <v>1.2</v>
      </c>
      <c r="AA895" s="283">
        <f t="shared" si="88"/>
        <v>0</v>
      </c>
      <c r="AB895" s="340">
        <f t="shared" si="88"/>
        <v>2.3199999999999998</v>
      </c>
    </row>
    <row r="896" spans="1:28">
      <c r="A896" t="str">
        <f t="shared" si="89"/>
        <v>乗0ガB</v>
      </c>
      <c r="B896" t="s">
        <v>2115</v>
      </c>
      <c r="C896" t="s">
        <v>2114</v>
      </c>
      <c r="D896" t="s">
        <v>37</v>
      </c>
      <c r="E896" t="s">
        <v>46</v>
      </c>
      <c r="F896">
        <v>0.6</v>
      </c>
      <c r="G896">
        <v>0</v>
      </c>
      <c r="H896">
        <v>2.3199999999999998</v>
      </c>
      <c r="I896" t="s">
        <v>232</v>
      </c>
      <c r="J896"/>
      <c r="T896" s="292" t="str">
        <f t="shared" si="84"/>
        <v>乗用車</v>
      </c>
      <c r="U896" s="283" t="str">
        <f t="shared" si="85"/>
        <v>ガソリン</v>
      </c>
      <c r="V896" s="283" t="str">
        <f t="shared" si="86"/>
        <v>全て</v>
      </c>
      <c r="W896" s="283" t="str">
        <f t="shared" si="87"/>
        <v>S51</v>
      </c>
      <c r="X896" s="284" t="str">
        <f t="shared" si="87"/>
        <v>B</v>
      </c>
      <c r="Y896" s="271"/>
      <c r="Z896" s="283">
        <f t="shared" si="88"/>
        <v>0.6</v>
      </c>
      <c r="AA896" s="283">
        <f t="shared" si="88"/>
        <v>0</v>
      </c>
      <c r="AB896" s="340">
        <f t="shared" si="88"/>
        <v>2.3199999999999998</v>
      </c>
    </row>
    <row r="897" spans="1:28">
      <c r="A897" t="str">
        <f t="shared" si="89"/>
        <v>乗0ガC</v>
      </c>
      <c r="B897" t="s">
        <v>2115</v>
      </c>
      <c r="C897" t="s">
        <v>2114</v>
      </c>
      <c r="D897" t="s">
        <v>37</v>
      </c>
      <c r="E897" t="s">
        <v>47</v>
      </c>
      <c r="F897">
        <v>0.6</v>
      </c>
      <c r="G897">
        <v>0</v>
      </c>
      <c r="H897">
        <v>2.3199999999999998</v>
      </c>
      <c r="I897" t="s">
        <v>232</v>
      </c>
      <c r="J897"/>
      <c r="T897" s="292" t="str">
        <f t="shared" si="84"/>
        <v>乗用車</v>
      </c>
      <c r="U897" s="283" t="str">
        <f t="shared" si="85"/>
        <v>ガソリン</v>
      </c>
      <c r="V897" s="283" t="str">
        <f t="shared" si="86"/>
        <v>全て</v>
      </c>
      <c r="W897" s="283" t="str">
        <f t="shared" si="87"/>
        <v>S51</v>
      </c>
      <c r="X897" s="284" t="str">
        <f t="shared" si="87"/>
        <v>C</v>
      </c>
      <c r="Y897" s="271"/>
      <c r="Z897" s="283">
        <f t="shared" si="88"/>
        <v>0.6</v>
      </c>
      <c r="AA897" s="283">
        <f t="shared" si="88"/>
        <v>0</v>
      </c>
      <c r="AB897" s="340">
        <f t="shared" si="88"/>
        <v>2.3199999999999998</v>
      </c>
    </row>
    <row r="898" spans="1:28">
      <c r="A898" t="str">
        <f t="shared" si="89"/>
        <v>乗0ガE</v>
      </c>
      <c r="B898" t="s">
        <v>2115</v>
      </c>
      <c r="C898" t="s">
        <v>2114</v>
      </c>
      <c r="D898" t="s">
        <v>38</v>
      </c>
      <c r="E898" t="s">
        <v>48</v>
      </c>
      <c r="F898">
        <v>0.25</v>
      </c>
      <c r="G898">
        <v>0</v>
      </c>
      <c r="H898">
        <v>2.3199999999999998</v>
      </c>
      <c r="I898" t="s">
        <v>232</v>
      </c>
      <c r="J898"/>
      <c r="T898" s="292" t="str">
        <f t="shared" si="84"/>
        <v>乗用車</v>
      </c>
      <c r="U898" s="283" t="str">
        <f t="shared" si="85"/>
        <v>ガソリン</v>
      </c>
      <c r="V898" s="283" t="str">
        <f t="shared" si="86"/>
        <v>全て</v>
      </c>
      <c r="W898" s="283" t="str">
        <f t="shared" si="87"/>
        <v>S53,H10</v>
      </c>
      <c r="X898" s="284" t="str">
        <f t="shared" si="87"/>
        <v>E</v>
      </c>
      <c r="Y898" s="271"/>
      <c r="Z898" s="283">
        <f t="shared" si="88"/>
        <v>0.25</v>
      </c>
      <c r="AA898" s="283">
        <f t="shared" si="88"/>
        <v>0</v>
      </c>
      <c r="AB898" s="340">
        <f t="shared" si="88"/>
        <v>2.3199999999999998</v>
      </c>
    </row>
    <row r="899" spans="1:28">
      <c r="A899" t="str">
        <f t="shared" si="89"/>
        <v>乗0ガGF</v>
      </c>
      <c r="B899" t="s">
        <v>2115</v>
      </c>
      <c r="C899" t="s">
        <v>2114</v>
      </c>
      <c r="D899" t="s">
        <v>38</v>
      </c>
      <c r="E899" t="s">
        <v>53</v>
      </c>
      <c r="F899">
        <v>0.25</v>
      </c>
      <c r="G899">
        <v>0</v>
      </c>
      <c r="H899">
        <v>2.3199999999999998</v>
      </c>
      <c r="I899" t="s">
        <v>232</v>
      </c>
      <c r="J899"/>
      <c r="T899" s="292" t="str">
        <f t="shared" si="84"/>
        <v>乗用車</v>
      </c>
      <c r="U899" s="283" t="str">
        <f t="shared" si="85"/>
        <v>ガソリン</v>
      </c>
      <c r="V899" s="283" t="str">
        <f t="shared" si="86"/>
        <v>全て</v>
      </c>
      <c r="W899" s="283" t="str">
        <f t="shared" si="87"/>
        <v>S53,H10</v>
      </c>
      <c r="X899" s="284" t="str">
        <f t="shared" si="87"/>
        <v>GF</v>
      </c>
      <c r="Y899" s="271"/>
      <c r="Z899" s="283">
        <f t="shared" si="88"/>
        <v>0.25</v>
      </c>
      <c r="AA899" s="283">
        <f t="shared" si="88"/>
        <v>0</v>
      </c>
      <c r="AB899" s="340">
        <f t="shared" si="88"/>
        <v>2.3199999999999998</v>
      </c>
    </row>
    <row r="900" spans="1:28">
      <c r="A900" t="str">
        <f t="shared" si="89"/>
        <v>乗0ガHK</v>
      </c>
      <c r="B900" t="s">
        <v>2115</v>
      </c>
      <c r="C900" t="s">
        <v>2114</v>
      </c>
      <c r="D900" t="s">
        <v>38</v>
      </c>
      <c r="E900" t="s">
        <v>61</v>
      </c>
      <c r="F900">
        <v>0.125</v>
      </c>
      <c r="G900">
        <v>0</v>
      </c>
      <c r="H900">
        <v>2.3199999999999998</v>
      </c>
      <c r="I900" t="s">
        <v>239</v>
      </c>
      <c r="J900"/>
      <c r="T900" s="292" t="str">
        <f t="shared" si="84"/>
        <v>乗用車</v>
      </c>
      <c r="U900" s="283" t="str">
        <f t="shared" si="85"/>
        <v>ガソリン</v>
      </c>
      <c r="V900" s="283" t="str">
        <f t="shared" si="86"/>
        <v>全て</v>
      </c>
      <c r="W900" s="283" t="str">
        <f t="shared" si="87"/>
        <v>S53,H10</v>
      </c>
      <c r="X900" s="284" t="str">
        <f t="shared" si="87"/>
        <v>HK</v>
      </c>
      <c r="Y900" s="271"/>
      <c r="Z900" s="283">
        <f t="shared" si="88"/>
        <v>0.125</v>
      </c>
      <c r="AA900" s="283">
        <f t="shared" si="88"/>
        <v>0</v>
      </c>
      <c r="AB900" s="340">
        <f t="shared" si="88"/>
        <v>2.3199999999999998</v>
      </c>
    </row>
    <row r="901" spans="1:28">
      <c r="A901" t="str">
        <f t="shared" si="89"/>
        <v>乗0ガGH</v>
      </c>
      <c r="B901" t="s">
        <v>2115</v>
      </c>
      <c r="C901" t="s">
        <v>2114</v>
      </c>
      <c r="D901" t="s">
        <v>15</v>
      </c>
      <c r="E901" t="s">
        <v>55</v>
      </c>
      <c r="F901">
        <v>0.08</v>
      </c>
      <c r="G901">
        <v>0</v>
      </c>
      <c r="H901">
        <v>2.3199999999999998</v>
      </c>
      <c r="I901" t="s">
        <v>232</v>
      </c>
      <c r="J901"/>
      <c r="T901" s="292" t="str">
        <f t="shared" ref="T901:T968" si="90">IF(LEFT(C901,1)="貨","トラック・バス","乗用車")</f>
        <v>乗用車</v>
      </c>
      <c r="U901" s="283" t="str">
        <f t="shared" ref="U901:U968" si="91">VLOOKUP(RIGHT(C901,1),$AL$4:$AM$8,2,FALSE)</f>
        <v>ガソリン</v>
      </c>
      <c r="V901" s="283" t="str">
        <f t="shared" ref="V901:V968" si="92">VLOOKUP(VALUE(MID(C901,2,1)),$AL$10:$AM$15,2,FALSE)</f>
        <v>全て</v>
      </c>
      <c r="W901" s="283" t="str">
        <f t="shared" ref="W901:X968" si="93">D901</f>
        <v>H12</v>
      </c>
      <c r="X901" s="284" t="str">
        <f t="shared" si="93"/>
        <v>GH</v>
      </c>
      <c r="Y901" s="271"/>
      <c r="Z901" s="283">
        <f t="shared" ref="Z901:AB968" si="94">F901</f>
        <v>0.08</v>
      </c>
      <c r="AA901" s="283">
        <f t="shared" si="94"/>
        <v>0</v>
      </c>
      <c r="AB901" s="340">
        <f t="shared" si="94"/>
        <v>2.3199999999999998</v>
      </c>
    </row>
    <row r="902" spans="1:28">
      <c r="A902" t="str">
        <f t="shared" si="89"/>
        <v>乗0ガHN</v>
      </c>
      <c r="B902" t="s">
        <v>2115</v>
      </c>
      <c r="C902" t="s">
        <v>2114</v>
      </c>
      <c r="D902" t="s">
        <v>15</v>
      </c>
      <c r="E902" t="s">
        <v>63</v>
      </c>
      <c r="F902">
        <v>0.04</v>
      </c>
      <c r="G902">
        <v>0</v>
      </c>
      <c r="H902">
        <v>2.3199999999999998</v>
      </c>
      <c r="I902" t="s">
        <v>239</v>
      </c>
      <c r="J902"/>
      <c r="T902" s="292" t="str">
        <f t="shared" si="90"/>
        <v>乗用車</v>
      </c>
      <c r="U902" s="283" t="str">
        <f t="shared" si="91"/>
        <v>ガソリン</v>
      </c>
      <c r="V902" s="283" t="str">
        <f t="shared" si="92"/>
        <v>全て</v>
      </c>
      <c r="W902" s="283" t="str">
        <f t="shared" si="93"/>
        <v>H12</v>
      </c>
      <c r="X902" s="284" t="str">
        <f t="shared" si="93"/>
        <v>HN</v>
      </c>
      <c r="Y902" s="271"/>
      <c r="Z902" s="283">
        <f t="shared" si="94"/>
        <v>0.04</v>
      </c>
      <c r="AA902" s="283">
        <f t="shared" si="94"/>
        <v>0</v>
      </c>
      <c r="AB902" s="340">
        <f t="shared" si="94"/>
        <v>2.3199999999999998</v>
      </c>
    </row>
    <row r="903" spans="1:28">
      <c r="A903" t="str">
        <f t="shared" si="89"/>
        <v>乗0ガTA</v>
      </c>
      <c r="B903" t="s">
        <v>2115</v>
      </c>
      <c r="C903" t="s">
        <v>2114</v>
      </c>
      <c r="D903" t="s">
        <v>15</v>
      </c>
      <c r="E903" t="s">
        <v>79</v>
      </c>
      <c r="F903">
        <v>0.06</v>
      </c>
      <c r="G903">
        <v>0</v>
      </c>
      <c r="H903">
        <v>2.3199999999999998</v>
      </c>
      <c r="I903" t="s">
        <v>232</v>
      </c>
      <c r="J903"/>
      <c r="T903" s="292" t="str">
        <f t="shared" si="90"/>
        <v>乗用車</v>
      </c>
      <c r="U903" s="283" t="str">
        <f t="shared" si="91"/>
        <v>ガソリン</v>
      </c>
      <c r="V903" s="283" t="str">
        <f t="shared" si="92"/>
        <v>全て</v>
      </c>
      <c r="W903" s="283" t="str">
        <f t="shared" si="93"/>
        <v>H12</v>
      </c>
      <c r="X903" s="284" t="str">
        <f t="shared" si="93"/>
        <v>TA</v>
      </c>
      <c r="Y903" s="271" t="s">
        <v>1765</v>
      </c>
      <c r="Z903" s="283">
        <f t="shared" si="94"/>
        <v>0.06</v>
      </c>
      <c r="AA903" s="283">
        <f t="shared" si="94"/>
        <v>0</v>
      </c>
      <c r="AB903" s="340">
        <f t="shared" si="94"/>
        <v>2.3199999999999998</v>
      </c>
    </row>
    <row r="904" spans="1:28">
      <c r="A904" t="str">
        <f t="shared" si="89"/>
        <v>乗0ガXA</v>
      </c>
      <c r="B904" t="s">
        <v>2115</v>
      </c>
      <c r="C904" t="s">
        <v>2114</v>
      </c>
      <c r="D904" t="s">
        <v>15</v>
      </c>
      <c r="E904" t="s">
        <v>93</v>
      </c>
      <c r="F904">
        <v>0.06</v>
      </c>
      <c r="G904">
        <v>0</v>
      </c>
      <c r="H904">
        <v>2.3199999999999998</v>
      </c>
      <c r="I904" t="s">
        <v>239</v>
      </c>
      <c r="J904"/>
      <c r="T904" s="292" t="str">
        <f t="shared" si="90"/>
        <v>乗用車</v>
      </c>
      <c r="U904" s="283" t="str">
        <f t="shared" si="91"/>
        <v>ガソリン</v>
      </c>
      <c r="V904" s="283" t="str">
        <f t="shared" si="92"/>
        <v>全て</v>
      </c>
      <c r="W904" s="283" t="str">
        <f t="shared" si="93"/>
        <v>H12</v>
      </c>
      <c r="X904" s="284" t="str">
        <f t="shared" si="93"/>
        <v>XA</v>
      </c>
      <c r="Y904" s="271" t="s">
        <v>1765</v>
      </c>
      <c r="Z904" s="283">
        <f t="shared" si="94"/>
        <v>0.06</v>
      </c>
      <c r="AA904" s="283">
        <f t="shared" si="94"/>
        <v>0</v>
      </c>
      <c r="AB904" s="340">
        <f t="shared" si="94"/>
        <v>2.3199999999999998</v>
      </c>
    </row>
    <row r="905" spans="1:28">
      <c r="A905" t="str">
        <f t="shared" si="89"/>
        <v>乗0ガLA</v>
      </c>
      <c r="B905" t="s">
        <v>2115</v>
      </c>
      <c r="C905" t="s">
        <v>2114</v>
      </c>
      <c r="D905" t="s">
        <v>15</v>
      </c>
      <c r="E905" t="s">
        <v>70</v>
      </c>
      <c r="F905">
        <v>0.04</v>
      </c>
      <c r="G905">
        <v>0</v>
      </c>
      <c r="H905">
        <v>2.3199999999999998</v>
      </c>
      <c r="I905" t="s">
        <v>232</v>
      </c>
      <c r="J905"/>
      <c r="T905" s="292" t="str">
        <f t="shared" si="90"/>
        <v>乗用車</v>
      </c>
      <c r="U905" s="283" t="str">
        <f t="shared" si="91"/>
        <v>ガソリン</v>
      </c>
      <c r="V905" s="283" t="str">
        <f t="shared" si="92"/>
        <v>全て</v>
      </c>
      <c r="W905" s="283" t="str">
        <f t="shared" si="93"/>
        <v>H12</v>
      </c>
      <c r="X905" s="284" t="str">
        <f t="shared" si="93"/>
        <v>LA</v>
      </c>
      <c r="Y905" s="271" t="s">
        <v>1766</v>
      </c>
      <c r="Z905" s="283">
        <f t="shared" si="94"/>
        <v>0.04</v>
      </c>
      <c r="AA905" s="283">
        <f t="shared" si="94"/>
        <v>0</v>
      </c>
      <c r="AB905" s="340">
        <f t="shared" si="94"/>
        <v>2.3199999999999998</v>
      </c>
    </row>
    <row r="906" spans="1:28">
      <c r="A906" t="str">
        <f t="shared" si="89"/>
        <v>乗0ガYA</v>
      </c>
      <c r="B906" t="s">
        <v>2115</v>
      </c>
      <c r="C906" t="s">
        <v>2114</v>
      </c>
      <c r="D906" t="s">
        <v>15</v>
      </c>
      <c r="E906" t="s">
        <v>97</v>
      </c>
      <c r="F906">
        <v>0.04</v>
      </c>
      <c r="G906">
        <v>0</v>
      </c>
      <c r="H906">
        <v>2.3199999999999998</v>
      </c>
      <c r="I906" t="s">
        <v>239</v>
      </c>
      <c r="J906"/>
      <c r="T906" s="292" t="str">
        <f t="shared" si="90"/>
        <v>乗用車</v>
      </c>
      <c r="U906" s="283" t="str">
        <f t="shared" si="91"/>
        <v>ガソリン</v>
      </c>
      <c r="V906" s="283" t="str">
        <f t="shared" si="92"/>
        <v>全て</v>
      </c>
      <c r="W906" s="283" t="str">
        <f t="shared" si="93"/>
        <v>H12</v>
      </c>
      <c r="X906" s="284" t="str">
        <f t="shared" si="93"/>
        <v>YA</v>
      </c>
      <c r="Y906" s="271" t="s">
        <v>1766</v>
      </c>
      <c r="Z906" s="283">
        <f t="shared" si="94"/>
        <v>0.04</v>
      </c>
      <c r="AA906" s="283">
        <f t="shared" si="94"/>
        <v>0</v>
      </c>
      <c r="AB906" s="340">
        <f t="shared" si="94"/>
        <v>2.3199999999999998</v>
      </c>
    </row>
    <row r="907" spans="1:28">
      <c r="A907" t="str">
        <f t="shared" si="89"/>
        <v>乗0ガUA</v>
      </c>
      <c r="B907" t="s">
        <v>2115</v>
      </c>
      <c r="C907" t="s">
        <v>2114</v>
      </c>
      <c r="D907" t="s">
        <v>15</v>
      </c>
      <c r="E907" t="s">
        <v>86</v>
      </c>
      <c r="F907">
        <v>0.02</v>
      </c>
      <c r="G907">
        <v>0</v>
      </c>
      <c r="H907">
        <v>2.3199999999999998</v>
      </c>
      <c r="I907" t="s">
        <v>232</v>
      </c>
      <c r="J907"/>
      <c r="T907" s="292" t="str">
        <f t="shared" si="90"/>
        <v>乗用車</v>
      </c>
      <c r="U907" s="283" t="str">
        <f t="shared" si="91"/>
        <v>ガソリン</v>
      </c>
      <c r="V907" s="283" t="str">
        <f t="shared" si="92"/>
        <v>全て</v>
      </c>
      <c r="W907" s="283" t="str">
        <f t="shared" si="93"/>
        <v>H12</v>
      </c>
      <c r="X907" s="284" t="str">
        <f t="shared" si="93"/>
        <v>UA</v>
      </c>
      <c r="Y907" s="271" t="s">
        <v>1767</v>
      </c>
      <c r="Z907" s="283">
        <f t="shared" si="94"/>
        <v>0.02</v>
      </c>
      <c r="AA907" s="283">
        <f t="shared" si="94"/>
        <v>0</v>
      </c>
      <c r="AB907" s="340">
        <f t="shared" si="94"/>
        <v>2.3199999999999998</v>
      </c>
    </row>
    <row r="908" spans="1:28">
      <c r="A908" t="str">
        <f t="shared" si="89"/>
        <v>乗0ガZA</v>
      </c>
      <c r="B908" t="s">
        <v>2115</v>
      </c>
      <c r="C908" t="s">
        <v>2114</v>
      </c>
      <c r="D908" t="s">
        <v>15</v>
      </c>
      <c r="E908" t="s">
        <v>101</v>
      </c>
      <c r="F908">
        <v>0.02</v>
      </c>
      <c r="G908">
        <v>0</v>
      </c>
      <c r="H908">
        <v>2.3199999999999998</v>
      </c>
      <c r="I908" t="s">
        <v>239</v>
      </c>
      <c r="J908"/>
      <c r="T908" s="292" t="str">
        <f t="shared" si="90"/>
        <v>乗用車</v>
      </c>
      <c r="U908" s="283" t="str">
        <f t="shared" si="91"/>
        <v>ガソリン</v>
      </c>
      <c r="V908" s="283" t="str">
        <f t="shared" si="92"/>
        <v>全て</v>
      </c>
      <c r="W908" s="283" t="str">
        <f t="shared" si="93"/>
        <v>H12</v>
      </c>
      <c r="X908" s="284" t="str">
        <f t="shared" si="93"/>
        <v>ZA</v>
      </c>
      <c r="Y908" s="271" t="s">
        <v>1767</v>
      </c>
      <c r="Z908" s="283">
        <f t="shared" si="94"/>
        <v>0.02</v>
      </c>
      <c r="AA908" s="283">
        <f t="shared" si="94"/>
        <v>0</v>
      </c>
      <c r="AB908" s="340">
        <f t="shared" si="94"/>
        <v>2.3199999999999998</v>
      </c>
    </row>
    <row r="909" spans="1:28">
      <c r="A909" t="str">
        <f t="shared" si="89"/>
        <v>乗0ガABA</v>
      </c>
      <c r="B909" t="s">
        <v>2115</v>
      </c>
      <c r="C909" t="s">
        <v>2114</v>
      </c>
      <c r="D909" t="s">
        <v>1979</v>
      </c>
      <c r="E909" t="s">
        <v>1400</v>
      </c>
      <c r="F909">
        <v>0.05</v>
      </c>
      <c r="G909">
        <v>0</v>
      </c>
      <c r="H909">
        <v>2.3199999999999998</v>
      </c>
      <c r="I909" t="s">
        <v>232</v>
      </c>
      <c r="J909"/>
      <c r="T909" s="292" t="str">
        <f t="shared" si="90"/>
        <v>乗用車</v>
      </c>
      <c r="U909" s="283" t="str">
        <f t="shared" si="91"/>
        <v>ガソリン</v>
      </c>
      <c r="V909" s="283" t="str">
        <f t="shared" si="92"/>
        <v>全て</v>
      </c>
      <c r="W909" s="283" t="str">
        <f t="shared" si="93"/>
        <v>H17</v>
      </c>
      <c r="X909" s="284" t="str">
        <f t="shared" si="93"/>
        <v>ABA</v>
      </c>
      <c r="Y909" s="271"/>
      <c r="Z909" s="283">
        <f t="shared" si="94"/>
        <v>0.05</v>
      </c>
      <c r="AA909" s="283">
        <f t="shared" si="94"/>
        <v>0</v>
      </c>
      <c r="AB909" s="340">
        <f t="shared" si="94"/>
        <v>2.3199999999999998</v>
      </c>
    </row>
    <row r="910" spans="1:28">
      <c r="A910" t="str">
        <f t="shared" si="89"/>
        <v>乗0ガAAA</v>
      </c>
      <c r="B910" t="s">
        <v>2115</v>
      </c>
      <c r="C910" t="s">
        <v>2114</v>
      </c>
      <c r="D910" t="s">
        <v>1979</v>
      </c>
      <c r="E910" t="s">
        <v>1402</v>
      </c>
      <c r="F910">
        <v>2.5000000000000001E-2</v>
      </c>
      <c r="G910">
        <v>0</v>
      </c>
      <c r="H910">
        <v>2.3199999999999998</v>
      </c>
      <c r="I910" t="s">
        <v>239</v>
      </c>
      <c r="J910"/>
      <c r="T910" s="292" t="str">
        <f t="shared" si="90"/>
        <v>乗用車</v>
      </c>
      <c r="U910" s="283" t="str">
        <f t="shared" si="91"/>
        <v>ガソリン</v>
      </c>
      <c r="V910" s="283" t="str">
        <f t="shared" si="92"/>
        <v>全て</v>
      </c>
      <c r="W910" s="283" t="str">
        <f t="shared" si="93"/>
        <v>H17</v>
      </c>
      <c r="X910" s="284" t="str">
        <f t="shared" si="93"/>
        <v>AAA</v>
      </c>
      <c r="Y910" s="271"/>
      <c r="Z910" s="283">
        <f t="shared" si="94"/>
        <v>2.5000000000000001E-2</v>
      </c>
      <c r="AA910" s="283">
        <f t="shared" si="94"/>
        <v>0</v>
      </c>
      <c r="AB910" s="340">
        <f t="shared" si="94"/>
        <v>2.3199999999999998</v>
      </c>
    </row>
    <row r="911" spans="1:28">
      <c r="A911" t="str">
        <f t="shared" si="89"/>
        <v>乗0ガALA</v>
      </c>
      <c r="B911" t="s">
        <v>2115</v>
      </c>
      <c r="C911" t="s">
        <v>2114</v>
      </c>
      <c r="D911" t="s">
        <v>1979</v>
      </c>
      <c r="E911" t="s">
        <v>1404</v>
      </c>
      <c r="F911">
        <v>1.2500000000000001E-2</v>
      </c>
      <c r="G911">
        <v>0</v>
      </c>
      <c r="H911">
        <v>2.3199999999999998</v>
      </c>
      <c r="I911" t="s">
        <v>1405</v>
      </c>
      <c r="J911"/>
      <c r="T911" s="292" t="str">
        <f t="shared" si="90"/>
        <v>乗用車</v>
      </c>
      <c r="U911" s="283" t="str">
        <f t="shared" si="91"/>
        <v>ガソリン</v>
      </c>
      <c r="V911" s="283" t="str">
        <f t="shared" si="92"/>
        <v>全て</v>
      </c>
      <c r="W911" s="283" t="str">
        <f t="shared" si="93"/>
        <v>H17</v>
      </c>
      <c r="X911" s="284" t="str">
        <f t="shared" si="93"/>
        <v>ALA</v>
      </c>
      <c r="Y911" s="271"/>
      <c r="Z911" s="283">
        <f t="shared" si="94"/>
        <v>1.2500000000000001E-2</v>
      </c>
      <c r="AA911" s="283">
        <f t="shared" si="94"/>
        <v>0</v>
      </c>
      <c r="AB911" s="340">
        <f t="shared" si="94"/>
        <v>2.3199999999999998</v>
      </c>
    </row>
    <row r="912" spans="1:28">
      <c r="A912" t="str">
        <f t="shared" si="89"/>
        <v>乗0ガCAA</v>
      </c>
      <c r="B912" t="s">
        <v>2115</v>
      </c>
      <c r="C912" t="s">
        <v>2114</v>
      </c>
      <c r="D912" t="s">
        <v>1979</v>
      </c>
      <c r="E912" t="s">
        <v>2109</v>
      </c>
      <c r="F912">
        <v>2.5000000000000001E-2</v>
      </c>
      <c r="G912">
        <v>0</v>
      </c>
      <c r="H912">
        <v>2.3199999999999998</v>
      </c>
      <c r="I912" t="s">
        <v>239</v>
      </c>
      <c r="J912"/>
      <c r="T912" s="292" t="str">
        <f t="shared" si="90"/>
        <v>乗用車</v>
      </c>
      <c r="U912" s="283" t="str">
        <f t="shared" si="91"/>
        <v>ガソリン</v>
      </c>
      <c r="V912" s="283" t="str">
        <f t="shared" si="92"/>
        <v>全て</v>
      </c>
      <c r="W912" s="283" t="str">
        <f t="shared" si="93"/>
        <v>H17</v>
      </c>
      <c r="X912" s="284" t="str">
        <f t="shared" si="93"/>
        <v>CAA</v>
      </c>
      <c r="Y912" s="271" t="s">
        <v>2261</v>
      </c>
      <c r="Z912" s="283">
        <f t="shared" si="94"/>
        <v>2.5000000000000001E-2</v>
      </c>
      <c r="AA912" s="283">
        <f t="shared" si="94"/>
        <v>0</v>
      </c>
      <c r="AB912" s="340">
        <f t="shared" si="94"/>
        <v>2.3199999999999998</v>
      </c>
    </row>
    <row r="913" spans="1:28">
      <c r="A913" t="str">
        <f t="shared" si="89"/>
        <v>乗0ガCBA</v>
      </c>
      <c r="B913" t="s">
        <v>2115</v>
      </c>
      <c r="C913" t="s">
        <v>2114</v>
      </c>
      <c r="D913" t="s">
        <v>1979</v>
      </c>
      <c r="E913" t="s">
        <v>2110</v>
      </c>
      <c r="F913">
        <v>2.5000000000000001E-2</v>
      </c>
      <c r="G913">
        <v>0</v>
      </c>
      <c r="H913">
        <v>2.3199999999999998</v>
      </c>
      <c r="I913" t="s">
        <v>260</v>
      </c>
      <c r="J913"/>
      <c r="T913" s="292" t="str">
        <f t="shared" si="90"/>
        <v>乗用車</v>
      </c>
      <c r="U913" s="283" t="str">
        <f t="shared" si="91"/>
        <v>ガソリン</v>
      </c>
      <c r="V913" s="283" t="str">
        <f t="shared" si="92"/>
        <v>全て</v>
      </c>
      <c r="W913" s="283" t="str">
        <f t="shared" si="93"/>
        <v>H17</v>
      </c>
      <c r="X913" s="284" t="str">
        <f t="shared" si="93"/>
        <v>CBA</v>
      </c>
      <c r="Y913" s="271" t="s">
        <v>2261</v>
      </c>
      <c r="Z913" s="283">
        <f t="shared" si="94"/>
        <v>2.5000000000000001E-2</v>
      </c>
      <c r="AA913" s="283">
        <f t="shared" si="94"/>
        <v>0</v>
      </c>
      <c r="AB913" s="340">
        <f t="shared" si="94"/>
        <v>2.3199999999999998</v>
      </c>
    </row>
    <row r="914" spans="1:28">
      <c r="A914" t="str">
        <f t="shared" si="89"/>
        <v>乗0ガCLA</v>
      </c>
      <c r="B914" t="s">
        <v>2115</v>
      </c>
      <c r="C914" t="s">
        <v>2114</v>
      </c>
      <c r="D914" t="s">
        <v>1979</v>
      </c>
      <c r="E914" t="s">
        <v>1410</v>
      </c>
      <c r="F914">
        <v>2.5000000000000001E-2</v>
      </c>
      <c r="G914">
        <v>0</v>
      </c>
      <c r="H914">
        <v>2.3199999999999998</v>
      </c>
      <c r="I914" t="s">
        <v>1405</v>
      </c>
      <c r="J914"/>
      <c r="T914" s="292" t="str">
        <f t="shared" si="90"/>
        <v>乗用車</v>
      </c>
      <c r="U914" s="283" t="str">
        <f t="shared" si="91"/>
        <v>ガソリン</v>
      </c>
      <c r="V914" s="283" t="str">
        <f t="shared" si="92"/>
        <v>全て</v>
      </c>
      <c r="W914" s="283" t="str">
        <f t="shared" si="93"/>
        <v>H17</v>
      </c>
      <c r="X914" s="284" t="str">
        <f t="shared" si="93"/>
        <v>CLA</v>
      </c>
      <c r="Y914" s="271" t="s">
        <v>2261</v>
      </c>
      <c r="Z914" s="283">
        <f t="shared" si="94"/>
        <v>2.5000000000000001E-2</v>
      </c>
      <c r="AA914" s="283">
        <f t="shared" si="94"/>
        <v>0</v>
      </c>
      <c r="AB914" s="340">
        <f t="shared" si="94"/>
        <v>2.3199999999999998</v>
      </c>
    </row>
    <row r="915" spans="1:28">
      <c r="A915" t="str">
        <f t="shared" si="89"/>
        <v>乗0ガDAA</v>
      </c>
      <c r="B915" t="s">
        <v>2115</v>
      </c>
      <c r="C915" t="s">
        <v>2114</v>
      </c>
      <c r="D915" t="s">
        <v>1979</v>
      </c>
      <c r="E915" t="s">
        <v>2111</v>
      </c>
      <c r="F915">
        <v>1.2500000000000001E-2</v>
      </c>
      <c r="G915">
        <v>0</v>
      </c>
      <c r="H915">
        <v>2.3199999999999998</v>
      </c>
      <c r="I915" t="s">
        <v>239</v>
      </c>
      <c r="J915"/>
      <c r="T915" s="292" t="str">
        <f t="shared" si="90"/>
        <v>乗用車</v>
      </c>
      <c r="U915" s="283" t="str">
        <f t="shared" si="91"/>
        <v>ガソリン</v>
      </c>
      <c r="V915" s="283" t="str">
        <f t="shared" si="92"/>
        <v>全て</v>
      </c>
      <c r="W915" s="283" t="str">
        <f t="shared" si="93"/>
        <v>H17</v>
      </c>
      <c r="X915" s="284" t="str">
        <f t="shared" si="93"/>
        <v>DAA</v>
      </c>
      <c r="Y915" s="271" t="s">
        <v>2262</v>
      </c>
      <c r="Z915" s="283">
        <f t="shared" si="94"/>
        <v>1.2500000000000001E-2</v>
      </c>
      <c r="AA915" s="283">
        <f t="shared" si="94"/>
        <v>0</v>
      </c>
      <c r="AB915" s="340">
        <f t="shared" si="94"/>
        <v>2.3199999999999998</v>
      </c>
    </row>
    <row r="916" spans="1:28">
      <c r="A916" t="str">
        <f t="shared" si="89"/>
        <v>乗0ガDBA</v>
      </c>
      <c r="B916" t="s">
        <v>2115</v>
      </c>
      <c r="C916" t="s">
        <v>2114</v>
      </c>
      <c r="D916" t="s">
        <v>1979</v>
      </c>
      <c r="E916" t="s">
        <v>2112</v>
      </c>
      <c r="F916">
        <v>1.2500000000000001E-2</v>
      </c>
      <c r="G916">
        <v>0</v>
      </c>
      <c r="H916">
        <v>2.3199999999999998</v>
      </c>
      <c r="I916" t="s">
        <v>263</v>
      </c>
      <c r="J916"/>
      <c r="T916" s="292" t="str">
        <f t="shared" si="90"/>
        <v>乗用車</v>
      </c>
      <c r="U916" s="283" t="str">
        <f t="shared" si="91"/>
        <v>ガソリン</v>
      </c>
      <c r="V916" s="283" t="str">
        <f t="shared" si="92"/>
        <v>全て</v>
      </c>
      <c r="W916" s="283" t="str">
        <f t="shared" si="93"/>
        <v>H17</v>
      </c>
      <c r="X916" s="284" t="str">
        <f t="shared" si="93"/>
        <v>DBA</v>
      </c>
      <c r="Y916" s="271" t="s">
        <v>2262</v>
      </c>
      <c r="Z916" s="283">
        <f t="shared" si="94"/>
        <v>1.2500000000000001E-2</v>
      </c>
      <c r="AA916" s="283">
        <f t="shared" si="94"/>
        <v>0</v>
      </c>
      <c r="AB916" s="340">
        <f t="shared" si="94"/>
        <v>2.3199999999999998</v>
      </c>
    </row>
    <row r="917" spans="1:28">
      <c r="A917" t="str">
        <f t="shared" si="89"/>
        <v>乗0ガDLA</v>
      </c>
      <c r="B917" t="s">
        <v>2115</v>
      </c>
      <c r="C917" t="s">
        <v>2114</v>
      </c>
      <c r="D917" t="s">
        <v>1979</v>
      </c>
      <c r="E917" t="s">
        <v>1414</v>
      </c>
      <c r="F917">
        <v>1.2500000000000001E-2</v>
      </c>
      <c r="G917">
        <v>0</v>
      </c>
      <c r="H917">
        <v>2.3199999999999998</v>
      </c>
      <c r="I917" t="s">
        <v>1405</v>
      </c>
      <c r="J917"/>
      <c r="T917" s="292" t="str">
        <f t="shared" si="90"/>
        <v>乗用車</v>
      </c>
      <c r="U917" s="283" t="str">
        <f t="shared" si="91"/>
        <v>ガソリン</v>
      </c>
      <c r="V917" s="283" t="str">
        <f t="shared" si="92"/>
        <v>全て</v>
      </c>
      <c r="W917" s="283" t="str">
        <f t="shared" si="93"/>
        <v>H17</v>
      </c>
      <c r="X917" s="284" t="str">
        <f t="shared" si="93"/>
        <v>DLA</v>
      </c>
      <c r="Y917" s="271" t="s">
        <v>2262</v>
      </c>
      <c r="Z917" s="283">
        <f t="shared" si="94"/>
        <v>1.2500000000000001E-2</v>
      </c>
      <c r="AA917" s="283">
        <f t="shared" si="94"/>
        <v>0</v>
      </c>
      <c r="AB917" s="340">
        <f t="shared" si="94"/>
        <v>2.3199999999999998</v>
      </c>
    </row>
    <row r="918" spans="1:28">
      <c r="A918" t="str">
        <f t="shared" si="89"/>
        <v>乗0ガLBA</v>
      </c>
      <c r="B918" t="s">
        <v>2115</v>
      </c>
      <c r="C918" t="s">
        <v>2114</v>
      </c>
      <c r="D918" t="s">
        <v>2382</v>
      </c>
      <c r="E918" t="s">
        <v>1416</v>
      </c>
      <c r="F918">
        <v>0.05</v>
      </c>
      <c r="G918">
        <v>0</v>
      </c>
      <c r="H918">
        <v>2.3199999999999998</v>
      </c>
      <c r="I918" t="s">
        <v>232</v>
      </c>
      <c r="J918"/>
      <c r="T918" s="292" t="str">
        <f t="shared" si="90"/>
        <v>乗用車</v>
      </c>
      <c r="U918" s="283" t="str">
        <f t="shared" si="91"/>
        <v>ガソリン</v>
      </c>
      <c r="V918" s="283" t="str">
        <f t="shared" si="92"/>
        <v>全て</v>
      </c>
      <c r="W918" s="283" t="str">
        <f t="shared" si="93"/>
        <v>H21</v>
      </c>
      <c r="X918" s="284" t="str">
        <f t="shared" si="93"/>
        <v>LBA</v>
      </c>
      <c r="Y918" s="271"/>
      <c r="Z918" s="283">
        <f t="shared" si="94"/>
        <v>0.05</v>
      </c>
      <c r="AA918" s="283">
        <f t="shared" si="94"/>
        <v>0</v>
      </c>
      <c r="AB918" s="340">
        <f t="shared" si="94"/>
        <v>2.3199999999999998</v>
      </c>
    </row>
    <row r="919" spans="1:28">
      <c r="A919" t="str">
        <f t="shared" si="89"/>
        <v>乗0ガLAA</v>
      </c>
      <c r="B919" t="s">
        <v>2115</v>
      </c>
      <c r="C919" t="s">
        <v>2114</v>
      </c>
      <c r="D919" t="s">
        <v>2382</v>
      </c>
      <c r="E919" t="s">
        <v>1418</v>
      </c>
      <c r="F919">
        <v>2.5000000000000001E-2</v>
      </c>
      <c r="G919">
        <v>0</v>
      </c>
      <c r="H919">
        <v>2.3199999999999998</v>
      </c>
      <c r="I919" t="s">
        <v>239</v>
      </c>
      <c r="J919"/>
      <c r="T919" s="292" t="str">
        <f t="shared" si="90"/>
        <v>乗用車</v>
      </c>
      <c r="U919" s="283" t="str">
        <f t="shared" si="91"/>
        <v>ガソリン</v>
      </c>
      <c r="V919" s="283" t="str">
        <f t="shared" si="92"/>
        <v>全て</v>
      </c>
      <c r="W919" s="283" t="str">
        <f t="shared" si="93"/>
        <v>H21</v>
      </c>
      <c r="X919" s="284" t="str">
        <f t="shared" si="93"/>
        <v>LAA</v>
      </c>
      <c r="Y919" s="271"/>
      <c r="Z919" s="283">
        <f t="shared" si="94"/>
        <v>2.5000000000000001E-2</v>
      </c>
      <c r="AA919" s="283">
        <f t="shared" si="94"/>
        <v>0</v>
      </c>
      <c r="AB919" s="340">
        <f t="shared" si="94"/>
        <v>2.3199999999999998</v>
      </c>
    </row>
    <row r="920" spans="1:28">
      <c r="A920" t="str">
        <f t="shared" si="89"/>
        <v>乗0ガLLA</v>
      </c>
      <c r="B920" t="s">
        <v>2115</v>
      </c>
      <c r="C920" t="s">
        <v>2114</v>
      </c>
      <c r="D920" t="s">
        <v>2382</v>
      </c>
      <c r="E920" t="s">
        <v>1420</v>
      </c>
      <c r="F920">
        <v>1.2500000000000001E-2</v>
      </c>
      <c r="G920">
        <v>0</v>
      </c>
      <c r="H920">
        <v>2.3199999999999998</v>
      </c>
      <c r="I920" t="s">
        <v>1405</v>
      </c>
      <c r="J920"/>
      <c r="T920" s="292" t="str">
        <f t="shared" si="90"/>
        <v>乗用車</v>
      </c>
      <c r="U920" s="283" t="str">
        <f t="shared" si="91"/>
        <v>ガソリン</v>
      </c>
      <c r="V920" s="283" t="str">
        <f t="shared" si="92"/>
        <v>全て</v>
      </c>
      <c r="W920" s="283" t="str">
        <f t="shared" si="93"/>
        <v>H21</v>
      </c>
      <c r="X920" s="284" t="str">
        <f t="shared" si="93"/>
        <v>LLA</v>
      </c>
      <c r="Y920" s="271"/>
      <c r="Z920" s="283">
        <f t="shared" si="94"/>
        <v>1.2500000000000001E-2</v>
      </c>
      <c r="AA920" s="283">
        <f t="shared" si="94"/>
        <v>0</v>
      </c>
      <c r="AB920" s="340">
        <f t="shared" si="94"/>
        <v>2.3199999999999998</v>
      </c>
    </row>
    <row r="921" spans="1:28">
      <c r="A921" t="str">
        <f t="shared" si="89"/>
        <v>乗0ガMBA</v>
      </c>
      <c r="B921" t="s">
        <v>2115</v>
      </c>
      <c r="C921" t="s">
        <v>2114</v>
      </c>
      <c r="D921" t="s">
        <v>2382</v>
      </c>
      <c r="E921" t="s">
        <v>1422</v>
      </c>
      <c r="F921">
        <v>2.5000000000000001E-2</v>
      </c>
      <c r="G921">
        <v>0</v>
      </c>
      <c r="H921">
        <v>2.3199999999999998</v>
      </c>
      <c r="I921" t="s">
        <v>260</v>
      </c>
      <c r="J921"/>
      <c r="T921" s="292" t="str">
        <f t="shared" si="90"/>
        <v>乗用車</v>
      </c>
      <c r="U921" s="283" t="str">
        <f t="shared" si="91"/>
        <v>ガソリン</v>
      </c>
      <c r="V921" s="283" t="str">
        <f t="shared" si="92"/>
        <v>全て</v>
      </c>
      <c r="W921" s="283" t="str">
        <f t="shared" si="93"/>
        <v>H21</v>
      </c>
      <c r="X921" s="284" t="str">
        <f t="shared" si="93"/>
        <v>MBA</v>
      </c>
      <c r="Y921" s="271" t="s">
        <v>2261</v>
      </c>
      <c r="Z921" s="283">
        <f t="shared" si="94"/>
        <v>2.5000000000000001E-2</v>
      </c>
      <c r="AA921" s="283">
        <f t="shared" si="94"/>
        <v>0</v>
      </c>
      <c r="AB921" s="340">
        <f t="shared" si="94"/>
        <v>2.3199999999999998</v>
      </c>
    </row>
    <row r="922" spans="1:28">
      <c r="A922" t="str">
        <f t="shared" si="89"/>
        <v>乗0ガMAA</v>
      </c>
      <c r="B922" t="s">
        <v>2115</v>
      </c>
      <c r="C922" t="s">
        <v>2114</v>
      </c>
      <c r="D922" t="s">
        <v>2382</v>
      </c>
      <c r="E922" t="s">
        <v>1424</v>
      </c>
      <c r="F922">
        <v>2.5000000000000001E-2</v>
      </c>
      <c r="G922">
        <v>0</v>
      </c>
      <c r="H922">
        <v>2.3199999999999998</v>
      </c>
      <c r="I922" t="s">
        <v>239</v>
      </c>
      <c r="J922"/>
      <c r="T922" s="292" t="str">
        <f t="shared" si="90"/>
        <v>乗用車</v>
      </c>
      <c r="U922" s="283" t="str">
        <f t="shared" si="91"/>
        <v>ガソリン</v>
      </c>
      <c r="V922" s="283" t="str">
        <f t="shared" si="92"/>
        <v>全て</v>
      </c>
      <c r="W922" s="283" t="str">
        <f t="shared" si="93"/>
        <v>H21</v>
      </c>
      <c r="X922" s="284" t="str">
        <f t="shared" si="93"/>
        <v>MAA</v>
      </c>
      <c r="Y922" s="271" t="s">
        <v>2261</v>
      </c>
      <c r="Z922" s="283">
        <f t="shared" si="94"/>
        <v>2.5000000000000001E-2</v>
      </c>
      <c r="AA922" s="283">
        <f t="shared" si="94"/>
        <v>0</v>
      </c>
      <c r="AB922" s="340">
        <f t="shared" si="94"/>
        <v>2.3199999999999998</v>
      </c>
    </row>
    <row r="923" spans="1:28">
      <c r="A923" t="str">
        <f t="shared" si="89"/>
        <v>乗0ガMLA</v>
      </c>
      <c r="B923" t="s">
        <v>2115</v>
      </c>
      <c r="C923" t="s">
        <v>2114</v>
      </c>
      <c r="D923" t="s">
        <v>2382</v>
      </c>
      <c r="E923" t="s">
        <v>1426</v>
      </c>
      <c r="F923">
        <v>2.5000000000000001E-2</v>
      </c>
      <c r="G923">
        <v>0</v>
      </c>
      <c r="H923">
        <v>2.3199999999999998</v>
      </c>
      <c r="I923" t="s">
        <v>1405</v>
      </c>
      <c r="J923"/>
      <c r="T923" s="292" t="str">
        <f t="shared" si="90"/>
        <v>乗用車</v>
      </c>
      <c r="U923" s="283" t="str">
        <f t="shared" si="91"/>
        <v>ガソリン</v>
      </c>
      <c r="V923" s="283" t="str">
        <f t="shared" si="92"/>
        <v>全て</v>
      </c>
      <c r="W923" s="283" t="str">
        <f t="shared" si="93"/>
        <v>H21</v>
      </c>
      <c r="X923" s="284" t="str">
        <f t="shared" si="93"/>
        <v>MLA</v>
      </c>
      <c r="Y923" s="271" t="s">
        <v>2261</v>
      </c>
      <c r="Z923" s="283">
        <f t="shared" si="94"/>
        <v>2.5000000000000001E-2</v>
      </c>
      <c r="AA923" s="283">
        <f t="shared" si="94"/>
        <v>0</v>
      </c>
      <c r="AB923" s="340">
        <f t="shared" si="94"/>
        <v>2.3199999999999998</v>
      </c>
    </row>
    <row r="924" spans="1:28">
      <c r="A924" t="str">
        <f t="shared" si="89"/>
        <v>乗0ガRBA</v>
      </c>
      <c r="B924" t="s">
        <v>2115</v>
      </c>
      <c r="C924" t="s">
        <v>2114</v>
      </c>
      <c r="D924" t="s">
        <v>2382</v>
      </c>
      <c r="E924" t="s">
        <v>1428</v>
      </c>
      <c r="F924">
        <v>2.5000000000000001E-2</v>
      </c>
      <c r="G924">
        <v>0</v>
      </c>
      <c r="H924">
        <v>2.3199999999999998</v>
      </c>
      <c r="I924" t="s">
        <v>263</v>
      </c>
      <c r="J924"/>
      <c r="T924" s="292" t="str">
        <f t="shared" si="90"/>
        <v>乗用車</v>
      </c>
      <c r="U924" s="283" t="str">
        <f t="shared" si="91"/>
        <v>ガソリン</v>
      </c>
      <c r="V924" s="283" t="str">
        <f t="shared" si="92"/>
        <v>全て</v>
      </c>
      <c r="W924" s="283" t="str">
        <f t="shared" si="93"/>
        <v>H21</v>
      </c>
      <c r="X924" s="284" t="str">
        <f t="shared" si="93"/>
        <v>RBA</v>
      </c>
      <c r="Y924" s="271" t="s">
        <v>2262</v>
      </c>
      <c r="Z924" s="283">
        <f t="shared" si="94"/>
        <v>2.5000000000000001E-2</v>
      </c>
      <c r="AA924" s="283">
        <f t="shared" si="94"/>
        <v>0</v>
      </c>
      <c r="AB924" s="340">
        <f t="shared" si="94"/>
        <v>2.3199999999999998</v>
      </c>
    </row>
    <row r="925" spans="1:28">
      <c r="A925" t="str">
        <f t="shared" ref="A925:A931" si="95">CONCATENATE(C925,E925)</f>
        <v>乗0ガRAA</v>
      </c>
      <c r="B925" t="s">
        <v>2115</v>
      </c>
      <c r="C925" t="s">
        <v>2114</v>
      </c>
      <c r="D925" t="s">
        <v>2382</v>
      </c>
      <c r="E925" t="s">
        <v>1430</v>
      </c>
      <c r="F925">
        <v>2.5000000000000001E-2</v>
      </c>
      <c r="G925">
        <v>0</v>
      </c>
      <c r="H925">
        <v>2.3199999999999998</v>
      </c>
      <c r="I925" t="s">
        <v>239</v>
      </c>
      <c r="J925"/>
      <c r="T925" s="292" t="str">
        <f t="shared" si="90"/>
        <v>乗用車</v>
      </c>
      <c r="U925" s="283" t="str">
        <f t="shared" si="91"/>
        <v>ガソリン</v>
      </c>
      <c r="V925" s="283" t="str">
        <f t="shared" si="92"/>
        <v>全て</v>
      </c>
      <c r="W925" s="283" t="str">
        <f t="shared" si="93"/>
        <v>H21</v>
      </c>
      <c r="X925" s="284" t="str">
        <f t="shared" si="93"/>
        <v>RAA</v>
      </c>
      <c r="Y925" s="271" t="s">
        <v>2262</v>
      </c>
      <c r="Z925" s="283">
        <f t="shared" si="94"/>
        <v>2.5000000000000001E-2</v>
      </c>
      <c r="AA925" s="283">
        <f t="shared" si="94"/>
        <v>0</v>
      </c>
      <c r="AB925" s="340">
        <f t="shared" si="94"/>
        <v>2.3199999999999998</v>
      </c>
    </row>
    <row r="926" spans="1:28">
      <c r="A926" t="str">
        <f t="shared" si="95"/>
        <v>乗0ガRLA</v>
      </c>
      <c r="B926" t="s">
        <v>2115</v>
      </c>
      <c r="C926" t="s">
        <v>2114</v>
      </c>
      <c r="D926" t="s">
        <v>2382</v>
      </c>
      <c r="E926" t="s">
        <v>1432</v>
      </c>
      <c r="F926">
        <v>2.5000000000000001E-2</v>
      </c>
      <c r="G926">
        <v>0</v>
      </c>
      <c r="H926">
        <v>2.3199999999999998</v>
      </c>
      <c r="I926" t="s">
        <v>1405</v>
      </c>
      <c r="J926"/>
      <c r="T926" s="292" t="str">
        <f t="shared" si="90"/>
        <v>乗用車</v>
      </c>
      <c r="U926" s="283" t="str">
        <f t="shared" si="91"/>
        <v>ガソリン</v>
      </c>
      <c r="V926" s="283" t="str">
        <f t="shared" si="92"/>
        <v>全て</v>
      </c>
      <c r="W926" s="283" t="str">
        <f t="shared" si="93"/>
        <v>H21</v>
      </c>
      <c r="X926" s="284" t="str">
        <f t="shared" si="93"/>
        <v>RLA</v>
      </c>
      <c r="Y926" s="271" t="s">
        <v>2262</v>
      </c>
      <c r="Z926" s="283">
        <f t="shared" si="94"/>
        <v>2.5000000000000001E-2</v>
      </c>
      <c r="AA926" s="283">
        <f t="shared" si="94"/>
        <v>0</v>
      </c>
      <c r="AB926" s="340">
        <f t="shared" si="94"/>
        <v>2.3199999999999998</v>
      </c>
    </row>
    <row r="927" spans="1:28">
      <c r="A927" t="str">
        <f t="shared" si="95"/>
        <v>乗0ガQBA</v>
      </c>
      <c r="B927" t="s">
        <v>2115</v>
      </c>
      <c r="C927" t="s">
        <v>2114</v>
      </c>
      <c r="D927" t="s">
        <v>2382</v>
      </c>
      <c r="E927" t="s">
        <v>1434</v>
      </c>
      <c r="F927">
        <v>4.4999999999999998E-2</v>
      </c>
      <c r="G927">
        <v>0</v>
      </c>
      <c r="H927">
        <v>2.3199999999999998</v>
      </c>
      <c r="I927" t="s">
        <v>232</v>
      </c>
      <c r="J927"/>
      <c r="T927" s="292" t="str">
        <f t="shared" si="90"/>
        <v>乗用車</v>
      </c>
      <c r="U927" s="283" t="str">
        <f t="shared" si="91"/>
        <v>ガソリン</v>
      </c>
      <c r="V927" s="283" t="str">
        <f t="shared" si="92"/>
        <v>全て</v>
      </c>
      <c r="W927" s="283" t="str">
        <f t="shared" si="93"/>
        <v>H21</v>
      </c>
      <c r="X927" s="284" t="str">
        <f t="shared" si="93"/>
        <v>QBA</v>
      </c>
      <c r="Y927" s="271" t="s">
        <v>1762</v>
      </c>
      <c r="Z927" s="283">
        <f t="shared" si="94"/>
        <v>4.4999999999999998E-2</v>
      </c>
      <c r="AA927" s="283">
        <f t="shared" si="94"/>
        <v>0</v>
      </c>
      <c r="AB927" s="340">
        <f t="shared" si="94"/>
        <v>2.3199999999999998</v>
      </c>
    </row>
    <row r="928" spans="1:28">
      <c r="A928" t="str">
        <f t="shared" si="95"/>
        <v>乗0ガQAA</v>
      </c>
      <c r="B928" t="s">
        <v>2115</v>
      </c>
      <c r="C928" t="s">
        <v>2114</v>
      </c>
      <c r="D928" t="s">
        <v>2382</v>
      </c>
      <c r="E928" t="s">
        <v>1436</v>
      </c>
      <c r="F928">
        <v>4.4999999999999998E-2</v>
      </c>
      <c r="G928">
        <v>0</v>
      </c>
      <c r="H928">
        <v>2.3199999999999998</v>
      </c>
      <c r="I928" t="s">
        <v>239</v>
      </c>
      <c r="J928"/>
      <c r="T928" s="292" t="str">
        <f t="shared" si="90"/>
        <v>乗用車</v>
      </c>
      <c r="U928" s="283" t="str">
        <f t="shared" si="91"/>
        <v>ガソリン</v>
      </c>
      <c r="V928" s="283" t="str">
        <f t="shared" si="92"/>
        <v>全て</v>
      </c>
      <c r="W928" s="283" t="str">
        <f t="shared" si="93"/>
        <v>H21</v>
      </c>
      <c r="X928" s="284" t="str">
        <f t="shared" si="93"/>
        <v>QAA</v>
      </c>
      <c r="Y928" s="271" t="s">
        <v>1762</v>
      </c>
      <c r="Z928" s="283">
        <f t="shared" si="94"/>
        <v>4.4999999999999998E-2</v>
      </c>
      <c r="AA928" s="283">
        <f t="shared" si="94"/>
        <v>0</v>
      </c>
      <c r="AB928" s="340">
        <f t="shared" si="94"/>
        <v>2.3199999999999998</v>
      </c>
    </row>
    <row r="929" spans="1:28">
      <c r="A929" t="str">
        <f t="shared" si="95"/>
        <v>乗0ガQLA</v>
      </c>
      <c r="B929" t="s">
        <v>2115</v>
      </c>
      <c r="C929" t="s">
        <v>2114</v>
      </c>
      <c r="D929" t="s">
        <v>2382</v>
      </c>
      <c r="E929" t="s">
        <v>1439</v>
      </c>
      <c r="F929">
        <v>4.4999999999999998E-2</v>
      </c>
      <c r="G929">
        <v>0</v>
      </c>
      <c r="H929">
        <v>2.3199999999999998</v>
      </c>
      <c r="I929" t="s">
        <v>1405</v>
      </c>
      <c r="J929"/>
      <c r="T929" s="292" t="str">
        <f t="shared" si="90"/>
        <v>乗用車</v>
      </c>
      <c r="U929" s="283" t="str">
        <f t="shared" si="91"/>
        <v>ガソリン</v>
      </c>
      <c r="V929" s="283" t="str">
        <f t="shared" si="92"/>
        <v>全て</v>
      </c>
      <c r="W929" s="283" t="str">
        <f t="shared" si="93"/>
        <v>H21</v>
      </c>
      <c r="X929" s="284" t="str">
        <f t="shared" si="93"/>
        <v>QLA</v>
      </c>
      <c r="Y929" s="271" t="s">
        <v>1762</v>
      </c>
      <c r="Z929" s="283">
        <f t="shared" si="94"/>
        <v>4.4999999999999998E-2</v>
      </c>
      <c r="AA929" s="283">
        <f t="shared" si="94"/>
        <v>0</v>
      </c>
      <c r="AB929" s="340">
        <f t="shared" si="94"/>
        <v>2.3199999999999998</v>
      </c>
    </row>
    <row r="930" spans="1:28">
      <c r="A930" t="str">
        <f t="shared" si="95"/>
        <v>乗0ガ3BA</v>
      </c>
      <c r="B930" t="s">
        <v>2115</v>
      </c>
      <c r="C930" t="s">
        <v>2114</v>
      </c>
      <c r="D930" t="s">
        <v>2746</v>
      </c>
      <c r="E930" t="s">
        <v>2925</v>
      </c>
      <c r="F930">
        <v>0.05</v>
      </c>
      <c r="G930">
        <v>0</v>
      </c>
      <c r="H930">
        <v>2.3199999999999998</v>
      </c>
      <c r="I930" t="s">
        <v>232</v>
      </c>
      <c r="J930"/>
      <c r="T930" s="292" t="str">
        <f t="shared" si="90"/>
        <v>乗用車</v>
      </c>
      <c r="U930" s="283" t="str">
        <f t="shared" si="91"/>
        <v>ガソリン</v>
      </c>
      <c r="V930" s="283" t="str">
        <f t="shared" si="92"/>
        <v>全て</v>
      </c>
      <c r="W930" s="283" t="str">
        <f t="shared" si="93"/>
        <v>H30</v>
      </c>
      <c r="X930" s="284" t="str">
        <f t="shared" si="93"/>
        <v>3BA</v>
      </c>
      <c r="Y930" s="271"/>
      <c r="Z930" s="283">
        <f t="shared" si="94"/>
        <v>0.05</v>
      </c>
      <c r="AA930" s="283">
        <f t="shared" si="94"/>
        <v>0</v>
      </c>
      <c r="AB930" s="340">
        <f t="shared" si="94"/>
        <v>2.3199999999999998</v>
      </c>
    </row>
    <row r="931" spans="1:28">
      <c r="A931" t="str">
        <f t="shared" si="95"/>
        <v>乗0ガ3AA</v>
      </c>
      <c r="B931" t="s">
        <v>2115</v>
      </c>
      <c r="C931" t="s">
        <v>2114</v>
      </c>
      <c r="D931" t="s">
        <v>2746</v>
      </c>
      <c r="E931" t="s">
        <v>2926</v>
      </c>
      <c r="F931">
        <v>2.5000000000000001E-2</v>
      </c>
      <c r="G931">
        <v>0</v>
      </c>
      <c r="H931">
        <v>2.3199999999999998</v>
      </c>
      <c r="I931" t="s">
        <v>239</v>
      </c>
      <c r="J931"/>
      <c r="T931" s="292" t="str">
        <f t="shared" si="90"/>
        <v>乗用車</v>
      </c>
      <c r="U931" s="283" t="str">
        <f t="shared" si="91"/>
        <v>ガソリン</v>
      </c>
      <c r="V931" s="283" t="str">
        <f t="shared" si="92"/>
        <v>全て</v>
      </c>
      <c r="W931" s="283" t="str">
        <f t="shared" si="93"/>
        <v>H30</v>
      </c>
      <c r="X931" s="284" t="str">
        <f t="shared" si="93"/>
        <v>3AA</v>
      </c>
      <c r="Y931" s="271"/>
      <c r="Z931" s="283">
        <f t="shared" si="94"/>
        <v>2.5000000000000001E-2</v>
      </c>
      <c r="AA931" s="283">
        <f t="shared" si="94"/>
        <v>0</v>
      </c>
      <c r="AB931" s="340">
        <f t="shared" si="94"/>
        <v>2.3199999999999998</v>
      </c>
    </row>
    <row r="932" spans="1:28">
      <c r="A932" t="str">
        <f t="shared" ref="A932:A995" si="96">CONCATENATE(C932,E932)</f>
        <v>乗0ガ3LA</v>
      </c>
      <c r="B932" t="s">
        <v>2115</v>
      </c>
      <c r="C932" t="s">
        <v>2114</v>
      </c>
      <c r="D932" t="s">
        <v>2750</v>
      </c>
      <c r="E932" t="s">
        <v>2927</v>
      </c>
      <c r="F932">
        <v>1.2500000000000001E-2</v>
      </c>
      <c r="G932">
        <v>0</v>
      </c>
      <c r="H932">
        <v>2.3199999999999998</v>
      </c>
      <c r="I932" t="s">
        <v>1405</v>
      </c>
      <c r="J932"/>
      <c r="T932" s="292" t="str">
        <f t="shared" si="90"/>
        <v>乗用車</v>
      </c>
      <c r="U932" s="283" t="str">
        <f t="shared" si="91"/>
        <v>ガソリン</v>
      </c>
      <c r="V932" s="283" t="str">
        <f t="shared" si="92"/>
        <v>全て</v>
      </c>
      <c r="W932" s="283" t="str">
        <f t="shared" si="93"/>
        <v>H30</v>
      </c>
      <c r="X932" s="284" t="str">
        <f t="shared" si="93"/>
        <v>3LA</v>
      </c>
      <c r="Y932" s="271"/>
      <c r="Z932" s="283">
        <f t="shared" si="94"/>
        <v>1.2500000000000001E-2</v>
      </c>
      <c r="AA932" s="283">
        <f t="shared" si="94"/>
        <v>0</v>
      </c>
      <c r="AB932" s="340">
        <f t="shared" si="94"/>
        <v>2.3199999999999998</v>
      </c>
    </row>
    <row r="933" spans="1:28">
      <c r="A933" t="str">
        <f t="shared" si="96"/>
        <v>乗0ガ4BA</v>
      </c>
      <c r="B933" t="s">
        <v>2115</v>
      </c>
      <c r="C933" t="s">
        <v>2114</v>
      </c>
      <c r="D933" t="s">
        <v>2750</v>
      </c>
      <c r="E933" t="s">
        <v>2928</v>
      </c>
      <c r="F933">
        <v>3.7499999999999999E-2</v>
      </c>
      <c r="G933">
        <v>0</v>
      </c>
      <c r="H933">
        <v>2.3199999999999998</v>
      </c>
      <c r="I933" t="s">
        <v>232</v>
      </c>
      <c r="J933"/>
      <c r="T933" s="292" t="str">
        <f t="shared" si="90"/>
        <v>乗用車</v>
      </c>
      <c r="U933" s="283" t="str">
        <f t="shared" si="91"/>
        <v>ガソリン</v>
      </c>
      <c r="V933" s="283" t="str">
        <f t="shared" si="92"/>
        <v>全て</v>
      </c>
      <c r="W933" s="283" t="str">
        <f t="shared" si="93"/>
        <v>H30</v>
      </c>
      <c r="X933" s="284" t="str">
        <f t="shared" si="93"/>
        <v>4BA</v>
      </c>
      <c r="Y933" s="271" t="s">
        <v>1769</v>
      </c>
      <c r="Z933" s="283">
        <f t="shared" si="94"/>
        <v>3.7499999999999999E-2</v>
      </c>
      <c r="AA933" s="283">
        <f t="shared" si="94"/>
        <v>0</v>
      </c>
      <c r="AB933" s="340">
        <f t="shared" si="94"/>
        <v>2.3199999999999998</v>
      </c>
    </row>
    <row r="934" spans="1:28">
      <c r="A934" t="str">
        <f t="shared" si="96"/>
        <v>乗0ガ4AA</v>
      </c>
      <c r="B934" t="s">
        <v>2115</v>
      </c>
      <c r="C934" t="s">
        <v>2114</v>
      </c>
      <c r="D934" t="s">
        <v>2750</v>
      </c>
      <c r="E934" t="s">
        <v>2929</v>
      </c>
      <c r="F934">
        <v>3.7499999999999999E-2</v>
      </c>
      <c r="G934">
        <v>0</v>
      </c>
      <c r="H934">
        <v>2.3199999999999998</v>
      </c>
      <c r="I934" t="s">
        <v>239</v>
      </c>
      <c r="J934"/>
      <c r="T934" s="292" t="str">
        <f t="shared" si="90"/>
        <v>乗用車</v>
      </c>
      <c r="U934" s="283" t="str">
        <f t="shared" si="91"/>
        <v>ガソリン</v>
      </c>
      <c r="V934" s="283" t="str">
        <f t="shared" si="92"/>
        <v>全て</v>
      </c>
      <c r="W934" s="283" t="str">
        <f t="shared" si="93"/>
        <v>H30</v>
      </c>
      <c r="X934" s="284" t="str">
        <f t="shared" si="93"/>
        <v>4AA</v>
      </c>
      <c r="Y934" s="271" t="s">
        <v>1769</v>
      </c>
      <c r="Z934" s="283">
        <f t="shared" si="94"/>
        <v>3.7499999999999999E-2</v>
      </c>
      <c r="AA934" s="283">
        <f t="shared" si="94"/>
        <v>0</v>
      </c>
      <c r="AB934" s="340">
        <f t="shared" si="94"/>
        <v>2.3199999999999998</v>
      </c>
    </row>
    <row r="935" spans="1:28">
      <c r="A935" t="str">
        <f t="shared" si="96"/>
        <v>乗0ガ4LA</v>
      </c>
      <c r="B935" t="s">
        <v>2115</v>
      </c>
      <c r="C935" t="s">
        <v>2114</v>
      </c>
      <c r="D935" t="s">
        <v>2750</v>
      </c>
      <c r="E935" t="s">
        <v>2930</v>
      </c>
      <c r="F935">
        <v>3.7499999999999999E-2</v>
      </c>
      <c r="G935">
        <v>0</v>
      </c>
      <c r="H935">
        <v>2.3199999999999998</v>
      </c>
      <c r="I935" t="s">
        <v>1405</v>
      </c>
      <c r="J935"/>
      <c r="T935" s="292" t="str">
        <f t="shared" si="90"/>
        <v>乗用車</v>
      </c>
      <c r="U935" s="283" t="str">
        <f t="shared" si="91"/>
        <v>ガソリン</v>
      </c>
      <c r="V935" s="283" t="str">
        <f t="shared" si="92"/>
        <v>全て</v>
      </c>
      <c r="W935" s="283" t="str">
        <f t="shared" si="93"/>
        <v>H30</v>
      </c>
      <c r="X935" s="284" t="str">
        <f t="shared" si="93"/>
        <v>4LA</v>
      </c>
      <c r="Y935" s="271" t="s">
        <v>1769</v>
      </c>
      <c r="Z935" s="283">
        <f t="shared" si="94"/>
        <v>3.7499999999999999E-2</v>
      </c>
      <c r="AA935" s="283">
        <f t="shared" si="94"/>
        <v>0</v>
      </c>
      <c r="AB935" s="340">
        <f t="shared" si="94"/>
        <v>2.3199999999999998</v>
      </c>
    </row>
    <row r="936" spans="1:28">
      <c r="A936" t="str">
        <f t="shared" si="96"/>
        <v>乗0ガ5BA</v>
      </c>
      <c r="B936" t="s">
        <v>2115</v>
      </c>
      <c r="C936" t="s">
        <v>2114</v>
      </c>
      <c r="D936" t="s">
        <v>2750</v>
      </c>
      <c r="E936" t="s">
        <v>2931</v>
      </c>
      <c r="F936">
        <v>2.5000000000000001E-2</v>
      </c>
      <c r="G936">
        <v>0</v>
      </c>
      <c r="H936">
        <v>2.3199999999999998</v>
      </c>
      <c r="I936" t="s">
        <v>2200</v>
      </c>
      <c r="J936"/>
      <c r="T936" s="292" t="str">
        <f t="shared" si="90"/>
        <v>乗用車</v>
      </c>
      <c r="U936" s="283" t="str">
        <f t="shared" si="91"/>
        <v>ガソリン</v>
      </c>
      <c r="V936" s="283" t="str">
        <f t="shared" si="92"/>
        <v>全て</v>
      </c>
      <c r="W936" s="283" t="str">
        <f t="shared" si="93"/>
        <v>H30</v>
      </c>
      <c r="X936" s="284" t="str">
        <f t="shared" si="93"/>
        <v>5BA</v>
      </c>
      <c r="Y936" s="271" t="s">
        <v>2262</v>
      </c>
      <c r="Z936" s="283">
        <f t="shared" si="94"/>
        <v>2.5000000000000001E-2</v>
      </c>
      <c r="AA936" s="283">
        <f t="shared" si="94"/>
        <v>0</v>
      </c>
      <c r="AB936" s="340">
        <f t="shared" si="94"/>
        <v>2.3199999999999998</v>
      </c>
    </row>
    <row r="937" spans="1:28">
      <c r="A937" t="str">
        <f t="shared" si="96"/>
        <v>乗0ガ5AA</v>
      </c>
      <c r="B937" t="s">
        <v>2115</v>
      </c>
      <c r="C937" t="s">
        <v>2114</v>
      </c>
      <c r="D937" t="s">
        <v>2750</v>
      </c>
      <c r="E937" t="s">
        <v>2932</v>
      </c>
      <c r="F937">
        <v>2.5000000000000001E-2</v>
      </c>
      <c r="G937">
        <v>0</v>
      </c>
      <c r="H937">
        <v>2.3199999999999998</v>
      </c>
      <c r="I937" t="s">
        <v>239</v>
      </c>
      <c r="J937"/>
      <c r="T937" s="292" t="str">
        <f t="shared" si="90"/>
        <v>乗用車</v>
      </c>
      <c r="U937" s="283" t="str">
        <f t="shared" si="91"/>
        <v>ガソリン</v>
      </c>
      <c r="V937" s="283" t="str">
        <f t="shared" si="92"/>
        <v>全て</v>
      </c>
      <c r="W937" s="283" t="str">
        <f t="shared" si="93"/>
        <v>H30</v>
      </c>
      <c r="X937" s="284" t="str">
        <f t="shared" si="93"/>
        <v>5AA</v>
      </c>
      <c r="Y937" s="271" t="s">
        <v>2262</v>
      </c>
      <c r="Z937" s="283">
        <f t="shared" si="94"/>
        <v>2.5000000000000001E-2</v>
      </c>
      <c r="AA937" s="283">
        <f t="shared" si="94"/>
        <v>0</v>
      </c>
      <c r="AB937" s="340">
        <f t="shared" si="94"/>
        <v>2.3199999999999998</v>
      </c>
    </row>
    <row r="938" spans="1:28">
      <c r="A938" t="str">
        <f t="shared" si="96"/>
        <v>乗0ガ5LA</v>
      </c>
      <c r="B938" t="s">
        <v>2115</v>
      </c>
      <c r="C938" t="s">
        <v>2114</v>
      </c>
      <c r="D938" t="s">
        <v>2750</v>
      </c>
      <c r="E938" t="s">
        <v>2933</v>
      </c>
      <c r="F938">
        <v>2.5000000000000001E-2</v>
      </c>
      <c r="G938">
        <v>0</v>
      </c>
      <c r="H938">
        <v>2.3199999999999998</v>
      </c>
      <c r="I938" t="s">
        <v>1405</v>
      </c>
      <c r="J938"/>
      <c r="T938" s="292" t="str">
        <f t="shared" si="90"/>
        <v>乗用車</v>
      </c>
      <c r="U938" s="283" t="str">
        <f t="shared" si="91"/>
        <v>ガソリン</v>
      </c>
      <c r="V938" s="283" t="str">
        <f t="shared" si="92"/>
        <v>全て</v>
      </c>
      <c r="W938" s="283" t="str">
        <f t="shared" si="93"/>
        <v>H30</v>
      </c>
      <c r="X938" s="284" t="str">
        <f t="shared" si="93"/>
        <v>5LA</v>
      </c>
      <c r="Y938" s="271" t="s">
        <v>2262</v>
      </c>
      <c r="Z938" s="283">
        <f t="shared" si="94"/>
        <v>2.5000000000000001E-2</v>
      </c>
      <c r="AA938" s="283">
        <f t="shared" si="94"/>
        <v>0</v>
      </c>
      <c r="AB938" s="340">
        <f t="shared" si="94"/>
        <v>2.3199999999999998</v>
      </c>
    </row>
    <row r="939" spans="1:28">
      <c r="A939" t="str">
        <f t="shared" si="96"/>
        <v>乗0ガ6BA</v>
      </c>
      <c r="B939" t="s">
        <v>2115</v>
      </c>
      <c r="C939" t="s">
        <v>2114</v>
      </c>
      <c r="D939" t="s">
        <v>2750</v>
      </c>
      <c r="E939" t="s">
        <v>2934</v>
      </c>
      <c r="F939">
        <v>1.2500000000000001E-2</v>
      </c>
      <c r="G939">
        <v>0</v>
      </c>
      <c r="H939">
        <v>2.3199999999999998</v>
      </c>
      <c r="I939" t="s">
        <v>2202</v>
      </c>
      <c r="J939"/>
      <c r="T939" s="292" t="str">
        <f t="shared" si="90"/>
        <v>乗用車</v>
      </c>
      <c r="U939" s="283" t="str">
        <f t="shared" si="91"/>
        <v>ガソリン</v>
      </c>
      <c r="V939" s="283" t="str">
        <f t="shared" si="92"/>
        <v>全て</v>
      </c>
      <c r="W939" s="283" t="str">
        <f t="shared" si="93"/>
        <v>H30</v>
      </c>
      <c r="X939" s="284" t="str">
        <f t="shared" si="93"/>
        <v>6BA</v>
      </c>
      <c r="Y939" s="271" t="s">
        <v>2758</v>
      </c>
      <c r="Z939" s="283">
        <f t="shared" si="94"/>
        <v>1.2500000000000001E-2</v>
      </c>
      <c r="AA939" s="283">
        <f t="shared" si="94"/>
        <v>0</v>
      </c>
      <c r="AB939" s="340">
        <f t="shared" si="94"/>
        <v>2.3199999999999998</v>
      </c>
    </row>
    <row r="940" spans="1:28">
      <c r="A940" t="str">
        <f t="shared" si="96"/>
        <v>乗0ガ6AA</v>
      </c>
      <c r="B940" t="s">
        <v>2115</v>
      </c>
      <c r="C940" t="s">
        <v>2114</v>
      </c>
      <c r="D940" t="s">
        <v>2750</v>
      </c>
      <c r="E940" t="s">
        <v>2935</v>
      </c>
      <c r="F940">
        <v>1.2500000000000001E-2</v>
      </c>
      <c r="G940">
        <v>0</v>
      </c>
      <c r="H940">
        <v>2.3199999999999998</v>
      </c>
      <c r="I940" t="s">
        <v>239</v>
      </c>
      <c r="J940"/>
      <c r="T940" s="292" t="str">
        <f t="shared" si="90"/>
        <v>乗用車</v>
      </c>
      <c r="U940" s="283" t="str">
        <f t="shared" si="91"/>
        <v>ガソリン</v>
      </c>
      <c r="V940" s="283" t="str">
        <f t="shared" si="92"/>
        <v>全て</v>
      </c>
      <c r="W940" s="283" t="str">
        <f t="shared" si="93"/>
        <v>H30</v>
      </c>
      <c r="X940" s="284" t="str">
        <f t="shared" si="93"/>
        <v>6AA</v>
      </c>
      <c r="Y940" s="271" t="s">
        <v>2758</v>
      </c>
      <c r="Z940" s="283">
        <f t="shared" si="94"/>
        <v>1.2500000000000001E-2</v>
      </c>
      <c r="AA940" s="283">
        <f t="shared" si="94"/>
        <v>0</v>
      </c>
      <c r="AB940" s="340">
        <f t="shared" si="94"/>
        <v>2.3199999999999998</v>
      </c>
    </row>
    <row r="941" spans="1:28">
      <c r="A941" t="str">
        <f t="shared" si="96"/>
        <v>乗0ガ6LA</v>
      </c>
      <c r="B941" t="s">
        <v>2115</v>
      </c>
      <c r="C941" t="s">
        <v>2114</v>
      </c>
      <c r="D941" t="s">
        <v>2750</v>
      </c>
      <c r="E941" t="s">
        <v>2936</v>
      </c>
      <c r="F941">
        <v>1.2500000000000001E-2</v>
      </c>
      <c r="G941">
        <v>0</v>
      </c>
      <c r="H941">
        <v>2.3199999999999998</v>
      </c>
      <c r="I941" t="s">
        <v>1405</v>
      </c>
      <c r="J941"/>
      <c r="T941" s="292" t="str">
        <f t="shared" si="90"/>
        <v>乗用車</v>
      </c>
      <c r="U941" s="283" t="str">
        <f t="shared" si="91"/>
        <v>ガソリン</v>
      </c>
      <c r="V941" s="283" t="str">
        <f t="shared" si="92"/>
        <v>全て</v>
      </c>
      <c r="W941" s="283" t="str">
        <f t="shared" si="93"/>
        <v>H30</v>
      </c>
      <c r="X941" s="284" t="str">
        <f t="shared" si="93"/>
        <v>6LA</v>
      </c>
      <c r="Y941" s="271" t="s">
        <v>2758</v>
      </c>
      <c r="Z941" s="283">
        <f t="shared" si="94"/>
        <v>1.2500000000000001E-2</v>
      </c>
      <c r="AA941" s="283">
        <f t="shared" si="94"/>
        <v>0</v>
      </c>
      <c r="AB941" s="340">
        <f t="shared" si="94"/>
        <v>2.3199999999999998</v>
      </c>
    </row>
    <row r="942" spans="1:28">
      <c r="A942" t="str">
        <f t="shared" si="96"/>
        <v>乗0L-</v>
      </c>
      <c r="B942" t="s">
        <v>2115</v>
      </c>
      <c r="C942" t="s">
        <v>1937</v>
      </c>
      <c r="D942" t="s">
        <v>2456</v>
      </c>
      <c r="E942" t="s">
        <v>2457</v>
      </c>
      <c r="F942">
        <v>2.1800000000000002</v>
      </c>
      <c r="G942">
        <v>0</v>
      </c>
      <c r="H942">
        <v>3</v>
      </c>
      <c r="I942" t="s">
        <v>232</v>
      </c>
      <c r="J942"/>
      <c r="T942" s="292" t="str">
        <f t="shared" si="90"/>
        <v>乗用車</v>
      </c>
      <c r="U942" s="283" t="str">
        <f t="shared" si="91"/>
        <v>LPG</v>
      </c>
      <c r="V942" s="283" t="str">
        <f t="shared" si="92"/>
        <v>全て</v>
      </c>
      <c r="W942" s="283" t="str">
        <f t="shared" si="93"/>
        <v>S50前</v>
      </c>
      <c r="X942" s="284" t="str">
        <f t="shared" si="93"/>
        <v>-</v>
      </c>
      <c r="Y942" s="271"/>
      <c r="Z942" s="283">
        <f t="shared" si="94"/>
        <v>2.1800000000000002</v>
      </c>
      <c r="AA942" s="283">
        <f t="shared" si="94"/>
        <v>0</v>
      </c>
      <c r="AB942" s="340">
        <f t="shared" si="94"/>
        <v>3</v>
      </c>
    </row>
    <row r="943" spans="1:28">
      <c r="A943" t="str">
        <f t="shared" si="96"/>
        <v>乗0LA</v>
      </c>
      <c r="B943" t="s">
        <v>2115</v>
      </c>
      <c r="C943" t="s">
        <v>1937</v>
      </c>
      <c r="D943" t="s">
        <v>2459</v>
      </c>
      <c r="E943" t="s">
        <v>35</v>
      </c>
      <c r="F943">
        <v>1.2</v>
      </c>
      <c r="G943">
        <v>0</v>
      </c>
      <c r="H943">
        <v>3</v>
      </c>
      <c r="I943" t="s">
        <v>232</v>
      </c>
      <c r="J943"/>
      <c r="T943" s="292" t="str">
        <f t="shared" si="90"/>
        <v>乗用車</v>
      </c>
      <c r="U943" s="283" t="str">
        <f t="shared" si="91"/>
        <v>LPG</v>
      </c>
      <c r="V943" s="283" t="str">
        <f t="shared" si="92"/>
        <v>全て</v>
      </c>
      <c r="W943" s="283" t="str">
        <f t="shared" si="93"/>
        <v>S50</v>
      </c>
      <c r="X943" s="284" t="str">
        <f t="shared" si="93"/>
        <v>A</v>
      </c>
      <c r="Y943" s="271"/>
      <c r="Z943" s="283">
        <f t="shared" si="94"/>
        <v>1.2</v>
      </c>
      <c r="AA943" s="283">
        <f t="shared" si="94"/>
        <v>0</v>
      </c>
      <c r="AB943" s="340">
        <f t="shared" si="94"/>
        <v>3</v>
      </c>
    </row>
    <row r="944" spans="1:28">
      <c r="A944" t="str">
        <f t="shared" si="96"/>
        <v>乗0LB</v>
      </c>
      <c r="B944" t="s">
        <v>2115</v>
      </c>
      <c r="C944" t="s">
        <v>1937</v>
      </c>
      <c r="D944" t="s">
        <v>37</v>
      </c>
      <c r="E944" t="s">
        <v>46</v>
      </c>
      <c r="F944">
        <v>0.6</v>
      </c>
      <c r="G944">
        <v>0</v>
      </c>
      <c r="H944">
        <v>3</v>
      </c>
      <c r="I944" t="s">
        <v>232</v>
      </c>
      <c r="J944"/>
      <c r="T944" s="292" t="str">
        <f t="shared" si="90"/>
        <v>乗用車</v>
      </c>
      <c r="U944" s="283" t="str">
        <f t="shared" si="91"/>
        <v>LPG</v>
      </c>
      <c r="V944" s="283" t="str">
        <f t="shared" si="92"/>
        <v>全て</v>
      </c>
      <c r="W944" s="283" t="str">
        <f t="shared" si="93"/>
        <v>S51</v>
      </c>
      <c r="X944" s="284" t="str">
        <f t="shared" si="93"/>
        <v>B</v>
      </c>
      <c r="Y944" s="271"/>
      <c r="Z944" s="283">
        <f t="shared" si="94"/>
        <v>0.6</v>
      </c>
      <c r="AA944" s="283">
        <f t="shared" si="94"/>
        <v>0</v>
      </c>
      <c r="AB944" s="340">
        <f t="shared" si="94"/>
        <v>3</v>
      </c>
    </row>
    <row r="945" spans="1:28">
      <c r="A945" t="str">
        <f t="shared" si="96"/>
        <v>乗0LC</v>
      </c>
      <c r="B945" t="s">
        <v>2115</v>
      </c>
      <c r="C945" t="s">
        <v>1937</v>
      </c>
      <c r="D945" t="s">
        <v>37</v>
      </c>
      <c r="E945" t="s">
        <v>47</v>
      </c>
      <c r="F945">
        <v>0.6</v>
      </c>
      <c r="G945">
        <v>0</v>
      </c>
      <c r="H945">
        <v>3</v>
      </c>
      <c r="I945" t="s">
        <v>232</v>
      </c>
      <c r="J945"/>
      <c r="T945" s="292" t="str">
        <f t="shared" si="90"/>
        <v>乗用車</v>
      </c>
      <c r="U945" s="283" t="str">
        <f t="shared" si="91"/>
        <v>LPG</v>
      </c>
      <c r="V945" s="283" t="str">
        <f t="shared" si="92"/>
        <v>全て</v>
      </c>
      <c r="W945" s="283" t="str">
        <f t="shared" si="93"/>
        <v>S51</v>
      </c>
      <c r="X945" s="284" t="str">
        <f t="shared" si="93"/>
        <v>C</v>
      </c>
      <c r="Y945" s="271"/>
      <c r="Z945" s="283">
        <f t="shared" si="94"/>
        <v>0.6</v>
      </c>
      <c r="AA945" s="283">
        <f t="shared" si="94"/>
        <v>0</v>
      </c>
      <c r="AB945" s="340">
        <f t="shared" si="94"/>
        <v>3</v>
      </c>
    </row>
    <row r="946" spans="1:28">
      <c r="A946" t="str">
        <f t="shared" si="96"/>
        <v>乗0LE</v>
      </c>
      <c r="B946" t="s">
        <v>2115</v>
      </c>
      <c r="C946" t="s">
        <v>1937</v>
      </c>
      <c r="D946" t="s">
        <v>38</v>
      </c>
      <c r="E946" t="s">
        <v>48</v>
      </c>
      <c r="F946">
        <v>0.25</v>
      </c>
      <c r="G946">
        <v>0</v>
      </c>
      <c r="H946">
        <v>3</v>
      </c>
      <c r="I946" t="s">
        <v>232</v>
      </c>
      <c r="J946"/>
      <c r="T946" s="292" t="str">
        <f t="shared" si="90"/>
        <v>乗用車</v>
      </c>
      <c r="U946" s="283" t="str">
        <f t="shared" si="91"/>
        <v>LPG</v>
      </c>
      <c r="V946" s="283" t="str">
        <f t="shared" si="92"/>
        <v>全て</v>
      </c>
      <c r="W946" s="283" t="str">
        <f t="shared" si="93"/>
        <v>S53,H10</v>
      </c>
      <c r="X946" s="284" t="str">
        <f t="shared" si="93"/>
        <v>E</v>
      </c>
      <c r="Y946" s="271"/>
      <c r="Z946" s="283">
        <f t="shared" si="94"/>
        <v>0.25</v>
      </c>
      <c r="AA946" s="283">
        <f t="shared" si="94"/>
        <v>0</v>
      </c>
      <c r="AB946" s="340">
        <f t="shared" si="94"/>
        <v>3</v>
      </c>
    </row>
    <row r="947" spans="1:28">
      <c r="A947" t="str">
        <f t="shared" si="96"/>
        <v>乗0LGF</v>
      </c>
      <c r="B947" t="s">
        <v>2115</v>
      </c>
      <c r="C947" t="s">
        <v>1937</v>
      </c>
      <c r="D947" t="s">
        <v>38</v>
      </c>
      <c r="E947" t="s">
        <v>53</v>
      </c>
      <c r="F947">
        <v>0.25</v>
      </c>
      <c r="G947">
        <v>0</v>
      </c>
      <c r="H947">
        <v>3</v>
      </c>
      <c r="I947" t="s">
        <v>232</v>
      </c>
      <c r="J947"/>
      <c r="T947" s="292" t="str">
        <f t="shared" si="90"/>
        <v>乗用車</v>
      </c>
      <c r="U947" s="283" t="str">
        <f t="shared" si="91"/>
        <v>LPG</v>
      </c>
      <c r="V947" s="283" t="str">
        <f t="shared" si="92"/>
        <v>全て</v>
      </c>
      <c r="W947" s="283" t="str">
        <f t="shared" si="93"/>
        <v>S53,H10</v>
      </c>
      <c r="X947" s="284" t="str">
        <f t="shared" si="93"/>
        <v>GF</v>
      </c>
      <c r="Y947" s="271"/>
      <c r="Z947" s="283">
        <f t="shared" si="94"/>
        <v>0.25</v>
      </c>
      <c r="AA947" s="283">
        <f t="shared" si="94"/>
        <v>0</v>
      </c>
      <c r="AB947" s="340">
        <f t="shared" si="94"/>
        <v>3</v>
      </c>
    </row>
    <row r="948" spans="1:28">
      <c r="A948" t="str">
        <f t="shared" si="96"/>
        <v>乗0LHK</v>
      </c>
      <c r="B948" t="s">
        <v>2115</v>
      </c>
      <c r="C948" t="s">
        <v>1937</v>
      </c>
      <c r="D948" t="s">
        <v>38</v>
      </c>
      <c r="E948" t="s">
        <v>61</v>
      </c>
      <c r="F948">
        <v>0.125</v>
      </c>
      <c r="G948">
        <v>0</v>
      </c>
      <c r="H948">
        <v>3</v>
      </c>
      <c r="I948" t="s">
        <v>239</v>
      </c>
      <c r="J948"/>
      <c r="T948" s="292" t="str">
        <f t="shared" si="90"/>
        <v>乗用車</v>
      </c>
      <c r="U948" s="283" t="str">
        <f t="shared" si="91"/>
        <v>LPG</v>
      </c>
      <c r="V948" s="283" t="str">
        <f t="shared" si="92"/>
        <v>全て</v>
      </c>
      <c r="W948" s="283" t="str">
        <f t="shared" si="93"/>
        <v>S53,H10</v>
      </c>
      <c r="X948" s="284" t="str">
        <f t="shared" si="93"/>
        <v>HK</v>
      </c>
      <c r="Y948" s="271"/>
      <c r="Z948" s="283">
        <f t="shared" si="94"/>
        <v>0.125</v>
      </c>
      <c r="AA948" s="283">
        <f t="shared" si="94"/>
        <v>0</v>
      </c>
      <c r="AB948" s="340">
        <f t="shared" si="94"/>
        <v>3</v>
      </c>
    </row>
    <row r="949" spans="1:28">
      <c r="A949" t="str">
        <f t="shared" si="96"/>
        <v>乗0LGH</v>
      </c>
      <c r="B949" t="s">
        <v>2115</v>
      </c>
      <c r="C949" t="s">
        <v>1937</v>
      </c>
      <c r="D949" t="s">
        <v>15</v>
      </c>
      <c r="E949" t="s">
        <v>55</v>
      </c>
      <c r="F949">
        <v>0.08</v>
      </c>
      <c r="G949">
        <v>0</v>
      </c>
      <c r="H949">
        <v>3</v>
      </c>
      <c r="I949" t="s">
        <v>232</v>
      </c>
      <c r="J949"/>
      <c r="T949" s="292" t="str">
        <f t="shared" si="90"/>
        <v>乗用車</v>
      </c>
      <c r="U949" s="283" t="str">
        <f t="shared" si="91"/>
        <v>LPG</v>
      </c>
      <c r="V949" s="283" t="str">
        <f t="shared" si="92"/>
        <v>全て</v>
      </c>
      <c r="W949" s="283" t="str">
        <f t="shared" si="93"/>
        <v>H12</v>
      </c>
      <c r="X949" s="284" t="str">
        <f t="shared" si="93"/>
        <v>GH</v>
      </c>
      <c r="Y949" s="271"/>
      <c r="Z949" s="283">
        <f t="shared" si="94"/>
        <v>0.08</v>
      </c>
      <c r="AA949" s="283">
        <f t="shared" si="94"/>
        <v>0</v>
      </c>
      <c r="AB949" s="340">
        <f t="shared" si="94"/>
        <v>3</v>
      </c>
    </row>
    <row r="950" spans="1:28">
      <c r="A950" t="str">
        <f t="shared" si="96"/>
        <v>乗0LHN</v>
      </c>
      <c r="B950" t="s">
        <v>2115</v>
      </c>
      <c r="C950" t="s">
        <v>1937</v>
      </c>
      <c r="D950" t="s">
        <v>15</v>
      </c>
      <c r="E950" t="s">
        <v>63</v>
      </c>
      <c r="F950">
        <v>0.04</v>
      </c>
      <c r="G950">
        <v>0</v>
      </c>
      <c r="H950">
        <v>3</v>
      </c>
      <c r="I950" t="s">
        <v>239</v>
      </c>
      <c r="J950"/>
      <c r="T950" s="292" t="str">
        <f t="shared" si="90"/>
        <v>乗用車</v>
      </c>
      <c r="U950" s="283" t="str">
        <f t="shared" si="91"/>
        <v>LPG</v>
      </c>
      <c r="V950" s="283" t="str">
        <f t="shared" si="92"/>
        <v>全て</v>
      </c>
      <c r="W950" s="283" t="str">
        <f t="shared" si="93"/>
        <v>H12</v>
      </c>
      <c r="X950" s="284" t="str">
        <f t="shared" si="93"/>
        <v>HN</v>
      </c>
      <c r="Y950" s="271"/>
      <c r="Z950" s="283">
        <f t="shared" si="94"/>
        <v>0.04</v>
      </c>
      <c r="AA950" s="283">
        <f t="shared" si="94"/>
        <v>0</v>
      </c>
      <c r="AB950" s="340">
        <f t="shared" si="94"/>
        <v>3</v>
      </c>
    </row>
    <row r="951" spans="1:28">
      <c r="A951" t="str">
        <f t="shared" si="96"/>
        <v>乗0LTA</v>
      </c>
      <c r="B951" t="s">
        <v>2115</v>
      </c>
      <c r="C951" t="s">
        <v>1937</v>
      </c>
      <c r="D951" t="s">
        <v>15</v>
      </c>
      <c r="E951" t="s">
        <v>79</v>
      </c>
      <c r="F951">
        <v>0.06</v>
      </c>
      <c r="G951">
        <v>0</v>
      </c>
      <c r="H951">
        <v>3</v>
      </c>
      <c r="I951" t="s">
        <v>232</v>
      </c>
      <c r="J951"/>
      <c r="T951" s="292" t="str">
        <f t="shared" si="90"/>
        <v>乗用車</v>
      </c>
      <c r="U951" s="283" t="str">
        <f t="shared" si="91"/>
        <v>LPG</v>
      </c>
      <c r="V951" s="283" t="str">
        <f t="shared" si="92"/>
        <v>全て</v>
      </c>
      <c r="W951" s="283" t="str">
        <f t="shared" si="93"/>
        <v>H12</v>
      </c>
      <c r="X951" s="284" t="str">
        <f t="shared" si="93"/>
        <v>TA</v>
      </c>
      <c r="Y951" s="271" t="s">
        <v>1765</v>
      </c>
      <c r="Z951" s="283">
        <f t="shared" si="94"/>
        <v>0.06</v>
      </c>
      <c r="AA951" s="283">
        <f t="shared" si="94"/>
        <v>0</v>
      </c>
      <c r="AB951" s="340">
        <f t="shared" si="94"/>
        <v>3</v>
      </c>
    </row>
    <row r="952" spans="1:28">
      <c r="A952" t="str">
        <f t="shared" si="96"/>
        <v>乗0LXA</v>
      </c>
      <c r="B952" t="s">
        <v>2115</v>
      </c>
      <c r="C952" t="s">
        <v>1937</v>
      </c>
      <c r="D952" t="s">
        <v>15</v>
      </c>
      <c r="E952" t="s">
        <v>93</v>
      </c>
      <c r="F952">
        <v>0.06</v>
      </c>
      <c r="G952">
        <v>0</v>
      </c>
      <c r="H952">
        <v>3</v>
      </c>
      <c r="I952" t="s">
        <v>239</v>
      </c>
      <c r="J952"/>
      <c r="T952" s="292" t="str">
        <f t="shared" si="90"/>
        <v>乗用車</v>
      </c>
      <c r="U952" s="283" t="str">
        <f t="shared" si="91"/>
        <v>LPG</v>
      </c>
      <c r="V952" s="283" t="str">
        <f t="shared" si="92"/>
        <v>全て</v>
      </c>
      <c r="W952" s="283" t="str">
        <f t="shared" si="93"/>
        <v>H12</v>
      </c>
      <c r="X952" s="284" t="str">
        <f t="shared" si="93"/>
        <v>XA</v>
      </c>
      <c r="Y952" s="271" t="s">
        <v>1765</v>
      </c>
      <c r="Z952" s="283">
        <f t="shared" si="94"/>
        <v>0.06</v>
      </c>
      <c r="AA952" s="283">
        <f t="shared" si="94"/>
        <v>0</v>
      </c>
      <c r="AB952" s="340">
        <f t="shared" si="94"/>
        <v>3</v>
      </c>
    </row>
    <row r="953" spans="1:28">
      <c r="A953" t="str">
        <f t="shared" si="96"/>
        <v>乗0LLA</v>
      </c>
      <c r="B953" t="s">
        <v>2115</v>
      </c>
      <c r="C953" t="s">
        <v>1937</v>
      </c>
      <c r="D953" t="s">
        <v>15</v>
      </c>
      <c r="E953" t="s">
        <v>70</v>
      </c>
      <c r="F953">
        <v>0.04</v>
      </c>
      <c r="G953">
        <v>0</v>
      </c>
      <c r="H953">
        <v>3</v>
      </c>
      <c r="I953" t="s">
        <v>232</v>
      </c>
      <c r="J953"/>
      <c r="T953" s="292" t="str">
        <f t="shared" si="90"/>
        <v>乗用車</v>
      </c>
      <c r="U953" s="283" t="str">
        <f t="shared" si="91"/>
        <v>LPG</v>
      </c>
      <c r="V953" s="283" t="str">
        <f t="shared" si="92"/>
        <v>全て</v>
      </c>
      <c r="W953" s="283" t="str">
        <f t="shared" si="93"/>
        <v>H12</v>
      </c>
      <c r="X953" s="284" t="str">
        <f t="shared" si="93"/>
        <v>LA</v>
      </c>
      <c r="Y953" s="271" t="s">
        <v>1766</v>
      </c>
      <c r="Z953" s="283">
        <f t="shared" si="94"/>
        <v>0.04</v>
      </c>
      <c r="AA953" s="283">
        <f t="shared" si="94"/>
        <v>0</v>
      </c>
      <c r="AB953" s="340">
        <f t="shared" si="94"/>
        <v>3</v>
      </c>
    </row>
    <row r="954" spans="1:28">
      <c r="A954" t="str">
        <f t="shared" si="96"/>
        <v>乗0LYA</v>
      </c>
      <c r="B954" t="s">
        <v>2115</v>
      </c>
      <c r="C954" t="s">
        <v>1937</v>
      </c>
      <c r="D954" t="s">
        <v>15</v>
      </c>
      <c r="E954" t="s">
        <v>97</v>
      </c>
      <c r="F954">
        <v>0.04</v>
      </c>
      <c r="G954">
        <v>0</v>
      </c>
      <c r="H954">
        <v>3</v>
      </c>
      <c r="I954" t="s">
        <v>239</v>
      </c>
      <c r="J954"/>
      <c r="T954" s="292" t="str">
        <f t="shared" si="90"/>
        <v>乗用車</v>
      </c>
      <c r="U954" s="283" t="str">
        <f t="shared" si="91"/>
        <v>LPG</v>
      </c>
      <c r="V954" s="283" t="str">
        <f t="shared" si="92"/>
        <v>全て</v>
      </c>
      <c r="W954" s="283" t="str">
        <f t="shared" si="93"/>
        <v>H12</v>
      </c>
      <c r="X954" s="284" t="str">
        <f t="shared" si="93"/>
        <v>YA</v>
      </c>
      <c r="Y954" s="271" t="s">
        <v>1766</v>
      </c>
      <c r="Z954" s="283">
        <f t="shared" si="94"/>
        <v>0.04</v>
      </c>
      <c r="AA954" s="283">
        <f t="shared" si="94"/>
        <v>0</v>
      </c>
      <c r="AB954" s="340">
        <f t="shared" si="94"/>
        <v>3</v>
      </c>
    </row>
    <row r="955" spans="1:28">
      <c r="A955" t="str">
        <f t="shared" si="96"/>
        <v>乗0LUA</v>
      </c>
      <c r="B955" t="s">
        <v>2115</v>
      </c>
      <c r="C955" t="s">
        <v>1937</v>
      </c>
      <c r="D955" t="s">
        <v>15</v>
      </c>
      <c r="E955" t="s">
        <v>86</v>
      </c>
      <c r="F955">
        <v>0.02</v>
      </c>
      <c r="G955">
        <v>0</v>
      </c>
      <c r="H955">
        <v>3</v>
      </c>
      <c r="I955" t="s">
        <v>232</v>
      </c>
      <c r="J955"/>
      <c r="T955" s="292" t="str">
        <f t="shared" si="90"/>
        <v>乗用車</v>
      </c>
      <c r="U955" s="283" t="str">
        <f t="shared" si="91"/>
        <v>LPG</v>
      </c>
      <c r="V955" s="283" t="str">
        <f t="shared" si="92"/>
        <v>全て</v>
      </c>
      <c r="W955" s="283" t="str">
        <f t="shared" si="93"/>
        <v>H12</v>
      </c>
      <c r="X955" s="284" t="str">
        <f t="shared" si="93"/>
        <v>UA</v>
      </c>
      <c r="Y955" s="271" t="s">
        <v>1767</v>
      </c>
      <c r="Z955" s="283">
        <f t="shared" si="94"/>
        <v>0.02</v>
      </c>
      <c r="AA955" s="283">
        <f t="shared" si="94"/>
        <v>0</v>
      </c>
      <c r="AB955" s="340">
        <f t="shared" si="94"/>
        <v>3</v>
      </c>
    </row>
    <row r="956" spans="1:28">
      <c r="A956" t="str">
        <f t="shared" si="96"/>
        <v>乗0LZA</v>
      </c>
      <c r="B956" t="s">
        <v>2115</v>
      </c>
      <c r="C956" t="s">
        <v>1937</v>
      </c>
      <c r="D956" t="s">
        <v>15</v>
      </c>
      <c r="E956" t="s">
        <v>101</v>
      </c>
      <c r="F956">
        <v>0.02</v>
      </c>
      <c r="G956">
        <v>0</v>
      </c>
      <c r="H956">
        <v>3</v>
      </c>
      <c r="I956" t="s">
        <v>239</v>
      </c>
      <c r="J956"/>
      <c r="T956" s="292" t="str">
        <f t="shared" si="90"/>
        <v>乗用車</v>
      </c>
      <c r="U956" s="283" t="str">
        <f t="shared" si="91"/>
        <v>LPG</v>
      </c>
      <c r="V956" s="283" t="str">
        <f t="shared" si="92"/>
        <v>全て</v>
      </c>
      <c r="W956" s="283" t="str">
        <f t="shared" si="93"/>
        <v>H12</v>
      </c>
      <c r="X956" s="284" t="str">
        <f t="shared" si="93"/>
        <v>ZA</v>
      </c>
      <c r="Y956" s="271" t="s">
        <v>1767</v>
      </c>
      <c r="Z956" s="283">
        <f t="shared" si="94"/>
        <v>0.02</v>
      </c>
      <c r="AA956" s="283">
        <f t="shared" si="94"/>
        <v>0</v>
      </c>
      <c r="AB956" s="340">
        <f t="shared" si="94"/>
        <v>3</v>
      </c>
    </row>
    <row r="957" spans="1:28">
      <c r="A957" t="str">
        <f t="shared" si="96"/>
        <v>乗0LABA</v>
      </c>
      <c r="B957" t="s">
        <v>2115</v>
      </c>
      <c r="C957" t="s">
        <v>1937</v>
      </c>
      <c r="D957" t="s">
        <v>1979</v>
      </c>
      <c r="E957" t="s">
        <v>1400</v>
      </c>
      <c r="F957">
        <v>0.05</v>
      </c>
      <c r="G957">
        <v>0</v>
      </c>
      <c r="H957">
        <v>3</v>
      </c>
      <c r="I957" t="s">
        <v>232</v>
      </c>
      <c r="J957"/>
      <c r="T957" s="292" t="str">
        <f t="shared" si="90"/>
        <v>乗用車</v>
      </c>
      <c r="U957" s="283" t="str">
        <f t="shared" si="91"/>
        <v>LPG</v>
      </c>
      <c r="V957" s="283" t="str">
        <f t="shared" si="92"/>
        <v>全て</v>
      </c>
      <c r="W957" s="283" t="str">
        <f t="shared" si="93"/>
        <v>H17</v>
      </c>
      <c r="X957" s="284" t="str">
        <f t="shared" si="93"/>
        <v>ABA</v>
      </c>
      <c r="Y957" s="271"/>
      <c r="Z957" s="283">
        <f t="shared" si="94"/>
        <v>0.05</v>
      </c>
      <c r="AA957" s="283">
        <f t="shared" si="94"/>
        <v>0</v>
      </c>
      <c r="AB957" s="340">
        <f t="shared" si="94"/>
        <v>3</v>
      </c>
    </row>
    <row r="958" spans="1:28">
      <c r="A958" t="str">
        <f t="shared" si="96"/>
        <v>乗0LAAA</v>
      </c>
      <c r="B958" t="s">
        <v>2115</v>
      </c>
      <c r="C958" t="s">
        <v>1937</v>
      </c>
      <c r="D958" t="s">
        <v>1979</v>
      </c>
      <c r="E958" t="s">
        <v>1402</v>
      </c>
      <c r="F958">
        <v>2.5000000000000001E-2</v>
      </c>
      <c r="G958">
        <v>0</v>
      </c>
      <c r="H958">
        <v>3</v>
      </c>
      <c r="I958" t="s">
        <v>239</v>
      </c>
      <c r="J958"/>
      <c r="T958" s="292" t="str">
        <f t="shared" si="90"/>
        <v>乗用車</v>
      </c>
      <c r="U958" s="283" t="str">
        <f t="shared" si="91"/>
        <v>LPG</v>
      </c>
      <c r="V958" s="283" t="str">
        <f t="shared" si="92"/>
        <v>全て</v>
      </c>
      <c r="W958" s="283" t="str">
        <f t="shared" si="93"/>
        <v>H17</v>
      </c>
      <c r="X958" s="284" t="str">
        <f t="shared" si="93"/>
        <v>AAA</v>
      </c>
      <c r="Y958" s="271"/>
      <c r="Z958" s="283">
        <f t="shared" si="94"/>
        <v>2.5000000000000001E-2</v>
      </c>
      <c r="AA958" s="283">
        <f t="shared" si="94"/>
        <v>0</v>
      </c>
      <c r="AB958" s="340">
        <f t="shared" si="94"/>
        <v>3</v>
      </c>
    </row>
    <row r="959" spans="1:28">
      <c r="A959" t="str">
        <f t="shared" si="96"/>
        <v>乗0LALA</v>
      </c>
      <c r="B959" t="s">
        <v>2115</v>
      </c>
      <c r="C959" t="s">
        <v>1937</v>
      </c>
      <c r="D959" t="s">
        <v>1979</v>
      </c>
      <c r="E959" t="s">
        <v>1404</v>
      </c>
      <c r="F959">
        <v>1.2500000000000001E-2</v>
      </c>
      <c r="G959">
        <v>0</v>
      </c>
      <c r="H959">
        <v>3</v>
      </c>
      <c r="I959" t="s">
        <v>1405</v>
      </c>
      <c r="J959"/>
      <c r="T959" s="292" t="str">
        <f t="shared" si="90"/>
        <v>乗用車</v>
      </c>
      <c r="U959" s="283" t="str">
        <f t="shared" si="91"/>
        <v>LPG</v>
      </c>
      <c r="V959" s="283" t="str">
        <f t="shared" si="92"/>
        <v>全て</v>
      </c>
      <c r="W959" s="283" t="str">
        <f t="shared" si="93"/>
        <v>H17</v>
      </c>
      <c r="X959" s="284" t="str">
        <f t="shared" si="93"/>
        <v>ALA</v>
      </c>
      <c r="Y959" s="271"/>
      <c r="Z959" s="283">
        <f t="shared" si="94"/>
        <v>1.2500000000000001E-2</v>
      </c>
      <c r="AA959" s="283">
        <f t="shared" si="94"/>
        <v>0</v>
      </c>
      <c r="AB959" s="340">
        <f t="shared" si="94"/>
        <v>3</v>
      </c>
    </row>
    <row r="960" spans="1:28">
      <c r="A960" t="str">
        <f t="shared" si="96"/>
        <v>乗0LCAA</v>
      </c>
      <c r="B960" t="s">
        <v>2115</v>
      </c>
      <c r="C960" t="s">
        <v>1937</v>
      </c>
      <c r="D960" t="s">
        <v>1979</v>
      </c>
      <c r="E960" t="s">
        <v>2109</v>
      </c>
      <c r="F960">
        <v>2.5000000000000001E-2</v>
      </c>
      <c r="G960">
        <v>0</v>
      </c>
      <c r="H960">
        <v>3</v>
      </c>
      <c r="I960" t="s">
        <v>239</v>
      </c>
      <c r="J960"/>
      <c r="T960" s="292" t="str">
        <f t="shared" si="90"/>
        <v>乗用車</v>
      </c>
      <c r="U960" s="283" t="str">
        <f t="shared" si="91"/>
        <v>LPG</v>
      </c>
      <c r="V960" s="283" t="str">
        <f t="shared" si="92"/>
        <v>全て</v>
      </c>
      <c r="W960" s="283" t="str">
        <f t="shared" si="93"/>
        <v>H17</v>
      </c>
      <c r="X960" s="284" t="str">
        <f t="shared" si="93"/>
        <v>CAA</v>
      </c>
      <c r="Y960" s="271" t="s">
        <v>2261</v>
      </c>
      <c r="Z960" s="283">
        <f t="shared" si="94"/>
        <v>2.5000000000000001E-2</v>
      </c>
      <c r="AA960" s="283">
        <f t="shared" si="94"/>
        <v>0</v>
      </c>
      <c r="AB960" s="340">
        <f t="shared" si="94"/>
        <v>3</v>
      </c>
    </row>
    <row r="961" spans="1:28">
      <c r="A961" t="str">
        <f t="shared" si="96"/>
        <v>乗0LCBA</v>
      </c>
      <c r="B961" t="s">
        <v>2115</v>
      </c>
      <c r="C961" t="s">
        <v>1937</v>
      </c>
      <c r="D961" t="s">
        <v>1979</v>
      </c>
      <c r="E961" t="s">
        <v>2110</v>
      </c>
      <c r="F961">
        <v>2.5000000000000001E-2</v>
      </c>
      <c r="G961">
        <v>0</v>
      </c>
      <c r="H961">
        <v>3</v>
      </c>
      <c r="I961" t="s">
        <v>260</v>
      </c>
      <c r="J961"/>
      <c r="T961" s="292" t="str">
        <f t="shared" si="90"/>
        <v>乗用車</v>
      </c>
      <c r="U961" s="283" t="str">
        <f t="shared" si="91"/>
        <v>LPG</v>
      </c>
      <c r="V961" s="283" t="str">
        <f t="shared" si="92"/>
        <v>全て</v>
      </c>
      <c r="W961" s="283" t="str">
        <f t="shared" si="93"/>
        <v>H17</v>
      </c>
      <c r="X961" s="284" t="str">
        <f t="shared" si="93"/>
        <v>CBA</v>
      </c>
      <c r="Y961" s="271" t="s">
        <v>2261</v>
      </c>
      <c r="Z961" s="283">
        <f t="shared" si="94"/>
        <v>2.5000000000000001E-2</v>
      </c>
      <c r="AA961" s="283">
        <f t="shared" si="94"/>
        <v>0</v>
      </c>
      <c r="AB961" s="340">
        <f t="shared" si="94"/>
        <v>3</v>
      </c>
    </row>
    <row r="962" spans="1:28">
      <c r="A962" t="str">
        <f t="shared" si="96"/>
        <v>乗0LCLA</v>
      </c>
      <c r="B962" t="s">
        <v>2115</v>
      </c>
      <c r="C962" t="s">
        <v>1937</v>
      </c>
      <c r="D962" t="s">
        <v>1979</v>
      </c>
      <c r="E962" t="s">
        <v>1410</v>
      </c>
      <c r="F962">
        <v>2.5000000000000001E-2</v>
      </c>
      <c r="G962">
        <v>0</v>
      </c>
      <c r="H962">
        <v>3</v>
      </c>
      <c r="I962" t="s">
        <v>1405</v>
      </c>
      <c r="J962"/>
      <c r="T962" s="292" t="str">
        <f t="shared" si="90"/>
        <v>乗用車</v>
      </c>
      <c r="U962" s="283" t="str">
        <f t="shared" si="91"/>
        <v>LPG</v>
      </c>
      <c r="V962" s="283" t="str">
        <f t="shared" si="92"/>
        <v>全て</v>
      </c>
      <c r="W962" s="283" t="str">
        <f t="shared" si="93"/>
        <v>H17</v>
      </c>
      <c r="X962" s="284" t="str">
        <f t="shared" si="93"/>
        <v>CLA</v>
      </c>
      <c r="Y962" s="271" t="s">
        <v>2261</v>
      </c>
      <c r="Z962" s="283">
        <f t="shared" si="94"/>
        <v>2.5000000000000001E-2</v>
      </c>
      <c r="AA962" s="283">
        <f t="shared" si="94"/>
        <v>0</v>
      </c>
      <c r="AB962" s="340">
        <f t="shared" si="94"/>
        <v>3</v>
      </c>
    </row>
    <row r="963" spans="1:28">
      <c r="A963" t="str">
        <f t="shared" si="96"/>
        <v>乗0LDAA</v>
      </c>
      <c r="B963" t="s">
        <v>2115</v>
      </c>
      <c r="C963" t="s">
        <v>1937</v>
      </c>
      <c r="D963" t="s">
        <v>1979</v>
      </c>
      <c r="E963" t="s">
        <v>2111</v>
      </c>
      <c r="F963">
        <v>1.2500000000000001E-2</v>
      </c>
      <c r="G963">
        <v>0</v>
      </c>
      <c r="H963">
        <v>3</v>
      </c>
      <c r="I963" t="s">
        <v>239</v>
      </c>
      <c r="J963"/>
      <c r="T963" s="292" t="str">
        <f t="shared" si="90"/>
        <v>乗用車</v>
      </c>
      <c r="U963" s="283" t="str">
        <f t="shared" si="91"/>
        <v>LPG</v>
      </c>
      <c r="V963" s="283" t="str">
        <f t="shared" si="92"/>
        <v>全て</v>
      </c>
      <c r="W963" s="283" t="str">
        <f t="shared" si="93"/>
        <v>H17</v>
      </c>
      <c r="X963" s="284" t="str">
        <f t="shared" si="93"/>
        <v>DAA</v>
      </c>
      <c r="Y963" s="271" t="s">
        <v>2262</v>
      </c>
      <c r="Z963" s="283">
        <f t="shared" si="94"/>
        <v>1.2500000000000001E-2</v>
      </c>
      <c r="AA963" s="283">
        <f t="shared" si="94"/>
        <v>0</v>
      </c>
      <c r="AB963" s="340">
        <f t="shared" si="94"/>
        <v>3</v>
      </c>
    </row>
    <row r="964" spans="1:28">
      <c r="A964" t="str">
        <f t="shared" si="96"/>
        <v>乗0LDBA</v>
      </c>
      <c r="B964" t="s">
        <v>2115</v>
      </c>
      <c r="C964" t="s">
        <v>1937</v>
      </c>
      <c r="D964" t="s">
        <v>1979</v>
      </c>
      <c r="E964" t="s">
        <v>2112</v>
      </c>
      <c r="F964">
        <v>1.2500000000000001E-2</v>
      </c>
      <c r="G964">
        <v>0</v>
      </c>
      <c r="H964">
        <v>3</v>
      </c>
      <c r="I964" t="s">
        <v>263</v>
      </c>
      <c r="J964"/>
      <c r="T964" s="292" t="str">
        <f t="shared" si="90"/>
        <v>乗用車</v>
      </c>
      <c r="U964" s="283" t="str">
        <f t="shared" si="91"/>
        <v>LPG</v>
      </c>
      <c r="V964" s="283" t="str">
        <f t="shared" si="92"/>
        <v>全て</v>
      </c>
      <c r="W964" s="283" t="str">
        <f t="shared" si="93"/>
        <v>H17</v>
      </c>
      <c r="X964" s="284" t="str">
        <f t="shared" si="93"/>
        <v>DBA</v>
      </c>
      <c r="Y964" s="271" t="s">
        <v>2262</v>
      </c>
      <c r="Z964" s="283">
        <f t="shared" si="94"/>
        <v>1.2500000000000001E-2</v>
      </c>
      <c r="AA964" s="283">
        <f t="shared" si="94"/>
        <v>0</v>
      </c>
      <c r="AB964" s="340">
        <f t="shared" si="94"/>
        <v>3</v>
      </c>
    </row>
    <row r="965" spans="1:28">
      <c r="A965" t="str">
        <f t="shared" si="96"/>
        <v>乗0LDLA</v>
      </c>
      <c r="B965" t="s">
        <v>2115</v>
      </c>
      <c r="C965" t="s">
        <v>1937</v>
      </c>
      <c r="D965" t="s">
        <v>1979</v>
      </c>
      <c r="E965" t="s">
        <v>1414</v>
      </c>
      <c r="F965">
        <v>1.2500000000000001E-2</v>
      </c>
      <c r="G965">
        <v>0</v>
      </c>
      <c r="H965">
        <v>3</v>
      </c>
      <c r="I965" t="s">
        <v>1405</v>
      </c>
      <c r="J965"/>
      <c r="T965" s="292" t="str">
        <f t="shared" si="90"/>
        <v>乗用車</v>
      </c>
      <c r="U965" s="283" t="str">
        <f t="shared" si="91"/>
        <v>LPG</v>
      </c>
      <c r="V965" s="283" t="str">
        <f t="shared" si="92"/>
        <v>全て</v>
      </c>
      <c r="W965" s="283" t="str">
        <f t="shared" si="93"/>
        <v>H17</v>
      </c>
      <c r="X965" s="284" t="str">
        <f t="shared" si="93"/>
        <v>DLA</v>
      </c>
      <c r="Y965" s="271" t="s">
        <v>2262</v>
      </c>
      <c r="Z965" s="283">
        <f t="shared" si="94"/>
        <v>1.2500000000000001E-2</v>
      </c>
      <c r="AA965" s="283">
        <f t="shared" si="94"/>
        <v>0</v>
      </c>
      <c r="AB965" s="340">
        <f t="shared" si="94"/>
        <v>3</v>
      </c>
    </row>
    <row r="966" spans="1:28">
      <c r="A966" t="str">
        <f t="shared" si="96"/>
        <v>乗0LLBA</v>
      </c>
      <c r="B966" t="s">
        <v>2115</v>
      </c>
      <c r="C966" t="s">
        <v>1937</v>
      </c>
      <c r="D966" t="s">
        <v>2382</v>
      </c>
      <c r="E966" t="s">
        <v>1416</v>
      </c>
      <c r="F966">
        <v>0.05</v>
      </c>
      <c r="G966">
        <v>0</v>
      </c>
      <c r="H966">
        <v>3</v>
      </c>
      <c r="I966" t="s">
        <v>232</v>
      </c>
      <c r="J966"/>
      <c r="T966" s="292" t="str">
        <f t="shared" si="90"/>
        <v>乗用車</v>
      </c>
      <c r="U966" s="283" t="str">
        <f t="shared" si="91"/>
        <v>LPG</v>
      </c>
      <c r="V966" s="283" t="str">
        <f t="shared" si="92"/>
        <v>全て</v>
      </c>
      <c r="W966" s="283" t="str">
        <f t="shared" si="93"/>
        <v>H21</v>
      </c>
      <c r="X966" s="284" t="str">
        <f t="shared" si="93"/>
        <v>LBA</v>
      </c>
      <c r="Y966" s="271"/>
      <c r="Z966" s="283">
        <f t="shared" si="94"/>
        <v>0.05</v>
      </c>
      <c r="AA966" s="283">
        <f t="shared" si="94"/>
        <v>0</v>
      </c>
      <c r="AB966" s="340">
        <f t="shared" si="94"/>
        <v>3</v>
      </c>
    </row>
    <row r="967" spans="1:28">
      <c r="A967" t="str">
        <f t="shared" si="96"/>
        <v>乗0LLAA</v>
      </c>
      <c r="B967" t="s">
        <v>2115</v>
      </c>
      <c r="C967" t="s">
        <v>1937</v>
      </c>
      <c r="D967" t="s">
        <v>2382</v>
      </c>
      <c r="E967" t="s">
        <v>1418</v>
      </c>
      <c r="F967">
        <v>2.5000000000000001E-2</v>
      </c>
      <c r="G967">
        <v>0</v>
      </c>
      <c r="H967">
        <v>3</v>
      </c>
      <c r="I967" t="s">
        <v>239</v>
      </c>
      <c r="J967"/>
      <c r="T967" s="292" t="str">
        <f t="shared" si="90"/>
        <v>乗用車</v>
      </c>
      <c r="U967" s="283" t="str">
        <f t="shared" si="91"/>
        <v>LPG</v>
      </c>
      <c r="V967" s="283" t="str">
        <f t="shared" si="92"/>
        <v>全て</v>
      </c>
      <c r="W967" s="283" t="str">
        <f t="shared" si="93"/>
        <v>H21</v>
      </c>
      <c r="X967" s="284" t="str">
        <f t="shared" si="93"/>
        <v>LAA</v>
      </c>
      <c r="Y967" s="271"/>
      <c r="Z967" s="283">
        <f t="shared" si="94"/>
        <v>2.5000000000000001E-2</v>
      </c>
      <c r="AA967" s="283">
        <f t="shared" si="94"/>
        <v>0</v>
      </c>
      <c r="AB967" s="340">
        <f t="shared" si="94"/>
        <v>3</v>
      </c>
    </row>
    <row r="968" spans="1:28">
      <c r="A968" t="str">
        <f t="shared" si="96"/>
        <v>乗0LLLA</v>
      </c>
      <c r="B968" t="s">
        <v>2115</v>
      </c>
      <c r="C968" t="s">
        <v>1937</v>
      </c>
      <c r="D968" t="s">
        <v>2382</v>
      </c>
      <c r="E968" t="s">
        <v>1420</v>
      </c>
      <c r="F968">
        <v>1.2500000000000001E-2</v>
      </c>
      <c r="G968">
        <v>0</v>
      </c>
      <c r="H968">
        <v>3</v>
      </c>
      <c r="I968" t="s">
        <v>1405</v>
      </c>
      <c r="J968"/>
      <c r="T968" s="292" t="str">
        <f t="shared" si="90"/>
        <v>乗用車</v>
      </c>
      <c r="U968" s="283" t="str">
        <f t="shared" si="91"/>
        <v>LPG</v>
      </c>
      <c r="V968" s="283" t="str">
        <f t="shared" si="92"/>
        <v>全て</v>
      </c>
      <c r="W968" s="283" t="str">
        <f t="shared" si="93"/>
        <v>H21</v>
      </c>
      <c r="X968" s="284" t="str">
        <f t="shared" si="93"/>
        <v>LLA</v>
      </c>
      <c r="Y968" s="271"/>
      <c r="Z968" s="283">
        <f t="shared" si="94"/>
        <v>1.2500000000000001E-2</v>
      </c>
      <c r="AA968" s="283">
        <f t="shared" si="94"/>
        <v>0</v>
      </c>
      <c r="AB968" s="340">
        <f t="shared" si="94"/>
        <v>3</v>
      </c>
    </row>
    <row r="969" spans="1:28">
      <c r="A969" t="str">
        <f t="shared" si="96"/>
        <v>乗0LMBA</v>
      </c>
      <c r="B969" t="s">
        <v>2115</v>
      </c>
      <c r="C969" t="s">
        <v>1937</v>
      </c>
      <c r="D969" t="s">
        <v>2382</v>
      </c>
      <c r="E969" t="s">
        <v>1422</v>
      </c>
      <c r="F969">
        <v>2.5000000000000001E-2</v>
      </c>
      <c r="G969">
        <v>0</v>
      </c>
      <c r="H969">
        <v>3</v>
      </c>
      <c r="I969" t="s">
        <v>260</v>
      </c>
      <c r="J969"/>
      <c r="T969" s="292" t="str">
        <f t="shared" ref="T969:T1032" si="97">IF(LEFT(C969,1)="貨","トラック・バス","乗用車")</f>
        <v>乗用車</v>
      </c>
      <c r="U969" s="283" t="str">
        <f t="shared" ref="U969:U1032" si="98">VLOOKUP(RIGHT(C969,1),$AL$4:$AM$8,2,FALSE)</f>
        <v>LPG</v>
      </c>
      <c r="V969" s="283" t="str">
        <f t="shared" ref="V969:V1032" si="99">VLOOKUP(VALUE(MID(C969,2,1)),$AL$10:$AM$15,2,FALSE)</f>
        <v>全て</v>
      </c>
      <c r="W969" s="283" t="str">
        <f t="shared" ref="W969:X1032" si="100">D969</f>
        <v>H21</v>
      </c>
      <c r="X969" s="284" t="str">
        <f t="shared" si="100"/>
        <v>MBA</v>
      </c>
      <c r="Y969" s="271" t="s">
        <v>2261</v>
      </c>
      <c r="Z969" s="283">
        <f t="shared" ref="Z969:AB1032" si="101">F969</f>
        <v>2.5000000000000001E-2</v>
      </c>
      <c r="AA969" s="283">
        <f t="shared" si="101"/>
        <v>0</v>
      </c>
      <c r="AB969" s="340">
        <f t="shared" si="101"/>
        <v>3</v>
      </c>
    </row>
    <row r="970" spans="1:28">
      <c r="A970" t="str">
        <f t="shared" si="96"/>
        <v>乗0LMAA</v>
      </c>
      <c r="B970" t="s">
        <v>2115</v>
      </c>
      <c r="C970" t="s">
        <v>1937</v>
      </c>
      <c r="D970" t="s">
        <v>2382</v>
      </c>
      <c r="E970" t="s">
        <v>1424</v>
      </c>
      <c r="F970">
        <v>2.5000000000000001E-2</v>
      </c>
      <c r="G970">
        <v>0</v>
      </c>
      <c r="H970">
        <v>3</v>
      </c>
      <c r="I970" t="s">
        <v>239</v>
      </c>
      <c r="J970"/>
      <c r="T970" s="292" t="str">
        <f t="shared" si="97"/>
        <v>乗用車</v>
      </c>
      <c r="U970" s="283" t="str">
        <f t="shared" si="98"/>
        <v>LPG</v>
      </c>
      <c r="V970" s="283" t="str">
        <f t="shared" si="99"/>
        <v>全て</v>
      </c>
      <c r="W970" s="283" t="str">
        <f t="shared" si="100"/>
        <v>H21</v>
      </c>
      <c r="X970" s="284" t="str">
        <f t="shared" si="100"/>
        <v>MAA</v>
      </c>
      <c r="Y970" s="271" t="s">
        <v>2261</v>
      </c>
      <c r="Z970" s="283">
        <f t="shared" si="101"/>
        <v>2.5000000000000001E-2</v>
      </c>
      <c r="AA970" s="283">
        <f t="shared" si="101"/>
        <v>0</v>
      </c>
      <c r="AB970" s="340">
        <f t="shared" si="101"/>
        <v>3</v>
      </c>
    </row>
    <row r="971" spans="1:28">
      <c r="A971" t="str">
        <f t="shared" si="96"/>
        <v>乗0LMLA</v>
      </c>
      <c r="B971" t="s">
        <v>2115</v>
      </c>
      <c r="C971" t="s">
        <v>1937</v>
      </c>
      <c r="D971" t="s">
        <v>2382</v>
      </c>
      <c r="E971" t="s">
        <v>1426</v>
      </c>
      <c r="F971">
        <v>2.5000000000000001E-2</v>
      </c>
      <c r="G971">
        <v>0</v>
      </c>
      <c r="H971">
        <v>3</v>
      </c>
      <c r="I971" t="s">
        <v>1405</v>
      </c>
      <c r="J971"/>
      <c r="T971" s="292" t="str">
        <f t="shared" si="97"/>
        <v>乗用車</v>
      </c>
      <c r="U971" s="283" t="str">
        <f t="shared" si="98"/>
        <v>LPG</v>
      </c>
      <c r="V971" s="283" t="str">
        <f t="shared" si="99"/>
        <v>全て</v>
      </c>
      <c r="W971" s="283" t="str">
        <f t="shared" si="100"/>
        <v>H21</v>
      </c>
      <c r="X971" s="284" t="str">
        <f t="shared" si="100"/>
        <v>MLA</v>
      </c>
      <c r="Y971" s="271" t="s">
        <v>2261</v>
      </c>
      <c r="Z971" s="283">
        <f t="shared" si="101"/>
        <v>2.5000000000000001E-2</v>
      </c>
      <c r="AA971" s="283">
        <f t="shared" si="101"/>
        <v>0</v>
      </c>
      <c r="AB971" s="340">
        <f t="shared" si="101"/>
        <v>3</v>
      </c>
    </row>
    <row r="972" spans="1:28">
      <c r="A972" t="str">
        <f t="shared" si="96"/>
        <v>乗0LRBA</v>
      </c>
      <c r="B972" t="s">
        <v>2115</v>
      </c>
      <c r="C972" t="s">
        <v>1937</v>
      </c>
      <c r="D972" t="s">
        <v>2382</v>
      </c>
      <c r="E972" t="s">
        <v>1428</v>
      </c>
      <c r="F972">
        <v>1.2500000000000001E-2</v>
      </c>
      <c r="G972">
        <v>0</v>
      </c>
      <c r="H972">
        <v>3</v>
      </c>
      <c r="I972" t="s">
        <v>263</v>
      </c>
      <c r="J972"/>
      <c r="T972" s="292" t="str">
        <f t="shared" si="97"/>
        <v>乗用車</v>
      </c>
      <c r="U972" s="283" t="str">
        <f t="shared" si="98"/>
        <v>LPG</v>
      </c>
      <c r="V972" s="283" t="str">
        <f t="shared" si="99"/>
        <v>全て</v>
      </c>
      <c r="W972" s="283" t="str">
        <f t="shared" si="100"/>
        <v>H21</v>
      </c>
      <c r="X972" s="284" t="str">
        <f t="shared" si="100"/>
        <v>RBA</v>
      </c>
      <c r="Y972" s="271" t="s">
        <v>2262</v>
      </c>
      <c r="Z972" s="283">
        <f t="shared" si="101"/>
        <v>1.2500000000000001E-2</v>
      </c>
      <c r="AA972" s="283">
        <f t="shared" si="101"/>
        <v>0</v>
      </c>
      <c r="AB972" s="340">
        <f t="shared" si="101"/>
        <v>3</v>
      </c>
    </row>
    <row r="973" spans="1:28">
      <c r="A973" t="str">
        <f t="shared" si="96"/>
        <v>乗0LRAA</v>
      </c>
      <c r="B973" t="s">
        <v>2115</v>
      </c>
      <c r="C973" t="s">
        <v>1937</v>
      </c>
      <c r="D973" t="s">
        <v>2382</v>
      </c>
      <c r="E973" t="s">
        <v>1430</v>
      </c>
      <c r="F973">
        <v>1.2500000000000001E-2</v>
      </c>
      <c r="G973">
        <v>0</v>
      </c>
      <c r="H973">
        <v>3</v>
      </c>
      <c r="I973" t="s">
        <v>239</v>
      </c>
      <c r="J973"/>
      <c r="T973" s="292" t="str">
        <f t="shared" si="97"/>
        <v>乗用車</v>
      </c>
      <c r="U973" s="283" t="str">
        <f t="shared" si="98"/>
        <v>LPG</v>
      </c>
      <c r="V973" s="283" t="str">
        <f t="shared" si="99"/>
        <v>全て</v>
      </c>
      <c r="W973" s="283" t="str">
        <f t="shared" si="100"/>
        <v>H21</v>
      </c>
      <c r="X973" s="284" t="str">
        <f t="shared" si="100"/>
        <v>RAA</v>
      </c>
      <c r="Y973" s="271" t="s">
        <v>2262</v>
      </c>
      <c r="Z973" s="283">
        <f t="shared" si="101"/>
        <v>1.2500000000000001E-2</v>
      </c>
      <c r="AA973" s="283">
        <f t="shared" si="101"/>
        <v>0</v>
      </c>
      <c r="AB973" s="340">
        <f t="shared" si="101"/>
        <v>3</v>
      </c>
    </row>
    <row r="974" spans="1:28">
      <c r="A974" t="str">
        <f t="shared" si="96"/>
        <v>乗0LRLA</v>
      </c>
      <c r="B974" t="s">
        <v>2115</v>
      </c>
      <c r="C974" t="s">
        <v>1937</v>
      </c>
      <c r="D974" t="s">
        <v>2382</v>
      </c>
      <c r="E974" t="s">
        <v>1432</v>
      </c>
      <c r="F974">
        <v>1.2500000000000001E-2</v>
      </c>
      <c r="G974">
        <v>0</v>
      </c>
      <c r="H974">
        <v>3</v>
      </c>
      <c r="I974" t="s">
        <v>1405</v>
      </c>
      <c r="J974"/>
      <c r="T974" s="292" t="str">
        <f t="shared" si="97"/>
        <v>乗用車</v>
      </c>
      <c r="U974" s="283" t="str">
        <f t="shared" si="98"/>
        <v>LPG</v>
      </c>
      <c r="V974" s="283" t="str">
        <f t="shared" si="99"/>
        <v>全て</v>
      </c>
      <c r="W974" s="283" t="str">
        <f t="shared" si="100"/>
        <v>H21</v>
      </c>
      <c r="X974" s="284" t="str">
        <f t="shared" si="100"/>
        <v>RLA</v>
      </c>
      <c r="Y974" s="271" t="s">
        <v>2262</v>
      </c>
      <c r="Z974" s="283">
        <f t="shared" si="101"/>
        <v>1.2500000000000001E-2</v>
      </c>
      <c r="AA974" s="283">
        <f t="shared" si="101"/>
        <v>0</v>
      </c>
      <c r="AB974" s="340">
        <f t="shared" si="101"/>
        <v>3</v>
      </c>
    </row>
    <row r="975" spans="1:28">
      <c r="A975" t="str">
        <f t="shared" si="96"/>
        <v>乗0LQBA</v>
      </c>
      <c r="B975" t="s">
        <v>2115</v>
      </c>
      <c r="C975" t="s">
        <v>1937</v>
      </c>
      <c r="D975" t="s">
        <v>2382</v>
      </c>
      <c r="E975" t="s">
        <v>1434</v>
      </c>
      <c r="F975">
        <v>4.4999999999999998E-2</v>
      </c>
      <c r="G975">
        <v>0</v>
      </c>
      <c r="H975">
        <v>3</v>
      </c>
      <c r="I975" t="s">
        <v>232</v>
      </c>
      <c r="J975"/>
      <c r="T975" s="292" t="str">
        <f t="shared" si="97"/>
        <v>乗用車</v>
      </c>
      <c r="U975" s="283" t="str">
        <f t="shared" si="98"/>
        <v>LPG</v>
      </c>
      <c r="V975" s="283" t="str">
        <f t="shared" si="99"/>
        <v>全て</v>
      </c>
      <c r="W975" s="283" t="str">
        <f t="shared" si="100"/>
        <v>H21</v>
      </c>
      <c r="X975" s="284" t="str">
        <f t="shared" si="100"/>
        <v>QBA</v>
      </c>
      <c r="Y975" s="271" t="s">
        <v>1762</v>
      </c>
      <c r="Z975" s="283">
        <f t="shared" si="101"/>
        <v>4.4999999999999998E-2</v>
      </c>
      <c r="AA975" s="283">
        <f t="shared" si="101"/>
        <v>0</v>
      </c>
      <c r="AB975" s="340">
        <f t="shared" si="101"/>
        <v>3</v>
      </c>
    </row>
    <row r="976" spans="1:28">
      <c r="A976" t="str">
        <f t="shared" si="96"/>
        <v>乗0LQAA</v>
      </c>
      <c r="B976" t="s">
        <v>2115</v>
      </c>
      <c r="C976" t="s">
        <v>1937</v>
      </c>
      <c r="D976" t="s">
        <v>2382</v>
      </c>
      <c r="E976" t="s">
        <v>1436</v>
      </c>
      <c r="F976">
        <v>4.4999999999999998E-2</v>
      </c>
      <c r="G976">
        <v>0</v>
      </c>
      <c r="H976">
        <v>3</v>
      </c>
      <c r="I976" t="s">
        <v>239</v>
      </c>
      <c r="J976"/>
      <c r="T976" s="292" t="str">
        <f t="shared" si="97"/>
        <v>乗用車</v>
      </c>
      <c r="U976" s="283" t="str">
        <f t="shared" si="98"/>
        <v>LPG</v>
      </c>
      <c r="V976" s="283" t="str">
        <f t="shared" si="99"/>
        <v>全て</v>
      </c>
      <c r="W976" s="283" t="str">
        <f t="shared" si="100"/>
        <v>H21</v>
      </c>
      <c r="X976" s="284" t="str">
        <f t="shared" si="100"/>
        <v>QAA</v>
      </c>
      <c r="Y976" s="271" t="s">
        <v>1762</v>
      </c>
      <c r="Z976" s="283">
        <f t="shared" si="101"/>
        <v>4.4999999999999998E-2</v>
      </c>
      <c r="AA976" s="283">
        <f t="shared" si="101"/>
        <v>0</v>
      </c>
      <c r="AB976" s="340">
        <f t="shared" si="101"/>
        <v>3</v>
      </c>
    </row>
    <row r="977" spans="1:28">
      <c r="A977" t="str">
        <f t="shared" si="96"/>
        <v>乗0LQLA</v>
      </c>
      <c r="B977" t="s">
        <v>2115</v>
      </c>
      <c r="C977" t="s">
        <v>1937</v>
      </c>
      <c r="D977" t="s">
        <v>2382</v>
      </c>
      <c r="E977" t="s">
        <v>1439</v>
      </c>
      <c r="F977">
        <v>4.4999999999999998E-2</v>
      </c>
      <c r="G977">
        <v>0</v>
      </c>
      <c r="H977">
        <v>3</v>
      </c>
      <c r="I977" t="s">
        <v>1405</v>
      </c>
      <c r="J977"/>
      <c r="T977" s="292" t="str">
        <f t="shared" si="97"/>
        <v>乗用車</v>
      </c>
      <c r="U977" s="283" t="str">
        <f t="shared" si="98"/>
        <v>LPG</v>
      </c>
      <c r="V977" s="283" t="str">
        <f t="shared" si="99"/>
        <v>全て</v>
      </c>
      <c r="W977" s="283" t="str">
        <f t="shared" si="100"/>
        <v>H21</v>
      </c>
      <c r="X977" s="284" t="str">
        <f t="shared" si="100"/>
        <v>QLA</v>
      </c>
      <c r="Y977" s="271" t="s">
        <v>1762</v>
      </c>
      <c r="Z977" s="283">
        <f t="shared" si="101"/>
        <v>4.4999999999999998E-2</v>
      </c>
      <c r="AA977" s="283">
        <f t="shared" si="101"/>
        <v>0</v>
      </c>
      <c r="AB977" s="340">
        <f t="shared" si="101"/>
        <v>3</v>
      </c>
    </row>
    <row r="978" spans="1:28">
      <c r="A978" t="str">
        <f t="shared" si="96"/>
        <v>乗0L3BA</v>
      </c>
      <c r="B978" t="s">
        <v>2115</v>
      </c>
      <c r="C978" t="s">
        <v>1937</v>
      </c>
      <c r="D978" t="s">
        <v>2750</v>
      </c>
      <c r="E978" t="s">
        <v>2581</v>
      </c>
      <c r="F978">
        <v>0.05</v>
      </c>
      <c r="G978">
        <v>0</v>
      </c>
      <c r="H978">
        <v>3</v>
      </c>
      <c r="I978" t="s">
        <v>232</v>
      </c>
      <c r="J978"/>
      <c r="T978" s="292" t="str">
        <f t="shared" si="97"/>
        <v>乗用車</v>
      </c>
      <c r="U978" s="283" t="str">
        <f t="shared" si="98"/>
        <v>LPG</v>
      </c>
      <c r="V978" s="283" t="str">
        <f t="shared" si="99"/>
        <v>全て</v>
      </c>
      <c r="W978" s="283" t="str">
        <f t="shared" si="100"/>
        <v>H30</v>
      </c>
      <c r="X978" s="284" t="str">
        <f t="shared" si="100"/>
        <v>3BA</v>
      </c>
      <c r="Y978" s="271"/>
      <c r="Z978" s="283">
        <f t="shared" si="101"/>
        <v>0.05</v>
      </c>
      <c r="AA978" s="283">
        <f t="shared" si="101"/>
        <v>0</v>
      </c>
      <c r="AB978" s="340">
        <f t="shared" si="101"/>
        <v>3</v>
      </c>
    </row>
    <row r="979" spans="1:28">
      <c r="A979" t="str">
        <f t="shared" si="96"/>
        <v>乗0L3AA</v>
      </c>
      <c r="B979" t="s">
        <v>2115</v>
      </c>
      <c r="C979" t="s">
        <v>1937</v>
      </c>
      <c r="D979" t="s">
        <v>2750</v>
      </c>
      <c r="E979" t="s">
        <v>2578</v>
      </c>
      <c r="F979">
        <v>2.5000000000000001E-2</v>
      </c>
      <c r="G979">
        <v>0</v>
      </c>
      <c r="H979">
        <v>3</v>
      </c>
      <c r="I979" t="s">
        <v>239</v>
      </c>
      <c r="J979"/>
      <c r="T979" s="292" t="str">
        <f t="shared" si="97"/>
        <v>乗用車</v>
      </c>
      <c r="U979" s="283" t="str">
        <f t="shared" si="98"/>
        <v>LPG</v>
      </c>
      <c r="V979" s="283" t="str">
        <f t="shared" si="99"/>
        <v>全て</v>
      </c>
      <c r="W979" s="283" t="str">
        <f t="shared" si="100"/>
        <v>H30</v>
      </c>
      <c r="X979" s="284" t="str">
        <f t="shared" si="100"/>
        <v>3AA</v>
      </c>
      <c r="Y979" s="271"/>
      <c r="Z979" s="283">
        <f t="shared" si="101"/>
        <v>2.5000000000000001E-2</v>
      </c>
      <c r="AA979" s="283">
        <f t="shared" si="101"/>
        <v>0</v>
      </c>
      <c r="AB979" s="340">
        <f t="shared" si="101"/>
        <v>3</v>
      </c>
    </row>
    <row r="980" spans="1:28">
      <c r="A980" t="str">
        <f t="shared" si="96"/>
        <v>乗0L3LA</v>
      </c>
      <c r="B980" t="s">
        <v>2115</v>
      </c>
      <c r="C980" t="s">
        <v>1937</v>
      </c>
      <c r="D980" t="s">
        <v>2750</v>
      </c>
      <c r="E980" t="s">
        <v>2937</v>
      </c>
      <c r="F980">
        <v>1.2500000000000001E-2</v>
      </c>
      <c r="G980">
        <v>0</v>
      </c>
      <c r="H980">
        <v>3</v>
      </c>
      <c r="I980" t="s">
        <v>1405</v>
      </c>
      <c r="J980"/>
      <c r="T980" s="292" t="str">
        <f t="shared" si="97"/>
        <v>乗用車</v>
      </c>
      <c r="U980" s="283" t="str">
        <f t="shared" si="98"/>
        <v>LPG</v>
      </c>
      <c r="V980" s="283" t="str">
        <f t="shared" si="99"/>
        <v>全て</v>
      </c>
      <c r="W980" s="283" t="str">
        <f t="shared" si="100"/>
        <v>H30</v>
      </c>
      <c r="X980" s="284" t="str">
        <f t="shared" si="100"/>
        <v>3LA</v>
      </c>
      <c r="Y980" s="271"/>
      <c r="Z980" s="283">
        <f t="shared" si="101"/>
        <v>1.2500000000000001E-2</v>
      </c>
      <c r="AA980" s="283">
        <f t="shared" si="101"/>
        <v>0</v>
      </c>
      <c r="AB980" s="340">
        <f t="shared" si="101"/>
        <v>3</v>
      </c>
    </row>
    <row r="981" spans="1:28">
      <c r="A981" t="str">
        <f t="shared" si="96"/>
        <v>乗0L4BA</v>
      </c>
      <c r="B981" t="s">
        <v>2115</v>
      </c>
      <c r="C981" t="s">
        <v>1937</v>
      </c>
      <c r="D981" t="s">
        <v>2750</v>
      </c>
      <c r="E981" t="s">
        <v>2611</v>
      </c>
      <c r="F981">
        <v>3.7499999999999999E-2</v>
      </c>
      <c r="G981">
        <v>0</v>
      </c>
      <c r="H981">
        <v>3</v>
      </c>
      <c r="I981" t="s">
        <v>232</v>
      </c>
      <c r="J981"/>
      <c r="T981" s="292" t="str">
        <f t="shared" si="97"/>
        <v>乗用車</v>
      </c>
      <c r="U981" s="283" t="str">
        <f t="shared" si="98"/>
        <v>LPG</v>
      </c>
      <c r="V981" s="283" t="str">
        <f t="shared" si="99"/>
        <v>全て</v>
      </c>
      <c r="W981" s="283" t="str">
        <f t="shared" si="100"/>
        <v>H30</v>
      </c>
      <c r="X981" s="284" t="str">
        <f t="shared" si="100"/>
        <v>4BA</v>
      </c>
      <c r="Y981" s="271" t="s">
        <v>1769</v>
      </c>
      <c r="Z981" s="283">
        <f t="shared" si="101"/>
        <v>3.7499999999999999E-2</v>
      </c>
      <c r="AA981" s="283">
        <f t="shared" si="101"/>
        <v>0</v>
      </c>
      <c r="AB981" s="340">
        <f t="shared" si="101"/>
        <v>3</v>
      </c>
    </row>
    <row r="982" spans="1:28">
      <c r="A982" t="str">
        <f t="shared" si="96"/>
        <v>乗0L4AA</v>
      </c>
      <c r="B982" t="s">
        <v>2115</v>
      </c>
      <c r="C982" t="s">
        <v>1937</v>
      </c>
      <c r="D982" t="s">
        <v>2750</v>
      </c>
      <c r="E982" t="s">
        <v>2608</v>
      </c>
      <c r="F982">
        <v>3.7499999999999999E-2</v>
      </c>
      <c r="G982">
        <v>0</v>
      </c>
      <c r="H982">
        <v>3</v>
      </c>
      <c r="I982" t="s">
        <v>239</v>
      </c>
      <c r="J982"/>
      <c r="T982" s="292" t="str">
        <f t="shared" si="97"/>
        <v>乗用車</v>
      </c>
      <c r="U982" s="283" t="str">
        <f t="shared" si="98"/>
        <v>LPG</v>
      </c>
      <c r="V982" s="283" t="str">
        <f t="shared" si="99"/>
        <v>全て</v>
      </c>
      <c r="W982" s="283" t="str">
        <f t="shared" si="100"/>
        <v>H30</v>
      </c>
      <c r="X982" s="284" t="str">
        <f t="shared" si="100"/>
        <v>4AA</v>
      </c>
      <c r="Y982" s="271" t="s">
        <v>1769</v>
      </c>
      <c r="Z982" s="283">
        <f t="shared" si="101"/>
        <v>3.7499999999999999E-2</v>
      </c>
      <c r="AA982" s="283">
        <f t="shared" si="101"/>
        <v>0</v>
      </c>
      <c r="AB982" s="340">
        <f t="shared" si="101"/>
        <v>3</v>
      </c>
    </row>
    <row r="983" spans="1:28">
      <c r="A983" t="str">
        <f t="shared" si="96"/>
        <v>乗0L4LA</v>
      </c>
      <c r="B983" t="s">
        <v>2115</v>
      </c>
      <c r="C983" t="s">
        <v>1937</v>
      </c>
      <c r="D983" t="s">
        <v>2750</v>
      </c>
      <c r="E983" t="s">
        <v>2938</v>
      </c>
      <c r="F983">
        <v>3.7499999999999999E-2</v>
      </c>
      <c r="G983">
        <v>0</v>
      </c>
      <c r="H983">
        <v>3</v>
      </c>
      <c r="I983" t="s">
        <v>1405</v>
      </c>
      <c r="J983"/>
      <c r="T983" s="292" t="str">
        <f t="shared" si="97"/>
        <v>乗用車</v>
      </c>
      <c r="U983" s="283" t="str">
        <f t="shared" si="98"/>
        <v>LPG</v>
      </c>
      <c r="V983" s="283" t="str">
        <f t="shared" si="99"/>
        <v>全て</v>
      </c>
      <c r="W983" s="283" t="str">
        <f t="shared" si="100"/>
        <v>H30</v>
      </c>
      <c r="X983" s="284" t="str">
        <f t="shared" si="100"/>
        <v>4LA</v>
      </c>
      <c r="Y983" s="271" t="s">
        <v>1769</v>
      </c>
      <c r="Z983" s="283">
        <f t="shared" si="101"/>
        <v>3.7499999999999999E-2</v>
      </c>
      <c r="AA983" s="283">
        <f t="shared" si="101"/>
        <v>0</v>
      </c>
      <c r="AB983" s="340">
        <f t="shared" si="101"/>
        <v>3</v>
      </c>
    </row>
    <row r="984" spans="1:28">
      <c r="A984" t="str">
        <f t="shared" si="96"/>
        <v>乗0L5BA</v>
      </c>
      <c r="B984" t="s">
        <v>2115</v>
      </c>
      <c r="C984" t="s">
        <v>1937</v>
      </c>
      <c r="D984" t="s">
        <v>2750</v>
      </c>
      <c r="E984" t="s">
        <v>2641</v>
      </c>
      <c r="F984">
        <v>2.5000000000000001E-2</v>
      </c>
      <c r="G984">
        <v>0</v>
      </c>
      <c r="H984">
        <v>3</v>
      </c>
      <c r="I984" t="s">
        <v>260</v>
      </c>
      <c r="J984"/>
      <c r="T984" s="292" t="str">
        <f t="shared" si="97"/>
        <v>乗用車</v>
      </c>
      <c r="U984" s="283" t="str">
        <f t="shared" si="98"/>
        <v>LPG</v>
      </c>
      <c r="V984" s="283" t="str">
        <f t="shared" si="99"/>
        <v>全て</v>
      </c>
      <c r="W984" s="283" t="str">
        <f t="shared" si="100"/>
        <v>H30</v>
      </c>
      <c r="X984" s="284" t="str">
        <f t="shared" si="100"/>
        <v>5BA</v>
      </c>
      <c r="Y984" s="271" t="s">
        <v>2262</v>
      </c>
      <c r="Z984" s="283">
        <f t="shared" si="101"/>
        <v>2.5000000000000001E-2</v>
      </c>
      <c r="AA984" s="283">
        <f t="shared" si="101"/>
        <v>0</v>
      </c>
      <c r="AB984" s="340">
        <f t="shared" si="101"/>
        <v>3</v>
      </c>
    </row>
    <row r="985" spans="1:28">
      <c r="A985" t="str">
        <f t="shared" si="96"/>
        <v>乗0L5AA</v>
      </c>
      <c r="B985" t="s">
        <v>2115</v>
      </c>
      <c r="C985" t="s">
        <v>1937</v>
      </c>
      <c r="D985" t="s">
        <v>2750</v>
      </c>
      <c r="E985" t="s">
        <v>2638</v>
      </c>
      <c r="F985">
        <v>2.5000000000000001E-2</v>
      </c>
      <c r="G985">
        <v>0</v>
      </c>
      <c r="H985">
        <v>3</v>
      </c>
      <c r="I985" t="s">
        <v>239</v>
      </c>
      <c r="J985"/>
      <c r="T985" s="292" t="str">
        <f t="shared" si="97"/>
        <v>乗用車</v>
      </c>
      <c r="U985" s="283" t="str">
        <f t="shared" si="98"/>
        <v>LPG</v>
      </c>
      <c r="V985" s="283" t="str">
        <f t="shared" si="99"/>
        <v>全て</v>
      </c>
      <c r="W985" s="283" t="str">
        <f t="shared" si="100"/>
        <v>H30</v>
      </c>
      <c r="X985" s="284" t="str">
        <f t="shared" si="100"/>
        <v>5AA</v>
      </c>
      <c r="Y985" s="271" t="s">
        <v>2262</v>
      </c>
      <c r="Z985" s="283">
        <f t="shared" si="101"/>
        <v>2.5000000000000001E-2</v>
      </c>
      <c r="AA985" s="283">
        <f t="shared" si="101"/>
        <v>0</v>
      </c>
      <c r="AB985" s="340">
        <f t="shared" si="101"/>
        <v>3</v>
      </c>
    </row>
    <row r="986" spans="1:28">
      <c r="A986" t="str">
        <f t="shared" si="96"/>
        <v>乗0L5LA</v>
      </c>
      <c r="B986" t="s">
        <v>2115</v>
      </c>
      <c r="C986" t="s">
        <v>1937</v>
      </c>
      <c r="D986" t="s">
        <v>2750</v>
      </c>
      <c r="E986" t="s">
        <v>2939</v>
      </c>
      <c r="F986">
        <v>2.5000000000000001E-2</v>
      </c>
      <c r="G986">
        <v>0</v>
      </c>
      <c r="H986">
        <v>3</v>
      </c>
      <c r="I986" t="s">
        <v>1405</v>
      </c>
      <c r="J986"/>
      <c r="T986" s="292" t="str">
        <f t="shared" si="97"/>
        <v>乗用車</v>
      </c>
      <c r="U986" s="283" t="str">
        <f t="shared" si="98"/>
        <v>LPG</v>
      </c>
      <c r="V986" s="283" t="str">
        <f t="shared" si="99"/>
        <v>全て</v>
      </c>
      <c r="W986" s="283" t="str">
        <f t="shared" si="100"/>
        <v>H30</v>
      </c>
      <c r="X986" s="284" t="str">
        <f t="shared" si="100"/>
        <v>5LA</v>
      </c>
      <c r="Y986" s="271" t="s">
        <v>2262</v>
      </c>
      <c r="Z986" s="283">
        <f t="shared" si="101"/>
        <v>2.5000000000000001E-2</v>
      </c>
      <c r="AA986" s="283">
        <f t="shared" si="101"/>
        <v>0</v>
      </c>
      <c r="AB986" s="340">
        <f t="shared" si="101"/>
        <v>3</v>
      </c>
    </row>
    <row r="987" spans="1:28">
      <c r="A987" t="str">
        <f t="shared" si="96"/>
        <v>乗0L6BA</v>
      </c>
      <c r="B987" t="s">
        <v>2115</v>
      </c>
      <c r="C987" t="s">
        <v>1937</v>
      </c>
      <c r="D987" t="s">
        <v>2750</v>
      </c>
      <c r="E987" t="s">
        <v>2671</v>
      </c>
      <c r="F987">
        <v>1.2500000000000001E-2</v>
      </c>
      <c r="G987">
        <v>0</v>
      </c>
      <c r="H987">
        <v>3</v>
      </c>
      <c r="I987" t="s">
        <v>263</v>
      </c>
      <c r="J987"/>
      <c r="T987" s="292" t="str">
        <f t="shared" si="97"/>
        <v>乗用車</v>
      </c>
      <c r="U987" s="283" t="str">
        <f t="shared" si="98"/>
        <v>LPG</v>
      </c>
      <c r="V987" s="283" t="str">
        <f t="shared" si="99"/>
        <v>全て</v>
      </c>
      <c r="W987" s="283" t="str">
        <f t="shared" si="100"/>
        <v>H30</v>
      </c>
      <c r="X987" s="284" t="str">
        <f t="shared" si="100"/>
        <v>6BA</v>
      </c>
      <c r="Y987" s="271" t="s">
        <v>2758</v>
      </c>
      <c r="Z987" s="283">
        <f t="shared" si="101"/>
        <v>1.2500000000000001E-2</v>
      </c>
      <c r="AA987" s="283">
        <f t="shared" si="101"/>
        <v>0</v>
      </c>
      <c r="AB987" s="340">
        <f t="shared" si="101"/>
        <v>3</v>
      </c>
    </row>
    <row r="988" spans="1:28">
      <c r="A988" t="str">
        <f t="shared" si="96"/>
        <v>乗0L6AA</v>
      </c>
      <c r="B988" t="s">
        <v>2115</v>
      </c>
      <c r="C988" t="s">
        <v>1937</v>
      </c>
      <c r="D988" t="s">
        <v>2750</v>
      </c>
      <c r="E988" t="s">
        <v>2668</v>
      </c>
      <c r="F988">
        <v>1.2500000000000001E-2</v>
      </c>
      <c r="G988">
        <v>0</v>
      </c>
      <c r="H988">
        <v>3</v>
      </c>
      <c r="I988" t="s">
        <v>239</v>
      </c>
      <c r="J988"/>
      <c r="T988" s="292" t="str">
        <f t="shared" si="97"/>
        <v>乗用車</v>
      </c>
      <c r="U988" s="283" t="str">
        <f t="shared" si="98"/>
        <v>LPG</v>
      </c>
      <c r="V988" s="283" t="str">
        <f t="shared" si="99"/>
        <v>全て</v>
      </c>
      <c r="W988" s="283" t="str">
        <f t="shared" si="100"/>
        <v>H30</v>
      </c>
      <c r="X988" s="284" t="str">
        <f t="shared" si="100"/>
        <v>6AA</v>
      </c>
      <c r="Y988" s="271" t="s">
        <v>2758</v>
      </c>
      <c r="Z988" s="283">
        <f t="shared" si="101"/>
        <v>1.2500000000000001E-2</v>
      </c>
      <c r="AA988" s="283">
        <f t="shared" si="101"/>
        <v>0</v>
      </c>
      <c r="AB988" s="340">
        <f t="shared" si="101"/>
        <v>3</v>
      </c>
    </row>
    <row r="989" spans="1:28">
      <c r="A989" t="str">
        <f t="shared" si="96"/>
        <v>乗0L6LA</v>
      </c>
      <c r="B989" t="s">
        <v>2115</v>
      </c>
      <c r="C989" t="s">
        <v>1937</v>
      </c>
      <c r="D989" t="s">
        <v>2750</v>
      </c>
      <c r="E989" t="s">
        <v>2940</v>
      </c>
      <c r="F989">
        <v>1.2500000000000001E-2</v>
      </c>
      <c r="G989">
        <v>0</v>
      </c>
      <c r="H989">
        <v>3</v>
      </c>
      <c r="I989" t="s">
        <v>1405</v>
      </c>
      <c r="J989"/>
      <c r="T989" s="292" t="str">
        <f t="shared" si="97"/>
        <v>乗用車</v>
      </c>
      <c r="U989" s="283" t="str">
        <f t="shared" si="98"/>
        <v>LPG</v>
      </c>
      <c r="V989" s="283" t="str">
        <f t="shared" si="99"/>
        <v>全て</v>
      </c>
      <c r="W989" s="283" t="str">
        <f t="shared" si="100"/>
        <v>H30</v>
      </c>
      <c r="X989" s="284" t="str">
        <f t="shared" si="100"/>
        <v>6LA</v>
      </c>
      <c r="Y989" s="271" t="s">
        <v>2758</v>
      </c>
      <c r="Z989" s="283">
        <f t="shared" si="101"/>
        <v>1.2500000000000001E-2</v>
      </c>
      <c r="AA989" s="283">
        <f t="shared" si="101"/>
        <v>0</v>
      </c>
      <c r="AB989" s="340">
        <f t="shared" si="101"/>
        <v>3</v>
      </c>
    </row>
    <row r="990" spans="1:28">
      <c r="A990" t="str">
        <f t="shared" si="96"/>
        <v>乗0軽-</v>
      </c>
      <c r="B990" t="s">
        <v>2125</v>
      </c>
      <c r="C990" t="s">
        <v>2116</v>
      </c>
      <c r="D990" t="s">
        <v>2458</v>
      </c>
      <c r="E990" t="s">
        <v>2457</v>
      </c>
      <c r="F990">
        <v>1.34</v>
      </c>
      <c r="G990">
        <v>0.2</v>
      </c>
      <c r="H990">
        <v>2.58</v>
      </c>
      <c r="I990" t="s">
        <v>1973</v>
      </c>
      <c r="J990"/>
      <c r="T990" s="292" t="str">
        <f t="shared" si="97"/>
        <v>乗用車</v>
      </c>
      <c r="U990" s="283" t="str">
        <f t="shared" si="98"/>
        <v>軽油</v>
      </c>
      <c r="V990" s="283" t="str">
        <f t="shared" si="99"/>
        <v>全て</v>
      </c>
      <c r="W990" s="283" t="str">
        <f t="shared" si="100"/>
        <v>S54前</v>
      </c>
      <c r="X990" s="284" t="str">
        <f t="shared" si="100"/>
        <v>-</v>
      </c>
      <c r="Y990" s="271"/>
      <c r="Z990" s="283">
        <f t="shared" si="101"/>
        <v>1.34</v>
      </c>
      <c r="AA990" s="283">
        <f t="shared" si="101"/>
        <v>0.2</v>
      </c>
      <c r="AB990" s="340">
        <f t="shared" si="101"/>
        <v>2.58</v>
      </c>
    </row>
    <row r="991" spans="1:28">
      <c r="A991" t="str">
        <f t="shared" si="96"/>
        <v>乗0軽K</v>
      </c>
      <c r="B991" t="s">
        <v>2125</v>
      </c>
      <c r="C991" t="s">
        <v>2116</v>
      </c>
      <c r="D991" t="s">
        <v>0</v>
      </c>
      <c r="E991" t="s">
        <v>6</v>
      </c>
      <c r="F991">
        <v>1.2</v>
      </c>
      <c r="G991">
        <v>0.2</v>
      </c>
      <c r="H991">
        <v>2.58</v>
      </c>
      <c r="I991" t="s">
        <v>1973</v>
      </c>
      <c r="J991"/>
      <c r="T991" s="292" t="str">
        <f t="shared" si="97"/>
        <v>乗用車</v>
      </c>
      <c r="U991" s="283" t="str">
        <f t="shared" si="98"/>
        <v>軽油</v>
      </c>
      <c r="V991" s="283" t="str">
        <f t="shared" si="99"/>
        <v>全て</v>
      </c>
      <c r="W991" s="283" t="str">
        <f t="shared" si="100"/>
        <v>S54</v>
      </c>
      <c r="X991" s="284" t="str">
        <f t="shared" si="100"/>
        <v>K</v>
      </c>
      <c r="Y991" s="271"/>
      <c r="Z991" s="283">
        <f t="shared" si="101"/>
        <v>1.2</v>
      </c>
      <c r="AA991" s="283">
        <f t="shared" si="101"/>
        <v>0.2</v>
      </c>
      <c r="AB991" s="340">
        <f t="shared" si="101"/>
        <v>2.58</v>
      </c>
    </row>
    <row r="992" spans="1:28">
      <c r="A992" t="str">
        <f t="shared" si="96"/>
        <v>乗0軽N</v>
      </c>
      <c r="B992" t="s">
        <v>2125</v>
      </c>
      <c r="C992" t="s">
        <v>2116</v>
      </c>
      <c r="D992" t="s">
        <v>8</v>
      </c>
      <c r="E992" t="s">
        <v>136</v>
      </c>
      <c r="F992">
        <v>1.02</v>
      </c>
      <c r="G992">
        <v>0.2</v>
      </c>
      <c r="H992">
        <v>2.58</v>
      </c>
      <c r="I992" t="s">
        <v>1973</v>
      </c>
      <c r="J992"/>
      <c r="T992" s="292" t="str">
        <f t="shared" si="97"/>
        <v>乗用車</v>
      </c>
      <c r="U992" s="283" t="str">
        <f t="shared" si="98"/>
        <v>軽油</v>
      </c>
      <c r="V992" s="283" t="str">
        <f t="shared" si="99"/>
        <v>全て</v>
      </c>
      <c r="W992" s="283" t="str">
        <f t="shared" si="100"/>
        <v>S57,S58</v>
      </c>
      <c r="X992" s="284" t="str">
        <f t="shared" si="100"/>
        <v>N</v>
      </c>
      <c r="Y992" s="271"/>
      <c r="Z992" s="283">
        <f t="shared" si="101"/>
        <v>1.02</v>
      </c>
      <c r="AA992" s="283">
        <f t="shared" si="101"/>
        <v>0.2</v>
      </c>
      <c r="AB992" s="340">
        <f t="shared" si="101"/>
        <v>2.58</v>
      </c>
    </row>
    <row r="993" spans="1:28">
      <c r="A993" t="str">
        <f t="shared" si="96"/>
        <v>乗0軽P</v>
      </c>
      <c r="B993" t="s">
        <v>2125</v>
      </c>
      <c r="C993" t="s">
        <v>2116</v>
      </c>
      <c r="D993" t="s">
        <v>8</v>
      </c>
      <c r="E993" t="s">
        <v>137</v>
      </c>
      <c r="F993">
        <v>1.02</v>
      </c>
      <c r="G993">
        <v>0.2</v>
      </c>
      <c r="H993">
        <v>2.58</v>
      </c>
      <c r="I993" t="s">
        <v>1973</v>
      </c>
      <c r="J993"/>
      <c r="T993" s="292" t="str">
        <f t="shared" si="97"/>
        <v>乗用車</v>
      </c>
      <c r="U993" s="283" t="str">
        <f t="shared" si="98"/>
        <v>軽油</v>
      </c>
      <c r="V993" s="283" t="str">
        <f t="shared" si="99"/>
        <v>全て</v>
      </c>
      <c r="W993" s="283" t="str">
        <f t="shared" si="100"/>
        <v>S57,S58</v>
      </c>
      <c r="X993" s="284" t="str">
        <f t="shared" si="100"/>
        <v>P</v>
      </c>
      <c r="Y993" s="271"/>
      <c r="Z993" s="283">
        <f t="shared" si="101"/>
        <v>1.02</v>
      </c>
      <c r="AA993" s="283">
        <f t="shared" si="101"/>
        <v>0.2</v>
      </c>
      <c r="AB993" s="340">
        <f t="shared" si="101"/>
        <v>2.58</v>
      </c>
    </row>
    <row r="994" spans="1:28">
      <c r="A994" t="str">
        <f t="shared" si="96"/>
        <v>乗0軽Q</v>
      </c>
      <c r="B994" t="s">
        <v>2125</v>
      </c>
      <c r="C994" t="s">
        <v>2116</v>
      </c>
      <c r="D994" t="s">
        <v>30</v>
      </c>
      <c r="E994" t="s">
        <v>31</v>
      </c>
      <c r="F994">
        <v>0.7</v>
      </c>
      <c r="G994">
        <v>0.2</v>
      </c>
      <c r="H994">
        <v>2.58</v>
      </c>
      <c r="I994" t="s">
        <v>1973</v>
      </c>
      <c r="J994"/>
      <c r="T994" s="292" t="str">
        <f t="shared" si="97"/>
        <v>乗用車</v>
      </c>
      <c r="U994" s="283" t="str">
        <f t="shared" si="98"/>
        <v>軽油</v>
      </c>
      <c r="V994" s="283" t="str">
        <f t="shared" si="99"/>
        <v>全て</v>
      </c>
      <c r="W994" s="283" t="str">
        <f t="shared" si="100"/>
        <v>S61,S62</v>
      </c>
      <c r="X994" s="284" t="str">
        <f t="shared" si="100"/>
        <v>Q</v>
      </c>
      <c r="Y994" s="271"/>
      <c r="Z994" s="283">
        <f t="shared" si="101"/>
        <v>0.7</v>
      </c>
      <c r="AA994" s="283">
        <f t="shared" si="101"/>
        <v>0.2</v>
      </c>
      <c r="AB994" s="340">
        <f t="shared" si="101"/>
        <v>2.58</v>
      </c>
    </row>
    <row r="995" spans="1:28">
      <c r="A995" t="str">
        <f t="shared" si="96"/>
        <v>乗0軽X</v>
      </c>
      <c r="B995" t="s">
        <v>2125</v>
      </c>
      <c r="C995" t="s">
        <v>2116</v>
      </c>
      <c r="D995" t="s">
        <v>32</v>
      </c>
      <c r="E995" t="s">
        <v>182</v>
      </c>
      <c r="F995">
        <v>0.5</v>
      </c>
      <c r="G995">
        <v>0.2</v>
      </c>
      <c r="H995">
        <v>2.58</v>
      </c>
      <c r="I995" t="s">
        <v>1973</v>
      </c>
      <c r="J995"/>
      <c r="T995" s="292" t="str">
        <f t="shared" si="97"/>
        <v>乗用車</v>
      </c>
      <c r="U995" s="283" t="str">
        <f t="shared" si="98"/>
        <v>軽油</v>
      </c>
      <c r="V995" s="283" t="str">
        <f t="shared" si="99"/>
        <v>全て</v>
      </c>
      <c r="W995" s="283" t="str">
        <f t="shared" si="100"/>
        <v>H2,H4</v>
      </c>
      <c r="X995" s="284" t="str">
        <f t="shared" si="100"/>
        <v>X</v>
      </c>
      <c r="Y995" s="271"/>
      <c r="Z995" s="283">
        <f t="shared" si="101"/>
        <v>0.5</v>
      </c>
      <c r="AA995" s="283">
        <f t="shared" si="101"/>
        <v>0.2</v>
      </c>
      <c r="AB995" s="340">
        <f t="shared" si="101"/>
        <v>2.58</v>
      </c>
    </row>
    <row r="996" spans="1:28">
      <c r="A996" t="str">
        <f t="shared" ref="A996:A1059" si="102">CONCATENATE(C996,E996)</f>
        <v>乗0軽Y</v>
      </c>
      <c r="B996" t="s">
        <v>2125</v>
      </c>
      <c r="C996" t="s">
        <v>2116</v>
      </c>
      <c r="D996" t="s">
        <v>32</v>
      </c>
      <c r="E996" t="s">
        <v>188</v>
      </c>
      <c r="F996">
        <v>0.5</v>
      </c>
      <c r="G996">
        <v>0.2</v>
      </c>
      <c r="H996">
        <v>2.58</v>
      </c>
      <c r="I996" t="s">
        <v>1973</v>
      </c>
      <c r="J996"/>
      <c r="T996" s="292" t="str">
        <f t="shared" si="97"/>
        <v>乗用車</v>
      </c>
      <c r="U996" s="283" t="str">
        <f t="shared" si="98"/>
        <v>軽油</v>
      </c>
      <c r="V996" s="283" t="str">
        <f t="shared" si="99"/>
        <v>全て</v>
      </c>
      <c r="W996" s="283" t="str">
        <f t="shared" si="100"/>
        <v>H2,H4</v>
      </c>
      <c r="X996" s="284" t="str">
        <f t="shared" si="100"/>
        <v>Y</v>
      </c>
      <c r="Y996" s="271"/>
      <c r="Z996" s="283">
        <f t="shared" si="101"/>
        <v>0.5</v>
      </c>
      <c r="AA996" s="283">
        <f t="shared" si="101"/>
        <v>0.2</v>
      </c>
      <c r="AB996" s="340">
        <f t="shared" si="101"/>
        <v>2.58</v>
      </c>
    </row>
    <row r="997" spans="1:28">
      <c r="A997" t="str">
        <f t="shared" si="102"/>
        <v>乗0軽KD</v>
      </c>
      <c r="B997" t="s">
        <v>2125</v>
      </c>
      <c r="C997" t="s">
        <v>2116</v>
      </c>
      <c r="D997" t="s">
        <v>33</v>
      </c>
      <c r="E997" t="s">
        <v>34</v>
      </c>
      <c r="F997">
        <v>0.5</v>
      </c>
      <c r="G997">
        <v>0.2</v>
      </c>
      <c r="H997">
        <v>2.58</v>
      </c>
      <c r="I997" t="s">
        <v>1973</v>
      </c>
      <c r="J997"/>
      <c r="T997" s="292" t="str">
        <f t="shared" si="97"/>
        <v>乗用車</v>
      </c>
      <c r="U997" s="283" t="str">
        <f t="shared" si="98"/>
        <v>軽油</v>
      </c>
      <c r="V997" s="283" t="str">
        <f t="shared" si="99"/>
        <v>全て</v>
      </c>
      <c r="W997" s="283" t="str">
        <f t="shared" si="100"/>
        <v>H6</v>
      </c>
      <c r="X997" s="284" t="str">
        <f t="shared" si="100"/>
        <v>KD</v>
      </c>
      <c r="Y997" s="271"/>
      <c r="Z997" s="283">
        <f t="shared" si="101"/>
        <v>0.5</v>
      </c>
      <c r="AA997" s="283">
        <f t="shared" si="101"/>
        <v>0.2</v>
      </c>
      <c r="AB997" s="340">
        <f t="shared" si="101"/>
        <v>2.58</v>
      </c>
    </row>
    <row r="998" spans="1:28">
      <c r="A998" t="str">
        <f t="shared" si="102"/>
        <v>乗0軽KE</v>
      </c>
      <c r="B998" t="s">
        <v>2125</v>
      </c>
      <c r="C998" t="s">
        <v>2116</v>
      </c>
      <c r="D998" t="s">
        <v>36</v>
      </c>
      <c r="E998" t="s">
        <v>118</v>
      </c>
      <c r="F998">
        <v>0.4</v>
      </c>
      <c r="G998">
        <v>0.08</v>
      </c>
      <c r="H998">
        <v>2.58</v>
      </c>
      <c r="I998" t="s">
        <v>1973</v>
      </c>
      <c r="J998"/>
      <c r="T998" s="292" t="str">
        <f t="shared" si="97"/>
        <v>乗用車</v>
      </c>
      <c r="U998" s="283" t="str">
        <f t="shared" si="98"/>
        <v>軽油</v>
      </c>
      <c r="V998" s="283" t="str">
        <f t="shared" si="99"/>
        <v>全て</v>
      </c>
      <c r="W998" s="283" t="str">
        <f t="shared" si="100"/>
        <v>H9,H10</v>
      </c>
      <c r="X998" s="284" t="str">
        <f t="shared" si="100"/>
        <v>KE</v>
      </c>
      <c r="Y998" s="271"/>
      <c r="Z998" s="283">
        <f t="shared" si="101"/>
        <v>0.4</v>
      </c>
      <c r="AA998" s="283">
        <f t="shared" si="101"/>
        <v>0.08</v>
      </c>
      <c r="AB998" s="340">
        <f t="shared" si="101"/>
        <v>2.58</v>
      </c>
    </row>
    <row r="999" spans="1:28">
      <c r="A999" t="str">
        <f t="shared" si="102"/>
        <v>乗0軽HA</v>
      </c>
      <c r="B999" t="s">
        <v>2125</v>
      </c>
      <c r="C999" t="s">
        <v>2116</v>
      </c>
      <c r="D999" t="s">
        <v>36</v>
      </c>
      <c r="E999" t="s">
        <v>105</v>
      </c>
      <c r="F999">
        <v>0.2</v>
      </c>
      <c r="G999">
        <v>0.04</v>
      </c>
      <c r="H999">
        <v>2.58</v>
      </c>
      <c r="I999" t="s">
        <v>239</v>
      </c>
      <c r="J999"/>
      <c r="T999" s="292" t="str">
        <f t="shared" si="97"/>
        <v>乗用車</v>
      </c>
      <c r="U999" s="283" t="str">
        <f t="shared" si="98"/>
        <v>軽油</v>
      </c>
      <c r="V999" s="283" t="str">
        <f t="shared" si="99"/>
        <v>全て</v>
      </c>
      <c r="W999" s="283" t="str">
        <f t="shared" si="100"/>
        <v>H9,H10</v>
      </c>
      <c r="X999" s="284" t="str">
        <f t="shared" si="100"/>
        <v>HA</v>
      </c>
      <c r="Y999" s="271"/>
      <c r="Z999" s="283">
        <f t="shared" si="101"/>
        <v>0.2</v>
      </c>
      <c r="AA999" s="283">
        <f t="shared" si="101"/>
        <v>0.04</v>
      </c>
      <c r="AB999" s="340">
        <f t="shared" si="101"/>
        <v>2.58</v>
      </c>
    </row>
    <row r="1000" spans="1:28">
      <c r="A1000" t="str">
        <f t="shared" si="102"/>
        <v>乗0軽KH</v>
      </c>
      <c r="B1000" t="s">
        <v>2125</v>
      </c>
      <c r="C1000" t="s">
        <v>2116</v>
      </c>
      <c r="D1000" t="s">
        <v>36</v>
      </c>
      <c r="E1000" t="s">
        <v>121</v>
      </c>
      <c r="F1000">
        <v>0.4</v>
      </c>
      <c r="G1000">
        <v>0.08</v>
      </c>
      <c r="H1000">
        <v>2.58</v>
      </c>
      <c r="I1000" t="s">
        <v>1973</v>
      </c>
      <c r="J1000"/>
      <c r="T1000" s="292" t="str">
        <f t="shared" si="97"/>
        <v>乗用車</v>
      </c>
      <c r="U1000" s="283" t="str">
        <f t="shared" si="98"/>
        <v>軽油</v>
      </c>
      <c r="V1000" s="283" t="str">
        <f t="shared" si="99"/>
        <v>全て</v>
      </c>
      <c r="W1000" s="283" t="str">
        <f t="shared" si="100"/>
        <v>H9,H10</v>
      </c>
      <c r="X1000" s="284" t="str">
        <f t="shared" si="100"/>
        <v>KH</v>
      </c>
      <c r="Y1000" s="271"/>
      <c r="Z1000" s="283">
        <f t="shared" si="101"/>
        <v>0.4</v>
      </c>
      <c r="AA1000" s="283">
        <f t="shared" si="101"/>
        <v>0.08</v>
      </c>
      <c r="AB1000" s="340">
        <f t="shared" si="101"/>
        <v>2.58</v>
      </c>
    </row>
    <row r="1001" spans="1:28">
      <c r="A1001" t="str">
        <f t="shared" si="102"/>
        <v>乗0軽HD</v>
      </c>
      <c r="B1001" t="s">
        <v>2125</v>
      </c>
      <c r="C1001" t="s">
        <v>2116</v>
      </c>
      <c r="D1001" t="s">
        <v>36</v>
      </c>
      <c r="E1001" t="s">
        <v>108</v>
      </c>
      <c r="F1001">
        <v>0.2</v>
      </c>
      <c r="G1001">
        <v>0.04</v>
      </c>
      <c r="H1001">
        <v>2.58</v>
      </c>
      <c r="I1001" t="s">
        <v>239</v>
      </c>
      <c r="J1001"/>
      <c r="T1001" s="292" t="str">
        <f t="shared" si="97"/>
        <v>乗用車</v>
      </c>
      <c r="U1001" s="283" t="str">
        <f t="shared" si="98"/>
        <v>軽油</v>
      </c>
      <c r="V1001" s="283" t="str">
        <f t="shared" si="99"/>
        <v>全て</v>
      </c>
      <c r="W1001" s="283" t="str">
        <f t="shared" si="100"/>
        <v>H9,H10</v>
      </c>
      <c r="X1001" s="284" t="str">
        <f t="shared" si="100"/>
        <v>HD</v>
      </c>
      <c r="Y1001" s="271"/>
      <c r="Z1001" s="283">
        <f t="shared" si="101"/>
        <v>0.2</v>
      </c>
      <c r="AA1001" s="283">
        <f t="shared" si="101"/>
        <v>0.04</v>
      </c>
      <c r="AB1001" s="340">
        <f t="shared" si="101"/>
        <v>2.58</v>
      </c>
    </row>
    <row r="1002" spans="1:28">
      <c r="A1002" t="str">
        <f t="shared" si="102"/>
        <v>乗0軽DA</v>
      </c>
      <c r="B1002" t="s">
        <v>2125</v>
      </c>
      <c r="C1002" t="s">
        <v>2116</v>
      </c>
      <c r="D1002" t="s">
        <v>36</v>
      </c>
      <c r="E1002" t="s">
        <v>1490</v>
      </c>
      <c r="F1002">
        <v>0.3</v>
      </c>
      <c r="G1002">
        <v>0.06</v>
      </c>
      <c r="H1002">
        <v>2.58</v>
      </c>
      <c r="I1002" t="s">
        <v>1973</v>
      </c>
      <c r="J1002"/>
      <c r="T1002" s="292" t="str">
        <f t="shared" si="97"/>
        <v>乗用車</v>
      </c>
      <c r="U1002" s="283" t="str">
        <f t="shared" si="98"/>
        <v>軽油</v>
      </c>
      <c r="V1002" s="283" t="str">
        <f t="shared" si="99"/>
        <v>全て</v>
      </c>
      <c r="W1002" s="283" t="str">
        <f t="shared" si="100"/>
        <v>H9,H10</v>
      </c>
      <c r="X1002" s="284" t="str">
        <f t="shared" si="100"/>
        <v>DA</v>
      </c>
      <c r="Y1002" s="271" t="s">
        <v>244</v>
      </c>
      <c r="Z1002" s="283">
        <f t="shared" si="101"/>
        <v>0.3</v>
      </c>
      <c r="AA1002" s="283">
        <f t="shared" si="101"/>
        <v>0.06</v>
      </c>
      <c r="AB1002" s="340">
        <f t="shared" si="101"/>
        <v>2.58</v>
      </c>
    </row>
    <row r="1003" spans="1:28">
      <c r="A1003" t="str">
        <f t="shared" si="102"/>
        <v>乗0軽WA</v>
      </c>
      <c r="B1003" t="s">
        <v>2125</v>
      </c>
      <c r="C1003" t="s">
        <v>2116</v>
      </c>
      <c r="D1003" t="s">
        <v>36</v>
      </c>
      <c r="E1003" t="s">
        <v>1492</v>
      </c>
      <c r="F1003">
        <v>0.3</v>
      </c>
      <c r="G1003">
        <v>0.06</v>
      </c>
      <c r="H1003">
        <v>2.58</v>
      </c>
      <c r="I1003" t="s">
        <v>239</v>
      </c>
      <c r="J1003"/>
      <c r="T1003" s="292" t="str">
        <f t="shared" si="97"/>
        <v>乗用車</v>
      </c>
      <c r="U1003" s="283" t="str">
        <f t="shared" si="98"/>
        <v>軽油</v>
      </c>
      <c r="V1003" s="283" t="str">
        <f t="shared" si="99"/>
        <v>全て</v>
      </c>
      <c r="W1003" s="283" t="str">
        <f t="shared" si="100"/>
        <v>H9,H10</v>
      </c>
      <c r="X1003" s="284" t="str">
        <f t="shared" si="100"/>
        <v>WA</v>
      </c>
      <c r="Y1003" s="271" t="s">
        <v>244</v>
      </c>
      <c r="Z1003" s="283">
        <f t="shared" si="101"/>
        <v>0.3</v>
      </c>
      <c r="AA1003" s="283">
        <f t="shared" si="101"/>
        <v>0.06</v>
      </c>
      <c r="AB1003" s="340">
        <f t="shared" si="101"/>
        <v>2.58</v>
      </c>
    </row>
    <row r="1004" spans="1:28">
      <c r="A1004" t="str">
        <f t="shared" si="102"/>
        <v>乗0軽DB</v>
      </c>
      <c r="B1004" t="s">
        <v>2125</v>
      </c>
      <c r="C1004" t="s">
        <v>2116</v>
      </c>
      <c r="D1004" t="s">
        <v>36</v>
      </c>
      <c r="E1004" t="s">
        <v>1494</v>
      </c>
      <c r="F1004">
        <v>0.2</v>
      </c>
      <c r="G1004">
        <v>0.04</v>
      </c>
      <c r="H1004">
        <v>2.58</v>
      </c>
      <c r="I1004" t="s">
        <v>1973</v>
      </c>
      <c r="J1004"/>
      <c r="T1004" s="292" t="str">
        <f t="shared" si="97"/>
        <v>乗用車</v>
      </c>
      <c r="U1004" s="283" t="str">
        <f t="shared" si="98"/>
        <v>軽油</v>
      </c>
      <c r="V1004" s="283" t="str">
        <f t="shared" si="99"/>
        <v>全て</v>
      </c>
      <c r="W1004" s="283" t="str">
        <f t="shared" si="100"/>
        <v>H9,H10</v>
      </c>
      <c r="X1004" s="284" t="str">
        <f t="shared" si="100"/>
        <v>DB</v>
      </c>
      <c r="Y1004" s="271" t="s">
        <v>247</v>
      </c>
      <c r="Z1004" s="283">
        <f t="shared" si="101"/>
        <v>0.2</v>
      </c>
      <c r="AA1004" s="283">
        <f t="shared" si="101"/>
        <v>0.04</v>
      </c>
      <c r="AB1004" s="340">
        <f t="shared" si="101"/>
        <v>2.58</v>
      </c>
    </row>
    <row r="1005" spans="1:28">
      <c r="A1005" t="str">
        <f t="shared" si="102"/>
        <v>乗0軽WB</v>
      </c>
      <c r="B1005" t="s">
        <v>2125</v>
      </c>
      <c r="C1005" t="s">
        <v>2116</v>
      </c>
      <c r="D1005" t="s">
        <v>36</v>
      </c>
      <c r="E1005" t="s">
        <v>1496</v>
      </c>
      <c r="F1005">
        <v>0.2</v>
      </c>
      <c r="G1005">
        <v>0.04</v>
      </c>
      <c r="H1005">
        <v>2.58</v>
      </c>
      <c r="I1005" t="s">
        <v>239</v>
      </c>
      <c r="J1005"/>
      <c r="T1005" s="292" t="str">
        <f t="shared" si="97"/>
        <v>乗用車</v>
      </c>
      <c r="U1005" s="283" t="str">
        <f t="shared" si="98"/>
        <v>軽油</v>
      </c>
      <c r="V1005" s="283" t="str">
        <f t="shared" si="99"/>
        <v>全て</v>
      </c>
      <c r="W1005" s="283" t="str">
        <f t="shared" si="100"/>
        <v>H9,H10</v>
      </c>
      <c r="X1005" s="284" t="str">
        <f t="shared" si="100"/>
        <v>WB</v>
      </c>
      <c r="Y1005" s="271" t="s">
        <v>247</v>
      </c>
      <c r="Z1005" s="283">
        <f t="shared" si="101"/>
        <v>0.2</v>
      </c>
      <c r="AA1005" s="283">
        <f t="shared" si="101"/>
        <v>0.04</v>
      </c>
      <c r="AB1005" s="340">
        <f t="shared" si="101"/>
        <v>2.58</v>
      </c>
    </row>
    <row r="1006" spans="1:28">
      <c r="A1006" t="str">
        <f t="shared" si="102"/>
        <v>乗0軽DC</v>
      </c>
      <c r="B1006" t="s">
        <v>2125</v>
      </c>
      <c r="C1006" t="s">
        <v>2116</v>
      </c>
      <c r="D1006" t="s">
        <v>36</v>
      </c>
      <c r="E1006" t="s">
        <v>1498</v>
      </c>
      <c r="F1006">
        <v>0.1</v>
      </c>
      <c r="G1006">
        <v>0.02</v>
      </c>
      <c r="H1006">
        <v>2.58</v>
      </c>
      <c r="I1006" t="s">
        <v>1973</v>
      </c>
      <c r="J1006"/>
      <c r="T1006" s="292" t="str">
        <f t="shared" si="97"/>
        <v>乗用車</v>
      </c>
      <c r="U1006" s="283" t="str">
        <f t="shared" si="98"/>
        <v>軽油</v>
      </c>
      <c r="V1006" s="283" t="str">
        <f t="shared" si="99"/>
        <v>全て</v>
      </c>
      <c r="W1006" s="283" t="str">
        <f t="shared" si="100"/>
        <v>H9,H10</v>
      </c>
      <c r="X1006" s="284" t="str">
        <f t="shared" si="100"/>
        <v>DC</v>
      </c>
      <c r="Y1006" s="271" t="s">
        <v>250</v>
      </c>
      <c r="Z1006" s="283">
        <f t="shared" si="101"/>
        <v>0.1</v>
      </c>
      <c r="AA1006" s="283">
        <f t="shared" si="101"/>
        <v>0.02</v>
      </c>
      <c r="AB1006" s="340">
        <f t="shared" si="101"/>
        <v>2.58</v>
      </c>
    </row>
    <row r="1007" spans="1:28">
      <c r="A1007" t="str">
        <f t="shared" si="102"/>
        <v>乗0軽WC</v>
      </c>
      <c r="B1007" t="s">
        <v>2125</v>
      </c>
      <c r="C1007" t="s">
        <v>2116</v>
      </c>
      <c r="D1007" t="s">
        <v>36</v>
      </c>
      <c r="E1007" t="s">
        <v>1500</v>
      </c>
      <c r="F1007">
        <v>0.1</v>
      </c>
      <c r="G1007">
        <v>0.02</v>
      </c>
      <c r="H1007">
        <v>2.58</v>
      </c>
      <c r="I1007" t="s">
        <v>239</v>
      </c>
      <c r="J1007"/>
      <c r="T1007" s="292" t="str">
        <f t="shared" si="97"/>
        <v>乗用車</v>
      </c>
      <c r="U1007" s="283" t="str">
        <f t="shared" si="98"/>
        <v>軽油</v>
      </c>
      <c r="V1007" s="283" t="str">
        <f t="shared" si="99"/>
        <v>全て</v>
      </c>
      <c r="W1007" s="283" t="str">
        <f t="shared" si="100"/>
        <v>H9,H10</v>
      </c>
      <c r="X1007" s="284" t="str">
        <f t="shared" si="100"/>
        <v>WC</v>
      </c>
      <c r="Y1007" s="271" t="s">
        <v>250</v>
      </c>
      <c r="Z1007" s="283">
        <f t="shared" si="101"/>
        <v>0.1</v>
      </c>
      <c r="AA1007" s="283">
        <f t="shared" si="101"/>
        <v>0.02</v>
      </c>
      <c r="AB1007" s="340">
        <f t="shared" si="101"/>
        <v>2.58</v>
      </c>
    </row>
    <row r="1008" spans="1:28">
      <c r="A1008" t="str">
        <f t="shared" si="102"/>
        <v>乗0軽DK</v>
      </c>
      <c r="B1008" t="s">
        <v>2125</v>
      </c>
      <c r="C1008" t="s">
        <v>2116</v>
      </c>
      <c r="D1008" t="s">
        <v>36</v>
      </c>
      <c r="E1008" t="s">
        <v>1502</v>
      </c>
      <c r="F1008">
        <v>0.3</v>
      </c>
      <c r="G1008">
        <v>0.06</v>
      </c>
      <c r="H1008">
        <v>2.58</v>
      </c>
      <c r="I1008" t="s">
        <v>1973</v>
      </c>
      <c r="J1008"/>
      <c r="T1008" s="292" t="str">
        <f t="shared" si="97"/>
        <v>乗用車</v>
      </c>
      <c r="U1008" s="283" t="str">
        <f t="shared" si="98"/>
        <v>軽油</v>
      </c>
      <c r="V1008" s="283" t="str">
        <f t="shared" si="99"/>
        <v>全て</v>
      </c>
      <c r="W1008" s="283" t="str">
        <f t="shared" si="100"/>
        <v>H9,H10</v>
      </c>
      <c r="X1008" s="284" t="str">
        <f t="shared" si="100"/>
        <v>DK</v>
      </c>
      <c r="Y1008" s="271" t="s">
        <v>244</v>
      </c>
      <c r="Z1008" s="283">
        <f t="shared" si="101"/>
        <v>0.3</v>
      </c>
      <c r="AA1008" s="283">
        <f t="shared" si="101"/>
        <v>0.06</v>
      </c>
      <c r="AB1008" s="340">
        <f t="shared" si="101"/>
        <v>2.58</v>
      </c>
    </row>
    <row r="1009" spans="1:28">
      <c r="A1009" t="str">
        <f t="shared" si="102"/>
        <v>乗0軽WK</v>
      </c>
      <c r="B1009" t="s">
        <v>2125</v>
      </c>
      <c r="C1009" t="s">
        <v>2116</v>
      </c>
      <c r="D1009" t="s">
        <v>36</v>
      </c>
      <c r="E1009" t="s">
        <v>1504</v>
      </c>
      <c r="F1009">
        <v>0.3</v>
      </c>
      <c r="G1009">
        <v>0.06</v>
      </c>
      <c r="H1009">
        <v>2.58</v>
      </c>
      <c r="I1009" t="s">
        <v>239</v>
      </c>
      <c r="J1009"/>
      <c r="T1009" s="292" t="str">
        <f t="shared" si="97"/>
        <v>乗用車</v>
      </c>
      <c r="U1009" s="283" t="str">
        <f t="shared" si="98"/>
        <v>軽油</v>
      </c>
      <c r="V1009" s="283" t="str">
        <f t="shared" si="99"/>
        <v>全て</v>
      </c>
      <c r="W1009" s="283" t="str">
        <f t="shared" si="100"/>
        <v>H9,H10</v>
      </c>
      <c r="X1009" s="284" t="str">
        <f t="shared" si="100"/>
        <v>WK</v>
      </c>
      <c r="Y1009" s="271" t="s">
        <v>244</v>
      </c>
      <c r="Z1009" s="283">
        <f t="shared" si="101"/>
        <v>0.3</v>
      </c>
      <c r="AA1009" s="283">
        <f t="shared" si="101"/>
        <v>0.06</v>
      </c>
      <c r="AB1009" s="340">
        <f t="shared" si="101"/>
        <v>2.58</v>
      </c>
    </row>
    <row r="1010" spans="1:28">
      <c r="A1010" t="str">
        <f t="shared" si="102"/>
        <v>乗0軽DL</v>
      </c>
      <c r="B1010" t="s">
        <v>2125</v>
      </c>
      <c r="C1010" t="s">
        <v>2116</v>
      </c>
      <c r="D1010" t="s">
        <v>36</v>
      </c>
      <c r="E1010" t="s">
        <v>1506</v>
      </c>
      <c r="F1010">
        <v>0.2</v>
      </c>
      <c r="G1010">
        <v>0.04</v>
      </c>
      <c r="H1010">
        <v>2.58</v>
      </c>
      <c r="I1010" t="s">
        <v>1973</v>
      </c>
      <c r="J1010"/>
      <c r="T1010" s="292" t="str">
        <f t="shared" si="97"/>
        <v>乗用車</v>
      </c>
      <c r="U1010" s="283" t="str">
        <f t="shared" si="98"/>
        <v>軽油</v>
      </c>
      <c r="V1010" s="283" t="str">
        <f t="shared" si="99"/>
        <v>全て</v>
      </c>
      <c r="W1010" s="283" t="str">
        <f t="shared" si="100"/>
        <v>H9,H10</v>
      </c>
      <c r="X1010" s="284" t="str">
        <f t="shared" si="100"/>
        <v>DL</v>
      </c>
      <c r="Y1010" s="271" t="s">
        <v>247</v>
      </c>
      <c r="Z1010" s="283">
        <f t="shared" si="101"/>
        <v>0.2</v>
      </c>
      <c r="AA1010" s="283">
        <f t="shared" si="101"/>
        <v>0.04</v>
      </c>
      <c r="AB1010" s="340">
        <f t="shared" si="101"/>
        <v>2.58</v>
      </c>
    </row>
    <row r="1011" spans="1:28">
      <c r="A1011" t="str">
        <f t="shared" si="102"/>
        <v>乗0軽WL</v>
      </c>
      <c r="B1011" t="s">
        <v>2125</v>
      </c>
      <c r="C1011" t="s">
        <v>2116</v>
      </c>
      <c r="D1011" t="s">
        <v>36</v>
      </c>
      <c r="E1011" t="s">
        <v>1508</v>
      </c>
      <c r="F1011">
        <v>0.2</v>
      </c>
      <c r="G1011">
        <v>0.04</v>
      </c>
      <c r="H1011">
        <v>2.58</v>
      </c>
      <c r="I1011" t="s">
        <v>239</v>
      </c>
      <c r="J1011"/>
      <c r="T1011" s="292" t="str">
        <f t="shared" si="97"/>
        <v>乗用車</v>
      </c>
      <c r="U1011" s="283" t="str">
        <f t="shared" si="98"/>
        <v>軽油</v>
      </c>
      <c r="V1011" s="283" t="str">
        <f t="shared" si="99"/>
        <v>全て</v>
      </c>
      <c r="W1011" s="283" t="str">
        <f t="shared" si="100"/>
        <v>H9,H10</v>
      </c>
      <c r="X1011" s="284" t="str">
        <f t="shared" si="100"/>
        <v>WL</v>
      </c>
      <c r="Y1011" s="271" t="s">
        <v>247</v>
      </c>
      <c r="Z1011" s="283">
        <f t="shared" si="101"/>
        <v>0.2</v>
      </c>
      <c r="AA1011" s="283">
        <f t="shared" si="101"/>
        <v>0.04</v>
      </c>
      <c r="AB1011" s="340">
        <f t="shared" si="101"/>
        <v>2.58</v>
      </c>
    </row>
    <row r="1012" spans="1:28">
      <c r="A1012" t="str">
        <f t="shared" si="102"/>
        <v>乗0軽DM</v>
      </c>
      <c r="B1012" t="s">
        <v>2125</v>
      </c>
      <c r="C1012" t="s">
        <v>2116</v>
      </c>
      <c r="D1012" t="s">
        <v>36</v>
      </c>
      <c r="E1012" t="s">
        <v>1510</v>
      </c>
      <c r="F1012">
        <v>0.1</v>
      </c>
      <c r="G1012">
        <v>0.02</v>
      </c>
      <c r="H1012">
        <v>2.58</v>
      </c>
      <c r="I1012" t="s">
        <v>1973</v>
      </c>
      <c r="J1012"/>
      <c r="T1012" s="292" t="str">
        <f t="shared" si="97"/>
        <v>乗用車</v>
      </c>
      <c r="U1012" s="283" t="str">
        <f t="shared" si="98"/>
        <v>軽油</v>
      </c>
      <c r="V1012" s="283" t="str">
        <f t="shared" si="99"/>
        <v>全て</v>
      </c>
      <c r="W1012" s="283" t="str">
        <f t="shared" si="100"/>
        <v>H9,H10</v>
      </c>
      <c r="X1012" s="284" t="str">
        <f t="shared" si="100"/>
        <v>DM</v>
      </c>
      <c r="Y1012" s="271" t="s">
        <v>250</v>
      </c>
      <c r="Z1012" s="283">
        <f t="shared" si="101"/>
        <v>0.1</v>
      </c>
      <c r="AA1012" s="283">
        <f t="shared" si="101"/>
        <v>0.02</v>
      </c>
      <c r="AB1012" s="340">
        <f t="shared" si="101"/>
        <v>2.58</v>
      </c>
    </row>
    <row r="1013" spans="1:28">
      <c r="A1013" t="str">
        <f t="shared" si="102"/>
        <v>乗0軽WM</v>
      </c>
      <c r="B1013" t="s">
        <v>2125</v>
      </c>
      <c r="C1013" t="s">
        <v>2116</v>
      </c>
      <c r="D1013" t="s">
        <v>36</v>
      </c>
      <c r="E1013" t="s">
        <v>1512</v>
      </c>
      <c r="F1013">
        <v>0.1</v>
      </c>
      <c r="G1013">
        <v>0.02</v>
      </c>
      <c r="H1013">
        <v>2.58</v>
      </c>
      <c r="I1013" t="s">
        <v>239</v>
      </c>
      <c r="J1013"/>
      <c r="T1013" s="292" t="str">
        <f t="shared" si="97"/>
        <v>乗用車</v>
      </c>
      <c r="U1013" s="283" t="str">
        <f t="shared" si="98"/>
        <v>軽油</v>
      </c>
      <c r="V1013" s="283" t="str">
        <f t="shared" si="99"/>
        <v>全て</v>
      </c>
      <c r="W1013" s="283" t="str">
        <f t="shared" si="100"/>
        <v>H9,H10</v>
      </c>
      <c r="X1013" s="284" t="str">
        <f t="shared" si="100"/>
        <v>WM</v>
      </c>
      <c r="Y1013" s="271" t="s">
        <v>250</v>
      </c>
      <c r="Z1013" s="283">
        <f t="shared" si="101"/>
        <v>0.1</v>
      </c>
      <c r="AA1013" s="283">
        <f t="shared" si="101"/>
        <v>0.02</v>
      </c>
      <c r="AB1013" s="340">
        <f t="shared" si="101"/>
        <v>2.58</v>
      </c>
    </row>
    <row r="1014" spans="1:28">
      <c r="A1014" t="str">
        <f t="shared" si="102"/>
        <v>乗0軽KM</v>
      </c>
      <c r="B1014" t="s">
        <v>2125</v>
      </c>
      <c r="C1014" t="s">
        <v>2116</v>
      </c>
      <c r="D1014" t="s">
        <v>16</v>
      </c>
      <c r="E1014" t="s">
        <v>125</v>
      </c>
      <c r="F1014">
        <v>0.28000000000000003</v>
      </c>
      <c r="G1014">
        <v>5.1999999999999998E-2</v>
      </c>
      <c r="H1014">
        <v>2.58</v>
      </c>
      <c r="I1014" t="s">
        <v>1973</v>
      </c>
      <c r="J1014"/>
      <c r="T1014" s="292" t="str">
        <f t="shared" si="97"/>
        <v>乗用車</v>
      </c>
      <c r="U1014" s="283" t="str">
        <f t="shared" si="98"/>
        <v>軽油</v>
      </c>
      <c r="V1014" s="283" t="str">
        <f t="shared" si="99"/>
        <v>全て</v>
      </c>
      <c r="W1014" s="283" t="str">
        <f t="shared" si="100"/>
        <v>H14</v>
      </c>
      <c r="X1014" s="284" t="str">
        <f t="shared" si="100"/>
        <v>KM</v>
      </c>
      <c r="Y1014" s="271"/>
      <c r="Z1014" s="283">
        <f t="shared" si="101"/>
        <v>0.28000000000000003</v>
      </c>
      <c r="AA1014" s="283">
        <f t="shared" si="101"/>
        <v>5.1999999999999998E-2</v>
      </c>
      <c r="AB1014" s="340">
        <f t="shared" si="101"/>
        <v>2.58</v>
      </c>
    </row>
    <row r="1015" spans="1:28">
      <c r="A1015" t="str">
        <f t="shared" si="102"/>
        <v>乗0軽HT</v>
      </c>
      <c r="B1015" t="s">
        <v>2125</v>
      </c>
      <c r="C1015" t="s">
        <v>2116</v>
      </c>
      <c r="D1015" t="s">
        <v>16</v>
      </c>
      <c r="E1015" t="s">
        <v>112</v>
      </c>
      <c r="F1015">
        <v>0.14000000000000001</v>
      </c>
      <c r="G1015">
        <v>2.5999999999999999E-2</v>
      </c>
      <c r="H1015">
        <v>2.58</v>
      </c>
      <c r="I1015" t="s">
        <v>239</v>
      </c>
      <c r="J1015"/>
      <c r="T1015" s="292" t="str">
        <f t="shared" si="97"/>
        <v>乗用車</v>
      </c>
      <c r="U1015" s="283" t="str">
        <f t="shared" si="98"/>
        <v>軽油</v>
      </c>
      <c r="V1015" s="283" t="str">
        <f t="shared" si="99"/>
        <v>全て</v>
      </c>
      <c r="W1015" s="283" t="str">
        <f t="shared" si="100"/>
        <v>H14</v>
      </c>
      <c r="X1015" s="284" t="str">
        <f t="shared" si="100"/>
        <v>HT</v>
      </c>
      <c r="Y1015" s="271"/>
      <c r="Z1015" s="283">
        <f t="shared" si="101"/>
        <v>0.14000000000000001</v>
      </c>
      <c r="AA1015" s="283">
        <f t="shared" si="101"/>
        <v>2.5999999999999999E-2</v>
      </c>
      <c r="AB1015" s="340">
        <f t="shared" si="101"/>
        <v>2.58</v>
      </c>
    </row>
    <row r="1016" spans="1:28">
      <c r="A1016" t="str">
        <f t="shared" si="102"/>
        <v>乗0軽KN</v>
      </c>
      <c r="B1016" t="s">
        <v>2125</v>
      </c>
      <c r="C1016" t="s">
        <v>2116</v>
      </c>
      <c r="D1016" t="s">
        <v>16</v>
      </c>
      <c r="E1016" t="s">
        <v>126</v>
      </c>
      <c r="F1016">
        <v>0.28000000000000003</v>
      </c>
      <c r="G1016">
        <v>5.1999999999999998E-2</v>
      </c>
      <c r="H1016">
        <v>2.58</v>
      </c>
      <c r="I1016" t="s">
        <v>1973</v>
      </c>
      <c r="J1016"/>
      <c r="T1016" s="292" t="str">
        <f t="shared" si="97"/>
        <v>乗用車</v>
      </c>
      <c r="U1016" s="283" t="str">
        <f t="shared" si="98"/>
        <v>軽油</v>
      </c>
      <c r="V1016" s="283" t="str">
        <f t="shared" si="99"/>
        <v>全て</v>
      </c>
      <c r="W1016" s="283" t="str">
        <f t="shared" si="100"/>
        <v>H14</v>
      </c>
      <c r="X1016" s="284" t="str">
        <f t="shared" si="100"/>
        <v>KN</v>
      </c>
      <c r="Y1016" s="271"/>
      <c r="Z1016" s="283">
        <f t="shared" si="101"/>
        <v>0.28000000000000003</v>
      </c>
      <c r="AA1016" s="283">
        <f t="shared" si="101"/>
        <v>5.1999999999999998E-2</v>
      </c>
      <c r="AB1016" s="340">
        <f t="shared" si="101"/>
        <v>2.58</v>
      </c>
    </row>
    <row r="1017" spans="1:28">
      <c r="A1017" t="str">
        <f t="shared" si="102"/>
        <v>乗0軽HU</v>
      </c>
      <c r="B1017" t="s">
        <v>2125</v>
      </c>
      <c r="C1017" t="s">
        <v>2116</v>
      </c>
      <c r="D1017" t="s">
        <v>16</v>
      </c>
      <c r="E1017" t="s">
        <v>113</v>
      </c>
      <c r="F1017">
        <v>0.14000000000000001</v>
      </c>
      <c r="G1017">
        <v>2.5999999999999999E-2</v>
      </c>
      <c r="H1017">
        <v>2.58</v>
      </c>
      <c r="I1017" t="s">
        <v>239</v>
      </c>
      <c r="J1017"/>
      <c r="T1017" s="292" t="str">
        <f t="shared" si="97"/>
        <v>乗用車</v>
      </c>
      <c r="U1017" s="283" t="str">
        <f t="shared" si="98"/>
        <v>軽油</v>
      </c>
      <c r="V1017" s="283" t="str">
        <f t="shared" si="99"/>
        <v>全て</v>
      </c>
      <c r="W1017" s="283" t="str">
        <f t="shared" si="100"/>
        <v>H14</v>
      </c>
      <c r="X1017" s="284" t="str">
        <f t="shared" si="100"/>
        <v>HU</v>
      </c>
      <c r="Y1017" s="271"/>
      <c r="Z1017" s="283">
        <f t="shared" si="101"/>
        <v>0.14000000000000001</v>
      </c>
      <c r="AA1017" s="283">
        <f t="shared" si="101"/>
        <v>2.5999999999999999E-2</v>
      </c>
      <c r="AB1017" s="340">
        <f t="shared" si="101"/>
        <v>2.58</v>
      </c>
    </row>
    <row r="1018" spans="1:28">
      <c r="A1018" t="str">
        <f t="shared" si="102"/>
        <v>乗0軽TF</v>
      </c>
      <c r="B1018" t="s">
        <v>2125</v>
      </c>
      <c r="C1018" t="s">
        <v>2116</v>
      </c>
      <c r="D1018" t="s">
        <v>16</v>
      </c>
      <c r="E1018" t="s">
        <v>1518</v>
      </c>
      <c r="F1018">
        <v>0.21</v>
      </c>
      <c r="G1018">
        <v>3.9E-2</v>
      </c>
      <c r="H1018">
        <v>2.58</v>
      </c>
      <c r="I1018" t="s">
        <v>1973</v>
      </c>
      <c r="J1018"/>
      <c r="T1018" s="292" t="str">
        <f t="shared" si="97"/>
        <v>乗用車</v>
      </c>
      <c r="U1018" s="283" t="str">
        <f t="shared" si="98"/>
        <v>軽油</v>
      </c>
      <c r="V1018" s="283" t="str">
        <f t="shared" si="99"/>
        <v>全て</v>
      </c>
      <c r="W1018" s="283" t="str">
        <f t="shared" si="100"/>
        <v>H14</v>
      </c>
      <c r="X1018" s="284" t="str">
        <f t="shared" si="100"/>
        <v>TF</v>
      </c>
      <c r="Y1018" s="271" t="s">
        <v>244</v>
      </c>
      <c r="Z1018" s="283">
        <f t="shared" si="101"/>
        <v>0.21</v>
      </c>
      <c r="AA1018" s="283">
        <f t="shared" si="101"/>
        <v>3.9E-2</v>
      </c>
      <c r="AB1018" s="340">
        <f t="shared" si="101"/>
        <v>2.58</v>
      </c>
    </row>
    <row r="1019" spans="1:28">
      <c r="A1019" t="str">
        <f t="shared" si="102"/>
        <v>乗0軽XF</v>
      </c>
      <c r="B1019" t="s">
        <v>2125</v>
      </c>
      <c r="C1019" t="s">
        <v>2116</v>
      </c>
      <c r="D1019" t="s">
        <v>16</v>
      </c>
      <c r="E1019" t="s">
        <v>1520</v>
      </c>
      <c r="F1019">
        <v>0.21</v>
      </c>
      <c r="G1019">
        <v>3.9E-2</v>
      </c>
      <c r="H1019">
        <v>2.58</v>
      </c>
      <c r="I1019" t="s">
        <v>239</v>
      </c>
      <c r="J1019"/>
      <c r="T1019" s="292" t="str">
        <f t="shared" si="97"/>
        <v>乗用車</v>
      </c>
      <c r="U1019" s="283" t="str">
        <f t="shared" si="98"/>
        <v>軽油</v>
      </c>
      <c r="V1019" s="283" t="str">
        <f t="shared" si="99"/>
        <v>全て</v>
      </c>
      <c r="W1019" s="283" t="str">
        <f t="shared" si="100"/>
        <v>H14</v>
      </c>
      <c r="X1019" s="284" t="str">
        <f t="shared" si="100"/>
        <v>XF</v>
      </c>
      <c r="Y1019" s="271" t="s">
        <v>244</v>
      </c>
      <c r="Z1019" s="283">
        <f t="shared" si="101"/>
        <v>0.21</v>
      </c>
      <c r="AA1019" s="283">
        <f t="shared" si="101"/>
        <v>3.9E-2</v>
      </c>
      <c r="AB1019" s="340">
        <f t="shared" si="101"/>
        <v>2.58</v>
      </c>
    </row>
    <row r="1020" spans="1:28">
      <c r="A1020" t="str">
        <f t="shared" si="102"/>
        <v>乗0軽TG</v>
      </c>
      <c r="B1020" t="s">
        <v>2125</v>
      </c>
      <c r="C1020" t="s">
        <v>2116</v>
      </c>
      <c r="D1020" t="s">
        <v>16</v>
      </c>
      <c r="E1020" t="s">
        <v>1522</v>
      </c>
      <c r="F1020">
        <v>0.21</v>
      </c>
      <c r="G1020">
        <v>3.9E-2</v>
      </c>
      <c r="H1020">
        <v>2.58</v>
      </c>
      <c r="I1020" t="s">
        <v>1973</v>
      </c>
      <c r="J1020"/>
      <c r="T1020" s="292" t="str">
        <f t="shared" si="97"/>
        <v>乗用車</v>
      </c>
      <c r="U1020" s="283" t="str">
        <f t="shared" si="98"/>
        <v>軽油</v>
      </c>
      <c r="V1020" s="283" t="str">
        <f t="shared" si="99"/>
        <v>全て</v>
      </c>
      <c r="W1020" s="283" t="str">
        <f t="shared" si="100"/>
        <v>H14</v>
      </c>
      <c r="X1020" s="284" t="str">
        <f t="shared" si="100"/>
        <v>TG</v>
      </c>
      <c r="Y1020" s="271" t="s">
        <v>244</v>
      </c>
      <c r="Z1020" s="283">
        <f t="shared" si="101"/>
        <v>0.21</v>
      </c>
      <c r="AA1020" s="283">
        <f t="shared" si="101"/>
        <v>3.9E-2</v>
      </c>
      <c r="AB1020" s="340">
        <f t="shared" si="101"/>
        <v>2.58</v>
      </c>
    </row>
    <row r="1021" spans="1:28">
      <c r="A1021" t="str">
        <f t="shared" si="102"/>
        <v>乗0軽XG</v>
      </c>
      <c r="B1021" t="s">
        <v>2125</v>
      </c>
      <c r="C1021" t="s">
        <v>2116</v>
      </c>
      <c r="D1021" t="s">
        <v>16</v>
      </c>
      <c r="E1021" t="s">
        <v>1524</v>
      </c>
      <c r="F1021">
        <v>0.21</v>
      </c>
      <c r="G1021">
        <v>3.9E-2</v>
      </c>
      <c r="H1021">
        <v>2.58</v>
      </c>
      <c r="I1021" t="s">
        <v>239</v>
      </c>
      <c r="J1021"/>
      <c r="T1021" s="292" t="str">
        <f t="shared" si="97"/>
        <v>乗用車</v>
      </c>
      <c r="U1021" s="283" t="str">
        <f t="shared" si="98"/>
        <v>軽油</v>
      </c>
      <c r="V1021" s="283" t="str">
        <f t="shared" si="99"/>
        <v>全て</v>
      </c>
      <c r="W1021" s="283" t="str">
        <f t="shared" si="100"/>
        <v>H14</v>
      </c>
      <c r="X1021" s="284" t="str">
        <f t="shared" si="100"/>
        <v>XG</v>
      </c>
      <c r="Y1021" s="271" t="s">
        <v>244</v>
      </c>
      <c r="Z1021" s="283">
        <f t="shared" si="101"/>
        <v>0.21</v>
      </c>
      <c r="AA1021" s="283">
        <f t="shared" si="101"/>
        <v>3.9E-2</v>
      </c>
      <c r="AB1021" s="340">
        <f t="shared" si="101"/>
        <v>2.58</v>
      </c>
    </row>
    <row r="1022" spans="1:28">
      <c r="A1022" t="str">
        <f t="shared" si="102"/>
        <v>乗0軽LF</v>
      </c>
      <c r="B1022" t="s">
        <v>2125</v>
      </c>
      <c r="C1022" t="s">
        <v>2116</v>
      </c>
      <c r="D1022" t="s">
        <v>16</v>
      </c>
      <c r="E1022" t="s">
        <v>1526</v>
      </c>
      <c r="F1022">
        <v>0.14000000000000001</v>
      </c>
      <c r="G1022">
        <v>2.5999999999999999E-2</v>
      </c>
      <c r="H1022">
        <v>2.58</v>
      </c>
      <c r="I1022" t="s">
        <v>1973</v>
      </c>
      <c r="J1022"/>
      <c r="T1022" s="292" t="str">
        <f t="shared" si="97"/>
        <v>乗用車</v>
      </c>
      <c r="U1022" s="283" t="str">
        <f t="shared" si="98"/>
        <v>軽油</v>
      </c>
      <c r="V1022" s="283" t="str">
        <f t="shared" si="99"/>
        <v>全て</v>
      </c>
      <c r="W1022" s="283" t="str">
        <f t="shared" si="100"/>
        <v>H14</v>
      </c>
      <c r="X1022" s="284" t="str">
        <f t="shared" si="100"/>
        <v>LF</v>
      </c>
      <c r="Y1022" s="271" t="s">
        <v>247</v>
      </c>
      <c r="Z1022" s="283">
        <f t="shared" si="101"/>
        <v>0.14000000000000001</v>
      </c>
      <c r="AA1022" s="283">
        <f t="shared" si="101"/>
        <v>2.5999999999999999E-2</v>
      </c>
      <c r="AB1022" s="340">
        <f t="shared" si="101"/>
        <v>2.58</v>
      </c>
    </row>
    <row r="1023" spans="1:28">
      <c r="A1023" t="str">
        <f t="shared" si="102"/>
        <v>乗0軽YF</v>
      </c>
      <c r="B1023" t="s">
        <v>2125</v>
      </c>
      <c r="C1023" t="s">
        <v>2116</v>
      </c>
      <c r="D1023" t="s">
        <v>16</v>
      </c>
      <c r="E1023" t="s">
        <v>1528</v>
      </c>
      <c r="F1023">
        <v>0.14000000000000001</v>
      </c>
      <c r="G1023">
        <v>2.5999999999999999E-2</v>
      </c>
      <c r="H1023">
        <v>2.58</v>
      </c>
      <c r="I1023" t="s">
        <v>239</v>
      </c>
      <c r="J1023"/>
      <c r="T1023" s="292" t="str">
        <f t="shared" si="97"/>
        <v>乗用車</v>
      </c>
      <c r="U1023" s="283" t="str">
        <f t="shared" si="98"/>
        <v>軽油</v>
      </c>
      <c r="V1023" s="283" t="str">
        <f t="shared" si="99"/>
        <v>全て</v>
      </c>
      <c r="W1023" s="283" t="str">
        <f t="shared" si="100"/>
        <v>H14</v>
      </c>
      <c r="X1023" s="284" t="str">
        <f t="shared" si="100"/>
        <v>YF</v>
      </c>
      <c r="Y1023" s="271" t="s">
        <v>247</v>
      </c>
      <c r="Z1023" s="283">
        <f t="shared" si="101"/>
        <v>0.14000000000000001</v>
      </c>
      <c r="AA1023" s="283">
        <f t="shared" si="101"/>
        <v>2.5999999999999999E-2</v>
      </c>
      <c r="AB1023" s="340">
        <f t="shared" si="101"/>
        <v>2.58</v>
      </c>
    </row>
    <row r="1024" spans="1:28">
      <c r="A1024" t="str">
        <f t="shared" si="102"/>
        <v>乗0軽LG</v>
      </c>
      <c r="B1024" t="s">
        <v>2125</v>
      </c>
      <c r="C1024" t="s">
        <v>2116</v>
      </c>
      <c r="D1024" t="s">
        <v>16</v>
      </c>
      <c r="E1024" t="s">
        <v>1530</v>
      </c>
      <c r="F1024">
        <v>0.14000000000000001</v>
      </c>
      <c r="G1024">
        <v>2.5999999999999999E-2</v>
      </c>
      <c r="H1024">
        <v>2.58</v>
      </c>
      <c r="I1024" t="s">
        <v>1973</v>
      </c>
      <c r="J1024"/>
      <c r="T1024" s="292" t="str">
        <f t="shared" si="97"/>
        <v>乗用車</v>
      </c>
      <c r="U1024" s="283" t="str">
        <f t="shared" si="98"/>
        <v>軽油</v>
      </c>
      <c r="V1024" s="283" t="str">
        <f t="shared" si="99"/>
        <v>全て</v>
      </c>
      <c r="W1024" s="283" t="str">
        <f t="shared" si="100"/>
        <v>H14</v>
      </c>
      <c r="X1024" s="284" t="str">
        <f t="shared" si="100"/>
        <v>LG</v>
      </c>
      <c r="Y1024" s="271" t="s">
        <v>247</v>
      </c>
      <c r="Z1024" s="283">
        <f t="shared" si="101"/>
        <v>0.14000000000000001</v>
      </c>
      <c r="AA1024" s="283">
        <f t="shared" si="101"/>
        <v>2.5999999999999999E-2</v>
      </c>
      <c r="AB1024" s="340">
        <f t="shared" si="101"/>
        <v>2.58</v>
      </c>
    </row>
    <row r="1025" spans="1:30">
      <c r="A1025" t="str">
        <f t="shared" si="102"/>
        <v>乗0軽YG</v>
      </c>
      <c r="B1025" t="s">
        <v>2125</v>
      </c>
      <c r="C1025" t="s">
        <v>2116</v>
      </c>
      <c r="D1025" t="s">
        <v>16</v>
      </c>
      <c r="E1025" t="s">
        <v>1532</v>
      </c>
      <c r="F1025">
        <v>0.14000000000000001</v>
      </c>
      <c r="G1025">
        <v>2.5999999999999999E-2</v>
      </c>
      <c r="H1025">
        <v>2.58</v>
      </c>
      <c r="I1025" t="s">
        <v>239</v>
      </c>
      <c r="J1025"/>
      <c r="T1025" s="292" t="str">
        <f t="shared" si="97"/>
        <v>乗用車</v>
      </c>
      <c r="U1025" s="283" t="str">
        <f t="shared" si="98"/>
        <v>軽油</v>
      </c>
      <c r="V1025" s="283" t="str">
        <f t="shared" si="99"/>
        <v>全て</v>
      </c>
      <c r="W1025" s="283" t="str">
        <f t="shared" si="100"/>
        <v>H14</v>
      </c>
      <c r="X1025" s="284" t="str">
        <f t="shared" si="100"/>
        <v>YG</v>
      </c>
      <c r="Y1025" s="271" t="s">
        <v>247</v>
      </c>
      <c r="Z1025" s="283">
        <f t="shared" si="101"/>
        <v>0.14000000000000001</v>
      </c>
      <c r="AA1025" s="283">
        <f t="shared" si="101"/>
        <v>2.5999999999999999E-2</v>
      </c>
      <c r="AB1025" s="340">
        <f t="shared" si="101"/>
        <v>2.58</v>
      </c>
    </row>
    <row r="1026" spans="1:30">
      <c r="A1026" t="str">
        <f t="shared" si="102"/>
        <v>乗0軽UF</v>
      </c>
      <c r="B1026" t="s">
        <v>2125</v>
      </c>
      <c r="C1026" t="s">
        <v>2116</v>
      </c>
      <c r="D1026" t="s">
        <v>16</v>
      </c>
      <c r="E1026" t="s">
        <v>1534</v>
      </c>
      <c r="F1026">
        <v>7.0000000000000007E-2</v>
      </c>
      <c r="G1026">
        <v>1.2999999999999999E-2</v>
      </c>
      <c r="H1026">
        <v>2.58</v>
      </c>
      <c r="I1026" t="s">
        <v>1973</v>
      </c>
      <c r="J1026"/>
      <c r="T1026" s="292" t="str">
        <f t="shared" si="97"/>
        <v>乗用車</v>
      </c>
      <c r="U1026" s="283" t="str">
        <f t="shared" si="98"/>
        <v>軽油</v>
      </c>
      <c r="V1026" s="283" t="str">
        <f t="shared" si="99"/>
        <v>全て</v>
      </c>
      <c r="W1026" s="283" t="str">
        <f t="shared" si="100"/>
        <v>H14</v>
      </c>
      <c r="X1026" s="284" t="str">
        <f t="shared" si="100"/>
        <v>UF</v>
      </c>
      <c r="Y1026" s="271" t="s">
        <v>250</v>
      </c>
      <c r="Z1026" s="283">
        <f t="shared" si="101"/>
        <v>7.0000000000000007E-2</v>
      </c>
      <c r="AA1026" s="283">
        <f t="shared" si="101"/>
        <v>1.2999999999999999E-2</v>
      </c>
      <c r="AB1026" s="340">
        <f t="shared" si="101"/>
        <v>2.58</v>
      </c>
    </row>
    <row r="1027" spans="1:30">
      <c r="A1027" t="str">
        <f t="shared" si="102"/>
        <v>乗0軽ZF</v>
      </c>
      <c r="B1027" t="s">
        <v>2125</v>
      </c>
      <c r="C1027" t="s">
        <v>2116</v>
      </c>
      <c r="D1027" t="s">
        <v>16</v>
      </c>
      <c r="E1027" t="s">
        <v>1536</v>
      </c>
      <c r="F1027">
        <v>7.0000000000000007E-2</v>
      </c>
      <c r="G1027">
        <v>1.2999999999999999E-2</v>
      </c>
      <c r="H1027">
        <v>2.58</v>
      </c>
      <c r="I1027" t="s">
        <v>239</v>
      </c>
      <c r="J1027"/>
      <c r="T1027" s="292" t="str">
        <f t="shared" si="97"/>
        <v>乗用車</v>
      </c>
      <c r="U1027" s="283" t="str">
        <f t="shared" si="98"/>
        <v>軽油</v>
      </c>
      <c r="V1027" s="283" t="str">
        <f t="shared" si="99"/>
        <v>全て</v>
      </c>
      <c r="W1027" s="283" t="str">
        <f t="shared" si="100"/>
        <v>H14</v>
      </c>
      <c r="X1027" s="284" t="str">
        <f t="shared" si="100"/>
        <v>ZF</v>
      </c>
      <c r="Y1027" s="271" t="s">
        <v>250</v>
      </c>
      <c r="Z1027" s="283">
        <f t="shared" si="101"/>
        <v>7.0000000000000007E-2</v>
      </c>
      <c r="AA1027" s="283">
        <f t="shared" si="101"/>
        <v>1.2999999999999999E-2</v>
      </c>
      <c r="AB1027" s="340">
        <f t="shared" si="101"/>
        <v>2.58</v>
      </c>
    </row>
    <row r="1028" spans="1:30">
      <c r="A1028" t="str">
        <f t="shared" si="102"/>
        <v>乗0軽UG</v>
      </c>
      <c r="B1028" t="s">
        <v>2125</v>
      </c>
      <c r="C1028" t="s">
        <v>2116</v>
      </c>
      <c r="D1028" t="s">
        <v>16</v>
      </c>
      <c r="E1028" t="s">
        <v>1538</v>
      </c>
      <c r="F1028">
        <v>7.0000000000000007E-2</v>
      </c>
      <c r="G1028">
        <v>1.2999999999999999E-2</v>
      </c>
      <c r="H1028">
        <v>2.58</v>
      </c>
      <c r="I1028" t="s">
        <v>1973</v>
      </c>
      <c r="J1028"/>
      <c r="T1028" s="292" t="str">
        <f t="shared" si="97"/>
        <v>乗用車</v>
      </c>
      <c r="U1028" s="283" t="str">
        <f t="shared" si="98"/>
        <v>軽油</v>
      </c>
      <c r="V1028" s="283" t="str">
        <f t="shared" si="99"/>
        <v>全て</v>
      </c>
      <c r="W1028" s="283" t="str">
        <f t="shared" si="100"/>
        <v>H14</v>
      </c>
      <c r="X1028" s="284" t="str">
        <f t="shared" si="100"/>
        <v>UG</v>
      </c>
      <c r="Y1028" s="271" t="s">
        <v>250</v>
      </c>
      <c r="Z1028" s="283">
        <f t="shared" si="101"/>
        <v>7.0000000000000007E-2</v>
      </c>
      <c r="AA1028" s="283">
        <f t="shared" si="101"/>
        <v>1.2999999999999999E-2</v>
      </c>
      <c r="AB1028" s="340">
        <f t="shared" si="101"/>
        <v>2.58</v>
      </c>
    </row>
    <row r="1029" spans="1:30">
      <c r="A1029" t="str">
        <f t="shared" si="102"/>
        <v>乗0軽ZG</v>
      </c>
      <c r="B1029" t="s">
        <v>2125</v>
      </c>
      <c r="C1029" t="s">
        <v>2116</v>
      </c>
      <c r="D1029" t="s">
        <v>16</v>
      </c>
      <c r="E1029" t="s">
        <v>1540</v>
      </c>
      <c r="F1029">
        <v>7.0000000000000007E-2</v>
      </c>
      <c r="G1029">
        <v>1.2999999999999999E-2</v>
      </c>
      <c r="H1029">
        <v>2.58</v>
      </c>
      <c r="I1029" t="s">
        <v>239</v>
      </c>
      <c r="J1029"/>
      <c r="T1029" s="292" t="str">
        <f t="shared" si="97"/>
        <v>乗用車</v>
      </c>
      <c r="U1029" s="283" t="str">
        <f t="shared" si="98"/>
        <v>軽油</v>
      </c>
      <c r="V1029" s="283" t="str">
        <f t="shared" si="99"/>
        <v>全て</v>
      </c>
      <c r="W1029" s="283" t="str">
        <f t="shared" si="100"/>
        <v>H14</v>
      </c>
      <c r="X1029" s="284" t="str">
        <f t="shared" si="100"/>
        <v>ZG</v>
      </c>
      <c r="Y1029" s="271" t="s">
        <v>250</v>
      </c>
      <c r="Z1029" s="283">
        <f t="shared" si="101"/>
        <v>7.0000000000000007E-2</v>
      </c>
      <c r="AA1029" s="283">
        <f t="shared" si="101"/>
        <v>1.2999999999999999E-2</v>
      </c>
      <c r="AB1029" s="340">
        <f t="shared" si="101"/>
        <v>2.58</v>
      </c>
    </row>
    <row r="1030" spans="1:30">
      <c r="A1030" t="str">
        <f t="shared" si="102"/>
        <v>乗0軽ADB</v>
      </c>
      <c r="B1030" t="s">
        <v>2125</v>
      </c>
      <c r="C1030" t="s">
        <v>2116</v>
      </c>
      <c r="D1030" t="s">
        <v>1979</v>
      </c>
      <c r="E1030" t="s">
        <v>1542</v>
      </c>
      <c r="F1030">
        <v>0.14000000000000001</v>
      </c>
      <c r="G1030">
        <v>1.2999999999999999E-2</v>
      </c>
      <c r="H1030">
        <v>2.58</v>
      </c>
      <c r="I1030" t="s">
        <v>2340</v>
      </c>
      <c r="J1030"/>
      <c r="T1030" s="292" t="str">
        <f t="shared" si="97"/>
        <v>乗用車</v>
      </c>
      <c r="U1030" s="283" t="str">
        <f t="shared" si="98"/>
        <v>軽油</v>
      </c>
      <c r="V1030" s="283" t="str">
        <f t="shared" si="99"/>
        <v>全て</v>
      </c>
      <c r="W1030" s="283" t="str">
        <f t="shared" si="100"/>
        <v>H17</v>
      </c>
      <c r="X1030" s="284" t="str">
        <f t="shared" si="100"/>
        <v>ADB</v>
      </c>
      <c r="Y1030" s="271"/>
      <c r="Z1030" s="283">
        <f t="shared" si="101"/>
        <v>0.14000000000000001</v>
      </c>
      <c r="AA1030" s="283">
        <f t="shared" si="101"/>
        <v>1.2999999999999999E-2</v>
      </c>
      <c r="AB1030" s="340">
        <f t="shared" si="101"/>
        <v>2.58</v>
      </c>
    </row>
    <row r="1031" spans="1:30">
      <c r="A1031" t="str">
        <f t="shared" si="102"/>
        <v>乗0軽ADC</v>
      </c>
      <c r="B1031" t="s">
        <v>2125</v>
      </c>
      <c r="C1031" t="s">
        <v>2116</v>
      </c>
      <c r="D1031" t="s">
        <v>1979</v>
      </c>
      <c r="E1031" t="s">
        <v>1544</v>
      </c>
      <c r="F1031">
        <v>0.14000000000000001</v>
      </c>
      <c r="G1031">
        <v>1.2999999999999999E-2</v>
      </c>
      <c r="H1031">
        <v>2.58</v>
      </c>
      <c r="I1031" t="s">
        <v>2340</v>
      </c>
      <c r="J1031"/>
      <c r="T1031" s="292" t="str">
        <f t="shared" si="97"/>
        <v>乗用車</v>
      </c>
      <c r="U1031" s="283" t="str">
        <f t="shared" si="98"/>
        <v>軽油</v>
      </c>
      <c r="V1031" s="283" t="str">
        <f t="shared" si="99"/>
        <v>全て</v>
      </c>
      <c r="W1031" s="283" t="str">
        <f t="shared" si="100"/>
        <v>H17</v>
      </c>
      <c r="X1031" s="284" t="str">
        <f t="shared" si="100"/>
        <v>ADC</v>
      </c>
      <c r="Y1031" s="454"/>
      <c r="Z1031" s="283">
        <f t="shared" si="101"/>
        <v>0.14000000000000001</v>
      </c>
      <c r="AA1031" s="283">
        <f t="shared" si="101"/>
        <v>1.2999999999999999E-2</v>
      </c>
      <c r="AB1031" s="340">
        <f t="shared" si="101"/>
        <v>2.58</v>
      </c>
      <c r="AD1031" s="433"/>
    </row>
    <row r="1032" spans="1:30">
      <c r="A1032" t="str">
        <f t="shared" si="102"/>
        <v>乗0軽ACB</v>
      </c>
      <c r="B1032" t="s">
        <v>2125</v>
      </c>
      <c r="C1032" t="s">
        <v>2116</v>
      </c>
      <c r="D1032" t="s">
        <v>1979</v>
      </c>
      <c r="E1032" t="s">
        <v>1546</v>
      </c>
      <c r="F1032">
        <v>7.0000000000000007E-2</v>
      </c>
      <c r="G1032">
        <v>6.4999999999999997E-3</v>
      </c>
      <c r="H1032">
        <v>2.58</v>
      </c>
      <c r="I1032" t="s">
        <v>239</v>
      </c>
      <c r="J1032"/>
      <c r="T1032" s="292" t="str">
        <f t="shared" si="97"/>
        <v>乗用車</v>
      </c>
      <c r="U1032" s="283" t="str">
        <f t="shared" si="98"/>
        <v>軽油</v>
      </c>
      <c r="V1032" s="283" t="str">
        <f t="shared" si="99"/>
        <v>全て</v>
      </c>
      <c r="W1032" s="283" t="str">
        <f t="shared" si="100"/>
        <v>H17</v>
      </c>
      <c r="X1032" s="284" t="str">
        <f t="shared" si="100"/>
        <v>ACB</v>
      </c>
      <c r="Y1032" s="455"/>
      <c r="Z1032" s="283">
        <f t="shared" si="101"/>
        <v>7.0000000000000007E-2</v>
      </c>
      <c r="AA1032" s="283">
        <f t="shared" si="101"/>
        <v>6.4999999999999997E-3</v>
      </c>
      <c r="AB1032" s="340">
        <f t="shared" si="101"/>
        <v>2.58</v>
      </c>
      <c r="AD1032" s="433"/>
    </row>
    <row r="1033" spans="1:30">
      <c r="A1033" t="str">
        <f t="shared" si="102"/>
        <v>乗0軽ACC</v>
      </c>
      <c r="B1033" t="s">
        <v>2125</v>
      </c>
      <c r="C1033" t="s">
        <v>2116</v>
      </c>
      <c r="D1033" t="s">
        <v>1979</v>
      </c>
      <c r="E1033" t="s">
        <v>1548</v>
      </c>
      <c r="F1033">
        <v>7.0000000000000007E-2</v>
      </c>
      <c r="G1033">
        <v>6.4999999999999997E-3</v>
      </c>
      <c r="H1033">
        <v>2.58</v>
      </c>
      <c r="I1033" t="s">
        <v>239</v>
      </c>
      <c r="J1033"/>
      <c r="T1033" s="292" t="str">
        <f t="shared" ref="T1033:T1096" si="103">IF(LEFT(C1033,1)="貨","トラック・バス","乗用車")</f>
        <v>乗用車</v>
      </c>
      <c r="U1033" s="283" t="str">
        <f t="shared" ref="U1033:U1096" si="104">VLOOKUP(RIGHT(C1033,1),$AL$4:$AM$8,2,FALSE)</f>
        <v>軽油</v>
      </c>
      <c r="V1033" s="283" t="str">
        <f t="shared" ref="V1033:V1096" si="105">VLOOKUP(VALUE(MID(C1033,2,1)),$AL$10:$AM$15,2,FALSE)</f>
        <v>全て</v>
      </c>
      <c r="W1033" s="283" t="str">
        <f t="shared" ref="W1033:X1096" si="106">D1033</f>
        <v>H17</v>
      </c>
      <c r="X1033" s="284" t="str">
        <f t="shared" si="106"/>
        <v>ACC</v>
      </c>
      <c r="Y1033" s="455"/>
      <c r="Z1033" s="283">
        <f t="shared" ref="Z1033:AB1096" si="107">F1033</f>
        <v>7.0000000000000007E-2</v>
      </c>
      <c r="AA1033" s="283">
        <f t="shared" si="107"/>
        <v>6.4999999999999997E-3</v>
      </c>
      <c r="AB1033" s="340">
        <f t="shared" si="107"/>
        <v>2.58</v>
      </c>
      <c r="AC1033" s="433"/>
      <c r="AD1033" s="98"/>
    </row>
    <row r="1034" spans="1:30">
      <c r="A1034" t="str">
        <f t="shared" si="102"/>
        <v>乗0軽AMB</v>
      </c>
      <c r="B1034" t="s">
        <v>2125</v>
      </c>
      <c r="C1034" t="s">
        <v>2116</v>
      </c>
      <c r="D1034" t="s">
        <v>1979</v>
      </c>
      <c r="E1034" t="s">
        <v>1550</v>
      </c>
      <c r="F1034">
        <v>3.5000000000000003E-2</v>
      </c>
      <c r="G1034">
        <v>3.2499999999999999E-3</v>
      </c>
      <c r="H1034">
        <v>2.58</v>
      </c>
      <c r="I1034" t="s">
        <v>1405</v>
      </c>
      <c r="J1034"/>
      <c r="T1034" s="292" t="str">
        <f t="shared" si="103"/>
        <v>乗用車</v>
      </c>
      <c r="U1034" s="283" t="str">
        <f t="shared" si="104"/>
        <v>軽油</v>
      </c>
      <c r="V1034" s="283" t="str">
        <f t="shared" si="105"/>
        <v>全て</v>
      </c>
      <c r="W1034" s="283" t="str">
        <f t="shared" si="106"/>
        <v>H17</v>
      </c>
      <c r="X1034" s="284" t="str">
        <f t="shared" si="106"/>
        <v>AMB</v>
      </c>
      <c r="Y1034" s="456"/>
      <c r="Z1034" s="283">
        <f t="shared" si="107"/>
        <v>3.5000000000000003E-2</v>
      </c>
      <c r="AA1034" s="283">
        <f t="shared" si="107"/>
        <v>3.2499999999999999E-3</v>
      </c>
      <c r="AB1034" s="340">
        <f t="shared" si="107"/>
        <v>2.58</v>
      </c>
      <c r="AC1034" s="433"/>
      <c r="AD1034" s="98"/>
    </row>
    <row r="1035" spans="1:30">
      <c r="A1035" t="str">
        <f t="shared" si="102"/>
        <v>乗0軽AMC</v>
      </c>
      <c r="B1035" t="s">
        <v>2125</v>
      </c>
      <c r="C1035" t="s">
        <v>2116</v>
      </c>
      <c r="D1035" t="s">
        <v>1979</v>
      </c>
      <c r="E1035" t="s">
        <v>1552</v>
      </c>
      <c r="F1035">
        <v>3.5000000000000003E-2</v>
      </c>
      <c r="G1035">
        <v>3.2499999999999999E-3</v>
      </c>
      <c r="H1035">
        <v>2.58</v>
      </c>
      <c r="I1035" t="s">
        <v>1405</v>
      </c>
      <c r="J1035"/>
      <c r="T1035" s="292" t="str">
        <f t="shared" si="103"/>
        <v>乗用車</v>
      </c>
      <c r="U1035" s="283" t="str">
        <f t="shared" si="104"/>
        <v>軽油</v>
      </c>
      <c r="V1035" s="283" t="str">
        <f t="shared" si="105"/>
        <v>全て</v>
      </c>
      <c r="W1035" s="283" t="str">
        <f t="shared" si="106"/>
        <v>H17</v>
      </c>
      <c r="X1035" s="284" t="str">
        <f t="shared" si="106"/>
        <v>AMC</v>
      </c>
      <c r="Y1035" s="456"/>
      <c r="Z1035" s="283">
        <f t="shared" si="107"/>
        <v>3.5000000000000003E-2</v>
      </c>
      <c r="AA1035" s="283">
        <f t="shared" si="107"/>
        <v>3.2499999999999999E-3</v>
      </c>
      <c r="AB1035" s="340">
        <f t="shared" si="107"/>
        <v>2.58</v>
      </c>
      <c r="AC1035" s="98"/>
      <c r="AD1035" s="98"/>
    </row>
    <row r="1036" spans="1:30">
      <c r="A1036" t="str">
        <f t="shared" si="102"/>
        <v>乗0軽CCB</v>
      </c>
      <c r="B1036" t="s">
        <v>2125</v>
      </c>
      <c r="C1036" t="s">
        <v>2116</v>
      </c>
      <c r="D1036" t="s">
        <v>1979</v>
      </c>
      <c r="E1036" t="s">
        <v>2117</v>
      </c>
      <c r="F1036">
        <v>7.0000000000000007E-2</v>
      </c>
      <c r="G1036">
        <v>6.4999999999999997E-3</v>
      </c>
      <c r="H1036">
        <v>2.58</v>
      </c>
      <c r="I1036" t="s">
        <v>239</v>
      </c>
      <c r="J1036"/>
      <c r="T1036" s="292" t="str">
        <f t="shared" si="103"/>
        <v>乗用車</v>
      </c>
      <c r="U1036" s="283" t="str">
        <f t="shared" si="104"/>
        <v>軽油</v>
      </c>
      <c r="V1036" s="283" t="str">
        <f t="shared" si="105"/>
        <v>全て</v>
      </c>
      <c r="W1036" s="283" t="str">
        <f t="shared" si="106"/>
        <v>H17</v>
      </c>
      <c r="X1036" s="284" t="str">
        <f t="shared" si="106"/>
        <v>CCB</v>
      </c>
      <c r="Y1036" s="454" t="s">
        <v>2727</v>
      </c>
      <c r="Z1036" s="283">
        <f t="shared" si="107"/>
        <v>7.0000000000000007E-2</v>
      </c>
      <c r="AA1036" s="283">
        <f t="shared" si="107"/>
        <v>6.4999999999999997E-3</v>
      </c>
      <c r="AB1036" s="340">
        <f t="shared" si="107"/>
        <v>2.58</v>
      </c>
      <c r="AC1036" s="98"/>
      <c r="AD1036" s="98"/>
    </row>
    <row r="1037" spans="1:30">
      <c r="A1037" t="str">
        <f t="shared" si="102"/>
        <v>乗0軽CCC</v>
      </c>
      <c r="B1037" t="s">
        <v>2125</v>
      </c>
      <c r="C1037" t="s">
        <v>2116</v>
      </c>
      <c r="D1037" t="s">
        <v>1979</v>
      </c>
      <c r="E1037" t="s">
        <v>2118</v>
      </c>
      <c r="F1037">
        <v>7.0000000000000007E-2</v>
      </c>
      <c r="G1037">
        <v>6.4999999999999997E-3</v>
      </c>
      <c r="H1037">
        <v>2.58</v>
      </c>
      <c r="I1037" t="s">
        <v>239</v>
      </c>
      <c r="J1037"/>
      <c r="T1037" s="292" t="str">
        <f t="shared" si="103"/>
        <v>乗用車</v>
      </c>
      <c r="U1037" s="283" t="str">
        <f t="shared" si="104"/>
        <v>軽油</v>
      </c>
      <c r="V1037" s="283" t="str">
        <f t="shared" si="105"/>
        <v>全て</v>
      </c>
      <c r="W1037" s="283" t="str">
        <f t="shared" si="106"/>
        <v>H17</v>
      </c>
      <c r="X1037" s="284" t="str">
        <f t="shared" si="106"/>
        <v>CCC</v>
      </c>
      <c r="Y1037" s="454" t="s">
        <v>2727</v>
      </c>
      <c r="Z1037" s="283">
        <f t="shared" si="107"/>
        <v>7.0000000000000007E-2</v>
      </c>
      <c r="AA1037" s="283">
        <f t="shared" si="107"/>
        <v>6.4999999999999997E-3</v>
      </c>
      <c r="AB1037" s="340">
        <f t="shared" si="107"/>
        <v>2.58</v>
      </c>
      <c r="AC1037" s="98"/>
      <c r="AD1037" s="98"/>
    </row>
    <row r="1038" spans="1:30">
      <c r="A1038" t="str">
        <f t="shared" si="102"/>
        <v>乗0軽CDB</v>
      </c>
      <c r="B1038" t="s">
        <v>2125</v>
      </c>
      <c r="C1038" t="s">
        <v>2116</v>
      </c>
      <c r="D1038" t="s">
        <v>1979</v>
      </c>
      <c r="E1038" t="s">
        <v>2119</v>
      </c>
      <c r="F1038">
        <v>7.0000000000000007E-2</v>
      </c>
      <c r="G1038">
        <v>6.4999999999999997E-3</v>
      </c>
      <c r="H1038">
        <v>2.58</v>
      </c>
      <c r="I1038" t="s">
        <v>2340</v>
      </c>
      <c r="J1038"/>
      <c r="T1038" s="292" t="str">
        <f t="shared" si="103"/>
        <v>乗用車</v>
      </c>
      <c r="U1038" s="283" t="str">
        <f t="shared" si="104"/>
        <v>軽油</v>
      </c>
      <c r="V1038" s="283" t="str">
        <f t="shared" si="105"/>
        <v>全て</v>
      </c>
      <c r="W1038" s="283" t="str">
        <f t="shared" si="106"/>
        <v>H17</v>
      </c>
      <c r="X1038" s="284" t="str">
        <f t="shared" si="106"/>
        <v>CDB</v>
      </c>
      <c r="Y1038" s="454" t="s">
        <v>2727</v>
      </c>
      <c r="Z1038" s="283">
        <f t="shared" si="107"/>
        <v>7.0000000000000007E-2</v>
      </c>
      <c r="AA1038" s="283">
        <f t="shared" si="107"/>
        <v>6.4999999999999997E-3</v>
      </c>
      <c r="AB1038" s="340">
        <f t="shared" si="107"/>
        <v>2.58</v>
      </c>
      <c r="AC1038" s="98"/>
      <c r="AD1038" s="98"/>
    </row>
    <row r="1039" spans="1:30">
      <c r="A1039" t="str">
        <f t="shared" si="102"/>
        <v>乗0軽CDC</v>
      </c>
      <c r="B1039" t="s">
        <v>2125</v>
      </c>
      <c r="C1039" t="s">
        <v>2116</v>
      </c>
      <c r="D1039" t="s">
        <v>1979</v>
      </c>
      <c r="E1039" t="s">
        <v>2120</v>
      </c>
      <c r="F1039">
        <v>7.0000000000000007E-2</v>
      </c>
      <c r="G1039">
        <v>6.4999999999999997E-3</v>
      </c>
      <c r="H1039">
        <v>2.58</v>
      </c>
      <c r="I1039" t="s">
        <v>2340</v>
      </c>
      <c r="J1039"/>
      <c r="T1039" s="292" t="str">
        <f t="shared" si="103"/>
        <v>乗用車</v>
      </c>
      <c r="U1039" s="283" t="str">
        <f t="shared" si="104"/>
        <v>軽油</v>
      </c>
      <c r="V1039" s="283" t="str">
        <f t="shared" si="105"/>
        <v>全て</v>
      </c>
      <c r="W1039" s="283" t="str">
        <f t="shared" si="106"/>
        <v>H17</v>
      </c>
      <c r="X1039" s="284" t="str">
        <f t="shared" si="106"/>
        <v>CDC</v>
      </c>
      <c r="Y1039" s="454" t="s">
        <v>2727</v>
      </c>
      <c r="Z1039" s="283">
        <f t="shared" si="107"/>
        <v>7.0000000000000007E-2</v>
      </c>
      <c r="AA1039" s="283">
        <f t="shared" si="107"/>
        <v>6.4999999999999997E-3</v>
      </c>
      <c r="AB1039" s="340">
        <f t="shared" si="107"/>
        <v>2.58</v>
      </c>
      <c r="AC1039" s="98"/>
      <c r="AD1039" s="98"/>
    </row>
    <row r="1040" spans="1:30">
      <c r="A1040" t="str">
        <f t="shared" si="102"/>
        <v>乗0軽CMB</v>
      </c>
      <c r="B1040" t="s">
        <v>2125</v>
      </c>
      <c r="C1040" t="s">
        <v>2116</v>
      </c>
      <c r="D1040" t="s">
        <v>1979</v>
      </c>
      <c r="E1040" t="s">
        <v>1558</v>
      </c>
      <c r="F1040">
        <v>7.0000000000000007E-2</v>
      </c>
      <c r="G1040">
        <v>6.4999999999999997E-3</v>
      </c>
      <c r="H1040">
        <v>2.58</v>
      </c>
      <c r="I1040" t="s">
        <v>1405</v>
      </c>
      <c r="J1040"/>
      <c r="T1040" s="292" t="str">
        <f t="shared" si="103"/>
        <v>乗用車</v>
      </c>
      <c r="U1040" s="283" t="str">
        <f t="shared" si="104"/>
        <v>軽油</v>
      </c>
      <c r="V1040" s="283" t="str">
        <f t="shared" si="105"/>
        <v>全て</v>
      </c>
      <c r="W1040" s="283" t="str">
        <f t="shared" si="106"/>
        <v>H17</v>
      </c>
      <c r="X1040" s="284" t="str">
        <f t="shared" si="106"/>
        <v>CMB</v>
      </c>
      <c r="Y1040" s="454" t="s">
        <v>2727</v>
      </c>
      <c r="Z1040" s="283">
        <f t="shared" si="107"/>
        <v>7.0000000000000007E-2</v>
      </c>
      <c r="AA1040" s="283">
        <f t="shared" si="107"/>
        <v>6.4999999999999997E-3</v>
      </c>
      <c r="AB1040" s="340">
        <f t="shared" si="107"/>
        <v>2.58</v>
      </c>
      <c r="AC1040" s="98"/>
      <c r="AD1040" s="98"/>
    </row>
    <row r="1041" spans="1:30">
      <c r="A1041" t="str">
        <f t="shared" si="102"/>
        <v>乗0軽CMC</v>
      </c>
      <c r="B1041" t="s">
        <v>2125</v>
      </c>
      <c r="C1041" t="s">
        <v>2116</v>
      </c>
      <c r="D1041" t="s">
        <v>1979</v>
      </c>
      <c r="E1041" t="s">
        <v>1560</v>
      </c>
      <c r="F1041">
        <v>7.0000000000000007E-2</v>
      </c>
      <c r="G1041">
        <v>6.4999999999999997E-3</v>
      </c>
      <c r="H1041">
        <v>2.58</v>
      </c>
      <c r="I1041" t="s">
        <v>1405</v>
      </c>
      <c r="J1041"/>
      <c r="T1041" s="292" t="str">
        <f t="shared" si="103"/>
        <v>乗用車</v>
      </c>
      <c r="U1041" s="283" t="str">
        <f t="shared" si="104"/>
        <v>軽油</v>
      </c>
      <c r="V1041" s="283" t="str">
        <f t="shared" si="105"/>
        <v>全て</v>
      </c>
      <c r="W1041" s="283" t="str">
        <f t="shared" si="106"/>
        <v>H17</v>
      </c>
      <c r="X1041" s="284" t="str">
        <f t="shared" si="106"/>
        <v>CMC</v>
      </c>
      <c r="Y1041" s="454" t="s">
        <v>2727</v>
      </c>
      <c r="Z1041" s="283">
        <f t="shared" si="107"/>
        <v>7.0000000000000007E-2</v>
      </c>
      <c r="AA1041" s="283">
        <f t="shared" si="107"/>
        <v>6.4999999999999997E-3</v>
      </c>
      <c r="AB1041" s="340">
        <f t="shared" si="107"/>
        <v>2.58</v>
      </c>
      <c r="AC1041" s="98"/>
      <c r="AD1041" s="98"/>
    </row>
    <row r="1042" spans="1:30">
      <c r="A1042" t="str">
        <f t="shared" si="102"/>
        <v>乗0軽DCB</v>
      </c>
      <c r="B1042" t="s">
        <v>2125</v>
      </c>
      <c r="C1042" t="s">
        <v>2116</v>
      </c>
      <c r="D1042" t="s">
        <v>1979</v>
      </c>
      <c r="E1042" t="s">
        <v>2121</v>
      </c>
      <c r="F1042">
        <v>3.5000000000000003E-2</v>
      </c>
      <c r="G1042">
        <v>3.2499999999999999E-3</v>
      </c>
      <c r="H1042">
        <v>2.58</v>
      </c>
      <c r="I1042" t="s">
        <v>239</v>
      </c>
      <c r="J1042"/>
      <c r="T1042" s="292" t="str">
        <f t="shared" si="103"/>
        <v>乗用車</v>
      </c>
      <c r="U1042" s="283" t="str">
        <f t="shared" si="104"/>
        <v>軽油</v>
      </c>
      <c r="V1042" s="283" t="str">
        <f t="shared" si="105"/>
        <v>全て</v>
      </c>
      <c r="W1042" s="283" t="str">
        <f t="shared" si="106"/>
        <v>H17</v>
      </c>
      <c r="X1042" s="284" t="str">
        <f t="shared" si="106"/>
        <v>DCB</v>
      </c>
      <c r="Y1042" s="454" t="s">
        <v>2829</v>
      </c>
      <c r="Z1042" s="283">
        <f t="shared" si="107"/>
        <v>3.5000000000000003E-2</v>
      </c>
      <c r="AA1042" s="283">
        <f t="shared" si="107"/>
        <v>3.2499999999999999E-3</v>
      </c>
      <c r="AB1042" s="340">
        <f t="shared" si="107"/>
        <v>2.58</v>
      </c>
      <c r="AC1042" s="98"/>
      <c r="AD1042" s="98"/>
    </row>
    <row r="1043" spans="1:30">
      <c r="A1043" t="str">
        <f t="shared" si="102"/>
        <v>乗0軽DCC</v>
      </c>
      <c r="B1043" t="s">
        <v>2125</v>
      </c>
      <c r="C1043" t="s">
        <v>2116</v>
      </c>
      <c r="D1043" t="s">
        <v>1979</v>
      </c>
      <c r="E1043" t="s">
        <v>2122</v>
      </c>
      <c r="F1043">
        <v>3.5000000000000003E-2</v>
      </c>
      <c r="G1043">
        <v>3.2499999999999999E-3</v>
      </c>
      <c r="H1043">
        <v>2.58</v>
      </c>
      <c r="I1043" t="s">
        <v>239</v>
      </c>
      <c r="J1043"/>
      <c r="T1043" s="292" t="str">
        <f t="shared" si="103"/>
        <v>乗用車</v>
      </c>
      <c r="U1043" s="283" t="str">
        <f t="shared" si="104"/>
        <v>軽油</v>
      </c>
      <c r="V1043" s="283" t="str">
        <f t="shared" si="105"/>
        <v>全て</v>
      </c>
      <c r="W1043" s="283" t="str">
        <f t="shared" si="106"/>
        <v>H17</v>
      </c>
      <c r="X1043" s="284" t="str">
        <f t="shared" si="106"/>
        <v>DCC</v>
      </c>
      <c r="Y1043" s="454" t="s">
        <v>2829</v>
      </c>
      <c r="Z1043" s="283">
        <f t="shared" si="107"/>
        <v>3.5000000000000003E-2</v>
      </c>
      <c r="AA1043" s="283">
        <f t="shared" si="107"/>
        <v>3.2499999999999999E-3</v>
      </c>
      <c r="AB1043" s="340">
        <f t="shared" si="107"/>
        <v>2.58</v>
      </c>
      <c r="AC1043" s="98"/>
      <c r="AD1043" s="98"/>
    </row>
    <row r="1044" spans="1:30">
      <c r="A1044" t="str">
        <f t="shared" si="102"/>
        <v>乗0軽DDB</v>
      </c>
      <c r="B1044" t="s">
        <v>2125</v>
      </c>
      <c r="C1044" t="s">
        <v>2116</v>
      </c>
      <c r="D1044" t="s">
        <v>1979</v>
      </c>
      <c r="E1044" t="s">
        <v>2123</v>
      </c>
      <c r="F1044">
        <v>3.5000000000000003E-2</v>
      </c>
      <c r="G1044">
        <v>3.2499999999999999E-3</v>
      </c>
      <c r="H1044">
        <v>2.58</v>
      </c>
      <c r="I1044" t="s">
        <v>2340</v>
      </c>
      <c r="J1044"/>
      <c r="T1044" s="292" t="str">
        <f t="shared" si="103"/>
        <v>乗用車</v>
      </c>
      <c r="U1044" s="283" t="str">
        <f t="shared" si="104"/>
        <v>軽油</v>
      </c>
      <c r="V1044" s="283" t="str">
        <f t="shared" si="105"/>
        <v>全て</v>
      </c>
      <c r="W1044" s="283" t="str">
        <f t="shared" si="106"/>
        <v>H17</v>
      </c>
      <c r="X1044" s="284" t="str">
        <f t="shared" si="106"/>
        <v>DDB</v>
      </c>
      <c r="Y1044" s="454" t="s">
        <v>2829</v>
      </c>
      <c r="Z1044" s="283">
        <f t="shared" si="107"/>
        <v>3.5000000000000003E-2</v>
      </c>
      <c r="AA1044" s="283">
        <f t="shared" si="107"/>
        <v>3.2499999999999999E-3</v>
      </c>
      <c r="AB1044" s="340">
        <f t="shared" si="107"/>
        <v>2.58</v>
      </c>
      <c r="AC1044" s="98"/>
      <c r="AD1044" s="98"/>
    </row>
    <row r="1045" spans="1:30">
      <c r="A1045" t="str">
        <f t="shared" si="102"/>
        <v>乗0軽DDC</v>
      </c>
      <c r="B1045" t="s">
        <v>2125</v>
      </c>
      <c r="C1045" t="s">
        <v>2116</v>
      </c>
      <c r="D1045" t="s">
        <v>1979</v>
      </c>
      <c r="E1045" t="s">
        <v>2124</v>
      </c>
      <c r="F1045">
        <v>3.5000000000000003E-2</v>
      </c>
      <c r="G1045">
        <v>3.2499999999999999E-3</v>
      </c>
      <c r="H1045">
        <v>2.58</v>
      </c>
      <c r="I1045" t="s">
        <v>2340</v>
      </c>
      <c r="J1045"/>
      <c r="T1045" s="292" t="str">
        <f t="shared" si="103"/>
        <v>乗用車</v>
      </c>
      <c r="U1045" s="283" t="str">
        <f t="shared" si="104"/>
        <v>軽油</v>
      </c>
      <c r="V1045" s="283" t="str">
        <f t="shared" si="105"/>
        <v>全て</v>
      </c>
      <c r="W1045" s="283" t="str">
        <f t="shared" si="106"/>
        <v>H17</v>
      </c>
      <c r="X1045" s="284" t="str">
        <f t="shared" si="106"/>
        <v>DDC</v>
      </c>
      <c r="Y1045" s="454" t="s">
        <v>2829</v>
      </c>
      <c r="Z1045" s="283">
        <f t="shared" si="107"/>
        <v>3.5000000000000003E-2</v>
      </c>
      <c r="AA1045" s="283">
        <f t="shared" si="107"/>
        <v>3.2499999999999999E-3</v>
      </c>
      <c r="AB1045" s="340">
        <f t="shared" si="107"/>
        <v>2.58</v>
      </c>
      <c r="AC1045" s="98"/>
      <c r="AD1045" s="98"/>
    </row>
    <row r="1046" spans="1:30">
      <c r="A1046" t="str">
        <f t="shared" si="102"/>
        <v>乗0軽DMB</v>
      </c>
      <c r="B1046" t="s">
        <v>2125</v>
      </c>
      <c r="C1046" t="s">
        <v>2116</v>
      </c>
      <c r="D1046" t="s">
        <v>1979</v>
      </c>
      <c r="E1046" t="s">
        <v>1566</v>
      </c>
      <c r="F1046">
        <v>3.5000000000000003E-2</v>
      </c>
      <c r="G1046">
        <v>3.2499999999999999E-3</v>
      </c>
      <c r="H1046">
        <v>2.58</v>
      </c>
      <c r="I1046" t="s">
        <v>1405</v>
      </c>
      <c r="J1046"/>
      <c r="T1046" s="292" t="str">
        <f t="shared" si="103"/>
        <v>乗用車</v>
      </c>
      <c r="U1046" s="283" t="str">
        <f t="shared" si="104"/>
        <v>軽油</v>
      </c>
      <c r="V1046" s="283" t="str">
        <f t="shared" si="105"/>
        <v>全て</v>
      </c>
      <c r="W1046" s="283" t="str">
        <f t="shared" si="106"/>
        <v>H17</v>
      </c>
      <c r="X1046" s="284" t="str">
        <f t="shared" si="106"/>
        <v>DMB</v>
      </c>
      <c r="Y1046" s="454" t="s">
        <v>2829</v>
      </c>
      <c r="Z1046" s="283">
        <f t="shared" si="107"/>
        <v>3.5000000000000003E-2</v>
      </c>
      <c r="AA1046" s="283">
        <f t="shared" si="107"/>
        <v>3.2499999999999999E-3</v>
      </c>
      <c r="AB1046" s="340">
        <f t="shared" si="107"/>
        <v>2.58</v>
      </c>
      <c r="AC1046" s="98"/>
      <c r="AD1046" s="98"/>
    </row>
    <row r="1047" spans="1:30">
      <c r="A1047" t="str">
        <f t="shared" si="102"/>
        <v>乗0軽DMC</v>
      </c>
      <c r="B1047" t="s">
        <v>2125</v>
      </c>
      <c r="C1047" t="s">
        <v>2116</v>
      </c>
      <c r="D1047" t="s">
        <v>1979</v>
      </c>
      <c r="E1047" t="s">
        <v>1568</v>
      </c>
      <c r="F1047">
        <v>3.5000000000000003E-2</v>
      </c>
      <c r="G1047">
        <v>3.2499999999999999E-3</v>
      </c>
      <c r="H1047">
        <v>2.58</v>
      </c>
      <c r="I1047" t="s">
        <v>1405</v>
      </c>
      <c r="J1047"/>
      <c r="T1047" s="292" t="str">
        <f t="shared" si="103"/>
        <v>乗用車</v>
      </c>
      <c r="U1047" s="283" t="str">
        <f t="shared" si="104"/>
        <v>軽油</v>
      </c>
      <c r="V1047" s="283" t="str">
        <f t="shared" si="105"/>
        <v>全て</v>
      </c>
      <c r="W1047" s="283" t="str">
        <f t="shared" si="106"/>
        <v>H17</v>
      </c>
      <c r="X1047" s="284" t="str">
        <f t="shared" si="106"/>
        <v>DMC</v>
      </c>
      <c r="Y1047" s="454" t="s">
        <v>2829</v>
      </c>
      <c r="Z1047" s="283">
        <f t="shared" si="107"/>
        <v>3.5000000000000003E-2</v>
      </c>
      <c r="AA1047" s="283">
        <f t="shared" si="107"/>
        <v>3.2499999999999999E-3</v>
      </c>
      <c r="AB1047" s="340">
        <f t="shared" si="107"/>
        <v>2.58</v>
      </c>
      <c r="AC1047" s="98"/>
      <c r="AD1047" s="98"/>
    </row>
    <row r="1048" spans="1:30">
      <c r="A1048" t="str">
        <f t="shared" si="102"/>
        <v>乗0軽LDA</v>
      </c>
      <c r="B1048" t="s">
        <v>2125</v>
      </c>
      <c r="C1048" t="s">
        <v>2116</v>
      </c>
      <c r="D1048" t="s">
        <v>2382</v>
      </c>
      <c r="E1048" t="s">
        <v>1570</v>
      </c>
      <c r="F1048">
        <v>0.08</v>
      </c>
      <c r="G1048">
        <v>5.0000000000000001E-3</v>
      </c>
      <c r="H1048">
        <v>2.58</v>
      </c>
      <c r="I1048" t="s">
        <v>607</v>
      </c>
      <c r="J1048"/>
      <c r="T1048" s="292" t="str">
        <f t="shared" si="103"/>
        <v>乗用車</v>
      </c>
      <c r="U1048" s="283" t="str">
        <f t="shared" si="104"/>
        <v>軽油</v>
      </c>
      <c r="V1048" s="283" t="str">
        <f t="shared" si="105"/>
        <v>全て</v>
      </c>
      <c r="W1048" s="283" t="str">
        <f t="shared" si="106"/>
        <v>H21</v>
      </c>
      <c r="X1048" s="284" t="str">
        <f t="shared" si="106"/>
        <v>LDA</v>
      </c>
      <c r="Y1048" s="457"/>
      <c r="Z1048" s="283">
        <f t="shared" si="107"/>
        <v>0.08</v>
      </c>
      <c r="AA1048" s="283">
        <f t="shared" si="107"/>
        <v>5.0000000000000001E-3</v>
      </c>
      <c r="AB1048" s="340">
        <f t="shared" si="107"/>
        <v>2.58</v>
      </c>
      <c r="AC1048" s="98"/>
      <c r="AD1048" s="98"/>
    </row>
    <row r="1049" spans="1:30">
      <c r="A1049" t="str">
        <f t="shared" si="102"/>
        <v>乗0軽LCA</v>
      </c>
      <c r="B1049" t="s">
        <v>2125</v>
      </c>
      <c r="C1049" t="s">
        <v>2116</v>
      </c>
      <c r="D1049" t="s">
        <v>2382</v>
      </c>
      <c r="E1049" t="s">
        <v>1576</v>
      </c>
      <c r="F1049">
        <v>0.04</v>
      </c>
      <c r="G1049">
        <v>2.5000000000000001E-3</v>
      </c>
      <c r="H1049">
        <v>2.58</v>
      </c>
      <c r="I1049" t="s">
        <v>239</v>
      </c>
      <c r="J1049"/>
      <c r="T1049" s="292" t="str">
        <f t="shared" si="103"/>
        <v>乗用車</v>
      </c>
      <c r="U1049" s="283" t="str">
        <f t="shared" si="104"/>
        <v>軽油</v>
      </c>
      <c r="V1049" s="283" t="str">
        <f t="shared" si="105"/>
        <v>全て</v>
      </c>
      <c r="W1049" s="283" t="str">
        <f t="shared" si="106"/>
        <v>H21</v>
      </c>
      <c r="X1049" s="284" t="str">
        <f t="shared" si="106"/>
        <v>LCA</v>
      </c>
      <c r="Y1049" s="456"/>
      <c r="Z1049" s="283">
        <f t="shared" si="107"/>
        <v>0.04</v>
      </c>
      <c r="AA1049" s="283">
        <f t="shared" si="107"/>
        <v>2.5000000000000001E-3</v>
      </c>
      <c r="AB1049" s="340">
        <f t="shared" si="107"/>
        <v>2.58</v>
      </c>
      <c r="AC1049" s="98"/>
      <c r="AD1049" s="98"/>
    </row>
    <row r="1050" spans="1:30">
      <c r="A1050" t="str">
        <f t="shared" si="102"/>
        <v>乗0軽LMA</v>
      </c>
      <c r="B1050" t="s">
        <v>2125</v>
      </c>
      <c r="C1050" t="s">
        <v>2116</v>
      </c>
      <c r="D1050" t="s">
        <v>2382</v>
      </c>
      <c r="E1050" t="s">
        <v>1582</v>
      </c>
      <c r="F1050">
        <v>0.02</v>
      </c>
      <c r="G1050">
        <v>1.25E-3</v>
      </c>
      <c r="H1050">
        <v>2.58</v>
      </c>
      <c r="I1050" t="s">
        <v>1405</v>
      </c>
      <c r="J1050"/>
      <c r="T1050" s="292" t="str">
        <f t="shared" si="103"/>
        <v>乗用車</v>
      </c>
      <c r="U1050" s="283" t="str">
        <f t="shared" si="104"/>
        <v>軽油</v>
      </c>
      <c r="V1050" s="283" t="str">
        <f t="shared" si="105"/>
        <v>全て</v>
      </c>
      <c r="W1050" s="283" t="str">
        <f t="shared" si="106"/>
        <v>H21</v>
      </c>
      <c r="X1050" s="284" t="str">
        <f t="shared" si="106"/>
        <v>LMA</v>
      </c>
      <c r="Y1050" s="456"/>
      <c r="Z1050" s="283">
        <f t="shared" si="107"/>
        <v>0.02</v>
      </c>
      <c r="AA1050" s="283">
        <f t="shared" si="107"/>
        <v>1.25E-3</v>
      </c>
      <c r="AB1050" s="340">
        <f t="shared" si="107"/>
        <v>2.58</v>
      </c>
      <c r="AC1050" s="98"/>
      <c r="AD1050" s="431"/>
    </row>
    <row r="1051" spans="1:30">
      <c r="A1051" t="str">
        <f t="shared" si="102"/>
        <v>乗0軽FDA</v>
      </c>
      <c r="B1051" t="s">
        <v>2125</v>
      </c>
      <c r="C1051" t="s">
        <v>2116</v>
      </c>
      <c r="D1051" t="s">
        <v>2382</v>
      </c>
      <c r="E1051" t="s">
        <v>1588</v>
      </c>
      <c r="F1051">
        <v>0.08</v>
      </c>
      <c r="G1051">
        <v>5.0000000000000001E-3</v>
      </c>
      <c r="H1051">
        <v>2.58</v>
      </c>
      <c r="I1051" t="s">
        <v>607</v>
      </c>
      <c r="J1051"/>
      <c r="T1051" s="292" t="str">
        <f t="shared" si="103"/>
        <v>乗用車</v>
      </c>
      <c r="U1051" s="283" t="str">
        <f t="shared" si="104"/>
        <v>軽油</v>
      </c>
      <c r="V1051" s="283" t="str">
        <f t="shared" si="105"/>
        <v>全て</v>
      </c>
      <c r="W1051" s="283" t="str">
        <f t="shared" si="106"/>
        <v>H21</v>
      </c>
      <c r="X1051" s="284" t="str">
        <f t="shared" si="106"/>
        <v>FDA</v>
      </c>
      <c r="Y1051" s="458"/>
      <c r="Z1051" s="283">
        <f t="shared" si="107"/>
        <v>0.08</v>
      </c>
      <c r="AA1051" s="283">
        <f t="shared" si="107"/>
        <v>5.0000000000000001E-3</v>
      </c>
      <c r="AB1051" s="340">
        <f t="shared" si="107"/>
        <v>2.58</v>
      </c>
      <c r="AC1051" s="98"/>
      <c r="AD1051" s="459"/>
    </row>
    <row r="1052" spans="1:30">
      <c r="A1052" t="str">
        <f t="shared" si="102"/>
        <v>乗0軽FCA</v>
      </c>
      <c r="B1052" t="s">
        <v>2125</v>
      </c>
      <c r="C1052" t="s">
        <v>2116</v>
      </c>
      <c r="D1052" t="s">
        <v>2382</v>
      </c>
      <c r="E1052" t="s">
        <v>1594</v>
      </c>
      <c r="F1052">
        <v>0.04</v>
      </c>
      <c r="G1052">
        <v>2.5000000000000001E-3</v>
      </c>
      <c r="H1052">
        <v>2.58</v>
      </c>
      <c r="I1052" t="s">
        <v>239</v>
      </c>
      <c r="J1052"/>
      <c r="T1052" s="292" t="str">
        <f t="shared" si="103"/>
        <v>乗用車</v>
      </c>
      <c r="U1052" s="283" t="str">
        <f t="shared" si="104"/>
        <v>軽油</v>
      </c>
      <c r="V1052" s="283" t="str">
        <f t="shared" si="105"/>
        <v>全て</v>
      </c>
      <c r="W1052" s="283" t="str">
        <f t="shared" si="106"/>
        <v>H21</v>
      </c>
      <c r="X1052" s="284" t="str">
        <f t="shared" si="106"/>
        <v>FCA</v>
      </c>
      <c r="Y1052" s="457"/>
      <c r="Z1052" s="283">
        <f t="shared" si="107"/>
        <v>0.04</v>
      </c>
      <c r="AA1052" s="283">
        <f t="shared" si="107"/>
        <v>2.5000000000000001E-3</v>
      </c>
      <c r="AB1052" s="340">
        <f t="shared" si="107"/>
        <v>2.58</v>
      </c>
      <c r="AC1052" s="431"/>
      <c r="AD1052" s="459"/>
    </row>
    <row r="1053" spans="1:30">
      <c r="A1053" t="str">
        <f t="shared" si="102"/>
        <v>乗0軽FMA</v>
      </c>
      <c r="B1053" t="s">
        <v>2125</v>
      </c>
      <c r="C1053" t="s">
        <v>2116</v>
      </c>
      <c r="D1053" t="s">
        <v>2382</v>
      </c>
      <c r="E1053" t="s">
        <v>1600</v>
      </c>
      <c r="F1053">
        <v>0.02</v>
      </c>
      <c r="G1053">
        <v>1.25E-3</v>
      </c>
      <c r="H1053">
        <v>2.58</v>
      </c>
      <c r="I1053" t="s">
        <v>1405</v>
      </c>
      <c r="J1053"/>
      <c r="T1053" s="292" t="str">
        <f t="shared" si="103"/>
        <v>乗用車</v>
      </c>
      <c r="U1053" s="283" t="str">
        <f t="shared" si="104"/>
        <v>軽油</v>
      </c>
      <c r="V1053" s="283" t="str">
        <f t="shared" si="105"/>
        <v>全て</v>
      </c>
      <c r="W1053" s="283" t="str">
        <f t="shared" si="106"/>
        <v>H21</v>
      </c>
      <c r="X1053" s="284" t="str">
        <f t="shared" si="106"/>
        <v>FMA</v>
      </c>
      <c r="Y1053" s="457"/>
      <c r="Z1053" s="283">
        <f t="shared" si="107"/>
        <v>0.02</v>
      </c>
      <c r="AA1053" s="283">
        <f t="shared" si="107"/>
        <v>1.25E-3</v>
      </c>
      <c r="AB1053" s="340">
        <f t="shared" si="107"/>
        <v>2.58</v>
      </c>
      <c r="AC1053" s="459"/>
      <c r="AD1053" s="459"/>
    </row>
    <row r="1054" spans="1:30">
      <c r="A1054" t="str">
        <f t="shared" si="102"/>
        <v>乗0軽MDA</v>
      </c>
      <c r="B1054" t="s">
        <v>2125</v>
      </c>
      <c r="C1054" t="s">
        <v>2116</v>
      </c>
      <c r="D1054" t="s">
        <v>2382</v>
      </c>
      <c r="E1054" t="s">
        <v>1606</v>
      </c>
      <c r="F1054">
        <v>0.04</v>
      </c>
      <c r="G1054">
        <v>2.5000000000000001E-3</v>
      </c>
      <c r="H1054">
        <v>2.58</v>
      </c>
      <c r="I1054" t="s">
        <v>607</v>
      </c>
      <c r="J1054"/>
      <c r="T1054" s="292" t="str">
        <f t="shared" si="103"/>
        <v>乗用車</v>
      </c>
      <c r="U1054" s="283" t="str">
        <f t="shared" si="104"/>
        <v>軽油</v>
      </c>
      <c r="V1054" s="283" t="str">
        <f t="shared" si="105"/>
        <v>全て</v>
      </c>
      <c r="W1054" s="283" t="str">
        <f t="shared" si="106"/>
        <v>H21</v>
      </c>
      <c r="X1054" s="284" t="str">
        <f t="shared" si="106"/>
        <v>MDA</v>
      </c>
      <c r="Y1054" s="271" t="s">
        <v>1769</v>
      </c>
      <c r="Z1054" s="283">
        <f t="shared" si="107"/>
        <v>0.04</v>
      </c>
      <c r="AA1054" s="283">
        <f t="shared" si="107"/>
        <v>2.5000000000000001E-3</v>
      </c>
      <c r="AB1054" s="340">
        <f t="shared" si="107"/>
        <v>2.58</v>
      </c>
      <c r="AC1054" s="459"/>
      <c r="AD1054" s="459"/>
    </row>
    <row r="1055" spans="1:30">
      <c r="A1055" t="str">
        <f t="shared" si="102"/>
        <v>乗0軽MCA</v>
      </c>
      <c r="B1055" t="s">
        <v>2125</v>
      </c>
      <c r="C1055" t="s">
        <v>2116</v>
      </c>
      <c r="D1055" t="s">
        <v>2382</v>
      </c>
      <c r="E1055" t="s">
        <v>1612</v>
      </c>
      <c r="F1055">
        <v>0.04</v>
      </c>
      <c r="G1055">
        <v>2.5000000000000001E-3</v>
      </c>
      <c r="H1055">
        <v>2.58</v>
      </c>
      <c r="I1055" t="s">
        <v>239</v>
      </c>
      <c r="J1055"/>
      <c r="T1055" s="292" t="str">
        <f t="shared" si="103"/>
        <v>乗用車</v>
      </c>
      <c r="U1055" s="283" t="str">
        <f t="shared" si="104"/>
        <v>軽油</v>
      </c>
      <c r="V1055" s="283" t="str">
        <f t="shared" si="105"/>
        <v>全て</v>
      </c>
      <c r="W1055" s="283" t="str">
        <f t="shared" si="106"/>
        <v>H21</v>
      </c>
      <c r="X1055" s="284" t="str">
        <f t="shared" si="106"/>
        <v>MCA</v>
      </c>
      <c r="Y1055" s="271" t="s">
        <v>2261</v>
      </c>
      <c r="Z1055" s="283">
        <f t="shared" si="107"/>
        <v>0.04</v>
      </c>
      <c r="AA1055" s="283">
        <f t="shared" si="107"/>
        <v>2.5000000000000001E-3</v>
      </c>
      <c r="AB1055" s="340">
        <f t="shared" si="107"/>
        <v>2.58</v>
      </c>
      <c r="AC1055" s="459"/>
      <c r="AD1055" s="459"/>
    </row>
    <row r="1056" spans="1:30">
      <c r="A1056" t="str">
        <f t="shared" si="102"/>
        <v>乗0軽MMA</v>
      </c>
      <c r="B1056" t="s">
        <v>2125</v>
      </c>
      <c r="C1056" t="s">
        <v>2116</v>
      </c>
      <c r="D1056" t="s">
        <v>2382</v>
      </c>
      <c r="E1056" t="s">
        <v>1618</v>
      </c>
      <c r="F1056">
        <v>0.04</v>
      </c>
      <c r="G1056">
        <v>2.5000000000000001E-3</v>
      </c>
      <c r="H1056">
        <v>2.58</v>
      </c>
      <c r="I1056" t="s">
        <v>1405</v>
      </c>
      <c r="J1056"/>
      <c r="T1056" s="292" t="str">
        <f t="shared" si="103"/>
        <v>乗用車</v>
      </c>
      <c r="U1056" s="283" t="str">
        <f t="shared" si="104"/>
        <v>軽油</v>
      </c>
      <c r="V1056" s="283" t="str">
        <f t="shared" si="105"/>
        <v>全て</v>
      </c>
      <c r="W1056" s="283" t="str">
        <f t="shared" si="106"/>
        <v>H21</v>
      </c>
      <c r="X1056" s="284" t="str">
        <f t="shared" si="106"/>
        <v>MMA</v>
      </c>
      <c r="Y1056" s="271" t="s">
        <v>2261</v>
      </c>
      <c r="Z1056" s="283">
        <f t="shared" si="107"/>
        <v>0.04</v>
      </c>
      <c r="AA1056" s="283">
        <f t="shared" si="107"/>
        <v>2.5000000000000001E-3</v>
      </c>
      <c r="AB1056" s="340">
        <f t="shared" si="107"/>
        <v>2.58</v>
      </c>
      <c r="AC1056" s="459"/>
      <c r="AD1056" s="459"/>
    </row>
    <row r="1057" spans="1:30">
      <c r="A1057" t="str">
        <f t="shared" si="102"/>
        <v>乗0軽RDA</v>
      </c>
      <c r="B1057" t="s">
        <v>2125</v>
      </c>
      <c r="C1057" t="s">
        <v>2116</v>
      </c>
      <c r="D1057" t="s">
        <v>2382</v>
      </c>
      <c r="E1057" t="s">
        <v>1624</v>
      </c>
      <c r="F1057">
        <v>0.02</v>
      </c>
      <c r="G1057">
        <v>1.25E-3</v>
      </c>
      <c r="H1057">
        <v>2.58</v>
      </c>
      <c r="I1057" t="s">
        <v>607</v>
      </c>
      <c r="J1057"/>
      <c r="T1057" s="292" t="str">
        <f t="shared" si="103"/>
        <v>乗用車</v>
      </c>
      <c r="U1057" s="283" t="str">
        <f t="shared" si="104"/>
        <v>軽油</v>
      </c>
      <c r="V1057" s="283" t="str">
        <f t="shared" si="105"/>
        <v>全て</v>
      </c>
      <c r="W1057" s="283" t="str">
        <f t="shared" si="106"/>
        <v>H21</v>
      </c>
      <c r="X1057" s="284" t="str">
        <f t="shared" si="106"/>
        <v>RDA</v>
      </c>
      <c r="Y1057" s="271" t="s">
        <v>1770</v>
      </c>
      <c r="Z1057" s="283">
        <f t="shared" si="107"/>
        <v>0.02</v>
      </c>
      <c r="AA1057" s="283">
        <f t="shared" si="107"/>
        <v>1.25E-3</v>
      </c>
      <c r="AB1057" s="340">
        <f t="shared" si="107"/>
        <v>2.58</v>
      </c>
      <c r="AC1057" s="459"/>
      <c r="AD1057" s="98"/>
    </row>
    <row r="1058" spans="1:30">
      <c r="A1058" t="str">
        <f t="shared" si="102"/>
        <v>乗0軽RCA</v>
      </c>
      <c r="B1058" t="s">
        <v>2125</v>
      </c>
      <c r="C1058" t="s">
        <v>2116</v>
      </c>
      <c r="D1058" t="s">
        <v>2382</v>
      </c>
      <c r="E1058" t="s">
        <v>1630</v>
      </c>
      <c r="F1058">
        <v>0.02</v>
      </c>
      <c r="G1058">
        <v>1.25E-3</v>
      </c>
      <c r="H1058">
        <v>2.58</v>
      </c>
      <c r="I1058" t="s">
        <v>239</v>
      </c>
      <c r="J1058"/>
      <c r="T1058" s="292" t="str">
        <f t="shared" si="103"/>
        <v>乗用車</v>
      </c>
      <c r="U1058" s="283" t="str">
        <f t="shared" si="104"/>
        <v>軽油</v>
      </c>
      <c r="V1058" s="283" t="str">
        <f t="shared" si="105"/>
        <v>全て</v>
      </c>
      <c r="W1058" s="283" t="str">
        <f t="shared" si="106"/>
        <v>H21</v>
      </c>
      <c r="X1058" s="284" t="str">
        <f t="shared" si="106"/>
        <v>RCA</v>
      </c>
      <c r="Y1058" s="271" t="s">
        <v>2262</v>
      </c>
      <c r="Z1058" s="283">
        <f t="shared" si="107"/>
        <v>0.02</v>
      </c>
      <c r="AA1058" s="283">
        <f t="shared" si="107"/>
        <v>1.25E-3</v>
      </c>
      <c r="AB1058" s="340">
        <f t="shared" si="107"/>
        <v>2.58</v>
      </c>
      <c r="AC1058" s="459"/>
      <c r="AD1058" s="98"/>
    </row>
    <row r="1059" spans="1:30">
      <c r="A1059" t="str">
        <f t="shared" si="102"/>
        <v>乗0軽RMA</v>
      </c>
      <c r="B1059" t="s">
        <v>2125</v>
      </c>
      <c r="C1059" t="s">
        <v>2116</v>
      </c>
      <c r="D1059" t="s">
        <v>2382</v>
      </c>
      <c r="E1059" t="s">
        <v>1636</v>
      </c>
      <c r="F1059">
        <v>0.02</v>
      </c>
      <c r="G1059">
        <v>1.25E-3</v>
      </c>
      <c r="H1059">
        <v>2.58</v>
      </c>
      <c r="I1059" t="s">
        <v>1405</v>
      </c>
      <c r="J1059"/>
      <c r="T1059" s="292" t="str">
        <f t="shared" si="103"/>
        <v>乗用車</v>
      </c>
      <c r="U1059" s="283" t="str">
        <f t="shared" si="104"/>
        <v>軽油</v>
      </c>
      <c r="V1059" s="283" t="str">
        <f t="shared" si="105"/>
        <v>全て</v>
      </c>
      <c r="W1059" s="283" t="str">
        <f t="shared" si="106"/>
        <v>H21</v>
      </c>
      <c r="X1059" s="284" t="str">
        <f t="shared" si="106"/>
        <v>RMA</v>
      </c>
      <c r="Y1059" s="271" t="s">
        <v>2262</v>
      </c>
      <c r="Z1059" s="283">
        <f t="shared" si="107"/>
        <v>0.02</v>
      </c>
      <c r="AA1059" s="283">
        <f t="shared" si="107"/>
        <v>1.25E-3</v>
      </c>
      <c r="AB1059" s="340">
        <f t="shared" si="107"/>
        <v>2.58</v>
      </c>
      <c r="AC1059" s="98"/>
      <c r="AD1059" s="98"/>
    </row>
    <row r="1060" spans="1:30">
      <c r="A1060" t="str">
        <f t="shared" ref="A1060:A1123" si="108">CONCATENATE(C1060,E1060)</f>
        <v>乗0軽QDA</v>
      </c>
      <c r="B1060" t="s">
        <v>2125</v>
      </c>
      <c r="C1060" t="s">
        <v>2116</v>
      </c>
      <c r="D1060" t="s">
        <v>2382</v>
      </c>
      <c r="E1060" t="s">
        <v>1642</v>
      </c>
      <c r="F1060">
        <v>7.2000000000000008E-2</v>
      </c>
      <c r="G1060">
        <v>4.5000000000000005E-3</v>
      </c>
      <c r="H1060">
        <v>2.58</v>
      </c>
      <c r="I1060" t="s">
        <v>607</v>
      </c>
      <c r="J1060"/>
      <c r="T1060" s="292" t="str">
        <f t="shared" si="103"/>
        <v>乗用車</v>
      </c>
      <c r="U1060" s="283" t="str">
        <f t="shared" si="104"/>
        <v>軽油</v>
      </c>
      <c r="V1060" s="283" t="str">
        <f t="shared" si="105"/>
        <v>全て</v>
      </c>
      <c r="W1060" s="283" t="str">
        <f t="shared" si="106"/>
        <v>H21</v>
      </c>
      <c r="X1060" s="284" t="str">
        <f t="shared" si="106"/>
        <v>QDA</v>
      </c>
      <c r="Y1060" s="271" t="s">
        <v>1762</v>
      </c>
      <c r="Z1060" s="283">
        <f t="shared" si="107"/>
        <v>7.2000000000000008E-2</v>
      </c>
      <c r="AA1060" s="283">
        <f t="shared" si="107"/>
        <v>4.5000000000000005E-3</v>
      </c>
      <c r="AB1060" s="340">
        <f t="shared" si="107"/>
        <v>2.58</v>
      </c>
      <c r="AC1060" s="98"/>
      <c r="AD1060" s="98"/>
    </row>
    <row r="1061" spans="1:30">
      <c r="A1061" t="str">
        <f t="shared" si="108"/>
        <v>乗0軽QCA</v>
      </c>
      <c r="B1061" t="s">
        <v>2125</v>
      </c>
      <c r="C1061" t="s">
        <v>2116</v>
      </c>
      <c r="D1061" t="s">
        <v>2382</v>
      </c>
      <c r="E1061" t="s">
        <v>1648</v>
      </c>
      <c r="F1061">
        <v>7.2000000000000008E-2</v>
      </c>
      <c r="G1061">
        <v>4.5000000000000005E-3</v>
      </c>
      <c r="H1061">
        <v>2.58</v>
      </c>
      <c r="I1061" t="s">
        <v>239</v>
      </c>
      <c r="J1061"/>
      <c r="T1061" s="292" t="str">
        <f t="shared" si="103"/>
        <v>乗用車</v>
      </c>
      <c r="U1061" s="283" t="str">
        <f t="shared" si="104"/>
        <v>軽油</v>
      </c>
      <c r="V1061" s="283" t="str">
        <f t="shared" si="105"/>
        <v>全て</v>
      </c>
      <c r="W1061" s="283" t="str">
        <f t="shared" si="106"/>
        <v>H21</v>
      </c>
      <c r="X1061" s="284" t="str">
        <f t="shared" si="106"/>
        <v>QCA</v>
      </c>
      <c r="Y1061" s="271" t="s">
        <v>1762</v>
      </c>
      <c r="Z1061" s="283">
        <f t="shared" si="107"/>
        <v>7.2000000000000008E-2</v>
      </c>
      <c r="AA1061" s="283">
        <f t="shared" si="107"/>
        <v>4.5000000000000005E-3</v>
      </c>
      <c r="AB1061" s="340">
        <f t="shared" si="107"/>
        <v>2.58</v>
      </c>
      <c r="AC1061" s="98"/>
      <c r="AD1061" s="98"/>
    </row>
    <row r="1062" spans="1:30">
      <c r="A1062" t="str">
        <f t="shared" si="108"/>
        <v>乗0軽QMA</v>
      </c>
      <c r="B1062" t="s">
        <v>2125</v>
      </c>
      <c r="C1062" t="s">
        <v>2116</v>
      </c>
      <c r="D1062" t="s">
        <v>2382</v>
      </c>
      <c r="E1062" t="s">
        <v>1654</v>
      </c>
      <c r="F1062">
        <v>7.2000000000000008E-2</v>
      </c>
      <c r="G1062">
        <v>4.5000000000000005E-3</v>
      </c>
      <c r="H1062">
        <v>2.58</v>
      </c>
      <c r="I1062" t="s">
        <v>1405</v>
      </c>
      <c r="J1062"/>
      <c r="T1062" s="292" t="str">
        <f t="shared" si="103"/>
        <v>乗用車</v>
      </c>
      <c r="U1062" s="283" t="str">
        <f t="shared" si="104"/>
        <v>軽油</v>
      </c>
      <c r="V1062" s="283" t="str">
        <f t="shared" si="105"/>
        <v>全て</v>
      </c>
      <c r="W1062" s="283" t="str">
        <f t="shared" si="106"/>
        <v>H21</v>
      </c>
      <c r="X1062" s="284" t="str">
        <f t="shared" si="106"/>
        <v>QMA</v>
      </c>
      <c r="Y1062" s="271" t="s">
        <v>1762</v>
      </c>
      <c r="Z1062" s="283">
        <f t="shared" si="107"/>
        <v>7.2000000000000008E-2</v>
      </c>
      <c r="AA1062" s="283">
        <f t="shared" si="107"/>
        <v>4.5000000000000005E-3</v>
      </c>
      <c r="AB1062" s="340">
        <f t="shared" si="107"/>
        <v>2.58</v>
      </c>
      <c r="AC1062" s="98"/>
      <c r="AD1062" s="98"/>
    </row>
    <row r="1063" spans="1:30">
      <c r="A1063" t="str">
        <f t="shared" si="108"/>
        <v>乗0軽3DA</v>
      </c>
      <c r="B1063" t="s">
        <v>2125</v>
      </c>
      <c r="C1063" t="s">
        <v>2116</v>
      </c>
      <c r="D1063" t="s">
        <v>2744</v>
      </c>
      <c r="E1063" t="s">
        <v>2941</v>
      </c>
      <c r="F1063">
        <v>0.15</v>
      </c>
      <c r="G1063">
        <v>5.0000000000000001E-3</v>
      </c>
      <c r="H1063">
        <v>2.58</v>
      </c>
      <c r="I1063" t="s">
        <v>1971</v>
      </c>
      <c r="J1063"/>
      <c r="T1063" s="292" t="str">
        <f t="shared" si="103"/>
        <v>乗用車</v>
      </c>
      <c r="U1063" s="283" t="str">
        <f t="shared" si="104"/>
        <v>軽油</v>
      </c>
      <c r="V1063" s="283" t="str">
        <f t="shared" si="105"/>
        <v>全て</v>
      </c>
      <c r="W1063" s="283" t="str">
        <f t="shared" si="106"/>
        <v>H30</v>
      </c>
      <c r="X1063" s="284" t="str">
        <f t="shared" si="106"/>
        <v>3DA</v>
      </c>
      <c r="Y1063" s="456"/>
      <c r="Z1063" s="283">
        <f t="shared" si="107"/>
        <v>0.15</v>
      </c>
      <c r="AA1063" s="283">
        <f t="shared" si="107"/>
        <v>5.0000000000000001E-3</v>
      </c>
      <c r="AB1063" s="340">
        <f t="shared" si="107"/>
        <v>2.58</v>
      </c>
      <c r="AC1063" s="98"/>
      <c r="AD1063" s="98"/>
    </row>
    <row r="1064" spans="1:30">
      <c r="A1064" t="str">
        <f t="shared" si="108"/>
        <v>乗0軽3CA</v>
      </c>
      <c r="B1064" t="s">
        <v>2125</v>
      </c>
      <c r="C1064" t="s">
        <v>2116</v>
      </c>
      <c r="D1064" t="s">
        <v>2744</v>
      </c>
      <c r="E1064" t="s">
        <v>2942</v>
      </c>
      <c r="F1064">
        <v>7.4999999999999997E-2</v>
      </c>
      <c r="G1064">
        <v>2.5000000000000001E-3</v>
      </c>
      <c r="H1064">
        <v>2.58</v>
      </c>
      <c r="I1064" t="s">
        <v>239</v>
      </c>
      <c r="J1064"/>
      <c r="T1064" s="292" t="str">
        <f t="shared" si="103"/>
        <v>乗用車</v>
      </c>
      <c r="U1064" s="283" t="str">
        <f t="shared" si="104"/>
        <v>軽油</v>
      </c>
      <c r="V1064" s="283" t="str">
        <f t="shared" si="105"/>
        <v>全て</v>
      </c>
      <c r="W1064" s="283" t="str">
        <f t="shared" si="106"/>
        <v>H30</v>
      </c>
      <c r="X1064" s="284" t="str">
        <f t="shared" si="106"/>
        <v>3CA</v>
      </c>
      <c r="Y1064" s="456"/>
      <c r="Z1064" s="283">
        <f t="shared" si="107"/>
        <v>7.4999999999999997E-2</v>
      </c>
      <c r="AA1064" s="283">
        <f t="shared" si="107"/>
        <v>2.5000000000000001E-3</v>
      </c>
      <c r="AB1064" s="340">
        <f t="shared" si="107"/>
        <v>2.58</v>
      </c>
      <c r="AC1064" s="98"/>
      <c r="AD1064" s="98"/>
    </row>
    <row r="1065" spans="1:30">
      <c r="A1065" t="str">
        <f t="shared" si="108"/>
        <v>乗0軽3MA</v>
      </c>
      <c r="B1065" t="s">
        <v>2125</v>
      </c>
      <c r="C1065" t="s">
        <v>2116</v>
      </c>
      <c r="D1065" t="s">
        <v>2748</v>
      </c>
      <c r="E1065" t="s">
        <v>2943</v>
      </c>
      <c r="F1065">
        <v>3.7499999999999999E-2</v>
      </c>
      <c r="G1065">
        <v>1.25E-3</v>
      </c>
      <c r="H1065">
        <v>2.58</v>
      </c>
      <c r="I1065" t="s">
        <v>1405</v>
      </c>
      <c r="J1065"/>
      <c r="T1065" s="292" t="str">
        <f t="shared" si="103"/>
        <v>乗用車</v>
      </c>
      <c r="U1065" s="283" t="str">
        <f t="shared" si="104"/>
        <v>軽油</v>
      </c>
      <c r="V1065" s="283" t="str">
        <f t="shared" si="105"/>
        <v>全て</v>
      </c>
      <c r="W1065" s="283" t="str">
        <f t="shared" si="106"/>
        <v>H30</v>
      </c>
      <c r="X1065" s="284" t="str">
        <f t="shared" si="106"/>
        <v>3MA</v>
      </c>
      <c r="Y1065" s="456"/>
      <c r="Z1065" s="283">
        <f t="shared" si="107"/>
        <v>3.7499999999999999E-2</v>
      </c>
      <c r="AA1065" s="283">
        <f t="shared" si="107"/>
        <v>1.25E-3</v>
      </c>
      <c r="AB1065" s="340">
        <f t="shared" si="107"/>
        <v>2.58</v>
      </c>
      <c r="AC1065" s="98"/>
      <c r="AD1065" s="98"/>
    </row>
    <row r="1066" spans="1:30">
      <c r="A1066" t="str">
        <f t="shared" si="108"/>
        <v>乗0軽4DA</v>
      </c>
      <c r="B1066" t="s">
        <v>2125</v>
      </c>
      <c r="C1066" t="s">
        <v>2116</v>
      </c>
      <c r="D1066" t="s">
        <v>2748</v>
      </c>
      <c r="E1066" t="s">
        <v>2944</v>
      </c>
      <c r="F1066">
        <v>0.11249999999999999</v>
      </c>
      <c r="G1066">
        <v>3.7499999999999994E-3</v>
      </c>
      <c r="H1066">
        <v>2.58</v>
      </c>
      <c r="I1066" t="s">
        <v>1971</v>
      </c>
      <c r="J1066"/>
      <c r="T1066" s="292" t="str">
        <f t="shared" si="103"/>
        <v>乗用車</v>
      </c>
      <c r="U1066" s="283" t="str">
        <f t="shared" si="104"/>
        <v>軽油</v>
      </c>
      <c r="V1066" s="283" t="str">
        <f t="shared" si="105"/>
        <v>全て</v>
      </c>
      <c r="W1066" s="283" t="str">
        <f t="shared" si="106"/>
        <v>H30</v>
      </c>
      <c r="X1066" s="284" t="str">
        <f t="shared" si="106"/>
        <v>4DA</v>
      </c>
      <c r="Y1066" s="271" t="s">
        <v>1769</v>
      </c>
      <c r="Z1066" s="283">
        <f t="shared" si="107"/>
        <v>0.11249999999999999</v>
      </c>
      <c r="AA1066" s="283">
        <f t="shared" si="107"/>
        <v>3.7499999999999994E-3</v>
      </c>
      <c r="AB1066" s="340">
        <f t="shared" si="107"/>
        <v>2.58</v>
      </c>
      <c r="AC1066" s="98"/>
      <c r="AD1066" s="98"/>
    </row>
    <row r="1067" spans="1:30">
      <c r="A1067" t="str">
        <f t="shared" si="108"/>
        <v>乗0軽4CA</v>
      </c>
      <c r="B1067" t="s">
        <v>2125</v>
      </c>
      <c r="C1067" t="s">
        <v>2116</v>
      </c>
      <c r="D1067" t="s">
        <v>2748</v>
      </c>
      <c r="E1067" t="s">
        <v>2945</v>
      </c>
      <c r="F1067">
        <v>0.11249999999999999</v>
      </c>
      <c r="G1067">
        <v>3.7499999999999994E-3</v>
      </c>
      <c r="H1067">
        <v>2.58</v>
      </c>
      <c r="I1067" t="s">
        <v>239</v>
      </c>
      <c r="J1067"/>
      <c r="T1067" s="292" t="str">
        <f t="shared" si="103"/>
        <v>乗用車</v>
      </c>
      <c r="U1067" s="283" t="str">
        <f t="shared" si="104"/>
        <v>軽油</v>
      </c>
      <c r="V1067" s="283" t="str">
        <f t="shared" si="105"/>
        <v>全て</v>
      </c>
      <c r="W1067" s="283" t="str">
        <f t="shared" si="106"/>
        <v>H30</v>
      </c>
      <c r="X1067" s="284" t="str">
        <f t="shared" si="106"/>
        <v>4CA</v>
      </c>
      <c r="Y1067" s="271" t="s">
        <v>1769</v>
      </c>
      <c r="Z1067" s="283">
        <f t="shared" si="107"/>
        <v>0.11249999999999999</v>
      </c>
      <c r="AA1067" s="283">
        <f t="shared" si="107"/>
        <v>3.7499999999999994E-3</v>
      </c>
      <c r="AB1067" s="340">
        <f t="shared" si="107"/>
        <v>2.58</v>
      </c>
      <c r="AC1067" s="98"/>
      <c r="AD1067" s="296"/>
    </row>
    <row r="1068" spans="1:30">
      <c r="A1068" t="str">
        <f t="shared" si="108"/>
        <v>乗0軽4MA</v>
      </c>
      <c r="B1068" t="s">
        <v>2125</v>
      </c>
      <c r="C1068" t="s">
        <v>2116</v>
      </c>
      <c r="D1068" t="s">
        <v>2748</v>
      </c>
      <c r="E1068" t="s">
        <v>2946</v>
      </c>
      <c r="F1068">
        <v>0.11249999999999999</v>
      </c>
      <c r="G1068">
        <v>3.7499999999999994E-3</v>
      </c>
      <c r="H1068">
        <v>2.58</v>
      </c>
      <c r="I1068" t="s">
        <v>1405</v>
      </c>
      <c r="J1068"/>
      <c r="T1068" s="292" t="str">
        <f t="shared" si="103"/>
        <v>乗用車</v>
      </c>
      <c r="U1068" s="283" t="str">
        <f t="shared" si="104"/>
        <v>軽油</v>
      </c>
      <c r="V1068" s="283" t="str">
        <f t="shared" si="105"/>
        <v>全て</v>
      </c>
      <c r="W1068" s="283" t="str">
        <f t="shared" si="106"/>
        <v>H30</v>
      </c>
      <c r="X1068" s="284" t="str">
        <f t="shared" si="106"/>
        <v>4MA</v>
      </c>
      <c r="Y1068" s="271" t="s">
        <v>1769</v>
      </c>
      <c r="Z1068" s="283">
        <f t="shared" si="107"/>
        <v>0.11249999999999999</v>
      </c>
      <c r="AA1068" s="283">
        <f t="shared" si="107"/>
        <v>3.7499999999999994E-3</v>
      </c>
      <c r="AB1068" s="340">
        <f t="shared" si="107"/>
        <v>2.58</v>
      </c>
      <c r="AC1068" s="98"/>
      <c r="AD1068" s="296"/>
    </row>
    <row r="1069" spans="1:30">
      <c r="A1069" t="str">
        <f t="shared" si="108"/>
        <v>乗0軽5DA</v>
      </c>
      <c r="B1069" t="s">
        <v>2125</v>
      </c>
      <c r="C1069" t="s">
        <v>2116</v>
      </c>
      <c r="D1069" t="s">
        <v>2748</v>
      </c>
      <c r="E1069" t="s">
        <v>2947</v>
      </c>
      <c r="F1069">
        <v>7.4999999999999997E-2</v>
      </c>
      <c r="G1069">
        <v>2.5000000000000001E-3</v>
      </c>
      <c r="H1069">
        <v>2.58</v>
      </c>
      <c r="I1069" t="s">
        <v>1971</v>
      </c>
      <c r="J1069"/>
      <c r="T1069" s="292" t="str">
        <f t="shared" si="103"/>
        <v>乗用車</v>
      </c>
      <c r="U1069" s="283" t="str">
        <f t="shared" si="104"/>
        <v>軽油</v>
      </c>
      <c r="V1069" s="283" t="str">
        <f t="shared" si="105"/>
        <v>全て</v>
      </c>
      <c r="W1069" s="283" t="str">
        <f t="shared" si="106"/>
        <v>H30</v>
      </c>
      <c r="X1069" s="284" t="str">
        <f t="shared" si="106"/>
        <v>5DA</v>
      </c>
      <c r="Y1069" s="271" t="s">
        <v>2262</v>
      </c>
      <c r="Z1069" s="283">
        <f t="shared" si="107"/>
        <v>7.4999999999999997E-2</v>
      </c>
      <c r="AA1069" s="283">
        <f t="shared" si="107"/>
        <v>2.5000000000000001E-3</v>
      </c>
      <c r="AB1069" s="340">
        <f t="shared" si="107"/>
        <v>2.58</v>
      </c>
      <c r="AC1069" s="296"/>
      <c r="AD1069" s="296"/>
    </row>
    <row r="1070" spans="1:30">
      <c r="A1070" t="str">
        <f t="shared" si="108"/>
        <v>乗0軽5CA</v>
      </c>
      <c r="B1070" t="s">
        <v>2125</v>
      </c>
      <c r="C1070" t="s">
        <v>2116</v>
      </c>
      <c r="D1070" t="s">
        <v>2748</v>
      </c>
      <c r="E1070" t="s">
        <v>2948</v>
      </c>
      <c r="F1070">
        <v>7.4999999999999997E-2</v>
      </c>
      <c r="G1070">
        <v>2.5000000000000001E-3</v>
      </c>
      <c r="H1070">
        <v>2.58</v>
      </c>
      <c r="I1070" t="s">
        <v>239</v>
      </c>
      <c r="J1070"/>
      <c r="T1070" s="292" t="str">
        <f t="shared" si="103"/>
        <v>乗用車</v>
      </c>
      <c r="U1070" s="283" t="str">
        <f t="shared" si="104"/>
        <v>軽油</v>
      </c>
      <c r="V1070" s="283" t="str">
        <f t="shared" si="105"/>
        <v>全て</v>
      </c>
      <c r="W1070" s="283" t="str">
        <f t="shared" si="106"/>
        <v>H30</v>
      </c>
      <c r="X1070" s="284" t="str">
        <f t="shared" si="106"/>
        <v>5CA</v>
      </c>
      <c r="Y1070" s="271" t="s">
        <v>2262</v>
      </c>
      <c r="Z1070" s="283">
        <f t="shared" si="107"/>
        <v>7.4999999999999997E-2</v>
      </c>
      <c r="AA1070" s="283">
        <f t="shared" si="107"/>
        <v>2.5000000000000001E-3</v>
      </c>
      <c r="AB1070" s="340">
        <f t="shared" si="107"/>
        <v>2.58</v>
      </c>
      <c r="AC1070" s="296"/>
    </row>
    <row r="1071" spans="1:30">
      <c r="A1071" t="str">
        <f t="shared" si="108"/>
        <v>乗0軽5MA</v>
      </c>
      <c r="B1071" t="s">
        <v>2125</v>
      </c>
      <c r="C1071" t="s">
        <v>2116</v>
      </c>
      <c r="D1071" t="s">
        <v>2748</v>
      </c>
      <c r="E1071" t="s">
        <v>2949</v>
      </c>
      <c r="F1071">
        <v>7.4999999999999997E-2</v>
      </c>
      <c r="G1071">
        <v>2.5000000000000001E-3</v>
      </c>
      <c r="H1071">
        <v>2.58</v>
      </c>
      <c r="I1071" t="s">
        <v>1405</v>
      </c>
      <c r="J1071"/>
      <c r="T1071" s="292" t="str">
        <f t="shared" si="103"/>
        <v>乗用車</v>
      </c>
      <c r="U1071" s="283" t="str">
        <f t="shared" si="104"/>
        <v>軽油</v>
      </c>
      <c r="V1071" s="283" t="str">
        <f t="shared" si="105"/>
        <v>全て</v>
      </c>
      <c r="W1071" s="283" t="str">
        <f t="shared" si="106"/>
        <v>H30</v>
      </c>
      <c r="X1071" s="284" t="str">
        <f t="shared" si="106"/>
        <v>5MA</v>
      </c>
      <c r="Y1071" s="271" t="s">
        <v>2262</v>
      </c>
      <c r="Z1071" s="283">
        <f t="shared" si="107"/>
        <v>7.4999999999999997E-2</v>
      </c>
      <c r="AA1071" s="283">
        <f t="shared" si="107"/>
        <v>2.5000000000000001E-3</v>
      </c>
      <c r="AB1071" s="340">
        <f t="shared" si="107"/>
        <v>2.58</v>
      </c>
      <c r="AC1071" s="296"/>
    </row>
    <row r="1072" spans="1:30">
      <c r="A1072" t="str">
        <f t="shared" si="108"/>
        <v>乗0軽6DA</v>
      </c>
      <c r="B1072" t="s">
        <v>2125</v>
      </c>
      <c r="C1072" t="s">
        <v>2116</v>
      </c>
      <c r="D1072" t="s">
        <v>2748</v>
      </c>
      <c r="E1072" t="s">
        <v>2950</v>
      </c>
      <c r="F1072">
        <v>3.7499999999999999E-2</v>
      </c>
      <c r="G1072">
        <v>1.25E-3</v>
      </c>
      <c r="H1072">
        <v>2.58</v>
      </c>
      <c r="I1072" t="s">
        <v>1971</v>
      </c>
      <c r="J1072"/>
      <c r="T1072" s="292" t="str">
        <f t="shared" si="103"/>
        <v>乗用車</v>
      </c>
      <c r="U1072" s="283" t="str">
        <f t="shared" si="104"/>
        <v>軽油</v>
      </c>
      <c r="V1072" s="283" t="str">
        <f t="shared" si="105"/>
        <v>全て</v>
      </c>
      <c r="W1072" s="283" t="str">
        <f t="shared" si="106"/>
        <v>H30</v>
      </c>
      <c r="X1072" s="284" t="str">
        <f t="shared" si="106"/>
        <v>6DA</v>
      </c>
      <c r="Y1072" s="271" t="s">
        <v>2758</v>
      </c>
      <c r="Z1072" s="283">
        <f t="shared" si="107"/>
        <v>3.7499999999999999E-2</v>
      </c>
      <c r="AA1072" s="283">
        <f t="shared" si="107"/>
        <v>1.25E-3</v>
      </c>
      <c r="AB1072" s="340">
        <f t="shared" si="107"/>
        <v>2.58</v>
      </c>
    </row>
    <row r="1073" spans="1:28">
      <c r="A1073" t="str">
        <f t="shared" si="108"/>
        <v>乗0軽6CA</v>
      </c>
      <c r="B1073" t="s">
        <v>2125</v>
      </c>
      <c r="C1073" t="s">
        <v>2116</v>
      </c>
      <c r="D1073" t="s">
        <v>2748</v>
      </c>
      <c r="E1073" t="s">
        <v>2951</v>
      </c>
      <c r="F1073">
        <v>3.7499999999999999E-2</v>
      </c>
      <c r="G1073">
        <v>1.25E-3</v>
      </c>
      <c r="H1073">
        <v>2.58</v>
      </c>
      <c r="I1073" t="s">
        <v>239</v>
      </c>
      <c r="J1073"/>
      <c r="T1073" s="292" t="str">
        <f t="shared" si="103"/>
        <v>乗用車</v>
      </c>
      <c r="U1073" s="283" t="str">
        <f t="shared" si="104"/>
        <v>軽油</v>
      </c>
      <c r="V1073" s="283" t="str">
        <f t="shared" si="105"/>
        <v>全て</v>
      </c>
      <c r="W1073" s="283" t="str">
        <f t="shared" si="106"/>
        <v>H30</v>
      </c>
      <c r="X1073" s="284" t="str">
        <f t="shared" si="106"/>
        <v>6CA</v>
      </c>
      <c r="Y1073" s="271" t="s">
        <v>2758</v>
      </c>
      <c r="Z1073" s="283">
        <f t="shared" si="107"/>
        <v>3.7499999999999999E-2</v>
      </c>
      <c r="AA1073" s="283">
        <f t="shared" si="107"/>
        <v>1.25E-3</v>
      </c>
      <c r="AB1073" s="340">
        <f t="shared" si="107"/>
        <v>2.58</v>
      </c>
    </row>
    <row r="1074" spans="1:28">
      <c r="A1074" t="str">
        <f t="shared" si="108"/>
        <v>乗0軽6MA</v>
      </c>
      <c r="B1074" t="s">
        <v>2125</v>
      </c>
      <c r="C1074" t="s">
        <v>2116</v>
      </c>
      <c r="D1074" t="s">
        <v>2748</v>
      </c>
      <c r="E1074" t="s">
        <v>2952</v>
      </c>
      <c r="F1074">
        <v>3.7499999999999999E-2</v>
      </c>
      <c r="G1074">
        <v>1.25E-3</v>
      </c>
      <c r="H1074">
        <v>2.58</v>
      </c>
      <c r="I1074" t="s">
        <v>1405</v>
      </c>
      <c r="J1074"/>
      <c r="T1074" s="292" t="str">
        <f t="shared" si="103"/>
        <v>乗用車</v>
      </c>
      <c r="U1074" s="283" t="str">
        <f t="shared" si="104"/>
        <v>軽油</v>
      </c>
      <c r="V1074" s="283" t="str">
        <f t="shared" si="105"/>
        <v>全て</v>
      </c>
      <c r="W1074" s="283" t="str">
        <f t="shared" si="106"/>
        <v>H30</v>
      </c>
      <c r="X1074" s="284" t="str">
        <f t="shared" si="106"/>
        <v>6MA</v>
      </c>
      <c r="Y1074" s="271" t="s">
        <v>2758</v>
      </c>
      <c r="Z1074" s="283">
        <f t="shared" si="107"/>
        <v>3.7499999999999999E-2</v>
      </c>
      <c r="AA1074" s="283">
        <f t="shared" si="107"/>
        <v>1.25E-3</v>
      </c>
      <c r="AB1074" s="340">
        <f t="shared" si="107"/>
        <v>2.58</v>
      </c>
    </row>
    <row r="1075" spans="1:28">
      <c r="A1075" t="str">
        <f t="shared" si="108"/>
        <v>乗0CTN</v>
      </c>
      <c r="B1075" t="s">
        <v>2131</v>
      </c>
      <c r="C1075" t="s">
        <v>2130</v>
      </c>
      <c r="D1075" t="s">
        <v>15</v>
      </c>
      <c r="E1075" t="s">
        <v>83</v>
      </c>
      <c r="F1075">
        <v>0.03</v>
      </c>
      <c r="G1075">
        <v>0</v>
      </c>
      <c r="H1075">
        <v>2.23</v>
      </c>
      <c r="I1075" t="s">
        <v>47</v>
      </c>
      <c r="J1075"/>
      <c r="T1075" s="292" t="str">
        <f t="shared" si="103"/>
        <v>乗用車</v>
      </c>
      <c r="U1075" s="283" t="str">
        <f t="shared" si="104"/>
        <v>CNG</v>
      </c>
      <c r="V1075" s="283" t="str">
        <f t="shared" si="105"/>
        <v>全て</v>
      </c>
      <c r="W1075" s="283" t="str">
        <f t="shared" si="106"/>
        <v>H12</v>
      </c>
      <c r="X1075" s="284" t="str">
        <f t="shared" si="106"/>
        <v>TN</v>
      </c>
      <c r="Y1075" s="271" t="s">
        <v>1765</v>
      </c>
      <c r="Z1075" s="283">
        <f t="shared" si="107"/>
        <v>0.03</v>
      </c>
      <c r="AA1075" s="283">
        <f t="shared" si="107"/>
        <v>0</v>
      </c>
      <c r="AB1075" s="340">
        <f t="shared" si="107"/>
        <v>2.23</v>
      </c>
    </row>
    <row r="1076" spans="1:28">
      <c r="A1076" t="str">
        <f t="shared" si="108"/>
        <v>乗0CLN</v>
      </c>
      <c r="B1076" t="s">
        <v>2131</v>
      </c>
      <c r="C1076" t="s">
        <v>2130</v>
      </c>
      <c r="D1076" t="s">
        <v>15</v>
      </c>
      <c r="E1076" t="s">
        <v>75</v>
      </c>
      <c r="F1076">
        <v>0.02</v>
      </c>
      <c r="G1076">
        <v>0</v>
      </c>
      <c r="H1076">
        <v>2.23</v>
      </c>
      <c r="I1076" t="s">
        <v>47</v>
      </c>
      <c r="J1076"/>
      <c r="T1076" s="292" t="str">
        <f t="shared" si="103"/>
        <v>乗用車</v>
      </c>
      <c r="U1076" s="283" t="str">
        <f t="shared" si="104"/>
        <v>CNG</v>
      </c>
      <c r="V1076" s="283" t="str">
        <f t="shared" si="105"/>
        <v>全て</v>
      </c>
      <c r="W1076" s="283" t="str">
        <f t="shared" si="106"/>
        <v>H12</v>
      </c>
      <c r="X1076" s="284" t="str">
        <f t="shared" si="106"/>
        <v>LN</v>
      </c>
      <c r="Y1076" s="271" t="s">
        <v>1766</v>
      </c>
      <c r="Z1076" s="283">
        <f t="shared" si="107"/>
        <v>0.02</v>
      </c>
      <c r="AA1076" s="283">
        <f t="shared" si="107"/>
        <v>0</v>
      </c>
      <c r="AB1076" s="340">
        <f t="shared" si="107"/>
        <v>2.23</v>
      </c>
    </row>
    <row r="1077" spans="1:28">
      <c r="A1077" t="str">
        <f t="shared" si="108"/>
        <v>乗0CUN</v>
      </c>
      <c r="B1077" t="s">
        <v>2131</v>
      </c>
      <c r="C1077" t="s">
        <v>2130</v>
      </c>
      <c r="D1077" t="s">
        <v>15</v>
      </c>
      <c r="E1077" t="s">
        <v>90</v>
      </c>
      <c r="F1077">
        <v>0.01</v>
      </c>
      <c r="G1077">
        <v>0</v>
      </c>
      <c r="H1077">
        <v>2.23</v>
      </c>
      <c r="I1077" t="s">
        <v>47</v>
      </c>
      <c r="J1077"/>
      <c r="T1077" s="292" t="str">
        <f t="shared" si="103"/>
        <v>乗用車</v>
      </c>
      <c r="U1077" s="283" t="str">
        <f t="shared" si="104"/>
        <v>CNG</v>
      </c>
      <c r="V1077" s="283" t="str">
        <f t="shared" si="105"/>
        <v>全て</v>
      </c>
      <c r="W1077" s="283" t="str">
        <f t="shared" si="106"/>
        <v>H12</v>
      </c>
      <c r="X1077" s="284" t="str">
        <f t="shared" si="106"/>
        <v>UN</v>
      </c>
      <c r="Y1077" s="271" t="s">
        <v>1767</v>
      </c>
      <c r="Z1077" s="283">
        <f t="shared" si="107"/>
        <v>0.01</v>
      </c>
      <c r="AA1077" s="283">
        <f t="shared" si="107"/>
        <v>0</v>
      </c>
      <c r="AB1077" s="340">
        <f t="shared" si="107"/>
        <v>2.23</v>
      </c>
    </row>
    <row r="1078" spans="1:28">
      <c r="A1078" t="str">
        <f t="shared" si="108"/>
        <v>乗0CAFA</v>
      </c>
      <c r="B1078" t="s">
        <v>2131</v>
      </c>
      <c r="C1078" t="s">
        <v>2130</v>
      </c>
      <c r="D1078" t="s">
        <v>1979</v>
      </c>
      <c r="E1078" t="s">
        <v>1663</v>
      </c>
      <c r="F1078">
        <v>2.5000000000000001E-2</v>
      </c>
      <c r="G1078">
        <v>0</v>
      </c>
      <c r="H1078">
        <v>2.23</v>
      </c>
      <c r="I1078" t="s">
        <v>47</v>
      </c>
      <c r="J1078"/>
      <c r="T1078" s="292" t="str">
        <f t="shared" si="103"/>
        <v>乗用車</v>
      </c>
      <c r="U1078" s="283" t="str">
        <f t="shared" si="104"/>
        <v>CNG</v>
      </c>
      <c r="V1078" s="283" t="str">
        <f t="shared" si="105"/>
        <v>全て</v>
      </c>
      <c r="W1078" s="283" t="str">
        <f t="shared" si="106"/>
        <v>H17</v>
      </c>
      <c r="X1078" s="284" t="str">
        <f t="shared" si="106"/>
        <v>AFA</v>
      </c>
      <c r="Y1078" s="271"/>
      <c r="Z1078" s="283">
        <f t="shared" si="107"/>
        <v>2.5000000000000001E-2</v>
      </c>
      <c r="AA1078" s="283">
        <f t="shared" si="107"/>
        <v>0</v>
      </c>
      <c r="AB1078" s="340">
        <f t="shared" si="107"/>
        <v>2.23</v>
      </c>
    </row>
    <row r="1079" spans="1:28">
      <c r="A1079" t="str">
        <f t="shared" si="108"/>
        <v>乗0CAFB</v>
      </c>
      <c r="B1079" t="s">
        <v>2131</v>
      </c>
      <c r="C1079" t="s">
        <v>2130</v>
      </c>
      <c r="D1079" t="s">
        <v>1979</v>
      </c>
      <c r="E1079" t="s">
        <v>1665</v>
      </c>
      <c r="F1079">
        <v>2.5000000000000001E-2</v>
      </c>
      <c r="G1079">
        <v>0</v>
      </c>
      <c r="H1079">
        <v>2.23</v>
      </c>
      <c r="I1079" t="s">
        <v>47</v>
      </c>
      <c r="J1079"/>
      <c r="T1079" s="292" t="str">
        <f t="shared" si="103"/>
        <v>乗用車</v>
      </c>
      <c r="U1079" s="283" t="str">
        <f t="shared" si="104"/>
        <v>CNG</v>
      </c>
      <c r="V1079" s="283" t="str">
        <f t="shared" si="105"/>
        <v>全て</v>
      </c>
      <c r="W1079" s="283" t="str">
        <f t="shared" si="106"/>
        <v>H17</v>
      </c>
      <c r="X1079" s="284" t="str">
        <f t="shared" si="106"/>
        <v>AFB</v>
      </c>
      <c r="Y1079" s="271"/>
      <c r="Z1079" s="283">
        <f t="shared" si="107"/>
        <v>2.5000000000000001E-2</v>
      </c>
      <c r="AA1079" s="283">
        <f t="shared" si="107"/>
        <v>0</v>
      </c>
      <c r="AB1079" s="340">
        <f t="shared" si="107"/>
        <v>2.23</v>
      </c>
    </row>
    <row r="1080" spans="1:28">
      <c r="A1080" t="str">
        <f t="shared" si="108"/>
        <v>乗0CAEA</v>
      </c>
      <c r="B1080" t="s">
        <v>2131</v>
      </c>
      <c r="C1080" t="s">
        <v>2130</v>
      </c>
      <c r="D1080" t="s">
        <v>1979</v>
      </c>
      <c r="E1080" t="s">
        <v>1667</v>
      </c>
      <c r="F1080">
        <v>1.2500000000000001E-2</v>
      </c>
      <c r="G1080">
        <v>0</v>
      </c>
      <c r="H1080">
        <v>2.23</v>
      </c>
      <c r="I1080" t="s">
        <v>47</v>
      </c>
      <c r="J1080"/>
      <c r="T1080" s="292" t="str">
        <f t="shared" si="103"/>
        <v>乗用車</v>
      </c>
      <c r="U1080" s="283" t="str">
        <f t="shared" si="104"/>
        <v>CNG</v>
      </c>
      <c r="V1080" s="283" t="str">
        <f t="shared" si="105"/>
        <v>全て</v>
      </c>
      <c r="W1080" s="283" t="str">
        <f t="shared" si="106"/>
        <v>H17</v>
      </c>
      <c r="X1080" s="284" t="str">
        <f t="shared" si="106"/>
        <v>AEA</v>
      </c>
      <c r="Y1080" s="271"/>
      <c r="Z1080" s="283">
        <f t="shared" si="107"/>
        <v>1.2500000000000001E-2</v>
      </c>
      <c r="AA1080" s="283">
        <f t="shared" si="107"/>
        <v>0</v>
      </c>
      <c r="AB1080" s="340">
        <f t="shared" si="107"/>
        <v>2.23</v>
      </c>
    </row>
    <row r="1081" spans="1:28">
      <c r="A1081" t="str">
        <f t="shared" si="108"/>
        <v>乗0CAEB</v>
      </c>
      <c r="B1081" t="s">
        <v>2131</v>
      </c>
      <c r="C1081" t="s">
        <v>2130</v>
      </c>
      <c r="D1081" t="s">
        <v>1979</v>
      </c>
      <c r="E1081" t="s">
        <v>1669</v>
      </c>
      <c r="F1081">
        <v>1.2500000000000001E-2</v>
      </c>
      <c r="G1081">
        <v>0</v>
      </c>
      <c r="H1081">
        <v>2.23</v>
      </c>
      <c r="I1081" t="s">
        <v>47</v>
      </c>
      <c r="J1081"/>
      <c r="T1081" s="292" t="str">
        <f t="shared" si="103"/>
        <v>乗用車</v>
      </c>
      <c r="U1081" s="283" t="str">
        <f t="shared" si="104"/>
        <v>CNG</v>
      </c>
      <c r="V1081" s="283" t="str">
        <f t="shared" si="105"/>
        <v>全て</v>
      </c>
      <c r="W1081" s="283" t="str">
        <f t="shared" si="106"/>
        <v>H17</v>
      </c>
      <c r="X1081" s="284" t="str">
        <f t="shared" si="106"/>
        <v>AEB</v>
      </c>
      <c r="Y1081" s="271"/>
      <c r="Z1081" s="283">
        <f t="shared" si="107"/>
        <v>1.2500000000000001E-2</v>
      </c>
      <c r="AA1081" s="283">
        <f t="shared" si="107"/>
        <v>0</v>
      </c>
      <c r="AB1081" s="340">
        <f t="shared" si="107"/>
        <v>2.23</v>
      </c>
    </row>
    <row r="1082" spans="1:28">
      <c r="A1082" t="str">
        <f t="shared" si="108"/>
        <v>乗0CCEA</v>
      </c>
      <c r="B1082" t="s">
        <v>2131</v>
      </c>
      <c r="C1082" t="s">
        <v>2130</v>
      </c>
      <c r="D1082" t="s">
        <v>1979</v>
      </c>
      <c r="E1082" t="s">
        <v>2126</v>
      </c>
      <c r="F1082">
        <v>1.2500000000000001E-2</v>
      </c>
      <c r="G1082">
        <v>0</v>
      </c>
      <c r="H1082">
        <v>2.23</v>
      </c>
      <c r="I1082" t="s">
        <v>47</v>
      </c>
      <c r="J1082"/>
      <c r="T1082" s="292" t="str">
        <f t="shared" si="103"/>
        <v>乗用車</v>
      </c>
      <c r="U1082" s="283" t="str">
        <f t="shared" si="104"/>
        <v>CNG</v>
      </c>
      <c r="V1082" s="283" t="str">
        <f t="shared" si="105"/>
        <v>全て</v>
      </c>
      <c r="W1082" s="283" t="str">
        <f t="shared" si="106"/>
        <v>H17</v>
      </c>
      <c r="X1082" s="284" t="str">
        <f t="shared" si="106"/>
        <v>CEA</v>
      </c>
      <c r="Y1082" s="271" t="s">
        <v>2261</v>
      </c>
      <c r="Z1082" s="283">
        <f t="shared" si="107"/>
        <v>1.2500000000000001E-2</v>
      </c>
      <c r="AA1082" s="283">
        <f t="shared" si="107"/>
        <v>0</v>
      </c>
      <c r="AB1082" s="340">
        <f t="shared" si="107"/>
        <v>2.23</v>
      </c>
    </row>
    <row r="1083" spans="1:28">
      <c r="A1083" t="str">
        <f t="shared" si="108"/>
        <v>乗0CCFA</v>
      </c>
      <c r="B1083" t="s">
        <v>2131</v>
      </c>
      <c r="C1083" t="s">
        <v>2130</v>
      </c>
      <c r="D1083" t="s">
        <v>1979</v>
      </c>
      <c r="E1083" t="s">
        <v>2127</v>
      </c>
      <c r="F1083">
        <v>1.2500000000000001E-2</v>
      </c>
      <c r="G1083">
        <v>0</v>
      </c>
      <c r="H1083">
        <v>2.23</v>
      </c>
      <c r="I1083" t="s">
        <v>47</v>
      </c>
      <c r="J1083"/>
      <c r="T1083" s="292" t="str">
        <f t="shared" si="103"/>
        <v>乗用車</v>
      </c>
      <c r="U1083" s="283" t="str">
        <f t="shared" si="104"/>
        <v>CNG</v>
      </c>
      <c r="V1083" s="283" t="str">
        <f t="shared" si="105"/>
        <v>全て</v>
      </c>
      <c r="W1083" s="283" t="str">
        <f t="shared" si="106"/>
        <v>H17</v>
      </c>
      <c r="X1083" s="284" t="str">
        <f t="shared" si="106"/>
        <v>CFA</v>
      </c>
      <c r="Y1083" s="271" t="s">
        <v>2261</v>
      </c>
      <c r="Z1083" s="283">
        <f t="shared" si="107"/>
        <v>1.2500000000000001E-2</v>
      </c>
      <c r="AA1083" s="283">
        <f t="shared" si="107"/>
        <v>0</v>
      </c>
      <c r="AB1083" s="340">
        <f t="shared" si="107"/>
        <v>2.23</v>
      </c>
    </row>
    <row r="1084" spans="1:28">
      <c r="A1084" t="str">
        <f t="shared" si="108"/>
        <v>乗0CDEA</v>
      </c>
      <c r="B1084" t="s">
        <v>2131</v>
      </c>
      <c r="C1084" t="s">
        <v>2130</v>
      </c>
      <c r="D1084" t="s">
        <v>1979</v>
      </c>
      <c r="E1084" t="s">
        <v>2128</v>
      </c>
      <c r="F1084">
        <v>6.2500000000000003E-3</v>
      </c>
      <c r="G1084">
        <v>0</v>
      </c>
      <c r="H1084">
        <v>2.23</v>
      </c>
      <c r="I1084" t="s">
        <v>47</v>
      </c>
      <c r="J1084"/>
      <c r="T1084" s="292" t="str">
        <f t="shared" si="103"/>
        <v>乗用車</v>
      </c>
      <c r="U1084" s="283" t="str">
        <f t="shared" si="104"/>
        <v>CNG</v>
      </c>
      <c r="V1084" s="283" t="str">
        <f t="shared" si="105"/>
        <v>全て</v>
      </c>
      <c r="W1084" s="283" t="str">
        <f t="shared" si="106"/>
        <v>H17</v>
      </c>
      <c r="X1084" s="284" t="str">
        <f t="shared" si="106"/>
        <v>DEA</v>
      </c>
      <c r="Y1084" s="271" t="s">
        <v>2262</v>
      </c>
      <c r="Z1084" s="283">
        <f t="shared" si="107"/>
        <v>6.2500000000000003E-3</v>
      </c>
      <c r="AA1084" s="283">
        <f t="shared" si="107"/>
        <v>0</v>
      </c>
      <c r="AB1084" s="340">
        <f t="shared" si="107"/>
        <v>2.23</v>
      </c>
    </row>
    <row r="1085" spans="1:28">
      <c r="A1085" t="str">
        <f t="shared" si="108"/>
        <v>乗0CDFA</v>
      </c>
      <c r="B1085" t="s">
        <v>2131</v>
      </c>
      <c r="C1085" t="s">
        <v>2130</v>
      </c>
      <c r="D1085" t="s">
        <v>1979</v>
      </c>
      <c r="E1085" t="s">
        <v>2129</v>
      </c>
      <c r="F1085">
        <v>6.2500000000000003E-3</v>
      </c>
      <c r="G1085">
        <v>0</v>
      </c>
      <c r="H1085">
        <v>2.23</v>
      </c>
      <c r="I1085" t="s">
        <v>47</v>
      </c>
      <c r="J1085"/>
      <c r="T1085" s="292" t="str">
        <f t="shared" si="103"/>
        <v>乗用車</v>
      </c>
      <c r="U1085" s="283" t="str">
        <f t="shared" si="104"/>
        <v>CNG</v>
      </c>
      <c r="V1085" s="283" t="str">
        <f t="shared" si="105"/>
        <v>全て</v>
      </c>
      <c r="W1085" s="283" t="str">
        <f t="shared" si="106"/>
        <v>H17</v>
      </c>
      <c r="X1085" s="284" t="str">
        <f t="shared" si="106"/>
        <v>DFA</v>
      </c>
      <c r="Y1085" s="271" t="s">
        <v>2262</v>
      </c>
      <c r="Z1085" s="283">
        <f t="shared" si="107"/>
        <v>6.2500000000000003E-3</v>
      </c>
      <c r="AA1085" s="283">
        <f t="shared" si="107"/>
        <v>0</v>
      </c>
      <c r="AB1085" s="340">
        <f t="shared" si="107"/>
        <v>2.23</v>
      </c>
    </row>
    <row r="1086" spans="1:28">
      <c r="A1086" t="str">
        <f t="shared" si="108"/>
        <v>乗0CLFA</v>
      </c>
      <c r="B1086" t="s">
        <v>2131</v>
      </c>
      <c r="C1086" t="s">
        <v>2130</v>
      </c>
      <c r="D1086" t="s">
        <v>2382</v>
      </c>
      <c r="E1086" t="s">
        <v>1676</v>
      </c>
      <c r="F1086">
        <v>2.5000000000000001E-2</v>
      </c>
      <c r="G1086">
        <v>0</v>
      </c>
      <c r="H1086">
        <v>2.23</v>
      </c>
      <c r="I1086" t="s">
        <v>47</v>
      </c>
      <c r="J1086"/>
      <c r="T1086" s="292" t="str">
        <f t="shared" si="103"/>
        <v>乗用車</v>
      </c>
      <c r="U1086" s="283" t="str">
        <f t="shared" si="104"/>
        <v>CNG</v>
      </c>
      <c r="V1086" s="283" t="str">
        <f t="shared" si="105"/>
        <v>全て</v>
      </c>
      <c r="W1086" s="283" t="str">
        <f t="shared" si="106"/>
        <v>H21</v>
      </c>
      <c r="X1086" s="284" t="str">
        <f t="shared" si="106"/>
        <v>LFA</v>
      </c>
      <c r="Y1086" s="271"/>
      <c r="Z1086" s="283">
        <f t="shared" si="107"/>
        <v>2.5000000000000001E-2</v>
      </c>
      <c r="AA1086" s="283">
        <f t="shared" si="107"/>
        <v>0</v>
      </c>
      <c r="AB1086" s="340">
        <f t="shared" si="107"/>
        <v>2.23</v>
      </c>
    </row>
    <row r="1087" spans="1:28">
      <c r="A1087" t="str">
        <f t="shared" si="108"/>
        <v>乗0CLEA</v>
      </c>
      <c r="B1087" t="s">
        <v>2131</v>
      </c>
      <c r="C1087" t="s">
        <v>2130</v>
      </c>
      <c r="D1087" t="s">
        <v>2382</v>
      </c>
      <c r="E1087" t="s">
        <v>1678</v>
      </c>
      <c r="F1087">
        <v>1.2500000000000001E-2</v>
      </c>
      <c r="G1087">
        <v>0</v>
      </c>
      <c r="H1087">
        <v>2.23</v>
      </c>
      <c r="I1087" t="s">
        <v>47</v>
      </c>
      <c r="J1087"/>
      <c r="T1087" s="292" t="str">
        <f t="shared" si="103"/>
        <v>乗用車</v>
      </c>
      <c r="U1087" s="283" t="str">
        <f t="shared" si="104"/>
        <v>CNG</v>
      </c>
      <c r="V1087" s="283" t="str">
        <f t="shared" si="105"/>
        <v>全て</v>
      </c>
      <c r="W1087" s="283" t="str">
        <f t="shared" si="106"/>
        <v>H21</v>
      </c>
      <c r="X1087" s="284" t="str">
        <f t="shared" si="106"/>
        <v>LEA</v>
      </c>
      <c r="Y1087" s="271"/>
      <c r="Z1087" s="283">
        <f t="shared" si="107"/>
        <v>1.2500000000000001E-2</v>
      </c>
      <c r="AA1087" s="283">
        <f t="shared" si="107"/>
        <v>0</v>
      </c>
      <c r="AB1087" s="340">
        <f t="shared" si="107"/>
        <v>2.23</v>
      </c>
    </row>
    <row r="1088" spans="1:28">
      <c r="A1088" t="str">
        <f t="shared" si="108"/>
        <v>乗0CMFA</v>
      </c>
      <c r="B1088" t="s">
        <v>2131</v>
      </c>
      <c r="C1088" t="s">
        <v>2130</v>
      </c>
      <c r="D1088" t="s">
        <v>2382</v>
      </c>
      <c r="E1088" t="s">
        <v>1680</v>
      </c>
      <c r="F1088">
        <v>1.2500000000000001E-2</v>
      </c>
      <c r="G1088">
        <v>0</v>
      </c>
      <c r="H1088">
        <v>2.23</v>
      </c>
      <c r="I1088" t="s">
        <v>47</v>
      </c>
      <c r="J1088"/>
      <c r="T1088" s="292" t="str">
        <f t="shared" si="103"/>
        <v>乗用車</v>
      </c>
      <c r="U1088" s="283" t="str">
        <f t="shared" si="104"/>
        <v>CNG</v>
      </c>
      <c r="V1088" s="283" t="str">
        <f t="shared" si="105"/>
        <v>全て</v>
      </c>
      <c r="W1088" s="283" t="str">
        <f t="shared" si="106"/>
        <v>H21</v>
      </c>
      <c r="X1088" s="284" t="str">
        <f t="shared" si="106"/>
        <v>MFA</v>
      </c>
      <c r="Y1088" s="271" t="s">
        <v>2261</v>
      </c>
      <c r="Z1088" s="283">
        <f t="shared" si="107"/>
        <v>1.2500000000000001E-2</v>
      </c>
      <c r="AA1088" s="283">
        <f t="shared" si="107"/>
        <v>0</v>
      </c>
      <c r="AB1088" s="340">
        <f t="shared" si="107"/>
        <v>2.23</v>
      </c>
    </row>
    <row r="1089" spans="1:28">
      <c r="A1089" t="str">
        <f t="shared" si="108"/>
        <v>乗0CMEA</v>
      </c>
      <c r="B1089" t="s">
        <v>2131</v>
      </c>
      <c r="C1089" t="s">
        <v>2130</v>
      </c>
      <c r="D1089" t="s">
        <v>2382</v>
      </c>
      <c r="E1089" t="s">
        <v>1682</v>
      </c>
      <c r="F1089">
        <v>1.2500000000000001E-2</v>
      </c>
      <c r="G1089">
        <v>0</v>
      </c>
      <c r="H1089">
        <v>2.23</v>
      </c>
      <c r="I1089" t="s">
        <v>47</v>
      </c>
      <c r="J1089"/>
      <c r="T1089" s="292" t="str">
        <f t="shared" si="103"/>
        <v>乗用車</v>
      </c>
      <c r="U1089" s="283" t="str">
        <f t="shared" si="104"/>
        <v>CNG</v>
      </c>
      <c r="V1089" s="283" t="str">
        <f t="shared" si="105"/>
        <v>全て</v>
      </c>
      <c r="W1089" s="283" t="str">
        <f t="shared" si="106"/>
        <v>H21</v>
      </c>
      <c r="X1089" s="284" t="str">
        <f t="shared" si="106"/>
        <v>MEA</v>
      </c>
      <c r="Y1089" s="271" t="s">
        <v>2261</v>
      </c>
      <c r="Z1089" s="283">
        <f t="shared" si="107"/>
        <v>1.2500000000000001E-2</v>
      </c>
      <c r="AA1089" s="283">
        <f t="shared" si="107"/>
        <v>0</v>
      </c>
      <c r="AB1089" s="340">
        <f t="shared" si="107"/>
        <v>2.23</v>
      </c>
    </row>
    <row r="1090" spans="1:28">
      <c r="A1090" t="str">
        <f t="shared" si="108"/>
        <v>乗0CRFA</v>
      </c>
      <c r="B1090" t="s">
        <v>2131</v>
      </c>
      <c r="C1090" t="s">
        <v>2130</v>
      </c>
      <c r="D1090" t="s">
        <v>2382</v>
      </c>
      <c r="E1090" t="s">
        <v>1684</v>
      </c>
      <c r="F1090">
        <v>6.2500000000000003E-3</v>
      </c>
      <c r="G1090">
        <v>0</v>
      </c>
      <c r="H1090">
        <v>2.23</v>
      </c>
      <c r="I1090" t="s">
        <v>47</v>
      </c>
      <c r="J1090"/>
      <c r="T1090" s="292" t="str">
        <f t="shared" si="103"/>
        <v>乗用車</v>
      </c>
      <c r="U1090" s="283" t="str">
        <f t="shared" si="104"/>
        <v>CNG</v>
      </c>
      <c r="V1090" s="283" t="str">
        <f t="shared" si="105"/>
        <v>全て</v>
      </c>
      <c r="W1090" s="283" t="str">
        <f t="shared" si="106"/>
        <v>H21</v>
      </c>
      <c r="X1090" s="284" t="str">
        <f t="shared" si="106"/>
        <v>RFA</v>
      </c>
      <c r="Y1090" s="271" t="s">
        <v>2262</v>
      </c>
      <c r="Z1090" s="283">
        <f t="shared" si="107"/>
        <v>6.2500000000000003E-3</v>
      </c>
      <c r="AA1090" s="283">
        <f t="shared" si="107"/>
        <v>0</v>
      </c>
      <c r="AB1090" s="340">
        <f t="shared" si="107"/>
        <v>2.23</v>
      </c>
    </row>
    <row r="1091" spans="1:28">
      <c r="A1091" t="str">
        <f t="shared" si="108"/>
        <v>乗0CREA</v>
      </c>
      <c r="B1091" t="s">
        <v>2131</v>
      </c>
      <c r="C1091" t="s">
        <v>2130</v>
      </c>
      <c r="D1091" t="s">
        <v>2382</v>
      </c>
      <c r="E1091" t="s">
        <v>1686</v>
      </c>
      <c r="F1091">
        <v>6.2500000000000003E-3</v>
      </c>
      <c r="G1091">
        <v>0</v>
      </c>
      <c r="H1091">
        <v>2.23</v>
      </c>
      <c r="I1091" t="s">
        <v>47</v>
      </c>
      <c r="J1091"/>
      <c r="T1091" s="292" t="str">
        <f t="shared" si="103"/>
        <v>乗用車</v>
      </c>
      <c r="U1091" s="283" t="str">
        <f t="shared" si="104"/>
        <v>CNG</v>
      </c>
      <c r="V1091" s="283" t="str">
        <f t="shared" si="105"/>
        <v>全て</v>
      </c>
      <c r="W1091" s="283" t="str">
        <f t="shared" si="106"/>
        <v>H21</v>
      </c>
      <c r="X1091" s="284" t="str">
        <f t="shared" si="106"/>
        <v>REA</v>
      </c>
      <c r="Y1091" s="271" t="s">
        <v>2262</v>
      </c>
      <c r="Z1091" s="283">
        <f t="shared" si="107"/>
        <v>6.2500000000000003E-3</v>
      </c>
      <c r="AA1091" s="283">
        <f t="shared" si="107"/>
        <v>0</v>
      </c>
      <c r="AB1091" s="340">
        <f t="shared" si="107"/>
        <v>2.23</v>
      </c>
    </row>
    <row r="1092" spans="1:28">
      <c r="A1092" t="str">
        <f t="shared" si="108"/>
        <v>乗0CQFA</v>
      </c>
      <c r="B1092" t="s">
        <v>2131</v>
      </c>
      <c r="C1092" t="s">
        <v>2130</v>
      </c>
      <c r="D1092" t="s">
        <v>2382</v>
      </c>
      <c r="E1092" t="s">
        <v>1688</v>
      </c>
      <c r="F1092">
        <v>2.2499999999999999E-2</v>
      </c>
      <c r="G1092">
        <v>0</v>
      </c>
      <c r="H1092">
        <v>2.23</v>
      </c>
      <c r="I1092" t="s">
        <v>47</v>
      </c>
      <c r="J1092"/>
      <c r="T1092" s="292" t="str">
        <f t="shared" si="103"/>
        <v>乗用車</v>
      </c>
      <c r="U1092" s="283" t="str">
        <f t="shared" si="104"/>
        <v>CNG</v>
      </c>
      <c r="V1092" s="283" t="str">
        <f t="shared" si="105"/>
        <v>全て</v>
      </c>
      <c r="W1092" s="283" t="str">
        <f t="shared" si="106"/>
        <v>H21</v>
      </c>
      <c r="X1092" s="284" t="str">
        <f t="shared" si="106"/>
        <v>QFA</v>
      </c>
      <c r="Y1092" s="271" t="s">
        <v>1762</v>
      </c>
      <c r="Z1092" s="283">
        <f t="shared" si="107"/>
        <v>2.2499999999999999E-2</v>
      </c>
      <c r="AA1092" s="283">
        <f t="shared" si="107"/>
        <v>0</v>
      </c>
      <c r="AB1092" s="340">
        <f t="shared" si="107"/>
        <v>2.23</v>
      </c>
    </row>
    <row r="1093" spans="1:28">
      <c r="A1093" t="str">
        <f t="shared" si="108"/>
        <v>乗0CQEA</v>
      </c>
      <c r="B1093" t="s">
        <v>2131</v>
      </c>
      <c r="C1093" t="s">
        <v>2130</v>
      </c>
      <c r="D1093" t="s">
        <v>2382</v>
      </c>
      <c r="E1093" t="s">
        <v>1690</v>
      </c>
      <c r="F1093">
        <v>2.2499999999999999E-2</v>
      </c>
      <c r="G1093">
        <v>0</v>
      </c>
      <c r="H1093">
        <v>2.23</v>
      </c>
      <c r="I1093" t="s">
        <v>47</v>
      </c>
      <c r="J1093"/>
      <c r="T1093" s="292" t="str">
        <f t="shared" si="103"/>
        <v>乗用車</v>
      </c>
      <c r="U1093" s="283" t="str">
        <f t="shared" si="104"/>
        <v>CNG</v>
      </c>
      <c r="V1093" s="283" t="str">
        <f t="shared" si="105"/>
        <v>全て</v>
      </c>
      <c r="W1093" s="283" t="str">
        <f t="shared" si="106"/>
        <v>H21</v>
      </c>
      <c r="X1093" s="284" t="str">
        <f t="shared" si="106"/>
        <v>QEA</v>
      </c>
      <c r="Y1093" s="271" t="s">
        <v>1762</v>
      </c>
      <c r="Z1093" s="283">
        <f t="shared" si="107"/>
        <v>2.2499999999999999E-2</v>
      </c>
      <c r="AA1093" s="283">
        <f t="shared" si="107"/>
        <v>0</v>
      </c>
      <c r="AB1093" s="340">
        <f t="shared" si="107"/>
        <v>2.23</v>
      </c>
    </row>
    <row r="1094" spans="1:28">
      <c r="A1094" t="str">
        <f t="shared" si="108"/>
        <v>乗0C3FA</v>
      </c>
      <c r="B1094" t="s">
        <v>2131</v>
      </c>
      <c r="C1094" t="s">
        <v>2130</v>
      </c>
      <c r="D1094" t="s">
        <v>2744</v>
      </c>
      <c r="E1094" t="s">
        <v>2953</v>
      </c>
      <c r="F1094">
        <v>2.5000000000000001E-2</v>
      </c>
      <c r="G1094">
        <v>0</v>
      </c>
      <c r="H1094">
        <v>2.23</v>
      </c>
      <c r="I1094" t="s">
        <v>47</v>
      </c>
      <c r="J1094"/>
      <c r="T1094" s="292" t="str">
        <f t="shared" si="103"/>
        <v>乗用車</v>
      </c>
      <c r="U1094" s="283" t="str">
        <f t="shared" si="104"/>
        <v>CNG</v>
      </c>
      <c r="V1094" s="283" t="str">
        <f t="shared" si="105"/>
        <v>全て</v>
      </c>
      <c r="W1094" s="283" t="str">
        <f t="shared" si="106"/>
        <v>H30</v>
      </c>
      <c r="X1094" s="284" t="str">
        <f t="shared" si="106"/>
        <v>3FA</v>
      </c>
      <c r="Y1094" s="455"/>
      <c r="Z1094" s="283">
        <f t="shared" si="107"/>
        <v>2.5000000000000001E-2</v>
      </c>
      <c r="AA1094" s="283">
        <f t="shared" si="107"/>
        <v>0</v>
      </c>
      <c r="AB1094" s="340">
        <f t="shared" si="107"/>
        <v>2.23</v>
      </c>
    </row>
    <row r="1095" spans="1:28">
      <c r="A1095" t="str">
        <f t="shared" si="108"/>
        <v>乗0C3EA</v>
      </c>
      <c r="B1095" t="s">
        <v>2131</v>
      </c>
      <c r="C1095" t="s">
        <v>2130</v>
      </c>
      <c r="D1095" t="s">
        <v>2744</v>
      </c>
      <c r="E1095" t="s">
        <v>2954</v>
      </c>
      <c r="F1095">
        <v>1.2500000000000001E-2</v>
      </c>
      <c r="G1095">
        <v>0</v>
      </c>
      <c r="H1095">
        <v>2.23</v>
      </c>
      <c r="I1095" t="s">
        <v>47</v>
      </c>
      <c r="J1095"/>
      <c r="T1095" s="292" t="str">
        <f t="shared" si="103"/>
        <v>乗用車</v>
      </c>
      <c r="U1095" s="283" t="str">
        <f t="shared" si="104"/>
        <v>CNG</v>
      </c>
      <c r="V1095" s="283" t="str">
        <f t="shared" si="105"/>
        <v>全て</v>
      </c>
      <c r="W1095" s="283" t="str">
        <f t="shared" si="106"/>
        <v>H30</v>
      </c>
      <c r="X1095" s="284" t="str">
        <f t="shared" si="106"/>
        <v>3EA</v>
      </c>
      <c r="Y1095" s="455"/>
      <c r="Z1095" s="283">
        <f t="shared" si="107"/>
        <v>1.2500000000000001E-2</v>
      </c>
      <c r="AA1095" s="283">
        <f t="shared" si="107"/>
        <v>0</v>
      </c>
      <c r="AB1095" s="340">
        <f t="shared" si="107"/>
        <v>2.23</v>
      </c>
    </row>
    <row r="1096" spans="1:28">
      <c r="A1096" t="str">
        <f t="shared" si="108"/>
        <v>乗0C4FA</v>
      </c>
      <c r="B1096" t="s">
        <v>2131</v>
      </c>
      <c r="C1096" t="s">
        <v>2130</v>
      </c>
      <c r="D1096" t="s">
        <v>2748</v>
      </c>
      <c r="E1096" t="s">
        <v>2955</v>
      </c>
      <c r="F1096">
        <v>1.8750000000000003E-2</v>
      </c>
      <c r="G1096">
        <v>0</v>
      </c>
      <c r="H1096">
        <v>2.23</v>
      </c>
      <c r="I1096" t="s">
        <v>47</v>
      </c>
      <c r="J1096"/>
      <c r="T1096" s="292" t="str">
        <f t="shared" si="103"/>
        <v>乗用車</v>
      </c>
      <c r="U1096" s="283" t="str">
        <f t="shared" si="104"/>
        <v>CNG</v>
      </c>
      <c r="V1096" s="283" t="str">
        <f t="shared" si="105"/>
        <v>全て</v>
      </c>
      <c r="W1096" s="283" t="str">
        <f t="shared" si="106"/>
        <v>H30</v>
      </c>
      <c r="X1096" s="284" t="str">
        <f t="shared" si="106"/>
        <v>4FA</v>
      </c>
      <c r="Y1096" s="271" t="s">
        <v>1769</v>
      </c>
      <c r="Z1096" s="283">
        <f t="shared" si="107"/>
        <v>1.8750000000000003E-2</v>
      </c>
      <c r="AA1096" s="283">
        <f t="shared" si="107"/>
        <v>0</v>
      </c>
      <c r="AB1096" s="340">
        <f t="shared" si="107"/>
        <v>2.23</v>
      </c>
    </row>
    <row r="1097" spans="1:28">
      <c r="A1097" t="str">
        <f t="shared" si="108"/>
        <v>乗0C4EA</v>
      </c>
      <c r="B1097" t="s">
        <v>2131</v>
      </c>
      <c r="C1097" t="s">
        <v>2130</v>
      </c>
      <c r="D1097" t="s">
        <v>2748</v>
      </c>
      <c r="E1097" t="s">
        <v>2956</v>
      </c>
      <c r="F1097">
        <v>1.8750000000000003E-2</v>
      </c>
      <c r="G1097">
        <v>0</v>
      </c>
      <c r="H1097">
        <v>2.23</v>
      </c>
      <c r="I1097" t="s">
        <v>47</v>
      </c>
      <c r="J1097"/>
      <c r="T1097" s="292" t="str">
        <f t="shared" ref="T1097:T1126" si="109">IF(LEFT(C1097,1)="貨","トラック・バス","乗用車")</f>
        <v>乗用車</v>
      </c>
      <c r="U1097" s="283" t="str">
        <f t="shared" ref="U1097:U1126" si="110">VLOOKUP(RIGHT(C1097,1),$AL$4:$AM$8,2,FALSE)</f>
        <v>CNG</v>
      </c>
      <c r="V1097" s="283" t="str">
        <f t="shared" ref="V1097:V1126" si="111">VLOOKUP(VALUE(MID(C1097,2,1)),$AL$10:$AM$15,2,FALSE)</f>
        <v>全て</v>
      </c>
      <c r="W1097" s="283" t="str">
        <f t="shared" ref="W1097:X1126" si="112">D1097</f>
        <v>H30</v>
      </c>
      <c r="X1097" s="284" t="str">
        <f t="shared" si="112"/>
        <v>4EA</v>
      </c>
      <c r="Y1097" s="271" t="s">
        <v>1769</v>
      </c>
      <c r="Z1097" s="283">
        <f t="shared" ref="Z1097:AB1126" si="113">F1097</f>
        <v>1.8750000000000003E-2</v>
      </c>
      <c r="AA1097" s="283">
        <f t="shared" si="113"/>
        <v>0</v>
      </c>
      <c r="AB1097" s="340">
        <f t="shared" si="113"/>
        <v>2.23</v>
      </c>
    </row>
    <row r="1098" spans="1:28">
      <c r="A1098" t="str">
        <f t="shared" si="108"/>
        <v>乗0C5FA</v>
      </c>
      <c r="B1098" t="s">
        <v>2131</v>
      </c>
      <c r="C1098" t="s">
        <v>2130</v>
      </c>
      <c r="D1098" t="s">
        <v>2748</v>
      </c>
      <c r="E1098" t="s">
        <v>2957</v>
      </c>
      <c r="F1098">
        <v>1.2500000000000001E-2</v>
      </c>
      <c r="G1098">
        <v>0</v>
      </c>
      <c r="H1098">
        <v>2.23</v>
      </c>
      <c r="I1098" t="s">
        <v>47</v>
      </c>
      <c r="J1098"/>
      <c r="T1098" s="292" t="str">
        <f t="shared" si="109"/>
        <v>乗用車</v>
      </c>
      <c r="U1098" s="283" t="str">
        <f t="shared" si="110"/>
        <v>CNG</v>
      </c>
      <c r="V1098" s="283" t="str">
        <f t="shared" si="111"/>
        <v>全て</v>
      </c>
      <c r="W1098" s="283" t="str">
        <f t="shared" si="112"/>
        <v>H30</v>
      </c>
      <c r="X1098" s="284" t="str">
        <f t="shared" si="112"/>
        <v>5FA</v>
      </c>
      <c r="Y1098" s="271" t="s">
        <v>2262</v>
      </c>
      <c r="Z1098" s="283">
        <f t="shared" si="113"/>
        <v>1.2500000000000001E-2</v>
      </c>
      <c r="AA1098" s="283">
        <f t="shared" si="113"/>
        <v>0</v>
      </c>
      <c r="AB1098" s="340">
        <f t="shared" si="113"/>
        <v>2.23</v>
      </c>
    </row>
    <row r="1099" spans="1:28">
      <c r="A1099" t="str">
        <f t="shared" si="108"/>
        <v>乗0C5EA</v>
      </c>
      <c r="B1099" t="s">
        <v>2131</v>
      </c>
      <c r="C1099" t="s">
        <v>2130</v>
      </c>
      <c r="D1099" t="s">
        <v>2748</v>
      </c>
      <c r="E1099" t="s">
        <v>2958</v>
      </c>
      <c r="F1099">
        <v>1.2500000000000001E-2</v>
      </c>
      <c r="G1099">
        <v>0</v>
      </c>
      <c r="H1099">
        <v>2.23</v>
      </c>
      <c r="I1099" t="s">
        <v>47</v>
      </c>
      <c r="J1099"/>
      <c r="T1099" s="292" t="str">
        <f t="shared" si="109"/>
        <v>乗用車</v>
      </c>
      <c r="U1099" s="283" t="str">
        <f t="shared" si="110"/>
        <v>CNG</v>
      </c>
      <c r="V1099" s="283" t="str">
        <f t="shared" si="111"/>
        <v>全て</v>
      </c>
      <c r="W1099" s="283" t="str">
        <f t="shared" si="112"/>
        <v>H30</v>
      </c>
      <c r="X1099" s="284" t="str">
        <f t="shared" si="112"/>
        <v>5EA</v>
      </c>
      <c r="Y1099" s="271" t="s">
        <v>2262</v>
      </c>
      <c r="Z1099" s="283">
        <f t="shared" si="113"/>
        <v>1.2500000000000001E-2</v>
      </c>
      <c r="AA1099" s="283">
        <f t="shared" si="113"/>
        <v>0</v>
      </c>
      <c r="AB1099" s="340">
        <f t="shared" si="113"/>
        <v>2.23</v>
      </c>
    </row>
    <row r="1100" spans="1:28">
      <c r="A1100" t="str">
        <f t="shared" si="108"/>
        <v>乗0C6FA</v>
      </c>
      <c r="B1100" t="s">
        <v>2131</v>
      </c>
      <c r="C1100" t="s">
        <v>2130</v>
      </c>
      <c r="D1100" t="s">
        <v>2748</v>
      </c>
      <c r="E1100" t="s">
        <v>2959</v>
      </c>
      <c r="F1100">
        <v>6.2500000000000003E-3</v>
      </c>
      <c r="G1100">
        <v>0</v>
      </c>
      <c r="H1100">
        <v>2.23</v>
      </c>
      <c r="I1100" t="s">
        <v>47</v>
      </c>
      <c r="J1100"/>
      <c r="T1100" s="292" t="str">
        <f t="shared" si="109"/>
        <v>乗用車</v>
      </c>
      <c r="U1100" s="283" t="str">
        <f t="shared" si="110"/>
        <v>CNG</v>
      </c>
      <c r="V1100" s="283" t="str">
        <f t="shared" si="111"/>
        <v>全て</v>
      </c>
      <c r="W1100" s="283" t="str">
        <f t="shared" si="112"/>
        <v>H30</v>
      </c>
      <c r="X1100" s="284" t="str">
        <f t="shared" si="112"/>
        <v>6FA</v>
      </c>
      <c r="Y1100" s="271" t="s">
        <v>2758</v>
      </c>
      <c r="Z1100" s="283">
        <f t="shared" si="113"/>
        <v>6.2500000000000003E-3</v>
      </c>
      <c r="AA1100" s="283">
        <f t="shared" si="113"/>
        <v>0</v>
      </c>
      <c r="AB1100" s="340">
        <f t="shared" si="113"/>
        <v>2.23</v>
      </c>
    </row>
    <row r="1101" spans="1:28">
      <c r="A1101" t="str">
        <f t="shared" si="108"/>
        <v>乗0C6EA</v>
      </c>
      <c r="B1101" t="s">
        <v>2131</v>
      </c>
      <c r="C1101" t="s">
        <v>2130</v>
      </c>
      <c r="D1101" t="s">
        <v>2748</v>
      </c>
      <c r="E1101" t="s">
        <v>2960</v>
      </c>
      <c r="F1101">
        <v>6.2500000000000003E-3</v>
      </c>
      <c r="G1101">
        <v>0</v>
      </c>
      <c r="H1101">
        <v>2.23</v>
      </c>
      <c r="I1101" t="s">
        <v>47</v>
      </c>
      <c r="J1101"/>
      <c r="T1101" s="292" t="str">
        <f t="shared" si="109"/>
        <v>乗用車</v>
      </c>
      <c r="U1101" s="283" t="str">
        <f t="shared" si="110"/>
        <v>CNG</v>
      </c>
      <c r="V1101" s="283" t="str">
        <f t="shared" si="111"/>
        <v>全て</v>
      </c>
      <c r="W1101" s="283" t="str">
        <f t="shared" si="112"/>
        <v>H30</v>
      </c>
      <c r="X1101" s="284" t="str">
        <f t="shared" si="112"/>
        <v>6EA</v>
      </c>
      <c r="Y1101" s="271" t="s">
        <v>2758</v>
      </c>
      <c r="Z1101" s="283">
        <f t="shared" si="113"/>
        <v>6.2500000000000003E-3</v>
      </c>
      <c r="AA1101" s="283">
        <f t="shared" si="113"/>
        <v>0</v>
      </c>
      <c r="AB1101" s="340">
        <f t="shared" si="113"/>
        <v>2.23</v>
      </c>
    </row>
    <row r="1102" spans="1:28">
      <c r="A1102" t="str">
        <f t="shared" si="108"/>
        <v>乗0メTN</v>
      </c>
      <c r="B1102" t="s">
        <v>2132</v>
      </c>
      <c r="C1102" t="s">
        <v>2113</v>
      </c>
      <c r="D1102" t="s">
        <v>16</v>
      </c>
      <c r="E1102" t="s">
        <v>83</v>
      </c>
      <c r="F1102">
        <v>0.105</v>
      </c>
      <c r="G1102">
        <v>0</v>
      </c>
      <c r="H1102">
        <v>1.37</v>
      </c>
      <c r="I1102" t="s">
        <v>1259</v>
      </c>
      <c r="J1102"/>
      <c r="T1102" s="292" t="str">
        <f t="shared" si="109"/>
        <v>乗用車</v>
      </c>
      <c r="U1102" s="283" t="str">
        <f t="shared" si="110"/>
        <v>メタノール</v>
      </c>
      <c r="V1102" s="283" t="str">
        <f t="shared" si="111"/>
        <v>全て</v>
      </c>
      <c r="W1102" s="283" t="str">
        <f t="shared" si="112"/>
        <v>H14</v>
      </c>
      <c r="X1102" s="284" t="str">
        <f t="shared" si="112"/>
        <v>TN</v>
      </c>
      <c r="Y1102" s="271"/>
      <c r="Z1102" s="283">
        <f t="shared" si="113"/>
        <v>0.105</v>
      </c>
      <c r="AA1102" s="283">
        <f t="shared" si="113"/>
        <v>0</v>
      </c>
      <c r="AB1102" s="340">
        <f t="shared" si="113"/>
        <v>1.37</v>
      </c>
    </row>
    <row r="1103" spans="1:28">
      <c r="A1103" t="str">
        <f t="shared" si="108"/>
        <v>乗0メLN</v>
      </c>
      <c r="B1103" t="s">
        <v>2132</v>
      </c>
      <c r="C1103" t="s">
        <v>2113</v>
      </c>
      <c r="D1103" t="s">
        <v>16</v>
      </c>
      <c r="E1103" t="s">
        <v>75</v>
      </c>
      <c r="F1103">
        <v>7.0000000000000007E-2</v>
      </c>
      <c r="G1103">
        <v>0</v>
      </c>
      <c r="H1103">
        <v>1.37</v>
      </c>
      <c r="I1103" t="s">
        <v>1259</v>
      </c>
      <c r="J1103"/>
      <c r="T1103" s="292" t="str">
        <f t="shared" si="109"/>
        <v>乗用車</v>
      </c>
      <c r="U1103" s="283" t="str">
        <f t="shared" si="110"/>
        <v>メタノール</v>
      </c>
      <c r="V1103" s="283" t="str">
        <f t="shared" si="111"/>
        <v>全て</v>
      </c>
      <c r="W1103" s="283" t="str">
        <f t="shared" si="112"/>
        <v>H14</v>
      </c>
      <c r="X1103" s="284" t="str">
        <f t="shared" si="112"/>
        <v>LN</v>
      </c>
      <c r="Y1103" s="271"/>
      <c r="Z1103" s="283">
        <f t="shared" si="113"/>
        <v>7.0000000000000007E-2</v>
      </c>
      <c r="AA1103" s="283">
        <f t="shared" si="113"/>
        <v>0</v>
      </c>
      <c r="AB1103" s="340">
        <f t="shared" si="113"/>
        <v>1.37</v>
      </c>
    </row>
    <row r="1104" spans="1:28">
      <c r="A1104" t="str">
        <f t="shared" si="108"/>
        <v>乗0メUN</v>
      </c>
      <c r="B1104" t="s">
        <v>2132</v>
      </c>
      <c r="C1104" t="s">
        <v>2113</v>
      </c>
      <c r="D1104" t="s">
        <v>16</v>
      </c>
      <c r="E1104" t="s">
        <v>90</v>
      </c>
      <c r="F1104">
        <v>3.5000000000000003E-2</v>
      </c>
      <c r="G1104">
        <v>0</v>
      </c>
      <c r="H1104">
        <v>1.37</v>
      </c>
      <c r="I1104" t="s">
        <v>1259</v>
      </c>
      <c r="J1104"/>
      <c r="T1104" s="292" t="str">
        <f t="shared" si="109"/>
        <v>乗用車</v>
      </c>
      <c r="U1104" s="283" t="str">
        <f t="shared" si="110"/>
        <v>メタノール</v>
      </c>
      <c r="V1104" s="283" t="str">
        <f t="shared" si="111"/>
        <v>全て</v>
      </c>
      <c r="W1104" s="283" t="str">
        <f t="shared" si="112"/>
        <v>H14</v>
      </c>
      <c r="X1104" s="284" t="str">
        <f t="shared" si="112"/>
        <v>UN</v>
      </c>
      <c r="Y1104" s="271"/>
      <c r="Z1104" s="283">
        <f t="shared" si="113"/>
        <v>3.5000000000000003E-2</v>
      </c>
      <c r="AA1104" s="283">
        <f t="shared" si="113"/>
        <v>0</v>
      </c>
      <c r="AB1104" s="340">
        <f t="shared" si="113"/>
        <v>1.37</v>
      </c>
    </row>
    <row r="1105" spans="1:28">
      <c r="A1105" t="str">
        <f t="shared" si="108"/>
        <v>乗0メAHA</v>
      </c>
      <c r="B1105" t="s">
        <v>2132</v>
      </c>
      <c r="C1105" t="s">
        <v>2113</v>
      </c>
      <c r="D1105" t="s">
        <v>1979</v>
      </c>
      <c r="E1105" t="s">
        <v>1696</v>
      </c>
      <c r="F1105">
        <v>7.0000000000000007E-2</v>
      </c>
      <c r="G1105">
        <v>0</v>
      </c>
      <c r="H1105">
        <v>1.37</v>
      </c>
      <c r="I1105" t="s">
        <v>1259</v>
      </c>
      <c r="J1105"/>
      <c r="T1105" s="292" t="str">
        <f t="shared" si="109"/>
        <v>乗用車</v>
      </c>
      <c r="U1105" s="283" t="str">
        <f t="shared" si="110"/>
        <v>メタノール</v>
      </c>
      <c r="V1105" s="283" t="str">
        <f t="shared" si="111"/>
        <v>全て</v>
      </c>
      <c r="W1105" s="283" t="str">
        <f t="shared" si="112"/>
        <v>H17</v>
      </c>
      <c r="X1105" s="284" t="str">
        <f t="shared" si="112"/>
        <v>AHA</v>
      </c>
      <c r="Y1105" s="271"/>
      <c r="Z1105" s="283">
        <f t="shared" si="113"/>
        <v>7.0000000000000007E-2</v>
      </c>
      <c r="AA1105" s="283">
        <f t="shared" si="113"/>
        <v>0</v>
      </c>
      <c r="AB1105" s="340">
        <f t="shared" si="113"/>
        <v>1.37</v>
      </c>
    </row>
    <row r="1106" spans="1:28">
      <c r="A1106" t="str">
        <f t="shared" si="108"/>
        <v>乗0メAGA</v>
      </c>
      <c r="B1106" t="s">
        <v>2132</v>
      </c>
      <c r="C1106" t="s">
        <v>2113</v>
      </c>
      <c r="D1106" t="s">
        <v>1979</v>
      </c>
      <c r="E1106" t="s">
        <v>1698</v>
      </c>
      <c r="F1106">
        <v>3.5000000000000003E-2</v>
      </c>
      <c r="G1106">
        <v>0</v>
      </c>
      <c r="H1106">
        <v>1.37</v>
      </c>
      <c r="I1106" t="s">
        <v>1259</v>
      </c>
      <c r="J1106"/>
      <c r="T1106" s="292" t="str">
        <f t="shared" si="109"/>
        <v>乗用車</v>
      </c>
      <c r="U1106" s="283" t="str">
        <f t="shared" si="110"/>
        <v>メタノール</v>
      </c>
      <c r="V1106" s="283" t="str">
        <f t="shared" si="111"/>
        <v>全て</v>
      </c>
      <c r="W1106" s="283" t="str">
        <f t="shared" si="112"/>
        <v>H17</v>
      </c>
      <c r="X1106" s="284" t="str">
        <f t="shared" si="112"/>
        <v>AGA</v>
      </c>
      <c r="Y1106" s="271"/>
      <c r="Z1106" s="283">
        <f t="shared" si="113"/>
        <v>3.5000000000000003E-2</v>
      </c>
      <c r="AA1106" s="283">
        <f t="shared" si="113"/>
        <v>0</v>
      </c>
      <c r="AB1106" s="340">
        <f t="shared" si="113"/>
        <v>1.37</v>
      </c>
    </row>
    <row r="1107" spans="1:28">
      <c r="A1107" t="str">
        <f t="shared" si="108"/>
        <v>乗0メCGA</v>
      </c>
      <c r="B1107" t="s">
        <v>2132</v>
      </c>
      <c r="C1107" t="s">
        <v>2113</v>
      </c>
      <c r="D1107" t="s">
        <v>1979</v>
      </c>
      <c r="E1107" t="s">
        <v>1914</v>
      </c>
      <c r="F1107">
        <v>3.5000000000000003E-2</v>
      </c>
      <c r="G1107">
        <v>0</v>
      </c>
      <c r="H1107">
        <v>1.37</v>
      </c>
      <c r="I1107" t="s">
        <v>1259</v>
      </c>
      <c r="J1107"/>
      <c r="T1107" s="292" t="str">
        <f t="shared" si="109"/>
        <v>乗用車</v>
      </c>
      <c r="U1107" s="283" t="str">
        <f t="shared" si="110"/>
        <v>メタノール</v>
      </c>
      <c r="V1107" s="283" t="str">
        <f t="shared" si="111"/>
        <v>全て</v>
      </c>
      <c r="W1107" s="283" t="str">
        <f t="shared" si="112"/>
        <v>H17</v>
      </c>
      <c r="X1107" s="284" t="str">
        <f t="shared" si="112"/>
        <v>CGA</v>
      </c>
      <c r="Y1107" s="271" t="s">
        <v>2261</v>
      </c>
      <c r="Z1107" s="283">
        <f t="shared" si="113"/>
        <v>3.5000000000000003E-2</v>
      </c>
      <c r="AA1107" s="283">
        <f t="shared" si="113"/>
        <v>0</v>
      </c>
      <c r="AB1107" s="340">
        <f t="shared" si="113"/>
        <v>1.37</v>
      </c>
    </row>
    <row r="1108" spans="1:28">
      <c r="A1108" t="str">
        <f t="shared" si="108"/>
        <v>乗0メCHA</v>
      </c>
      <c r="B1108" t="s">
        <v>2132</v>
      </c>
      <c r="C1108" t="s">
        <v>2113</v>
      </c>
      <c r="D1108" t="s">
        <v>1979</v>
      </c>
      <c r="E1108" t="s">
        <v>1918</v>
      </c>
      <c r="F1108">
        <v>3.5000000000000003E-2</v>
      </c>
      <c r="G1108">
        <v>0</v>
      </c>
      <c r="H1108">
        <v>1.37</v>
      </c>
      <c r="I1108" t="s">
        <v>1259</v>
      </c>
      <c r="J1108"/>
      <c r="T1108" s="292" t="str">
        <f t="shared" si="109"/>
        <v>乗用車</v>
      </c>
      <c r="U1108" s="283" t="str">
        <f t="shared" si="110"/>
        <v>メタノール</v>
      </c>
      <c r="V1108" s="283" t="str">
        <f t="shared" si="111"/>
        <v>全て</v>
      </c>
      <c r="W1108" s="283" t="str">
        <f t="shared" si="112"/>
        <v>H17</v>
      </c>
      <c r="X1108" s="284" t="str">
        <f t="shared" si="112"/>
        <v>CHA</v>
      </c>
      <c r="Y1108" s="271" t="s">
        <v>2261</v>
      </c>
      <c r="Z1108" s="283">
        <f t="shared" si="113"/>
        <v>3.5000000000000003E-2</v>
      </c>
      <c r="AA1108" s="283">
        <f t="shared" si="113"/>
        <v>0</v>
      </c>
      <c r="AB1108" s="340">
        <f t="shared" si="113"/>
        <v>1.37</v>
      </c>
    </row>
    <row r="1109" spans="1:28">
      <c r="A1109" t="str">
        <f t="shared" si="108"/>
        <v>乗0メDGA</v>
      </c>
      <c r="B1109" t="s">
        <v>2132</v>
      </c>
      <c r="C1109" t="s">
        <v>2113</v>
      </c>
      <c r="D1109" t="s">
        <v>1979</v>
      </c>
      <c r="E1109" t="s">
        <v>1925</v>
      </c>
      <c r="F1109">
        <v>1.7500000000000002E-2</v>
      </c>
      <c r="G1109">
        <v>0</v>
      </c>
      <c r="H1109">
        <v>1.37</v>
      </c>
      <c r="I1109" t="s">
        <v>1259</v>
      </c>
      <c r="J1109"/>
      <c r="T1109" s="292" t="str">
        <f t="shared" si="109"/>
        <v>乗用車</v>
      </c>
      <c r="U1109" s="283" t="str">
        <f t="shared" si="110"/>
        <v>メタノール</v>
      </c>
      <c r="V1109" s="283" t="str">
        <f t="shared" si="111"/>
        <v>全て</v>
      </c>
      <c r="W1109" s="283" t="str">
        <f t="shared" si="112"/>
        <v>H17</v>
      </c>
      <c r="X1109" s="284" t="str">
        <f t="shared" si="112"/>
        <v>DGA</v>
      </c>
      <c r="Y1109" s="271" t="s">
        <v>2262</v>
      </c>
      <c r="Z1109" s="283">
        <f t="shared" si="113"/>
        <v>1.7500000000000002E-2</v>
      </c>
      <c r="AA1109" s="283">
        <f t="shared" si="113"/>
        <v>0</v>
      </c>
      <c r="AB1109" s="340">
        <f t="shared" si="113"/>
        <v>1.37</v>
      </c>
    </row>
    <row r="1110" spans="1:28">
      <c r="A1110" t="str">
        <f t="shared" si="108"/>
        <v>乗0メDHA</v>
      </c>
      <c r="B1110" t="s">
        <v>2132</v>
      </c>
      <c r="C1110" t="s">
        <v>2113</v>
      </c>
      <c r="D1110" t="s">
        <v>1979</v>
      </c>
      <c r="E1110" t="s">
        <v>1929</v>
      </c>
      <c r="F1110">
        <v>1.7500000000000002E-2</v>
      </c>
      <c r="G1110">
        <v>0</v>
      </c>
      <c r="H1110">
        <v>1.37</v>
      </c>
      <c r="I1110" t="s">
        <v>1259</v>
      </c>
      <c r="J1110"/>
      <c r="T1110" s="292" t="str">
        <f t="shared" si="109"/>
        <v>乗用車</v>
      </c>
      <c r="U1110" s="283" t="str">
        <f t="shared" si="110"/>
        <v>メタノール</v>
      </c>
      <c r="V1110" s="283" t="str">
        <f t="shared" si="111"/>
        <v>全て</v>
      </c>
      <c r="W1110" s="283" t="str">
        <f t="shared" si="112"/>
        <v>H17</v>
      </c>
      <c r="X1110" s="284" t="str">
        <f t="shared" si="112"/>
        <v>DHA</v>
      </c>
      <c r="Y1110" s="271" t="s">
        <v>2262</v>
      </c>
      <c r="Z1110" s="283">
        <f t="shared" si="113"/>
        <v>1.7500000000000002E-2</v>
      </c>
      <c r="AA1110" s="283">
        <f t="shared" si="113"/>
        <v>0</v>
      </c>
      <c r="AB1110" s="340">
        <f t="shared" si="113"/>
        <v>1.37</v>
      </c>
    </row>
    <row r="1111" spans="1:28">
      <c r="A1111" t="str">
        <f t="shared" si="108"/>
        <v>乗0メLHA</v>
      </c>
      <c r="B1111" t="s">
        <v>2132</v>
      </c>
      <c r="C1111" t="s">
        <v>2113</v>
      </c>
      <c r="D1111" t="s">
        <v>2382</v>
      </c>
      <c r="E1111" t="s">
        <v>1704</v>
      </c>
      <c r="F1111">
        <v>0.04</v>
      </c>
      <c r="G1111">
        <v>0</v>
      </c>
      <c r="H1111">
        <v>1.37</v>
      </c>
      <c r="I1111" t="s">
        <v>1259</v>
      </c>
      <c r="J1111"/>
      <c r="T1111" s="292" t="str">
        <f t="shared" si="109"/>
        <v>乗用車</v>
      </c>
      <c r="U1111" s="283" t="str">
        <f t="shared" si="110"/>
        <v>メタノール</v>
      </c>
      <c r="V1111" s="283" t="str">
        <f t="shared" si="111"/>
        <v>全て</v>
      </c>
      <c r="W1111" s="283" t="str">
        <f t="shared" si="112"/>
        <v>H21</v>
      </c>
      <c r="X1111" s="284" t="str">
        <f t="shared" si="112"/>
        <v>LHA</v>
      </c>
      <c r="Y1111" s="271"/>
      <c r="Z1111" s="283">
        <f t="shared" si="113"/>
        <v>0.04</v>
      </c>
      <c r="AA1111" s="283">
        <f t="shared" si="113"/>
        <v>0</v>
      </c>
      <c r="AB1111" s="340">
        <f t="shared" si="113"/>
        <v>1.37</v>
      </c>
    </row>
    <row r="1112" spans="1:28">
      <c r="A1112" t="str">
        <f t="shared" si="108"/>
        <v>乗0メLGA</v>
      </c>
      <c r="B1112" t="s">
        <v>2132</v>
      </c>
      <c r="C1112" t="s">
        <v>2113</v>
      </c>
      <c r="D1112" t="s">
        <v>2382</v>
      </c>
      <c r="E1112" t="s">
        <v>1706</v>
      </c>
      <c r="F1112">
        <v>0.02</v>
      </c>
      <c r="G1112">
        <v>0</v>
      </c>
      <c r="H1112">
        <v>1.37</v>
      </c>
      <c r="I1112" t="s">
        <v>1259</v>
      </c>
      <c r="J1112"/>
      <c r="T1112" s="292" t="str">
        <f t="shared" si="109"/>
        <v>乗用車</v>
      </c>
      <c r="U1112" s="283" t="str">
        <f t="shared" si="110"/>
        <v>メタノール</v>
      </c>
      <c r="V1112" s="283" t="str">
        <f t="shared" si="111"/>
        <v>全て</v>
      </c>
      <c r="W1112" s="283" t="str">
        <f t="shared" si="112"/>
        <v>H21</v>
      </c>
      <c r="X1112" s="284" t="str">
        <f t="shared" si="112"/>
        <v>LGA</v>
      </c>
      <c r="Y1112" s="271"/>
      <c r="Z1112" s="283">
        <f t="shared" si="113"/>
        <v>0.02</v>
      </c>
      <c r="AA1112" s="283">
        <f t="shared" si="113"/>
        <v>0</v>
      </c>
      <c r="AB1112" s="340">
        <f t="shared" si="113"/>
        <v>1.37</v>
      </c>
    </row>
    <row r="1113" spans="1:28">
      <c r="A1113" t="str">
        <f t="shared" si="108"/>
        <v>乗0メMHA</v>
      </c>
      <c r="B1113" t="s">
        <v>2132</v>
      </c>
      <c r="C1113" t="s">
        <v>2113</v>
      </c>
      <c r="D1113" t="s">
        <v>2382</v>
      </c>
      <c r="E1113" t="s">
        <v>1708</v>
      </c>
      <c r="F1113">
        <v>0.02</v>
      </c>
      <c r="G1113">
        <v>0</v>
      </c>
      <c r="H1113">
        <v>1.37</v>
      </c>
      <c r="I1113" t="s">
        <v>1259</v>
      </c>
      <c r="J1113"/>
      <c r="T1113" s="292" t="str">
        <f t="shared" si="109"/>
        <v>乗用車</v>
      </c>
      <c r="U1113" s="283" t="str">
        <f t="shared" si="110"/>
        <v>メタノール</v>
      </c>
      <c r="V1113" s="283" t="str">
        <f t="shared" si="111"/>
        <v>全て</v>
      </c>
      <c r="W1113" s="283" t="str">
        <f t="shared" si="112"/>
        <v>H21</v>
      </c>
      <c r="X1113" s="284" t="str">
        <f t="shared" si="112"/>
        <v>MHA</v>
      </c>
      <c r="Y1113" s="271" t="s">
        <v>2261</v>
      </c>
      <c r="Z1113" s="283">
        <f t="shared" si="113"/>
        <v>0.02</v>
      </c>
      <c r="AA1113" s="283">
        <f t="shared" si="113"/>
        <v>0</v>
      </c>
      <c r="AB1113" s="340">
        <f t="shared" si="113"/>
        <v>1.37</v>
      </c>
    </row>
    <row r="1114" spans="1:28">
      <c r="A1114" t="str">
        <f t="shared" si="108"/>
        <v>乗0メMGA</v>
      </c>
      <c r="B1114" t="s">
        <v>2132</v>
      </c>
      <c r="C1114" t="s">
        <v>2113</v>
      </c>
      <c r="D1114" t="s">
        <v>2382</v>
      </c>
      <c r="E1114" t="s">
        <v>1710</v>
      </c>
      <c r="F1114">
        <v>0.02</v>
      </c>
      <c r="G1114">
        <v>0</v>
      </c>
      <c r="H1114">
        <v>1.37</v>
      </c>
      <c r="I1114" t="s">
        <v>1259</v>
      </c>
      <c r="J1114"/>
      <c r="T1114" s="292" t="str">
        <f t="shared" si="109"/>
        <v>乗用車</v>
      </c>
      <c r="U1114" s="283" t="str">
        <f t="shared" si="110"/>
        <v>メタノール</v>
      </c>
      <c r="V1114" s="283" t="str">
        <f t="shared" si="111"/>
        <v>全て</v>
      </c>
      <c r="W1114" s="283" t="str">
        <f t="shared" si="112"/>
        <v>H21</v>
      </c>
      <c r="X1114" s="284" t="str">
        <f t="shared" si="112"/>
        <v>MGA</v>
      </c>
      <c r="Y1114" s="271" t="s">
        <v>2261</v>
      </c>
      <c r="Z1114" s="283">
        <f t="shared" si="113"/>
        <v>0.02</v>
      </c>
      <c r="AA1114" s="283">
        <f t="shared" si="113"/>
        <v>0</v>
      </c>
      <c r="AB1114" s="340">
        <f t="shared" si="113"/>
        <v>1.37</v>
      </c>
    </row>
    <row r="1115" spans="1:28">
      <c r="A1115" t="str">
        <f t="shared" si="108"/>
        <v>乗0メRHA</v>
      </c>
      <c r="B1115" t="s">
        <v>2132</v>
      </c>
      <c r="C1115" t="s">
        <v>2113</v>
      </c>
      <c r="D1115" t="s">
        <v>2382</v>
      </c>
      <c r="E1115" t="s">
        <v>1712</v>
      </c>
      <c r="F1115">
        <v>0.01</v>
      </c>
      <c r="G1115">
        <v>0</v>
      </c>
      <c r="H1115">
        <v>1.37</v>
      </c>
      <c r="I1115" t="s">
        <v>1259</v>
      </c>
      <c r="J1115"/>
      <c r="T1115" s="292" t="str">
        <f t="shared" si="109"/>
        <v>乗用車</v>
      </c>
      <c r="U1115" s="283" t="str">
        <f t="shared" si="110"/>
        <v>メタノール</v>
      </c>
      <c r="V1115" s="283" t="str">
        <f t="shared" si="111"/>
        <v>全て</v>
      </c>
      <c r="W1115" s="283" t="str">
        <f t="shared" si="112"/>
        <v>H21</v>
      </c>
      <c r="X1115" s="284" t="str">
        <f t="shared" si="112"/>
        <v>RHA</v>
      </c>
      <c r="Y1115" s="271" t="s">
        <v>2262</v>
      </c>
      <c r="Z1115" s="283">
        <f t="shared" si="113"/>
        <v>0.01</v>
      </c>
      <c r="AA1115" s="283">
        <f t="shared" si="113"/>
        <v>0</v>
      </c>
      <c r="AB1115" s="340">
        <f t="shared" si="113"/>
        <v>1.37</v>
      </c>
    </row>
    <row r="1116" spans="1:28">
      <c r="A1116" t="str">
        <f t="shared" si="108"/>
        <v>乗0メRGA</v>
      </c>
      <c r="B1116" t="s">
        <v>2132</v>
      </c>
      <c r="C1116" t="s">
        <v>2113</v>
      </c>
      <c r="D1116" t="s">
        <v>2382</v>
      </c>
      <c r="E1116" t="s">
        <v>1714</v>
      </c>
      <c r="F1116">
        <v>0.01</v>
      </c>
      <c r="G1116">
        <v>0</v>
      </c>
      <c r="H1116">
        <v>1.37</v>
      </c>
      <c r="I1116" t="s">
        <v>1259</v>
      </c>
      <c r="J1116"/>
      <c r="T1116" s="292" t="str">
        <f t="shared" si="109"/>
        <v>乗用車</v>
      </c>
      <c r="U1116" s="283" t="str">
        <f t="shared" si="110"/>
        <v>メタノール</v>
      </c>
      <c r="V1116" s="283" t="str">
        <f t="shared" si="111"/>
        <v>全て</v>
      </c>
      <c r="W1116" s="283" t="str">
        <f t="shared" si="112"/>
        <v>H21</v>
      </c>
      <c r="X1116" s="284" t="str">
        <f t="shared" si="112"/>
        <v>RGA</v>
      </c>
      <c r="Y1116" s="271" t="s">
        <v>2262</v>
      </c>
      <c r="Z1116" s="283">
        <f t="shared" si="113"/>
        <v>0.01</v>
      </c>
      <c r="AA1116" s="283">
        <f t="shared" si="113"/>
        <v>0</v>
      </c>
      <c r="AB1116" s="340">
        <f t="shared" si="113"/>
        <v>1.37</v>
      </c>
    </row>
    <row r="1117" spans="1:28">
      <c r="A1117" t="str">
        <f t="shared" si="108"/>
        <v>乗0メQHA</v>
      </c>
      <c r="B1117" t="s">
        <v>2132</v>
      </c>
      <c r="C1117" t="s">
        <v>2113</v>
      </c>
      <c r="D1117" t="s">
        <v>2382</v>
      </c>
      <c r="E1117" t="s">
        <v>1716</v>
      </c>
      <c r="F1117">
        <v>3.5999999999999997E-2</v>
      </c>
      <c r="G1117">
        <v>0</v>
      </c>
      <c r="H1117">
        <v>1.37</v>
      </c>
      <c r="I1117" t="s">
        <v>1259</v>
      </c>
      <c r="J1117"/>
      <c r="T1117" s="292" t="str">
        <f t="shared" si="109"/>
        <v>乗用車</v>
      </c>
      <c r="U1117" s="283" t="str">
        <f t="shared" si="110"/>
        <v>メタノール</v>
      </c>
      <c r="V1117" s="283" t="str">
        <f t="shared" si="111"/>
        <v>全て</v>
      </c>
      <c r="W1117" s="283" t="str">
        <f t="shared" si="112"/>
        <v>H21</v>
      </c>
      <c r="X1117" s="284" t="str">
        <f t="shared" si="112"/>
        <v>QHA</v>
      </c>
      <c r="Y1117" s="271" t="s">
        <v>1762</v>
      </c>
      <c r="Z1117" s="283">
        <f t="shared" si="113"/>
        <v>3.5999999999999997E-2</v>
      </c>
      <c r="AA1117" s="283">
        <f t="shared" si="113"/>
        <v>0</v>
      </c>
      <c r="AB1117" s="340">
        <f t="shared" si="113"/>
        <v>1.37</v>
      </c>
    </row>
    <row r="1118" spans="1:28">
      <c r="A1118" t="str">
        <f t="shared" si="108"/>
        <v>乗0メQGA</v>
      </c>
      <c r="B1118" t="s">
        <v>2132</v>
      </c>
      <c r="C1118" t="s">
        <v>2113</v>
      </c>
      <c r="D1118" t="s">
        <v>2382</v>
      </c>
      <c r="E1118" t="s">
        <v>1718</v>
      </c>
      <c r="F1118">
        <v>3.5999999999999997E-2</v>
      </c>
      <c r="G1118">
        <v>0</v>
      </c>
      <c r="H1118">
        <v>1.37</v>
      </c>
      <c r="I1118" t="s">
        <v>1259</v>
      </c>
      <c r="J1118"/>
      <c r="T1118" s="292" t="str">
        <f t="shared" si="109"/>
        <v>乗用車</v>
      </c>
      <c r="U1118" s="283" t="str">
        <f t="shared" si="110"/>
        <v>メタノール</v>
      </c>
      <c r="V1118" s="283" t="str">
        <f t="shared" si="111"/>
        <v>全て</v>
      </c>
      <c r="W1118" s="283" t="str">
        <f t="shared" si="112"/>
        <v>H21</v>
      </c>
      <c r="X1118" s="284" t="str">
        <f t="shared" si="112"/>
        <v>QGA</v>
      </c>
      <c r="Y1118" s="271" t="s">
        <v>1762</v>
      </c>
      <c r="Z1118" s="283">
        <f t="shared" si="113"/>
        <v>3.5999999999999997E-2</v>
      </c>
      <c r="AA1118" s="283">
        <f t="shared" si="113"/>
        <v>0</v>
      </c>
      <c r="AB1118" s="340">
        <f t="shared" si="113"/>
        <v>1.37</v>
      </c>
    </row>
    <row r="1119" spans="1:28">
      <c r="A1119" t="str">
        <f t="shared" si="108"/>
        <v>乗0メ3HA</v>
      </c>
      <c r="B1119" t="s">
        <v>2132</v>
      </c>
      <c r="C1119" t="s">
        <v>2113</v>
      </c>
      <c r="D1119" t="s">
        <v>2744</v>
      </c>
      <c r="E1119" t="s">
        <v>2961</v>
      </c>
      <c r="F1119">
        <v>7.4999999999999997E-2</v>
      </c>
      <c r="G1119">
        <v>0</v>
      </c>
      <c r="H1119">
        <v>1.37</v>
      </c>
      <c r="I1119" t="s">
        <v>1259</v>
      </c>
      <c r="J1119"/>
      <c r="T1119" s="292" t="str">
        <f t="shared" si="109"/>
        <v>乗用車</v>
      </c>
      <c r="U1119" s="283" t="str">
        <f t="shared" si="110"/>
        <v>メタノール</v>
      </c>
      <c r="V1119" s="283" t="str">
        <f t="shared" si="111"/>
        <v>全て</v>
      </c>
      <c r="W1119" s="283" t="str">
        <f t="shared" si="112"/>
        <v>H30</v>
      </c>
      <c r="X1119" s="284" t="str">
        <f t="shared" si="112"/>
        <v>3HA</v>
      </c>
      <c r="Y1119" s="271"/>
      <c r="Z1119" s="283">
        <f t="shared" si="113"/>
        <v>7.4999999999999997E-2</v>
      </c>
      <c r="AA1119" s="283">
        <f t="shared" si="113"/>
        <v>0</v>
      </c>
      <c r="AB1119" s="340">
        <f t="shared" si="113"/>
        <v>1.37</v>
      </c>
    </row>
    <row r="1120" spans="1:28">
      <c r="A1120" t="str">
        <f t="shared" si="108"/>
        <v>乗0メ3GA</v>
      </c>
      <c r="B1120" t="s">
        <v>2132</v>
      </c>
      <c r="C1120" t="s">
        <v>2113</v>
      </c>
      <c r="D1120" t="s">
        <v>2746</v>
      </c>
      <c r="E1120" t="s">
        <v>2962</v>
      </c>
      <c r="F1120">
        <v>3.7499999999999999E-2</v>
      </c>
      <c r="G1120">
        <v>0</v>
      </c>
      <c r="H1120">
        <v>1.37</v>
      </c>
      <c r="I1120" t="s">
        <v>1259</v>
      </c>
      <c r="J1120"/>
      <c r="T1120" s="292" t="str">
        <f t="shared" si="109"/>
        <v>乗用車</v>
      </c>
      <c r="U1120" s="283" t="str">
        <f t="shared" si="110"/>
        <v>メタノール</v>
      </c>
      <c r="V1120" s="283" t="str">
        <f t="shared" si="111"/>
        <v>全て</v>
      </c>
      <c r="W1120" s="283" t="str">
        <f t="shared" si="112"/>
        <v>H30</v>
      </c>
      <c r="X1120" s="284" t="str">
        <f t="shared" si="112"/>
        <v>3GA</v>
      </c>
      <c r="Y1120" s="271"/>
      <c r="Z1120" s="283">
        <f t="shared" si="113"/>
        <v>3.7499999999999999E-2</v>
      </c>
      <c r="AA1120" s="283">
        <f t="shared" si="113"/>
        <v>0</v>
      </c>
      <c r="AB1120" s="340">
        <f t="shared" si="113"/>
        <v>1.37</v>
      </c>
    </row>
    <row r="1121" spans="1:28">
      <c r="A1121" t="str">
        <f t="shared" si="108"/>
        <v>乗0メ4HA</v>
      </c>
      <c r="B1121" t="s">
        <v>2132</v>
      </c>
      <c r="C1121" t="s">
        <v>2113</v>
      </c>
      <c r="D1121" t="s">
        <v>2748</v>
      </c>
      <c r="E1121" t="s">
        <v>2963</v>
      </c>
      <c r="F1121">
        <v>5.6249999999999994E-2</v>
      </c>
      <c r="G1121">
        <v>0</v>
      </c>
      <c r="H1121">
        <v>1.37</v>
      </c>
      <c r="I1121" t="s">
        <v>1259</v>
      </c>
      <c r="J1121"/>
      <c r="T1121" s="292" t="str">
        <f t="shared" si="109"/>
        <v>乗用車</v>
      </c>
      <c r="U1121" s="283" t="str">
        <f t="shared" si="110"/>
        <v>メタノール</v>
      </c>
      <c r="V1121" s="283" t="str">
        <f t="shared" si="111"/>
        <v>全て</v>
      </c>
      <c r="W1121" s="283" t="str">
        <f t="shared" si="112"/>
        <v>H30</v>
      </c>
      <c r="X1121" s="284" t="str">
        <f t="shared" si="112"/>
        <v>4HA</v>
      </c>
      <c r="Y1121" s="271" t="s">
        <v>1769</v>
      </c>
      <c r="Z1121" s="283">
        <f t="shared" si="113"/>
        <v>5.6249999999999994E-2</v>
      </c>
      <c r="AA1121" s="283">
        <f t="shared" si="113"/>
        <v>0</v>
      </c>
      <c r="AB1121" s="340">
        <f t="shared" si="113"/>
        <v>1.37</v>
      </c>
    </row>
    <row r="1122" spans="1:28">
      <c r="A1122" t="str">
        <f t="shared" si="108"/>
        <v>乗0メ4GA</v>
      </c>
      <c r="B1122" t="s">
        <v>2132</v>
      </c>
      <c r="C1122" t="s">
        <v>2113</v>
      </c>
      <c r="D1122" t="s">
        <v>2750</v>
      </c>
      <c r="E1122" t="s">
        <v>2964</v>
      </c>
      <c r="F1122">
        <v>5.6249999999999994E-2</v>
      </c>
      <c r="G1122">
        <v>0</v>
      </c>
      <c r="H1122">
        <v>1.37</v>
      </c>
      <c r="I1122" t="s">
        <v>1259</v>
      </c>
      <c r="J1122"/>
      <c r="T1122" s="292" t="str">
        <f t="shared" si="109"/>
        <v>乗用車</v>
      </c>
      <c r="U1122" s="283" t="str">
        <f t="shared" si="110"/>
        <v>メタノール</v>
      </c>
      <c r="V1122" s="283" t="str">
        <f t="shared" si="111"/>
        <v>全て</v>
      </c>
      <c r="W1122" s="283" t="str">
        <f t="shared" si="112"/>
        <v>H30</v>
      </c>
      <c r="X1122" s="284" t="str">
        <f t="shared" si="112"/>
        <v>4GA</v>
      </c>
      <c r="Y1122" s="271" t="s">
        <v>1769</v>
      </c>
      <c r="Z1122" s="283">
        <f t="shared" si="113"/>
        <v>5.6249999999999994E-2</v>
      </c>
      <c r="AA1122" s="283">
        <f t="shared" si="113"/>
        <v>0</v>
      </c>
      <c r="AB1122" s="340">
        <f t="shared" si="113"/>
        <v>1.37</v>
      </c>
    </row>
    <row r="1123" spans="1:28">
      <c r="A1123" t="str">
        <f t="shared" si="108"/>
        <v>乗0メ5HA</v>
      </c>
      <c r="B1123" t="s">
        <v>2132</v>
      </c>
      <c r="C1123" t="s">
        <v>2113</v>
      </c>
      <c r="D1123" t="s">
        <v>2748</v>
      </c>
      <c r="E1123" t="s">
        <v>2965</v>
      </c>
      <c r="F1123">
        <v>3.7499999999999999E-2</v>
      </c>
      <c r="G1123">
        <v>0</v>
      </c>
      <c r="H1123">
        <v>1.37</v>
      </c>
      <c r="I1123" t="s">
        <v>1259</v>
      </c>
      <c r="J1123"/>
      <c r="T1123" s="292" t="str">
        <f t="shared" si="109"/>
        <v>乗用車</v>
      </c>
      <c r="U1123" s="283" t="str">
        <f t="shared" si="110"/>
        <v>メタノール</v>
      </c>
      <c r="V1123" s="283" t="str">
        <f t="shared" si="111"/>
        <v>全て</v>
      </c>
      <c r="W1123" s="283" t="str">
        <f t="shared" si="112"/>
        <v>H30</v>
      </c>
      <c r="X1123" s="284" t="str">
        <f t="shared" si="112"/>
        <v>5HA</v>
      </c>
      <c r="Y1123" s="271" t="s">
        <v>2262</v>
      </c>
      <c r="Z1123" s="283">
        <f t="shared" si="113"/>
        <v>3.7499999999999999E-2</v>
      </c>
      <c r="AA1123" s="283">
        <f t="shared" si="113"/>
        <v>0</v>
      </c>
      <c r="AB1123" s="340">
        <f t="shared" si="113"/>
        <v>1.37</v>
      </c>
    </row>
    <row r="1124" spans="1:28">
      <c r="A1124" t="str">
        <f t="shared" ref="A1124:A1149" si="114">CONCATENATE(C1124,E1124)</f>
        <v>乗0メ5GA</v>
      </c>
      <c r="B1124" t="s">
        <v>2132</v>
      </c>
      <c r="C1124" t="s">
        <v>2113</v>
      </c>
      <c r="D1124" t="s">
        <v>2750</v>
      </c>
      <c r="E1124" t="s">
        <v>2966</v>
      </c>
      <c r="F1124">
        <v>3.7499999999999999E-2</v>
      </c>
      <c r="G1124">
        <v>0</v>
      </c>
      <c r="H1124">
        <v>1.37</v>
      </c>
      <c r="I1124" t="s">
        <v>1259</v>
      </c>
      <c r="J1124"/>
      <c r="T1124" s="292" t="str">
        <f t="shared" si="109"/>
        <v>乗用車</v>
      </c>
      <c r="U1124" s="283" t="str">
        <f t="shared" si="110"/>
        <v>メタノール</v>
      </c>
      <c r="V1124" s="283" t="str">
        <f t="shared" si="111"/>
        <v>全て</v>
      </c>
      <c r="W1124" s="283" t="str">
        <f t="shared" si="112"/>
        <v>H30</v>
      </c>
      <c r="X1124" s="284" t="str">
        <f t="shared" si="112"/>
        <v>5GA</v>
      </c>
      <c r="Y1124" s="271" t="s">
        <v>2262</v>
      </c>
      <c r="Z1124" s="283">
        <f t="shared" si="113"/>
        <v>3.7499999999999999E-2</v>
      </c>
      <c r="AA1124" s="283">
        <f t="shared" si="113"/>
        <v>0</v>
      </c>
      <c r="AB1124" s="340">
        <f t="shared" si="113"/>
        <v>1.37</v>
      </c>
    </row>
    <row r="1125" spans="1:28">
      <c r="A1125" t="str">
        <f t="shared" si="114"/>
        <v>乗0メ6HA</v>
      </c>
      <c r="B1125" t="s">
        <v>2132</v>
      </c>
      <c r="C1125" t="s">
        <v>2113</v>
      </c>
      <c r="D1125" t="s">
        <v>2748</v>
      </c>
      <c r="E1125" t="s">
        <v>2967</v>
      </c>
      <c r="F1125">
        <v>1.8749999999999999E-2</v>
      </c>
      <c r="G1125">
        <v>0</v>
      </c>
      <c r="H1125">
        <v>1.37</v>
      </c>
      <c r="I1125" t="s">
        <v>1259</v>
      </c>
      <c r="J1125"/>
      <c r="T1125" s="292" t="str">
        <f t="shared" si="109"/>
        <v>乗用車</v>
      </c>
      <c r="U1125" s="283" t="str">
        <f t="shared" si="110"/>
        <v>メタノール</v>
      </c>
      <c r="V1125" s="283" t="str">
        <f t="shared" si="111"/>
        <v>全て</v>
      </c>
      <c r="W1125" s="283" t="str">
        <f t="shared" si="112"/>
        <v>H30</v>
      </c>
      <c r="X1125" s="284" t="str">
        <f t="shared" si="112"/>
        <v>6HA</v>
      </c>
      <c r="Y1125" s="271" t="s">
        <v>2758</v>
      </c>
      <c r="Z1125" s="283">
        <f t="shared" si="113"/>
        <v>1.8749999999999999E-2</v>
      </c>
      <c r="AA1125" s="283">
        <f t="shared" si="113"/>
        <v>0</v>
      </c>
      <c r="AB1125" s="340">
        <f t="shared" si="113"/>
        <v>1.37</v>
      </c>
    </row>
    <row r="1126" spans="1:28">
      <c r="A1126" t="str">
        <f t="shared" si="114"/>
        <v>乗0メ6GA</v>
      </c>
      <c r="B1126" t="s">
        <v>2132</v>
      </c>
      <c r="C1126" t="s">
        <v>2113</v>
      </c>
      <c r="D1126" t="s">
        <v>2750</v>
      </c>
      <c r="E1126" t="s">
        <v>2968</v>
      </c>
      <c r="F1126">
        <v>1.8749999999999999E-2</v>
      </c>
      <c r="G1126">
        <v>0</v>
      </c>
      <c r="H1126">
        <v>1.37</v>
      </c>
      <c r="I1126" t="s">
        <v>1259</v>
      </c>
      <c r="J1126"/>
      <c r="T1126" s="292" t="str">
        <f t="shared" si="109"/>
        <v>乗用車</v>
      </c>
      <c r="U1126" s="283" t="str">
        <f t="shared" si="110"/>
        <v>メタノール</v>
      </c>
      <c r="V1126" s="283" t="str">
        <f t="shared" si="111"/>
        <v>全て</v>
      </c>
      <c r="W1126" s="283" t="str">
        <f t="shared" si="112"/>
        <v>H30</v>
      </c>
      <c r="X1126" s="284" t="str">
        <f t="shared" si="112"/>
        <v>6GA</v>
      </c>
      <c r="Y1126" s="271" t="s">
        <v>2758</v>
      </c>
      <c r="Z1126" s="283">
        <f t="shared" si="113"/>
        <v>1.8749999999999999E-2</v>
      </c>
      <c r="AA1126" s="283">
        <f t="shared" si="113"/>
        <v>0</v>
      </c>
      <c r="AB1126" s="340">
        <f t="shared" si="113"/>
        <v>1.37</v>
      </c>
    </row>
    <row r="1127" spans="1:28">
      <c r="A1127" t="str">
        <f t="shared" si="114"/>
        <v>乗0電EA</v>
      </c>
      <c r="B1127" t="s">
        <v>2065</v>
      </c>
      <c r="C1127" t="s">
        <v>2055</v>
      </c>
      <c r="D1127"/>
      <c r="E1127" t="s">
        <v>1720</v>
      </c>
      <c r="F1127">
        <v>0</v>
      </c>
      <c r="G1127">
        <v>0</v>
      </c>
      <c r="H1127">
        <v>0</v>
      </c>
      <c r="I1127" t="s">
        <v>42</v>
      </c>
      <c r="J1127"/>
      <c r="T1127" s="460" t="s">
        <v>1961</v>
      </c>
      <c r="U1127" s="455" t="s">
        <v>201</v>
      </c>
      <c r="V1127" s="455" t="s">
        <v>2420</v>
      </c>
      <c r="W1127" s="461"/>
      <c r="X1127" s="455" t="s">
        <v>1720</v>
      </c>
      <c r="Y1127" s="271"/>
      <c r="Z1127" s="455">
        <v>0</v>
      </c>
      <c r="AA1127" s="455">
        <v>0</v>
      </c>
      <c r="AB1127" s="462">
        <v>0</v>
      </c>
    </row>
    <row r="1128" spans="1:28">
      <c r="A1128" t="str">
        <f t="shared" si="114"/>
        <v>貨1電EB</v>
      </c>
      <c r="B1128" t="s">
        <v>2969</v>
      </c>
      <c r="C1128" t="s">
        <v>2056</v>
      </c>
      <c r="D1128"/>
      <c r="E1128" t="s">
        <v>1723</v>
      </c>
      <c r="F1128">
        <v>0</v>
      </c>
      <c r="G1128">
        <v>0</v>
      </c>
      <c r="H1128">
        <v>0</v>
      </c>
      <c r="I1128" t="s">
        <v>42</v>
      </c>
      <c r="J1128"/>
      <c r="T1128" s="460" t="s">
        <v>1760</v>
      </c>
      <c r="U1128" s="455" t="s">
        <v>201</v>
      </c>
      <c r="V1128" s="455" t="s">
        <v>2397</v>
      </c>
      <c r="W1128" s="461"/>
      <c r="X1128" s="455" t="s">
        <v>1723</v>
      </c>
      <c r="Y1128" s="271"/>
      <c r="Z1128" s="455">
        <v>0</v>
      </c>
      <c r="AA1128" s="455">
        <v>0</v>
      </c>
      <c r="AB1128" s="462">
        <v>0</v>
      </c>
    </row>
    <row r="1129" spans="1:28">
      <c r="A1129" t="str">
        <f t="shared" si="114"/>
        <v>貨2電EC</v>
      </c>
      <c r="B1129" t="s">
        <v>2970</v>
      </c>
      <c r="C1129" t="s">
        <v>2057</v>
      </c>
      <c r="D1129"/>
      <c r="E1129" t="s">
        <v>1726</v>
      </c>
      <c r="F1129">
        <v>0</v>
      </c>
      <c r="G1129">
        <v>0</v>
      </c>
      <c r="H1129">
        <v>0</v>
      </c>
      <c r="I1129" t="s">
        <v>42</v>
      </c>
      <c r="J1129"/>
      <c r="T1129" s="460" t="s">
        <v>1760</v>
      </c>
      <c r="U1129" s="455" t="s">
        <v>201</v>
      </c>
      <c r="V1129" s="455" t="s">
        <v>2971</v>
      </c>
      <c r="W1129" s="461"/>
      <c r="X1129" s="455" t="s">
        <v>1726</v>
      </c>
      <c r="Y1129" s="455"/>
      <c r="Z1129" s="455">
        <v>0</v>
      </c>
      <c r="AA1129" s="455">
        <v>0</v>
      </c>
      <c r="AB1129" s="462">
        <v>0</v>
      </c>
    </row>
    <row r="1130" spans="1:28">
      <c r="A1130" t="str">
        <f t="shared" si="114"/>
        <v>貨3電EC</v>
      </c>
      <c r="B1130" t="s">
        <v>2972</v>
      </c>
      <c r="C1130" t="s">
        <v>2058</v>
      </c>
      <c r="D1130"/>
      <c r="E1130" t="s">
        <v>1726</v>
      </c>
      <c r="F1130">
        <v>0</v>
      </c>
      <c r="G1130">
        <v>0</v>
      </c>
      <c r="H1130">
        <v>0</v>
      </c>
      <c r="I1130" t="s">
        <v>42</v>
      </c>
      <c r="J1130"/>
      <c r="T1130" s="460" t="s">
        <v>1760</v>
      </c>
      <c r="U1130" s="455" t="s">
        <v>1778</v>
      </c>
      <c r="V1130" s="455" t="s">
        <v>2394</v>
      </c>
      <c r="W1130" s="461"/>
      <c r="X1130" s="455" t="s">
        <v>1731</v>
      </c>
      <c r="Y1130" s="455"/>
      <c r="Z1130" s="455">
        <v>0</v>
      </c>
      <c r="AA1130" s="455">
        <v>0</v>
      </c>
      <c r="AB1130" s="462">
        <v>0</v>
      </c>
    </row>
    <row r="1131" spans="1:28">
      <c r="A1131" t="str">
        <f t="shared" si="114"/>
        <v>貨4電ED</v>
      </c>
      <c r="B1131" t="s">
        <v>2973</v>
      </c>
      <c r="C1131" t="s">
        <v>2059</v>
      </c>
      <c r="D1131"/>
      <c r="E1131" t="s">
        <v>1731</v>
      </c>
      <c r="F1131">
        <v>0</v>
      </c>
      <c r="G1131">
        <v>0</v>
      </c>
      <c r="H1131">
        <v>0</v>
      </c>
      <c r="I1131" t="s">
        <v>42</v>
      </c>
      <c r="J1131"/>
      <c r="T1131" s="460" t="s">
        <v>1773</v>
      </c>
      <c r="U1131" s="455" t="s">
        <v>1778</v>
      </c>
      <c r="V1131" s="455" t="s">
        <v>1774</v>
      </c>
      <c r="W1131" s="461"/>
      <c r="X1131" s="455" t="s">
        <v>1733</v>
      </c>
      <c r="Y1131" s="455"/>
      <c r="Z1131" s="455">
        <v>0</v>
      </c>
      <c r="AA1131" s="455">
        <v>0</v>
      </c>
      <c r="AB1131" s="462">
        <v>0</v>
      </c>
    </row>
    <row r="1132" spans="1:28">
      <c r="A1132" t="str">
        <f t="shared" si="114"/>
        <v>乗0電ZAA</v>
      </c>
      <c r="B1132" t="s">
        <v>2133</v>
      </c>
      <c r="C1132" t="s">
        <v>2055</v>
      </c>
      <c r="D1132" t="s">
        <v>1979</v>
      </c>
      <c r="E1132" t="s">
        <v>1733</v>
      </c>
      <c r="F1132">
        <v>0</v>
      </c>
      <c r="G1132">
        <v>0</v>
      </c>
      <c r="H1132">
        <v>0</v>
      </c>
      <c r="I1132" t="s">
        <v>42</v>
      </c>
      <c r="J1132"/>
      <c r="T1132" s="460" t="s">
        <v>1779</v>
      </c>
      <c r="U1132" s="455" t="s">
        <v>1778</v>
      </c>
      <c r="V1132" s="455" t="s">
        <v>1774</v>
      </c>
      <c r="W1132" s="461" t="s">
        <v>1979</v>
      </c>
      <c r="X1132" s="455" t="s">
        <v>1735</v>
      </c>
      <c r="Y1132" s="455"/>
      <c r="Z1132" s="455">
        <v>0</v>
      </c>
      <c r="AA1132" s="455">
        <v>0</v>
      </c>
      <c r="AB1132" s="462">
        <v>0</v>
      </c>
    </row>
    <row r="1133" spans="1:28">
      <c r="A1133" t="str">
        <f t="shared" si="114"/>
        <v>貨1電ZAB</v>
      </c>
      <c r="B1133" t="s">
        <v>2133</v>
      </c>
      <c r="C1133" t="s">
        <v>2056</v>
      </c>
      <c r="D1133" t="s">
        <v>1979</v>
      </c>
      <c r="E1133" t="s">
        <v>1735</v>
      </c>
      <c r="F1133">
        <v>0</v>
      </c>
      <c r="G1133">
        <v>0</v>
      </c>
      <c r="H1133">
        <v>0</v>
      </c>
      <c r="I1133" t="s">
        <v>42</v>
      </c>
      <c r="J1133"/>
      <c r="T1133" s="460" t="s">
        <v>1780</v>
      </c>
      <c r="U1133" s="455" t="s">
        <v>1778</v>
      </c>
      <c r="V1133" s="455" t="s">
        <v>1774</v>
      </c>
      <c r="W1133" s="461" t="s">
        <v>1979</v>
      </c>
      <c r="X1133" s="455" t="s">
        <v>1740</v>
      </c>
      <c r="Y1133" s="455"/>
      <c r="Z1133" s="455">
        <v>0</v>
      </c>
      <c r="AA1133" s="455">
        <v>0</v>
      </c>
      <c r="AB1133" s="462">
        <v>0</v>
      </c>
    </row>
    <row r="1134" spans="1:28">
      <c r="A1134" t="str">
        <f t="shared" si="114"/>
        <v>貨2電ZAB</v>
      </c>
      <c r="B1134" t="s">
        <v>2133</v>
      </c>
      <c r="C1134" t="s">
        <v>2057</v>
      </c>
      <c r="D1134" t="s">
        <v>1979</v>
      </c>
      <c r="E1134" t="s">
        <v>1735</v>
      </c>
      <c r="F1134">
        <v>0</v>
      </c>
      <c r="G1134">
        <v>0</v>
      </c>
      <c r="H1134">
        <v>0</v>
      </c>
      <c r="I1134" t="s">
        <v>42</v>
      </c>
      <c r="J1134"/>
      <c r="T1134" s="460" t="s">
        <v>1773</v>
      </c>
      <c r="U1134" s="455" t="s">
        <v>1781</v>
      </c>
      <c r="V1134" s="455" t="s">
        <v>1774</v>
      </c>
      <c r="W1134" s="461" t="s">
        <v>1979</v>
      </c>
      <c r="X1134" s="455" t="s">
        <v>1745</v>
      </c>
      <c r="Y1134" s="455"/>
      <c r="Z1134" s="455">
        <v>0</v>
      </c>
      <c r="AA1134" s="455">
        <v>0</v>
      </c>
      <c r="AB1134" s="462">
        <v>0</v>
      </c>
    </row>
    <row r="1135" spans="1:28">
      <c r="A1135" t="str">
        <f t="shared" si="114"/>
        <v>貨3電ZAB</v>
      </c>
      <c r="B1135" t="s">
        <v>2133</v>
      </c>
      <c r="C1135" t="s">
        <v>2058</v>
      </c>
      <c r="D1135" t="s">
        <v>1979</v>
      </c>
      <c r="E1135" t="s">
        <v>1735</v>
      </c>
      <c r="F1135">
        <v>0</v>
      </c>
      <c r="G1135">
        <v>0</v>
      </c>
      <c r="H1135">
        <v>0</v>
      </c>
      <c r="I1135" t="s">
        <v>42</v>
      </c>
      <c r="J1135"/>
      <c r="T1135" s="460" t="s">
        <v>1779</v>
      </c>
      <c r="U1135" s="455" t="s">
        <v>1781</v>
      </c>
      <c r="V1135" s="455" t="s">
        <v>1774</v>
      </c>
      <c r="W1135" s="461" t="s">
        <v>1979</v>
      </c>
      <c r="X1135" s="455" t="s">
        <v>1747</v>
      </c>
      <c r="Y1135" s="455"/>
      <c r="Z1135" s="455">
        <v>0</v>
      </c>
      <c r="AA1135" s="455">
        <v>0</v>
      </c>
      <c r="AB1135" s="462">
        <v>0</v>
      </c>
    </row>
    <row r="1136" spans="1:28" ht="13.5" thickBot="1">
      <c r="A1136" t="str">
        <f t="shared" si="114"/>
        <v>貨4電ZAB</v>
      </c>
      <c r="B1136" t="s">
        <v>2133</v>
      </c>
      <c r="C1136" t="s">
        <v>2059</v>
      </c>
      <c r="D1136" t="s">
        <v>1979</v>
      </c>
      <c r="E1136" t="s">
        <v>1735</v>
      </c>
      <c r="F1136">
        <v>0</v>
      </c>
      <c r="G1136">
        <v>0</v>
      </c>
      <c r="H1136">
        <v>0</v>
      </c>
      <c r="I1136" t="s">
        <v>42</v>
      </c>
      <c r="J1136"/>
      <c r="T1136" s="463" t="s">
        <v>1780</v>
      </c>
      <c r="U1136" s="464" t="s">
        <v>1781</v>
      </c>
      <c r="V1136" s="464" t="s">
        <v>1774</v>
      </c>
      <c r="W1136" s="465" t="s">
        <v>1979</v>
      </c>
      <c r="X1136" s="464" t="s">
        <v>1752</v>
      </c>
      <c r="Y1136" s="464"/>
      <c r="Z1136" s="464">
        <v>0</v>
      </c>
      <c r="AA1136" s="464">
        <v>0</v>
      </c>
      <c r="AB1136" s="466">
        <v>0</v>
      </c>
    </row>
    <row r="1137" spans="1:10">
      <c r="A1137" t="str">
        <f t="shared" si="114"/>
        <v>貨1電ZAC</v>
      </c>
      <c r="B1137" t="s">
        <v>2133</v>
      </c>
      <c r="C1137" t="s">
        <v>2056</v>
      </c>
      <c r="D1137" t="s">
        <v>1979</v>
      </c>
      <c r="E1137" t="s">
        <v>1740</v>
      </c>
      <c r="F1137">
        <v>0</v>
      </c>
      <c r="G1137">
        <v>0</v>
      </c>
      <c r="H1137">
        <v>0</v>
      </c>
      <c r="I1137" t="s">
        <v>42</v>
      </c>
      <c r="J1137"/>
    </row>
    <row r="1138" spans="1:10">
      <c r="A1138" t="str">
        <f t="shared" si="114"/>
        <v>貨2電ZAC</v>
      </c>
      <c r="B1138" t="s">
        <v>2133</v>
      </c>
      <c r="C1138" t="s">
        <v>2057</v>
      </c>
      <c r="D1138" t="s">
        <v>1979</v>
      </c>
      <c r="E1138" t="s">
        <v>1740</v>
      </c>
      <c r="F1138">
        <v>0</v>
      </c>
      <c r="G1138">
        <v>0</v>
      </c>
      <c r="H1138">
        <v>0</v>
      </c>
      <c r="I1138" t="s">
        <v>42</v>
      </c>
      <c r="J1138"/>
    </row>
    <row r="1139" spans="1:10">
      <c r="A1139" t="str">
        <f t="shared" si="114"/>
        <v>貨3電ZAC</v>
      </c>
      <c r="B1139" t="s">
        <v>2133</v>
      </c>
      <c r="C1139" t="s">
        <v>2058</v>
      </c>
      <c r="D1139" t="s">
        <v>1979</v>
      </c>
      <c r="E1139" t="s">
        <v>1740</v>
      </c>
      <c r="F1139">
        <v>0</v>
      </c>
      <c r="G1139">
        <v>0</v>
      </c>
      <c r="H1139">
        <v>0</v>
      </c>
      <c r="I1139" t="s">
        <v>42</v>
      </c>
      <c r="J1139"/>
    </row>
    <row r="1140" spans="1:10">
      <c r="A1140" t="str">
        <f t="shared" si="114"/>
        <v>貨4電ZAC</v>
      </c>
      <c r="B1140" t="s">
        <v>2133</v>
      </c>
      <c r="C1140" t="s">
        <v>2059</v>
      </c>
      <c r="D1140" t="s">
        <v>1979</v>
      </c>
      <c r="E1140" t="s">
        <v>1740</v>
      </c>
      <c r="F1140">
        <v>0</v>
      </c>
      <c r="G1140">
        <v>0</v>
      </c>
      <c r="H1140">
        <v>0</v>
      </c>
      <c r="I1140" t="s">
        <v>42</v>
      </c>
      <c r="J1140"/>
    </row>
    <row r="1141" spans="1:10">
      <c r="A1141" t="str">
        <f t="shared" si="114"/>
        <v>乗0燃電ZBA</v>
      </c>
      <c r="B1141" t="s">
        <v>2133</v>
      </c>
      <c r="C1141" t="s">
        <v>2060</v>
      </c>
      <c r="D1141" t="s">
        <v>1979</v>
      </c>
      <c r="E1141" t="s">
        <v>1745</v>
      </c>
      <c r="F1141">
        <v>0</v>
      </c>
      <c r="G1141">
        <v>0</v>
      </c>
      <c r="H1141">
        <v>0</v>
      </c>
      <c r="I1141" t="s">
        <v>1962</v>
      </c>
      <c r="J1141"/>
    </row>
    <row r="1142" spans="1:10">
      <c r="A1142" t="str">
        <f t="shared" si="114"/>
        <v>貨1燃電ZBB</v>
      </c>
      <c r="B1142" t="s">
        <v>2133</v>
      </c>
      <c r="C1142" t="s">
        <v>2061</v>
      </c>
      <c r="D1142" t="s">
        <v>1979</v>
      </c>
      <c r="E1142" t="s">
        <v>1747</v>
      </c>
      <c r="F1142">
        <v>0</v>
      </c>
      <c r="G1142">
        <v>0</v>
      </c>
      <c r="H1142">
        <v>0</v>
      </c>
      <c r="I1142" t="s">
        <v>1962</v>
      </c>
      <c r="J1142"/>
    </row>
    <row r="1143" spans="1:10">
      <c r="A1143" t="str">
        <f t="shared" si="114"/>
        <v>貨2燃電ZBB</v>
      </c>
      <c r="B1143" t="s">
        <v>2133</v>
      </c>
      <c r="C1143" t="s">
        <v>2062</v>
      </c>
      <c r="D1143" t="s">
        <v>1979</v>
      </c>
      <c r="E1143" t="s">
        <v>1747</v>
      </c>
      <c r="F1143">
        <v>0</v>
      </c>
      <c r="G1143">
        <v>0</v>
      </c>
      <c r="H1143">
        <v>0</v>
      </c>
      <c r="I1143" t="s">
        <v>1962</v>
      </c>
      <c r="J1143"/>
    </row>
    <row r="1144" spans="1:10">
      <c r="A1144" t="str">
        <f t="shared" si="114"/>
        <v>貨3燃電ZBB</v>
      </c>
      <c r="B1144" t="s">
        <v>2133</v>
      </c>
      <c r="C1144" t="s">
        <v>2063</v>
      </c>
      <c r="D1144" t="s">
        <v>1979</v>
      </c>
      <c r="E1144" t="s">
        <v>1747</v>
      </c>
      <c r="F1144">
        <v>0</v>
      </c>
      <c r="G1144">
        <v>0</v>
      </c>
      <c r="H1144">
        <v>0</v>
      </c>
      <c r="I1144" t="s">
        <v>1962</v>
      </c>
      <c r="J1144"/>
    </row>
    <row r="1145" spans="1:10">
      <c r="A1145" t="str">
        <f t="shared" si="114"/>
        <v>貨4燃電ZBB</v>
      </c>
      <c r="B1145" t="s">
        <v>2133</v>
      </c>
      <c r="C1145" t="s">
        <v>2064</v>
      </c>
      <c r="D1145" t="s">
        <v>1979</v>
      </c>
      <c r="E1145" t="s">
        <v>1747</v>
      </c>
      <c r="F1145">
        <v>0</v>
      </c>
      <c r="G1145">
        <v>0</v>
      </c>
      <c r="H1145">
        <v>0</v>
      </c>
      <c r="I1145" t="s">
        <v>1962</v>
      </c>
      <c r="J1145"/>
    </row>
    <row r="1146" spans="1:10">
      <c r="A1146" t="str">
        <f t="shared" si="114"/>
        <v>貨1燃電ZBC</v>
      </c>
      <c r="B1146" t="s">
        <v>2133</v>
      </c>
      <c r="C1146" t="s">
        <v>2061</v>
      </c>
      <c r="D1146" t="s">
        <v>1979</v>
      </c>
      <c r="E1146" t="s">
        <v>1752</v>
      </c>
      <c r="F1146">
        <v>0</v>
      </c>
      <c r="G1146">
        <v>0</v>
      </c>
      <c r="H1146">
        <v>0</v>
      </c>
      <c r="I1146" t="s">
        <v>1962</v>
      </c>
      <c r="J1146"/>
    </row>
    <row r="1147" spans="1:10">
      <c r="A1147" t="str">
        <f t="shared" si="114"/>
        <v>貨2燃電ZBC</v>
      </c>
      <c r="B1147" t="s">
        <v>2133</v>
      </c>
      <c r="C1147" t="s">
        <v>2062</v>
      </c>
      <c r="D1147" t="s">
        <v>1979</v>
      </c>
      <c r="E1147" t="s">
        <v>1752</v>
      </c>
      <c r="F1147">
        <v>0</v>
      </c>
      <c r="G1147">
        <v>0</v>
      </c>
      <c r="H1147">
        <v>0</v>
      </c>
      <c r="I1147" t="s">
        <v>1962</v>
      </c>
      <c r="J1147"/>
    </row>
    <row r="1148" spans="1:10">
      <c r="A1148" t="str">
        <f t="shared" si="114"/>
        <v>貨3燃電ZBC</v>
      </c>
      <c r="B1148" t="s">
        <v>2133</v>
      </c>
      <c r="C1148" t="s">
        <v>2063</v>
      </c>
      <c r="D1148" t="s">
        <v>1979</v>
      </c>
      <c r="E1148" t="s">
        <v>1752</v>
      </c>
      <c r="F1148">
        <v>0</v>
      </c>
      <c r="G1148">
        <v>0</v>
      </c>
      <c r="H1148">
        <v>0</v>
      </c>
      <c r="I1148" t="s">
        <v>1962</v>
      </c>
      <c r="J1148"/>
    </row>
    <row r="1149" spans="1:10">
      <c r="A1149" t="str">
        <f t="shared" si="114"/>
        <v>貨4燃電ZBC</v>
      </c>
      <c r="B1149" t="s">
        <v>2133</v>
      </c>
      <c r="C1149" t="s">
        <v>2064</v>
      </c>
      <c r="D1149" t="s">
        <v>1979</v>
      </c>
      <c r="E1149" t="s">
        <v>1752</v>
      </c>
      <c r="F1149">
        <v>0</v>
      </c>
      <c r="G1149">
        <v>0</v>
      </c>
      <c r="H1149">
        <v>0</v>
      </c>
      <c r="I1149" t="s">
        <v>1962</v>
      </c>
      <c r="J1149"/>
    </row>
    <row r="1150" spans="1:10">
      <c r="A1150" s="453" t="s">
        <v>256</v>
      </c>
      <c r="B1150" s="453" t="s">
        <v>2008</v>
      </c>
      <c r="C1150" s="453" t="s">
        <v>1980</v>
      </c>
      <c r="D1150" s="453" t="s">
        <v>1979</v>
      </c>
      <c r="E1150" s="453" t="s">
        <v>1981</v>
      </c>
      <c r="F1150" s="467">
        <v>4.4999999999999998E-2</v>
      </c>
      <c r="G1150" s="453">
        <v>0</v>
      </c>
      <c r="H1150" s="453">
        <v>2.3199999999999998</v>
      </c>
      <c r="I1150" s="468" t="s">
        <v>239</v>
      </c>
    </row>
    <row r="1151" spans="1:10">
      <c r="A1151" s="453" t="s">
        <v>257</v>
      </c>
      <c r="B1151" s="453" t="s">
        <v>2008</v>
      </c>
      <c r="C1151" s="453" t="s">
        <v>1980</v>
      </c>
      <c r="D1151" s="453" t="s">
        <v>1979</v>
      </c>
      <c r="E1151" s="453" t="s">
        <v>1982</v>
      </c>
      <c r="F1151" s="467">
        <v>4.4999999999999998E-2</v>
      </c>
      <c r="G1151" s="453">
        <v>0</v>
      </c>
      <c r="H1151" s="453">
        <v>2.3199999999999998</v>
      </c>
      <c r="I1151" s="468" t="s">
        <v>232</v>
      </c>
    </row>
  </sheetData>
  <sheetProtection password="E798" sheet="1" objects="1" scenarios="1"/>
  <autoFilter ref="A3:AO3" xr:uid="{00000000-0009-0000-0000-00000B000000}"/>
  <mergeCells count="33">
    <mergeCell ref="Y601:Y602"/>
    <mergeCell ref="Y603:Y604"/>
    <mergeCell ref="Y577:Y578"/>
    <mergeCell ref="Y579:Y580"/>
    <mergeCell ref="Y581:Y582"/>
    <mergeCell ref="Y593:Y594"/>
    <mergeCell ref="Y595:Y596"/>
    <mergeCell ref="Y597:Y598"/>
    <mergeCell ref="AD39:AE39"/>
    <mergeCell ref="Y571:Y572"/>
    <mergeCell ref="Y573:Y574"/>
    <mergeCell ref="Y575:Y576"/>
    <mergeCell ref="Y599:Y600"/>
    <mergeCell ref="AD34:AE34"/>
    <mergeCell ref="AD35:AE35"/>
    <mergeCell ref="AD36:AE36"/>
    <mergeCell ref="AD37:AE37"/>
    <mergeCell ref="AD38:AE38"/>
    <mergeCell ref="AD28:AE28"/>
    <mergeCell ref="AD29:AE29"/>
    <mergeCell ref="AD30:AE30"/>
    <mergeCell ref="AD32:AG32"/>
    <mergeCell ref="AD33:AE33"/>
    <mergeCell ref="AD14:AE15"/>
    <mergeCell ref="AD16:AE17"/>
    <mergeCell ref="AD25:AE25"/>
    <mergeCell ref="AD26:AE26"/>
    <mergeCell ref="AD27:AE27"/>
    <mergeCell ref="T2:AB2"/>
    <mergeCell ref="AD7:AE8"/>
    <mergeCell ref="AD9:AF9"/>
    <mergeCell ref="AD10:AE11"/>
    <mergeCell ref="AD12:AE13"/>
  </mergeCells>
  <phoneticPr fontId="3"/>
  <printOptions horizontalCentered="1"/>
  <pageMargins left="0.23622047244094491" right="0.31496062992125984" top="0.3" bottom="0.23622047244094491" header="0.15748031496062992" footer="0.15748031496062992"/>
  <pageSetup paperSize="9" orientation="portrait" r:id="rId1"/>
  <headerFooter alignWithMargins="0"/>
  <rowBreaks count="18" manualBreakCount="18">
    <brk id="57" min="19" max="27" man="1"/>
    <brk id="111" min="19" max="27" man="1"/>
    <brk id="165" min="19" max="27" man="1"/>
    <brk id="219" min="19" max="27" man="1"/>
    <brk id="273" min="19" max="27" man="1"/>
    <brk id="327" min="19" max="27" man="1"/>
    <brk id="381" min="19" max="27" man="1"/>
    <brk id="435" min="19" max="27" man="1"/>
    <brk id="489" min="19" max="27" man="1"/>
    <brk id="543" min="19" max="27" man="1"/>
    <brk id="597" min="19" max="27" man="1"/>
    <brk id="651" min="19" max="27" man="1"/>
    <brk id="705" min="19" max="27" man="1"/>
    <brk id="759" min="19" max="27" man="1"/>
    <brk id="813" min="19" max="27" man="1"/>
    <brk id="867" min="19" max="27" man="1"/>
    <brk id="921" min="19" max="27" man="1"/>
    <brk id="979" min="19"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M1067"/>
  <sheetViews>
    <sheetView topLeftCell="S1" workbookViewId="0">
      <selection activeCell="AB39" sqref="AB39"/>
    </sheetView>
  </sheetViews>
  <sheetFormatPr defaultColWidth="9" defaultRowHeight="13"/>
  <cols>
    <col min="1" max="1" width="10.90625" style="74" hidden="1" customWidth="1"/>
    <col min="2" max="2" width="15.36328125" style="74" hidden="1" customWidth="1"/>
    <col min="3" max="3" width="14.6328125" style="74" hidden="1" customWidth="1"/>
    <col min="4" max="5" width="5.6328125" style="74" hidden="1" customWidth="1"/>
    <col min="6" max="6" width="6.36328125" style="74" hidden="1" customWidth="1"/>
    <col min="7" max="7" width="6.6328125" style="74" hidden="1" customWidth="1"/>
    <col min="8" max="18" width="5.6328125" style="74" hidden="1" customWidth="1"/>
    <col min="19" max="19" width="5.6328125" style="74" customWidth="1"/>
    <col min="20" max="20" width="11.6328125" style="74" customWidth="1"/>
    <col min="21" max="21" width="10.6328125" style="74" customWidth="1"/>
    <col min="22" max="22" width="12" style="74" customWidth="1"/>
    <col min="23" max="23" width="9" style="264"/>
    <col min="24" max="24" width="5.26953125" style="74" bestFit="1" customWidth="1"/>
    <col min="25" max="25" width="10.26953125" style="74" bestFit="1" customWidth="1"/>
    <col min="26" max="27" width="9.08984375" style="74" customWidth="1"/>
    <col min="28" max="30" width="9" style="74"/>
    <col min="31" max="31" width="24.26953125" style="74" customWidth="1"/>
    <col min="32" max="32" width="25.08984375" style="74" customWidth="1"/>
    <col min="33" max="16384" width="9" style="74"/>
  </cols>
  <sheetData>
    <row r="2" spans="1:39" s="78" customFormat="1" ht="14.5" thickBot="1">
      <c r="A2" s="47" t="s">
        <v>39</v>
      </c>
      <c r="B2" s="47"/>
      <c r="C2" s="47"/>
      <c r="D2" s="47"/>
      <c r="E2" s="47"/>
      <c r="F2" s="47" t="s">
        <v>2246</v>
      </c>
      <c r="G2" s="47" t="s">
        <v>2246</v>
      </c>
      <c r="H2" s="47" t="s">
        <v>2247</v>
      </c>
      <c r="I2" s="47"/>
      <c r="J2" s="47"/>
      <c r="K2" s="47"/>
      <c r="L2" s="47"/>
      <c r="M2" s="47"/>
      <c r="N2" s="47"/>
      <c r="O2" s="47"/>
      <c r="P2" s="47"/>
      <c r="Q2" s="47"/>
      <c r="R2" s="47"/>
      <c r="S2" s="47"/>
      <c r="T2" s="914" t="s">
        <v>2421</v>
      </c>
      <c r="U2" s="914"/>
      <c r="V2" s="914"/>
      <c r="W2" s="914"/>
      <c r="X2" s="914"/>
      <c r="Y2" s="914"/>
      <c r="Z2" s="914"/>
      <c r="AA2" s="914"/>
    </row>
    <row r="3" spans="1:39" ht="39.5" thickBot="1">
      <c r="A3" s="78" t="s">
        <v>1</v>
      </c>
      <c r="B3" s="78" t="s">
        <v>1997</v>
      </c>
      <c r="C3" s="78" t="s">
        <v>2007</v>
      </c>
      <c r="D3" s="78" t="s">
        <v>1988</v>
      </c>
      <c r="E3" s="78" t="s">
        <v>2442</v>
      </c>
      <c r="F3" s="40" t="s">
        <v>40</v>
      </c>
      <c r="G3" s="40" t="s">
        <v>41</v>
      </c>
      <c r="H3" s="40" t="s">
        <v>199</v>
      </c>
      <c r="I3" s="48" t="s">
        <v>67</v>
      </c>
      <c r="J3" s="74" t="s">
        <v>1942</v>
      </c>
      <c r="T3" s="276" t="s">
        <v>1790</v>
      </c>
      <c r="U3" s="277" t="s">
        <v>2245</v>
      </c>
      <c r="V3" s="277" t="s">
        <v>2419</v>
      </c>
      <c r="W3" s="278" t="s">
        <v>2</v>
      </c>
      <c r="X3" s="279" t="s">
        <v>3</v>
      </c>
      <c r="Y3" s="280" t="s">
        <v>2254</v>
      </c>
      <c r="Z3" s="281" t="s">
        <v>4</v>
      </c>
      <c r="AA3" s="338" t="s">
        <v>5</v>
      </c>
      <c r="AC3" s="244" t="s">
        <v>2264</v>
      </c>
      <c r="AD3" s="244"/>
      <c r="AE3" s="244"/>
      <c r="AF3" s="244"/>
      <c r="AG3" s="244"/>
      <c r="AH3" s="244"/>
      <c r="AI3" s="244"/>
      <c r="AJ3" s="244"/>
      <c r="AK3" s="244"/>
      <c r="AL3" s="244"/>
      <c r="AM3" s="244"/>
    </row>
    <row r="4" spans="1:39" s="79" customFormat="1" ht="13.75" customHeight="1">
      <c r="A4" s="74" t="s">
        <v>231</v>
      </c>
      <c r="B4" s="74" t="s">
        <v>2008</v>
      </c>
      <c r="C4" s="74" t="s">
        <v>1980</v>
      </c>
      <c r="D4" s="74" t="s">
        <v>2456</v>
      </c>
      <c r="E4" s="74" t="s">
        <v>2457</v>
      </c>
      <c r="F4" s="74">
        <v>2.1800000000000002</v>
      </c>
      <c r="G4" s="74">
        <v>0</v>
      </c>
      <c r="H4" s="74">
        <v>2.3199999999999998</v>
      </c>
      <c r="I4" s="13" t="s">
        <v>232</v>
      </c>
      <c r="J4" s="74"/>
      <c r="K4" s="74"/>
      <c r="L4" s="74"/>
      <c r="M4" s="74"/>
      <c r="N4" s="74"/>
      <c r="O4" s="74"/>
      <c r="P4" s="74"/>
      <c r="Q4" s="74"/>
      <c r="R4" s="74"/>
      <c r="S4" s="74"/>
      <c r="T4" s="288" t="s">
        <v>1756</v>
      </c>
      <c r="U4" s="289" t="s">
        <v>1757</v>
      </c>
      <c r="V4" s="289" t="s">
        <v>1758</v>
      </c>
      <c r="W4" s="290" t="s">
        <v>2456</v>
      </c>
      <c r="X4" s="291" t="s">
        <v>2457</v>
      </c>
      <c r="Y4" s="282"/>
      <c r="Z4" s="289">
        <v>2.1800000000000002</v>
      </c>
      <c r="AA4" s="339">
        <v>0</v>
      </c>
      <c r="AC4" s="47" t="s">
        <v>2263</v>
      </c>
      <c r="AD4" s="47"/>
      <c r="AE4" s="47"/>
      <c r="AF4" s="47"/>
      <c r="AG4" s="249"/>
      <c r="AH4" s="244"/>
      <c r="AI4" s="244"/>
      <c r="AJ4" s="244"/>
      <c r="AK4" s="244"/>
      <c r="AL4" s="244"/>
      <c r="AM4" s="244"/>
    </row>
    <row r="5" spans="1:39" s="79" customFormat="1">
      <c r="A5" s="79" t="s">
        <v>233</v>
      </c>
      <c r="B5" s="79" t="s">
        <v>2008</v>
      </c>
      <c r="C5" s="79" t="s">
        <v>1980</v>
      </c>
      <c r="D5" s="79" t="s">
        <v>2459</v>
      </c>
      <c r="E5" s="79" t="s">
        <v>2460</v>
      </c>
      <c r="F5" s="79">
        <v>2.1800000000000002</v>
      </c>
      <c r="G5" s="79">
        <v>0</v>
      </c>
      <c r="H5" s="79">
        <v>2.3199999999999998</v>
      </c>
      <c r="I5" s="13" t="s">
        <v>232</v>
      </c>
      <c r="J5" s="74"/>
      <c r="K5" s="74"/>
      <c r="L5" s="74"/>
      <c r="M5" s="74"/>
      <c r="N5" s="74"/>
      <c r="O5" s="74"/>
      <c r="P5" s="74"/>
      <c r="Q5" s="74"/>
      <c r="R5" s="74"/>
      <c r="S5" s="74"/>
      <c r="T5" s="292" t="s">
        <v>1756</v>
      </c>
      <c r="U5" s="283" t="s">
        <v>1757</v>
      </c>
      <c r="V5" s="283" t="s">
        <v>1758</v>
      </c>
      <c r="W5" s="293" t="s">
        <v>2459</v>
      </c>
      <c r="X5" s="284" t="str">
        <f>E5</f>
        <v>H</v>
      </c>
      <c r="Y5" s="271"/>
      <c r="Z5" s="283">
        <v>2.1800000000000002</v>
      </c>
      <c r="AA5" s="340">
        <v>0</v>
      </c>
      <c r="AC5" s="47" t="s">
        <v>2265</v>
      </c>
      <c r="AD5" s="47"/>
      <c r="AE5" s="47"/>
      <c r="AF5" s="47"/>
      <c r="AG5" s="249"/>
      <c r="AH5" s="244"/>
      <c r="AI5" s="244"/>
      <c r="AJ5" s="244"/>
      <c r="AK5" s="244"/>
      <c r="AL5" s="244"/>
      <c r="AM5" s="244"/>
    </row>
    <row r="6" spans="1:39" s="79" customFormat="1">
      <c r="A6" s="79" t="s">
        <v>234</v>
      </c>
      <c r="B6" s="79" t="s">
        <v>2008</v>
      </c>
      <c r="C6" s="79" t="s">
        <v>1980</v>
      </c>
      <c r="D6" s="79" t="s">
        <v>0</v>
      </c>
      <c r="E6" s="79" t="s">
        <v>7</v>
      </c>
      <c r="F6" s="79">
        <v>1</v>
      </c>
      <c r="G6" s="79">
        <v>0</v>
      </c>
      <c r="H6" s="79">
        <v>2.3199999999999998</v>
      </c>
      <c r="I6" s="13" t="s">
        <v>232</v>
      </c>
      <c r="J6" s="74"/>
      <c r="K6" s="74"/>
      <c r="L6" s="74"/>
      <c r="M6" s="74"/>
      <c r="N6" s="74"/>
      <c r="O6" s="74"/>
      <c r="P6" s="74"/>
      <c r="Q6" s="74"/>
      <c r="R6" s="74"/>
      <c r="S6" s="74"/>
      <c r="T6" s="292" t="s">
        <v>1756</v>
      </c>
      <c r="U6" s="283" t="s">
        <v>1757</v>
      </c>
      <c r="V6" s="283" t="s">
        <v>1758</v>
      </c>
      <c r="W6" s="293" t="s">
        <v>0</v>
      </c>
      <c r="X6" s="284" t="str">
        <f t="shared" ref="X6:X89" si="0">E6</f>
        <v>J</v>
      </c>
      <c r="Y6" s="271"/>
      <c r="Z6" s="283">
        <v>1</v>
      </c>
      <c r="AA6" s="340">
        <v>0</v>
      </c>
      <c r="AC6" s="47"/>
      <c r="AD6" s="47"/>
      <c r="AE6" s="47"/>
      <c r="AF6" s="47"/>
      <c r="AG6" s="249"/>
      <c r="AH6" s="244"/>
      <c r="AI6" s="244"/>
      <c r="AJ6" s="244"/>
      <c r="AK6" s="244"/>
      <c r="AL6" s="244"/>
      <c r="AM6" s="244"/>
    </row>
    <row r="7" spans="1:39" s="79" customFormat="1">
      <c r="A7" s="79" t="s">
        <v>235</v>
      </c>
      <c r="B7" s="79" t="s">
        <v>2008</v>
      </c>
      <c r="C7" s="79" t="s">
        <v>1980</v>
      </c>
      <c r="D7" s="79" t="s">
        <v>9</v>
      </c>
      <c r="E7" s="79" t="s">
        <v>10</v>
      </c>
      <c r="F7" s="79">
        <v>0.6</v>
      </c>
      <c r="G7" s="79">
        <v>0</v>
      </c>
      <c r="H7" s="79">
        <v>2.3199999999999998</v>
      </c>
      <c r="I7" s="13" t="s">
        <v>232</v>
      </c>
      <c r="J7" s="74"/>
      <c r="K7" s="74"/>
      <c r="L7" s="74"/>
      <c r="M7" s="74"/>
      <c r="N7" s="74"/>
      <c r="O7" s="74"/>
      <c r="P7" s="74"/>
      <c r="Q7" s="74"/>
      <c r="R7" s="74"/>
      <c r="S7" s="74"/>
      <c r="T7" s="292" t="s">
        <v>1756</v>
      </c>
      <c r="U7" s="283" t="s">
        <v>1757</v>
      </c>
      <c r="V7" s="283" t="s">
        <v>1758</v>
      </c>
      <c r="W7" s="293" t="s">
        <v>9</v>
      </c>
      <c r="X7" s="284" t="str">
        <f t="shared" si="0"/>
        <v>L</v>
      </c>
      <c r="Y7" s="271"/>
      <c r="Z7" s="283">
        <v>0.6</v>
      </c>
      <c r="AA7" s="340">
        <v>0</v>
      </c>
      <c r="AC7" s="915" t="s">
        <v>2266</v>
      </c>
      <c r="AD7" s="633"/>
      <c r="AE7" s="301" t="s">
        <v>1809</v>
      </c>
      <c r="AF7" s="47"/>
      <c r="AG7" s="249"/>
      <c r="AH7" s="244"/>
      <c r="AI7" s="244"/>
      <c r="AJ7" s="244"/>
      <c r="AK7" s="244"/>
      <c r="AL7" s="244"/>
    </row>
    <row r="8" spans="1:39">
      <c r="A8" s="79" t="s">
        <v>236</v>
      </c>
      <c r="B8" s="79" t="s">
        <v>2008</v>
      </c>
      <c r="C8" s="79" t="s">
        <v>1980</v>
      </c>
      <c r="D8" s="79" t="s">
        <v>13</v>
      </c>
      <c r="E8" s="79" t="s">
        <v>78</v>
      </c>
      <c r="F8" s="79">
        <v>0.25</v>
      </c>
      <c r="G8" s="79">
        <v>0</v>
      </c>
      <c r="H8" s="79">
        <v>2.3199999999999998</v>
      </c>
      <c r="I8" s="13" t="s">
        <v>232</v>
      </c>
      <c r="T8" s="292" t="s">
        <v>1756</v>
      </c>
      <c r="U8" s="283" t="s">
        <v>1757</v>
      </c>
      <c r="V8" s="283" t="s">
        <v>1758</v>
      </c>
      <c r="W8" s="293" t="s">
        <v>13</v>
      </c>
      <c r="X8" s="284" t="str">
        <f t="shared" si="0"/>
        <v>R</v>
      </c>
      <c r="Y8" s="271"/>
      <c r="Z8" s="283">
        <v>0.25</v>
      </c>
      <c r="AA8" s="340">
        <v>0</v>
      </c>
      <c r="AC8" s="916"/>
      <c r="AD8" s="917"/>
      <c r="AE8" s="302" t="s">
        <v>1810</v>
      </c>
      <c r="AF8" s="47"/>
      <c r="AG8" s="249"/>
      <c r="AH8" s="244"/>
      <c r="AI8" s="244"/>
      <c r="AJ8" s="244"/>
      <c r="AK8" s="244"/>
      <c r="AL8" s="244"/>
    </row>
    <row r="9" spans="1:39">
      <c r="A9" s="74" t="s">
        <v>237</v>
      </c>
      <c r="B9" s="74" t="s">
        <v>2008</v>
      </c>
      <c r="C9" s="74" t="s">
        <v>1980</v>
      </c>
      <c r="D9" s="74" t="s">
        <v>13</v>
      </c>
      <c r="E9" s="74" t="s">
        <v>54</v>
      </c>
      <c r="F9" s="74">
        <v>0.25</v>
      </c>
      <c r="G9" s="74">
        <v>0</v>
      </c>
      <c r="H9" s="74">
        <v>2.3199999999999998</v>
      </c>
      <c r="I9" s="13" t="s">
        <v>232</v>
      </c>
      <c r="T9" s="292" t="s">
        <v>1756</v>
      </c>
      <c r="U9" s="283" t="s">
        <v>1757</v>
      </c>
      <c r="V9" s="283" t="s">
        <v>1758</v>
      </c>
      <c r="W9" s="293" t="s">
        <v>13</v>
      </c>
      <c r="X9" s="284" t="str">
        <f t="shared" si="0"/>
        <v>GG</v>
      </c>
      <c r="Y9" s="271"/>
      <c r="Z9" s="283">
        <v>0.25</v>
      </c>
      <c r="AA9" s="340">
        <v>0</v>
      </c>
      <c r="AC9" s="918" t="s">
        <v>2267</v>
      </c>
      <c r="AD9" s="919"/>
      <c r="AE9" s="920"/>
      <c r="AF9" s="47"/>
      <c r="AG9" s="249"/>
      <c r="AH9" s="244"/>
      <c r="AI9" s="244"/>
      <c r="AJ9" s="244"/>
      <c r="AK9" s="244"/>
      <c r="AL9" s="244"/>
    </row>
    <row r="10" spans="1:39">
      <c r="A10" s="74" t="s">
        <v>238</v>
      </c>
      <c r="B10" s="74" t="s">
        <v>2008</v>
      </c>
      <c r="C10" s="74" t="s">
        <v>1980</v>
      </c>
      <c r="D10" s="74" t="s">
        <v>13</v>
      </c>
      <c r="E10" s="74" t="s">
        <v>62</v>
      </c>
      <c r="F10" s="74">
        <v>0.125</v>
      </c>
      <c r="G10" s="74">
        <v>0</v>
      </c>
      <c r="H10" s="74">
        <v>2.3199999999999998</v>
      </c>
      <c r="I10" s="13" t="s">
        <v>239</v>
      </c>
      <c r="J10" s="74" t="s">
        <v>240</v>
      </c>
      <c r="T10" s="292" t="s">
        <v>1756</v>
      </c>
      <c r="U10" s="283" t="s">
        <v>1757</v>
      </c>
      <c r="V10" s="283" t="s">
        <v>1758</v>
      </c>
      <c r="W10" s="293" t="s">
        <v>13</v>
      </c>
      <c r="X10" s="284" t="str">
        <f t="shared" si="0"/>
        <v>HL</v>
      </c>
      <c r="Y10" s="271"/>
      <c r="Z10" s="283">
        <v>0.125</v>
      </c>
      <c r="AA10" s="340">
        <v>0</v>
      </c>
      <c r="AC10" s="915" t="s">
        <v>1811</v>
      </c>
      <c r="AD10" s="633"/>
      <c r="AE10" s="301" t="s">
        <v>1809</v>
      </c>
      <c r="AF10" s="47"/>
      <c r="AG10" s="249"/>
      <c r="AH10" s="244"/>
      <c r="AI10" s="244"/>
      <c r="AJ10" s="244"/>
      <c r="AK10" s="244"/>
      <c r="AL10" s="244"/>
    </row>
    <row r="11" spans="1:39">
      <c r="A11" s="74" t="s">
        <v>241</v>
      </c>
      <c r="B11" s="74" t="s">
        <v>2008</v>
      </c>
      <c r="C11" s="74" t="s">
        <v>1980</v>
      </c>
      <c r="D11" s="74" t="s">
        <v>15</v>
      </c>
      <c r="E11" s="74" t="s">
        <v>56</v>
      </c>
      <c r="F11" s="74">
        <v>0.08</v>
      </c>
      <c r="G11" s="74">
        <v>0</v>
      </c>
      <c r="H11" s="74">
        <v>2.3199999999999998</v>
      </c>
      <c r="I11" s="13" t="s">
        <v>232</v>
      </c>
      <c r="T11" s="292" t="s">
        <v>1756</v>
      </c>
      <c r="U11" s="283" t="s">
        <v>1757</v>
      </c>
      <c r="V11" s="283" t="s">
        <v>1758</v>
      </c>
      <c r="W11" s="293" t="s">
        <v>15</v>
      </c>
      <c r="X11" s="284" t="str">
        <f t="shared" si="0"/>
        <v>GJ</v>
      </c>
      <c r="Y11" s="271"/>
      <c r="Z11" s="283">
        <v>0.08</v>
      </c>
      <c r="AA11" s="340">
        <v>0</v>
      </c>
      <c r="AC11" s="916"/>
      <c r="AD11" s="917"/>
      <c r="AE11" s="302" t="s">
        <v>1810</v>
      </c>
      <c r="AF11" s="47"/>
      <c r="AG11" s="249"/>
      <c r="AH11" s="244"/>
      <c r="AI11" s="244"/>
      <c r="AJ11" s="244"/>
      <c r="AK11" s="244"/>
      <c r="AL11" s="244"/>
    </row>
    <row r="12" spans="1:39">
      <c r="A12" s="74" t="s">
        <v>242</v>
      </c>
      <c r="B12" s="74" t="s">
        <v>2008</v>
      </c>
      <c r="C12" s="74" t="s">
        <v>1980</v>
      </c>
      <c r="D12" s="74" t="s">
        <v>15</v>
      </c>
      <c r="E12" s="74" t="s">
        <v>64</v>
      </c>
      <c r="F12" s="74">
        <v>0.04</v>
      </c>
      <c r="G12" s="74">
        <v>0</v>
      </c>
      <c r="H12" s="74">
        <v>2.3199999999999998</v>
      </c>
      <c r="I12" s="13" t="s">
        <v>239</v>
      </c>
      <c r="J12" s="74" t="s">
        <v>240</v>
      </c>
      <c r="T12" s="292" t="s">
        <v>1756</v>
      </c>
      <c r="U12" s="283" t="s">
        <v>1757</v>
      </c>
      <c r="V12" s="283" t="s">
        <v>1758</v>
      </c>
      <c r="W12" s="293" t="s">
        <v>15</v>
      </c>
      <c r="X12" s="284" t="str">
        <f t="shared" si="0"/>
        <v>HP</v>
      </c>
      <c r="Y12" s="271"/>
      <c r="Z12" s="283">
        <v>0.04</v>
      </c>
      <c r="AA12" s="340">
        <v>0</v>
      </c>
      <c r="AC12" s="915" t="s">
        <v>1812</v>
      </c>
      <c r="AD12" s="633"/>
      <c r="AE12" s="301" t="s">
        <v>1813</v>
      </c>
      <c r="AF12" s="47"/>
      <c r="AG12" s="249"/>
      <c r="AH12" s="244"/>
      <c r="AI12" s="244"/>
      <c r="AJ12" s="244"/>
      <c r="AK12" s="244"/>
      <c r="AL12" s="244"/>
    </row>
    <row r="13" spans="1:39">
      <c r="A13" s="74" t="s">
        <v>243</v>
      </c>
      <c r="B13" s="74" t="s">
        <v>2008</v>
      </c>
      <c r="C13" s="74" t="s">
        <v>1980</v>
      </c>
      <c r="D13" s="74" t="s">
        <v>15</v>
      </c>
      <c r="E13" s="74" t="s">
        <v>80</v>
      </c>
      <c r="F13" s="74">
        <v>0.06</v>
      </c>
      <c r="G13" s="74">
        <v>0</v>
      </c>
      <c r="H13" s="74">
        <v>2.3199999999999998</v>
      </c>
      <c r="I13" s="13" t="s">
        <v>232</v>
      </c>
      <c r="J13" s="74" t="s">
        <v>244</v>
      </c>
      <c r="T13" s="292" t="s">
        <v>1756</v>
      </c>
      <c r="U13" s="283" t="s">
        <v>1757</v>
      </c>
      <c r="V13" s="283" t="s">
        <v>1758</v>
      </c>
      <c r="W13" s="293" t="s">
        <v>15</v>
      </c>
      <c r="X13" s="284" t="str">
        <f t="shared" si="0"/>
        <v>TB</v>
      </c>
      <c r="Y13" s="271" t="s">
        <v>1765</v>
      </c>
      <c r="Z13" s="283">
        <v>0.06</v>
      </c>
      <c r="AA13" s="340">
        <v>0</v>
      </c>
      <c r="AC13" s="916"/>
      <c r="AD13" s="917"/>
      <c r="AE13" s="302" t="s">
        <v>1814</v>
      </c>
      <c r="AF13" s="47"/>
      <c r="AG13" s="249"/>
      <c r="AH13" s="244"/>
      <c r="AI13" s="244"/>
      <c r="AJ13" s="244"/>
      <c r="AK13" s="244"/>
      <c r="AL13" s="244"/>
    </row>
    <row r="14" spans="1:39">
      <c r="A14" s="74" t="s">
        <v>245</v>
      </c>
      <c r="B14" s="74" t="s">
        <v>2008</v>
      </c>
      <c r="C14" s="74" t="s">
        <v>1980</v>
      </c>
      <c r="D14" s="74" t="s">
        <v>15</v>
      </c>
      <c r="E14" s="74" t="s">
        <v>94</v>
      </c>
      <c r="F14" s="74">
        <v>0.06</v>
      </c>
      <c r="G14" s="74">
        <v>0</v>
      </c>
      <c r="H14" s="74">
        <v>2.3199999999999998</v>
      </c>
      <c r="I14" s="13" t="s">
        <v>239</v>
      </c>
      <c r="J14" s="74" t="s">
        <v>2134</v>
      </c>
      <c r="T14" s="292" t="s">
        <v>1756</v>
      </c>
      <c r="U14" s="283" t="s">
        <v>1757</v>
      </c>
      <c r="V14" s="283" t="s">
        <v>1758</v>
      </c>
      <c r="W14" s="293" t="s">
        <v>15</v>
      </c>
      <c r="X14" s="284" t="str">
        <f t="shared" si="0"/>
        <v>XB</v>
      </c>
      <c r="Y14" s="271" t="s">
        <v>1765</v>
      </c>
      <c r="Z14" s="283">
        <v>0.06</v>
      </c>
      <c r="AA14" s="340">
        <v>0</v>
      </c>
      <c r="AC14" s="915" t="s">
        <v>1815</v>
      </c>
      <c r="AD14" s="633"/>
      <c r="AE14" s="301" t="s">
        <v>1816</v>
      </c>
      <c r="AF14" s="47"/>
      <c r="AG14" s="249"/>
      <c r="AH14" s="244"/>
      <c r="AI14" s="244"/>
      <c r="AJ14" s="244"/>
      <c r="AK14" s="244"/>
      <c r="AL14" s="244"/>
    </row>
    <row r="15" spans="1:39">
      <c r="A15" s="74" t="s">
        <v>246</v>
      </c>
      <c r="B15" s="74" t="s">
        <v>2008</v>
      </c>
      <c r="C15" s="74" t="s">
        <v>1980</v>
      </c>
      <c r="D15" s="74" t="s">
        <v>15</v>
      </c>
      <c r="E15" s="74" t="s">
        <v>71</v>
      </c>
      <c r="F15" s="74">
        <v>0.04</v>
      </c>
      <c r="G15" s="74">
        <v>0</v>
      </c>
      <c r="H15" s="74">
        <v>2.3199999999999998</v>
      </c>
      <c r="I15" s="13" t="s">
        <v>232</v>
      </c>
      <c r="J15" s="74" t="s">
        <v>247</v>
      </c>
      <c r="T15" s="292" t="s">
        <v>1756</v>
      </c>
      <c r="U15" s="283" t="s">
        <v>1757</v>
      </c>
      <c r="V15" s="283" t="s">
        <v>1758</v>
      </c>
      <c r="W15" s="293" t="s">
        <v>15</v>
      </c>
      <c r="X15" s="284" t="str">
        <f t="shared" si="0"/>
        <v>LB</v>
      </c>
      <c r="Y15" s="271" t="s">
        <v>1766</v>
      </c>
      <c r="Z15" s="283">
        <v>0.04</v>
      </c>
      <c r="AA15" s="340">
        <v>0</v>
      </c>
      <c r="AC15" s="916"/>
      <c r="AD15" s="917"/>
      <c r="AE15" s="302" t="s">
        <v>1817</v>
      </c>
      <c r="AF15" s="47"/>
      <c r="AG15" s="249"/>
      <c r="AH15" s="244"/>
      <c r="AI15" s="244"/>
      <c r="AJ15" s="244"/>
      <c r="AK15" s="244"/>
      <c r="AL15" s="244"/>
    </row>
    <row r="16" spans="1:39">
      <c r="A16" s="74" t="s">
        <v>248</v>
      </c>
      <c r="B16" s="74" t="s">
        <v>2008</v>
      </c>
      <c r="C16" s="74" t="s">
        <v>1980</v>
      </c>
      <c r="D16" s="74" t="s">
        <v>15</v>
      </c>
      <c r="E16" s="74" t="s">
        <v>98</v>
      </c>
      <c r="F16" s="74">
        <v>0.04</v>
      </c>
      <c r="G16" s="74">
        <v>0</v>
      </c>
      <c r="H16" s="74">
        <v>2.3199999999999998</v>
      </c>
      <c r="I16" s="13" t="s">
        <v>239</v>
      </c>
      <c r="J16" s="74" t="s">
        <v>2135</v>
      </c>
      <c r="T16" s="292" t="s">
        <v>1756</v>
      </c>
      <c r="U16" s="283" t="s">
        <v>1757</v>
      </c>
      <c r="V16" s="283" t="s">
        <v>1758</v>
      </c>
      <c r="W16" s="293" t="s">
        <v>15</v>
      </c>
      <c r="X16" s="284" t="str">
        <f t="shared" si="0"/>
        <v>YB</v>
      </c>
      <c r="Y16" s="271" t="s">
        <v>1766</v>
      </c>
      <c r="Z16" s="283">
        <v>0.04</v>
      </c>
      <c r="AA16" s="340">
        <v>0</v>
      </c>
      <c r="AC16" s="915" t="s">
        <v>1818</v>
      </c>
      <c r="AD16" s="633"/>
      <c r="AE16" s="301" t="s">
        <v>1819</v>
      </c>
      <c r="AF16" s="47"/>
      <c r="AG16" s="249"/>
      <c r="AH16" s="244"/>
      <c r="AI16" s="244"/>
      <c r="AJ16" s="244"/>
      <c r="AK16" s="244"/>
      <c r="AL16" s="244"/>
    </row>
    <row r="17" spans="1:39">
      <c r="A17" s="74" t="s">
        <v>249</v>
      </c>
      <c r="B17" s="74" t="s">
        <v>2008</v>
      </c>
      <c r="C17" s="74" t="s">
        <v>1980</v>
      </c>
      <c r="D17" s="74" t="s">
        <v>15</v>
      </c>
      <c r="E17" s="74" t="s">
        <v>87</v>
      </c>
      <c r="F17" s="74">
        <v>0.02</v>
      </c>
      <c r="G17" s="74">
        <v>0</v>
      </c>
      <c r="H17" s="74">
        <v>2.3199999999999998</v>
      </c>
      <c r="I17" s="13" t="s">
        <v>232</v>
      </c>
      <c r="J17" s="74" t="s">
        <v>250</v>
      </c>
      <c r="T17" s="292" t="s">
        <v>1756</v>
      </c>
      <c r="U17" s="283" t="s">
        <v>1757</v>
      </c>
      <c r="V17" s="283" t="s">
        <v>1758</v>
      </c>
      <c r="W17" s="293" t="s">
        <v>15</v>
      </c>
      <c r="X17" s="284" t="str">
        <f t="shared" si="0"/>
        <v>UB</v>
      </c>
      <c r="Y17" s="271" t="s">
        <v>1767</v>
      </c>
      <c r="Z17" s="283">
        <v>0.02</v>
      </c>
      <c r="AA17" s="340">
        <v>0</v>
      </c>
      <c r="AC17" s="916"/>
      <c r="AD17" s="917"/>
      <c r="AE17" s="302" t="s">
        <v>1820</v>
      </c>
      <c r="AF17" s="47"/>
      <c r="AG17" s="249"/>
      <c r="AH17" s="244"/>
      <c r="AI17" s="244"/>
      <c r="AJ17" s="244"/>
      <c r="AK17" s="244"/>
      <c r="AL17" s="244"/>
    </row>
    <row r="18" spans="1:39">
      <c r="A18" s="74" t="s">
        <v>251</v>
      </c>
      <c r="B18" s="74" t="s">
        <v>2008</v>
      </c>
      <c r="C18" s="74" t="s">
        <v>1980</v>
      </c>
      <c r="D18" s="74" t="s">
        <v>15</v>
      </c>
      <c r="E18" s="74" t="s">
        <v>102</v>
      </c>
      <c r="F18" s="74">
        <v>0.02</v>
      </c>
      <c r="G18" s="74">
        <v>0</v>
      </c>
      <c r="H18" s="74">
        <v>2.3199999999999998</v>
      </c>
      <c r="I18" s="13" t="s">
        <v>239</v>
      </c>
      <c r="J18" s="74" t="s">
        <v>2136</v>
      </c>
      <c r="T18" s="292" t="s">
        <v>1756</v>
      </c>
      <c r="U18" s="283" t="s">
        <v>1757</v>
      </c>
      <c r="V18" s="283" t="s">
        <v>1758</v>
      </c>
      <c r="W18" s="293" t="s">
        <v>15</v>
      </c>
      <c r="X18" s="284" t="str">
        <f t="shared" si="0"/>
        <v>ZB</v>
      </c>
      <c r="Y18" s="271" t="s">
        <v>1767</v>
      </c>
      <c r="Z18" s="283">
        <v>0.02</v>
      </c>
      <c r="AA18" s="340">
        <v>0</v>
      </c>
      <c r="AC18" s="47"/>
      <c r="AD18" s="47"/>
      <c r="AE18" s="47"/>
      <c r="AF18" s="47"/>
      <c r="AG18" s="249"/>
      <c r="AH18" s="244"/>
      <c r="AI18" s="244"/>
      <c r="AJ18" s="244"/>
      <c r="AK18" s="244"/>
      <c r="AL18" s="244"/>
      <c r="AM18" s="244"/>
    </row>
    <row r="19" spans="1:39">
      <c r="A19" s="74" t="s">
        <v>252</v>
      </c>
      <c r="B19" s="74" t="s">
        <v>2008</v>
      </c>
      <c r="C19" s="74" t="s">
        <v>1980</v>
      </c>
      <c r="D19" s="74" t="s">
        <v>1979</v>
      </c>
      <c r="E19" s="74" t="s">
        <v>253</v>
      </c>
      <c r="F19" s="74">
        <v>0.05</v>
      </c>
      <c r="G19" s="74">
        <v>0</v>
      </c>
      <c r="H19" s="74">
        <v>2.3199999999999998</v>
      </c>
      <c r="I19" s="13" t="s">
        <v>232</v>
      </c>
      <c r="T19" s="292" t="s">
        <v>1756</v>
      </c>
      <c r="U19" s="283" t="s">
        <v>1757</v>
      </c>
      <c r="V19" s="283" t="s">
        <v>1758</v>
      </c>
      <c r="W19" s="293" t="s">
        <v>1979</v>
      </c>
      <c r="X19" s="284" t="str">
        <f t="shared" si="0"/>
        <v>ABE</v>
      </c>
      <c r="Y19" s="271"/>
      <c r="Z19" s="283">
        <v>0.05</v>
      </c>
      <c r="AA19" s="340">
        <v>0</v>
      </c>
      <c r="AC19" s="296" t="s">
        <v>2268</v>
      </c>
      <c r="AD19" s="296"/>
      <c r="AE19" s="296"/>
      <c r="AF19" s="296"/>
      <c r="AG19" s="249"/>
      <c r="AH19" s="249"/>
      <c r="AI19" s="249"/>
      <c r="AJ19" s="249"/>
      <c r="AK19" s="249"/>
      <c r="AL19" s="249"/>
    </row>
    <row r="20" spans="1:39">
      <c r="A20" s="74" t="s">
        <v>254</v>
      </c>
      <c r="B20" s="74" t="s">
        <v>2008</v>
      </c>
      <c r="C20" s="74" t="s">
        <v>1980</v>
      </c>
      <c r="D20" s="74" t="s">
        <v>1979</v>
      </c>
      <c r="E20" s="74" t="s">
        <v>255</v>
      </c>
      <c r="F20" s="74">
        <v>2.5000000000000001E-2</v>
      </c>
      <c r="G20" s="74">
        <v>0</v>
      </c>
      <c r="H20" s="74">
        <v>2.3199999999999998</v>
      </c>
      <c r="I20" s="13" t="s">
        <v>239</v>
      </c>
      <c r="J20" s="74" t="s">
        <v>240</v>
      </c>
      <c r="T20" s="292" t="s">
        <v>1756</v>
      </c>
      <c r="U20" s="283" t="s">
        <v>1757</v>
      </c>
      <c r="V20" s="283" t="s">
        <v>1758</v>
      </c>
      <c r="W20" s="293" t="s">
        <v>1979</v>
      </c>
      <c r="X20" s="284" t="str">
        <f t="shared" si="0"/>
        <v>AAE</v>
      </c>
      <c r="Y20" s="271"/>
      <c r="Z20" s="283">
        <v>2.5000000000000001E-2</v>
      </c>
      <c r="AA20" s="340">
        <v>0</v>
      </c>
      <c r="AC20" s="296" t="s">
        <v>2269</v>
      </c>
      <c r="AD20" s="296"/>
      <c r="AE20" s="296"/>
      <c r="AF20" s="296"/>
      <c r="AG20" s="249"/>
      <c r="AH20" s="249"/>
      <c r="AI20" s="249"/>
      <c r="AJ20" s="249"/>
      <c r="AK20" s="249"/>
      <c r="AL20" s="249"/>
    </row>
    <row r="21" spans="1:39">
      <c r="A21" s="74" t="s">
        <v>256</v>
      </c>
      <c r="B21" s="74" t="s">
        <v>2008</v>
      </c>
      <c r="C21" s="74" t="s">
        <v>1980</v>
      </c>
      <c r="D21" s="74" t="s">
        <v>1979</v>
      </c>
      <c r="E21" s="74" t="s">
        <v>1981</v>
      </c>
      <c r="F21" s="268">
        <v>4.4999999999999998E-2</v>
      </c>
      <c r="G21" s="74">
        <v>0</v>
      </c>
      <c r="H21" s="74">
        <v>2.3199999999999998</v>
      </c>
      <c r="I21" s="13" t="s">
        <v>239</v>
      </c>
      <c r="J21" s="74" t="s">
        <v>2134</v>
      </c>
      <c r="T21" s="292" t="s">
        <v>1756</v>
      </c>
      <c r="U21" s="283" t="s">
        <v>1757</v>
      </c>
      <c r="V21" s="283" t="s">
        <v>1758</v>
      </c>
      <c r="W21" s="293" t="s">
        <v>1979</v>
      </c>
      <c r="X21" s="284" t="str">
        <f t="shared" si="0"/>
        <v>BAE</v>
      </c>
      <c r="Y21" s="271" t="s">
        <v>2398</v>
      </c>
      <c r="Z21" s="283">
        <v>4.4999999999999998E-2</v>
      </c>
      <c r="AA21" s="340">
        <v>0</v>
      </c>
      <c r="AC21" s="296"/>
      <c r="AD21" s="296"/>
      <c r="AE21" s="296"/>
      <c r="AF21" s="296"/>
      <c r="AG21" s="249"/>
      <c r="AH21" s="249"/>
      <c r="AI21" s="249"/>
      <c r="AJ21" s="249"/>
      <c r="AK21" s="249"/>
      <c r="AL21" s="249"/>
    </row>
    <row r="22" spans="1:39">
      <c r="A22" s="74" t="s">
        <v>257</v>
      </c>
      <c r="B22" s="74" t="s">
        <v>2008</v>
      </c>
      <c r="C22" s="74" t="s">
        <v>1980</v>
      </c>
      <c r="D22" s="74" t="s">
        <v>1979</v>
      </c>
      <c r="E22" s="74" t="s">
        <v>1982</v>
      </c>
      <c r="F22" s="268">
        <v>4.4999999999999998E-2</v>
      </c>
      <c r="G22" s="74">
        <v>0</v>
      </c>
      <c r="H22" s="74">
        <v>2.3199999999999998</v>
      </c>
      <c r="I22" s="13" t="s">
        <v>232</v>
      </c>
      <c r="J22" s="74" t="s">
        <v>244</v>
      </c>
      <c r="T22" s="292" t="s">
        <v>1756</v>
      </c>
      <c r="U22" s="283" t="s">
        <v>1757</v>
      </c>
      <c r="V22" s="283" t="s">
        <v>1758</v>
      </c>
      <c r="W22" s="293" t="s">
        <v>1979</v>
      </c>
      <c r="X22" s="284" t="str">
        <f t="shared" si="0"/>
        <v>BBE</v>
      </c>
      <c r="Y22" s="271" t="s">
        <v>2398</v>
      </c>
      <c r="Z22" s="283">
        <v>4.4999999999999998E-2</v>
      </c>
      <c r="AA22" s="340">
        <v>0</v>
      </c>
      <c r="AC22" s="303" t="s">
        <v>2270</v>
      </c>
      <c r="AD22" s="303"/>
      <c r="AE22" s="303"/>
      <c r="AF22" s="303"/>
      <c r="AG22" s="248"/>
      <c r="AH22" s="248"/>
      <c r="AI22" s="248"/>
      <c r="AJ22" s="248"/>
      <c r="AK22" s="248"/>
      <c r="AL22" s="248"/>
    </row>
    <row r="23" spans="1:39">
      <c r="A23" s="74" t="s">
        <v>258</v>
      </c>
      <c r="B23" s="74" t="s">
        <v>2008</v>
      </c>
      <c r="C23" s="74" t="s">
        <v>1980</v>
      </c>
      <c r="D23" s="74" t="s">
        <v>1979</v>
      </c>
      <c r="E23" s="74" t="s">
        <v>1983</v>
      </c>
      <c r="F23" s="74">
        <v>2.5000000000000001E-2</v>
      </c>
      <c r="G23" s="74">
        <v>0</v>
      </c>
      <c r="H23" s="74">
        <v>2.3199999999999998</v>
      </c>
      <c r="I23" s="13" t="s">
        <v>239</v>
      </c>
      <c r="J23" s="74" t="s">
        <v>2135</v>
      </c>
      <c r="T23" s="292" t="s">
        <v>1756</v>
      </c>
      <c r="U23" s="283" t="s">
        <v>1757</v>
      </c>
      <c r="V23" s="283" t="s">
        <v>1758</v>
      </c>
      <c r="W23" s="293" t="s">
        <v>1979</v>
      </c>
      <c r="X23" s="284" t="str">
        <f t="shared" si="0"/>
        <v>CAE</v>
      </c>
      <c r="Y23" s="271" t="s">
        <v>2261</v>
      </c>
      <c r="Z23" s="283">
        <v>2.5000000000000001E-2</v>
      </c>
      <c r="AA23" s="340">
        <v>0</v>
      </c>
      <c r="AC23" s="304"/>
      <c r="AD23" s="305"/>
      <c r="AE23" s="306" t="s">
        <v>1821</v>
      </c>
      <c r="AF23" s="306" t="s">
        <v>1822</v>
      </c>
      <c r="AG23" s="298"/>
      <c r="AH23" s="210"/>
      <c r="AI23" s="210"/>
      <c r="AJ23" s="210"/>
      <c r="AK23" s="210"/>
      <c r="AL23" s="210"/>
    </row>
    <row r="24" spans="1:39">
      <c r="A24" s="74" t="s">
        <v>259</v>
      </c>
      <c r="B24" s="74" t="s">
        <v>2008</v>
      </c>
      <c r="C24" s="74" t="s">
        <v>1980</v>
      </c>
      <c r="D24" s="74" t="s">
        <v>1979</v>
      </c>
      <c r="E24" s="74" t="s">
        <v>1984</v>
      </c>
      <c r="F24" s="74">
        <v>2.5000000000000001E-2</v>
      </c>
      <c r="G24" s="74">
        <v>0</v>
      </c>
      <c r="H24" s="74">
        <v>2.3199999999999998</v>
      </c>
      <c r="I24" s="13" t="s">
        <v>260</v>
      </c>
      <c r="J24" s="74" t="s">
        <v>247</v>
      </c>
      <c r="T24" s="292" t="s">
        <v>1756</v>
      </c>
      <c r="U24" s="283" t="s">
        <v>1757</v>
      </c>
      <c r="V24" s="283" t="s">
        <v>1758</v>
      </c>
      <c r="W24" s="293" t="s">
        <v>1979</v>
      </c>
      <c r="X24" s="284" t="str">
        <f t="shared" si="0"/>
        <v>CBE</v>
      </c>
      <c r="Y24" s="271" t="s">
        <v>2261</v>
      </c>
      <c r="Z24" s="283">
        <v>2.5000000000000001E-2</v>
      </c>
      <c r="AA24" s="340">
        <v>0</v>
      </c>
      <c r="AC24" s="307"/>
      <c r="AD24" s="308"/>
      <c r="AE24" s="271" t="s">
        <v>2412</v>
      </c>
      <c r="AF24" s="274" t="s">
        <v>2413</v>
      </c>
      <c r="AG24" s="298"/>
    </row>
    <row r="25" spans="1:39">
      <c r="A25" s="74" t="s">
        <v>261</v>
      </c>
      <c r="B25" s="74" t="s">
        <v>2008</v>
      </c>
      <c r="C25" s="74" t="s">
        <v>1980</v>
      </c>
      <c r="D25" s="74" t="s">
        <v>1979</v>
      </c>
      <c r="E25" s="74" t="s">
        <v>1985</v>
      </c>
      <c r="F25" s="74">
        <v>1.2500000000000001E-2</v>
      </c>
      <c r="G25" s="74">
        <v>0</v>
      </c>
      <c r="H25" s="74">
        <v>2.3199999999999998</v>
      </c>
      <c r="I25" s="13" t="s">
        <v>239</v>
      </c>
      <c r="J25" s="74" t="s">
        <v>2136</v>
      </c>
      <c r="T25" s="292" t="s">
        <v>1756</v>
      </c>
      <c r="U25" s="283" t="s">
        <v>1757</v>
      </c>
      <c r="V25" s="283" t="s">
        <v>1758</v>
      </c>
      <c r="W25" s="293" t="s">
        <v>1979</v>
      </c>
      <c r="X25" s="284" t="str">
        <f t="shared" si="0"/>
        <v>DAE</v>
      </c>
      <c r="Y25" s="271" t="s">
        <v>2262</v>
      </c>
      <c r="Z25" s="283">
        <v>1.2500000000000001E-2</v>
      </c>
      <c r="AA25" s="340">
        <v>0</v>
      </c>
      <c r="AC25" s="915" t="s">
        <v>1811</v>
      </c>
      <c r="AD25" s="633"/>
      <c r="AE25" s="241" t="s">
        <v>1823</v>
      </c>
      <c r="AF25" s="309" t="s">
        <v>1824</v>
      </c>
      <c r="AG25" s="298"/>
    </row>
    <row r="26" spans="1:39">
      <c r="A26" s="74" t="s">
        <v>262</v>
      </c>
      <c r="B26" s="74" t="s">
        <v>2008</v>
      </c>
      <c r="C26" t="s">
        <v>1980</v>
      </c>
      <c r="D26" s="74" t="s">
        <v>1979</v>
      </c>
      <c r="E26" s="74" t="s">
        <v>1986</v>
      </c>
      <c r="F26" s="74">
        <v>1.2500000000000001E-2</v>
      </c>
      <c r="G26" s="74">
        <v>0</v>
      </c>
      <c r="H26" s="74">
        <v>2.3199999999999998</v>
      </c>
      <c r="I26" s="13" t="s">
        <v>263</v>
      </c>
      <c r="J26" s="74" t="s">
        <v>250</v>
      </c>
      <c r="T26" s="292" t="s">
        <v>1756</v>
      </c>
      <c r="U26" s="283" t="s">
        <v>1757</v>
      </c>
      <c r="V26" s="283" t="s">
        <v>1758</v>
      </c>
      <c r="W26" s="293" t="s">
        <v>1979</v>
      </c>
      <c r="X26" s="284" t="str">
        <f t="shared" si="0"/>
        <v>DBE</v>
      </c>
      <c r="Y26" s="271" t="s">
        <v>2262</v>
      </c>
      <c r="Z26" s="283">
        <v>1.2500000000000001E-2</v>
      </c>
      <c r="AA26" s="340">
        <v>0</v>
      </c>
      <c r="AC26" s="921" t="s">
        <v>1812</v>
      </c>
      <c r="AD26" s="922"/>
      <c r="AE26" s="242" t="s">
        <v>1825</v>
      </c>
      <c r="AF26" s="310" t="s">
        <v>1826</v>
      </c>
      <c r="AG26" s="298"/>
    </row>
    <row r="27" spans="1:39" s="266" customFormat="1">
      <c r="A27" s="266" t="s">
        <v>264</v>
      </c>
      <c r="B27" s="266" t="s">
        <v>2008</v>
      </c>
      <c r="C27" s="266" t="s">
        <v>1980</v>
      </c>
      <c r="D27" s="266" t="s">
        <v>1979</v>
      </c>
      <c r="E27" s="266" t="s">
        <v>265</v>
      </c>
      <c r="F27" s="266">
        <v>4.4999999999999998E-2</v>
      </c>
      <c r="G27" s="266">
        <v>0</v>
      </c>
      <c r="H27" s="266">
        <v>2.3199999999999998</v>
      </c>
      <c r="I27" s="267" t="s">
        <v>239</v>
      </c>
      <c r="J27" s="266" t="s">
        <v>2134</v>
      </c>
      <c r="T27" s="292" t="s">
        <v>1756</v>
      </c>
      <c r="U27" s="283" t="s">
        <v>1757</v>
      </c>
      <c r="V27" s="283" t="s">
        <v>1759</v>
      </c>
      <c r="W27" s="283" t="s">
        <v>1979</v>
      </c>
      <c r="X27" s="284" t="s">
        <v>2348</v>
      </c>
      <c r="Y27" s="271" t="s">
        <v>2398</v>
      </c>
      <c r="Z27" s="283">
        <v>4.4999999999999998E-2</v>
      </c>
      <c r="AA27" s="340">
        <v>0</v>
      </c>
      <c r="AC27" s="921" t="s">
        <v>1815</v>
      </c>
      <c r="AD27" s="922"/>
      <c r="AE27" s="310" t="s">
        <v>1827</v>
      </c>
      <c r="AF27" s="310" t="s">
        <v>1828</v>
      </c>
      <c r="AG27" s="299"/>
      <c r="AH27" s="265"/>
    </row>
    <row r="28" spans="1:39" s="266" customFormat="1">
      <c r="A28" s="266" t="s">
        <v>266</v>
      </c>
      <c r="B28" s="266" t="s">
        <v>2008</v>
      </c>
      <c r="C28" s="266" t="s">
        <v>1980</v>
      </c>
      <c r="D28" s="266" t="s">
        <v>1979</v>
      </c>
      <c r="E28" s="266" t="s">
        <v>267</v>
      </c>
      <c r="F28" s="266">
        <v>4.4999999999999998E-2</v>
      </c>
      <c r="G28" s="266">
        <v>0</v>
      </c>
      <c r="H28" s="266">
        <v>2.3199999999999998</v>
      </c>
      <c r="I28" s="267" t="s">
        <v>232</v>
      </c>
      <c r="J28" s="266" t="s">
        <v>244</v>
      </c>
      <c r="T28" s="292" t="s">
        <v>1756</v>
      </c>
      <c r="U28" s="283" t="s">
        <v>1757</v>
      </c>
      <c r="V28" s="283" t="s">
        <v>1759</v>
      </c>
      <c r="W28" s="283" t="s">
        <v>1979</v>
      </c>
      <c r="X28" s="284" t="s">
        <v>2349</v>
      </c>
      <c r="Y28" s="271" t="s">
        <v>2398</v>
      </c>
      <c r="Z28" s="283">
        <v>4.4999999999999998E-2</v>
      </c>
      <c r="AA28" s="340">
        <v>0</v>
      </c>
      <c r="AC28" s="923" t="s">
        <v>1818</v>
      </c>
      <c r="AD28" s="917"/>
      <c r="AE28" s="243" t="s">
        <v>1829</v>
      </c>
      <c r="AF28" s="311" t="s">
        <v>1830</v>
      </c>
      <c r="AG28" s="299"/>
      <c r="AH28" s="265"/>
    </row>
    <row r="29" spans="1:39" s="265" customFormat="1">
      <c r="A29" s="250" t="s">
        <v>268</v>
      </c>
      <c r="B29" s="250" t="s">
        <v>2008</v>
      </c>
      <c r="C29" s="250" t="s">
        <v>1980</v>
      </c>
      <c r="D29" s="251" t="s">
        <v>2382</v>
      </c>
      <c r="E29" s="251" t="s">
        <v>269</v>
      </c>
      <c r="F29" s="250">
        <v>0.05</v>
      </c>
      <c r="G29" s="250">
        <v>0</v>
      </c>
      <c r="H29" s="250">
        <v>2.3199999999999998</v>
      </c>
      <c r="I29" s="252" t="s">
        <v>232</v>
      </c>
      <c r="J29" s="250"/>
      <c r="K29" s="250"/>
      <c r="L29" s="250"/>
      <c r="M29" s="250"/>
      <c r="N29" s="250"/>
      <c r="O29" s="250"/>
      <c r="P29" s="250"/>
      <c r="Q29" s="250"/>
      <c r="R29" s="250"/>
      <c r="S29" s="250"/>
      <c r="T29" s="292" t="s">
        <v>1756</v>
      </c>
      <c r="U29" s="283" t="s">
        <v>1757</v>
      </c>
      <c r="V29" s="283" t="s">
        <v>1759</v>
      </c>
      <c r="W29" s="293" t="str">
        <f t="shared" ref="W29:W34" si="1">D29</f>
        <v>H21</v>
      </c>
      <c r="X29" s="284" t="str">
        <f t="shared" si="0"/>
        <v>LBE</v>
      </c>
      <c r="Y29" s="271"/>
      <c r="Z29" s="283">
        <f t="shared" ref="Z29:AA48" si="2">F29</f>
        <v>0.05</v>
      </c>
      <c r="AA29" s="340">
        <f t="shared" si="2"/>
        <v>0</v>
      </c>
      <c r="AC29" s="921" t="s">
        <v>1815</v>
      </c>
      <c r="AD29" s="922"/>
      <c r="AE29" s="310" t="s">
        <v>1827</v>
      </c>
      <c r="AF29" s="310" t="s">
        <v>1828</v>
      </c>
      <c r="AG29" s="299"/>
    </row>
    <row r="30" spans="1:39" s="265" customFormat="1">
      <c r="A30" s="250" t="s">
        <v>270</v>
      </c>
      <c r="B30" s="250" t="s">
        <v>2008</v>
      </c>
      <c r="C30" s="251" t="s">
        <v>1980</v>
      </c>
      <c r="D30" s="251" t="s">
        <v>2382</v>
      </c>
      <c r="E30" s="251" t="s">
        <v>271</v>
      </c>
      <c r="F30" s="250">
        <v>2.5000000000000001E-2</v>
      </c>
      <c r="G30" s="250">
        <v>0</v>
      </c>
      <c r="H30" s="250">
        <v>2.3199999999999998</v>
      </c>
      <c r="I30" s="252" t="s">
        <v>239</v>
      </c>
      <c r="J30" s="250" t="s">
        <v>240</v>
      </c>
      <c r="K30" s="250"/>
      <c r="L30" s="250"/>
      <c r="M30" s="250"/>
      <c r="N30" s="250"/>
      <c r="O30" s="250"/>
      <c r="P30" s="250"/>
      <c r="Q30" s="250"/>
      <c r="R30" s="250"/>
      <c r="S30" s="250"/>
      <c r="T30" s="292" t="s">
        <v>1756</v>
      </c>
      <c r="U30" s="283" t="s">
        <v>1757</v>
      </c>
      <c r="V30" s="283" t="s">
        <v>1759</v>
      </c>
      <c r="W30" s="293" t="str">
        <f t="shared" si="1"/>
        <v>H21</v>
      </c>
      <c r="X30" s="284" t="str">
        <f t="shared" si="0"/>
        <v>LAE</v>
      </c>
      <c r="Y30" s="271"/>
      <c r="Z30" s="283">
        <f t="shared" si="2"/>
        <v>2.5000000000000001E-2</v>
      </c>
      <c r="AA30" s="340">
        <f t="shared" si="2"/>
        <v>0</v>
      </c>
      <c r="AC30" s="923" t="s">
        <v>1818</v>
      </c>
      <c r="AD30" s="917"/>
      <c r="AE30" s="243" t="s">
        <v>1829</v>
      </c>
      <c r="AF30" s="311" t="s">
        <v>1830</v>
      </c>
      <c r="AG30" s="299"/>
    </row>
    <row r="31" spans="1:39" s="265" customFormat="1">
      <c r="A31" s="250" t="s">
        <v>272</v>
      </c>
      <c r="B31" s="250" t="s">
        <v>2008</v>
      </c>
      <c r="C31" s="250" t="s">
        <v>1980</v>
      </c>
      <c r="D31" s="251" t="s">
        <v>2382</v>
      </c>
      <c r="E31" s="251" t="s">
        <v>273</v>
      </c>
      <c r="F31" s="250">
        <v>2.5000000000000001E-2</v>
      </c>
      <c r="G31" s="250">
        <v>0</v>
      </c>
      <c r="H31" s="250">
        <v>2.3199999999999998</v>
      </c>
      <c r="I31" s="252" t="s">
        <v>260</v>
      </c>
      <c r="J31" s="251" t="s">
        <v>2261</v>
      </c>
      <c r="K31" s="250"/>
      <c r="L31" s="250"/>
      <c r="M31" s="250"/>
      <c r="N31" s="250"/>
      <c r="O31" s="250"/>
      <c r="P31" s="250"/>
      <c r="Q31" s="250"/>
      <c r="R31" s="250"/>
      <c r="S31" s="250"/>
      <c r="T31" s="292" t="s">
        <v>1756</v>
      </c>
      <c r="U31" s="283" t="s">
        <v>1757</v>
      </c>
      <c r="V31" s="283" t="s">
        <v>1759</v>
      </c>
      <c r="W31" s="293" t="str">
        <f t="shared" si="1"/>
        <v>H21</v>
      </c>
      <c r="X31" s="284" t="str">
        <f t="shared" si="0"/>
        <v>MBE</v>
      </c>
      <c r="Y31" s="271" t="s">
        <v>2261</v>
      </c>
      <c r="Z31" s="283">
        <f t="shared" si="2"/>
        <v>2.5000000000000001E-2</v>
      </c>
      <c r="AA31" s="340">
        <f t="shared" si="2"/>
        <v>0</v>
      </c>
      <c r="AC31" s="318"/>
      <c r="AD31" s="319"/>
      <c r="AE31" s="320"/>
      <c r="AF31" s="284"/>
      <c r="AG31" s="299"/>
    </row>
    <row r="32" spans="1:39" s="265" customFormat="1">
      <c r="A32" s="250" t="s">
        <v>274</v>
      </c>
      <c r="B32" s="250" t="s">
        <v>2008</v>
      </c>
      <c r="C32" s="251" t="s">
        <v>1980</v>
      </c>
      <c r="D32" s="251" t="s">
        <v>2382</v>
      </c>
      <c r="E32" s="251" t="s">
        <v>275</v>
      </c>
      <c r="F32" s="250">
        <v>2.5000000000000001E-2</v>
      </c>
      <c r="G32" s="250">
        <v>0</v>
      </c>
      <c r="H32" s="250">
        <v>2.3199999999999998</v>
      </c>
      <c r="I32" s="252" t="s">
        <v>239</v>
      </c>
      <c r="J32" s="251" t="s">
        <v>2383</v>
      </c>
      <c r="K32" s="250"/>
      <c r="L32" s="250"/>
      <c r="M32" s="250"/>
      <c r="N32" s="250"/>
      <c r="O32" s="250"/>
      <c r="P32" s="250"/>
      <c r="Q32" s="250"/>
      <c r="R32" s="250"/>
      <c r="S32" s="250"/>
      <c r="T32" s="292" t="s">
        <v>1756</v>
      </c>
      <c r="U32" s="283" t="s">
        <v>1757</v>
      </c>
      <c r="V32" s="283" t="s">
        <v>1759</v>
      </c>
      <c r="W32" s="293" t="str">
        <f t="shared" si="1"/>
        <v>H21</v>
      </c>
      <c r="X32" s="284" t="str">
        <f t="shared" si="0"/>
        <v>MAE</v>
      </c>
      <c r="Y32" s="271" t="s">
        <v>2261</v>
      </c>
      <c r="Z32" s="283">
        <f t="shared" si="2"/>
        <v>2.5000000000000001E-2</v>
      </c>
      <c r="AA32" s="340">
        <f t="shared" si="2"/>
        <v>0</v>
      </c>
      <c r="AC32" s="317"/>
      <c r="AD32" s="317"/>
      <c r="AE32" s="317"/>
      <c r="AF32" s="317"/>
      <c r="AG32" s="316"/>
    </row>
    <row r="33" spans="1:39" s="265" customFormat="1">
      <c r="A33" s="250" t="s">
        <v>276</v>
      </c>
      <c r="B33" s="250" t="s">
        <v>2008</v>
      </c>
      <c r="C33" s="250" t="s">
        <v>1980</v>
      </c>
      <c r="D33" s="251" t="s">
        <v>2382</v>
      </c>
      <c r="E33" s="251" t="s">
        <v>277</v>
      </c>
      <c r="F33" s="250">
        <v>1.2500000000000001E-2</v>
      </c>
      <c r="G33" s="250">
        <v>0</v>
      </c>
      <c r="H33" s="250">
        <v>2.3199999999999998</v>
      </c>
      <c r="I33" s="252" t="s">
        <v>263</v>
      </c>
      <c r="J33" s="251" t="s">
        <v>2262</v>
      </c>
      <c r="K33" s="250"/>
      <c r="L33" s="250"/>
      <c r="M33" s="250"/>
      <c r="N33" s="250"/>
      <c r="O33" s="250"/>
      <c r="P33" s="250"/>
      <c r="Q33" s="250"/>
      <c r="R33" s="250"/>
      <c r="S33" s="250"/>
      <c r="T33" s="292" t="s">
        <v>1756</v>
      </c>
      <c r="U33" s="283" t="s">
        <v>1757</v>
      </c>
      <c r="V33" s="283" t="s">
        <v>1759</v>
      </c>
      <c r="W33" s="293" t="str">
        <f t="shared" si="1"/>
        <v>H21</v>
      </c>
      <c r="X33" s="284" t="str">
        <f t="shared" si="0"/>
        <v>RBE</v>
      </c>
      <c r="Y33" s="271" t="s">
        <v>2262</v>
      </c>
      <c r="Z33" s="283">
        <f t="shared" si="2"/>
        <v>1.2500000000000001E-2</v>
      </c>
      <c r="AA33" s="340">
        <f t="shared" si="2"/>
        <v>0</v>
      </c>
      <c r="AC33" s="317"/>
      <c r="AD33" s="317"/>
      <c r="AE33" s="317"/>
      <c r="AF33" s="317"/>
      <c r="AG33" s="245"/>
      <c r="AH33" s="74"/>
    </row>
    <row r="34" spans="1:39" s="265" customFormat="1">
      <c r="A34" s="250" t="s">
        <v>278</v>
      </c>
      <c r="B34" s="250" t="s">
        <v>2008</v>
      </c>
      <c r="C34" s="251" t="s">
        <v>1980</v>
      </c>
      <c r="D34" s="251" t="s">
        <v>2382</v>
      </c>
      <c r="E34" s="251" t="s">
        <v>279</v>
      </c>
      <c r="F34" s="250">
        <v>1.2500000000000001E-2</v>
      </c>
      <c r="G34" s="250">
        <v>0</v>
      </c>
      <c r="H34" s="250">
        <v>2.3199999999999998</v>
      </c>
      <c r="I34" s="252" t="s">
        <v>239</v>
      </c>
      <c r="J34" s="251" t="s">
        <v>2384</v>
      </c>
      <c r="K34" s="250"/>
      <c r="L34" s="250"/>
      <c r="M34" s="250"/>
      <c r="N34" s="250"/>
      <c r="O34" s="250"/>
      <c r="P34" s="250"/>
      <c r="Q34" s="250"/>
      <c r="R34" s="250"/>
      <c r="S34" s="250"/>
      <c r="T34" s="292" t="s">
        <v>1756</v>
      </c>
      <c r="U34" s="283" t="s">
        <v>1757</v>
      </c>
      <c r="V34" s="283" t="s">
        <v>1759</v>
      </c>
      <c r="W34" s="293" t="str">
        <f t="shared" si="1"/>
        <v>H21</v>
      </c>
      <c r="X34" s="284" t="str">
        <f t="shared" si="0"/>
        <v>RAE</v>
      </c>
      <c r="Y34" s="271" t="s">
        <v>2262</v>
      </c>
      <c r="Z34" s="283">
        <f t="shared" si="2"/>
        <v>1.2500000000000001E-2</v>
      </c>
      <c r="AA34" s="340">
        <f t="shared" si="2"/>
        <v>0</v>
      </c>
      <c r="AC34" s="317"/>
      <c r="AD34" s="317"/>
      <c r="AE34" s="317"/>
      <c r="AF34" s="317"/>
      <c r="AG34" s="245"/>
      <c r="AH34" s="74"/>
    </row>
    <row r="35" spans="1:39">
      <c r="A35" s="74" t="s">
        <v>280</v>
      </c>
      <c r="B35" s="74" t="s">
        <v>2008</v>
      </c>
      <c r="C35" s="74" t="s">
        <v>1980</v>
      </c>
      <c r="D35" s="74" t="s">
        <v>2382</v>
      </c>
      <c r="E35" s="74" t="s">
        <v>281</v>
      </c>
      <c r="F35" s="74">
        <v>1.2500000000000001E-2</v>
      </c>
      <c r="G35" s="74">
        <v>0</v>
      </c>
      <c r="H35" s="74">
        <v>2.3199999999999998</v>
      </c>
      <c r="I35" s="13" t="s">
        <v>232</v>
      </c>
      <c r="J35" s="74" t="s">
        <v>244</v>
      </c>
      <c r="T35" s="292" t="s">
        <v>1760</v>
      </c>
      <c r="U35" s="283" t="s">
        <v>1761</v>
      </c>
      <c r="V35" s="283" t="s">
        <v>2397</v>
      </c>
      <c r="W35" s="293" t="s">
        <v>2382</v>
      </c>
      <c r="X35" s="284" t="s">
        <v>281</v>
      </c>
      <c r="Y35" s="271" t="s">
        <v>1762</v>
      </c>
      <c r="Z35" s="283">
        <v>4.4999999999999998E-2</v>
      </c>
      <c r="AA35" s="340">
        <v>0</v>
      </c>
      <c r="AC35" s="317"/>
      <c r="AD35" s="317"/>
      <c r="AE35" s="317"/>
      <c r="AF35" s="317"/>
      <c r="AG35" s="248"/>
      <c r="AH35" s="249"/>
    </row>
    <row r="36" spans="1:39">
      <c r="A36" s="74" t="s">
        <v>282</v>
      </c>
      <c r="B36" s="74" t="s">
        <v>2008</v>
      </c>
      <c r="C36" s="74" t="s">
        <v>1980</v>
      </c>
      <c r="D36" s="74" t="s">
        <v>2382</v>
      </c>
      <c r="E36" s="74" t="s">
        <v>283</v>
      </c>
      <c r="F36" s="74">
        <v>1.2500000000000001E-2</v>
      </c>
      <c r="G36" s="74">
        <v>0</v>
      </c>
      <c r="H36" s="74">
        <v>2.3199999999999998</v>
      </c>
      <c r="I36" s="13" t="s">
        <v>239</v>
      </c>
      <c r="J36" s="74" t="s">
        <v>2134</v>
      </c>
      <c r="T36" s="292" t="s">
        <v>1760</v>
      </c>
      <c r="U36" s="283" t="s">
        <v>1761</v>
      </c>
      <c r="V36" s="283" t="s">
        <v>2397</v>
      </c>
      <c r="W36" s="293" t="s">
        <v>2382</v>
      </c>
      <c r="X36" s="284" t="s">
        <v>283</v>
      </c>
      <c r="Y36" s="271" t="s">
        <v>1762</v>
      </c>
      <c r="Z36" s="283">
        <v>4.4999999999999998E-2</v>
      </c>
      <c r="AA36" s="340">
        <v>0</v>
      </c>
      <c r="AC36" s="317"/>
      <c r="AD36" s="317"/>
      <c r="AE36" s="317"/>
      <c r="AF36" s="317"/>
      <c r="AG36" s="248"/>
      <c r="AH36" s="249"/>
    </row>
    <row r="37" spans="1:39" ht="18" customHeight="1">
      <c r="A37" s="74" t="s">
        <v>284</v>
      </c>
      <c r="B37" s="74" t="s">
        <v>2009</v>
      </c>
      <c r="C37" s="74" t="s">
        <v>1987</v>
      </c>
      <c r="D37" s="74" t="s">
        <v>2456</v>
      </c>
      <c r="E37" s="74" t="s">
        <v>2457</v>
      </c>
      <c r="F37" s="74">
        <v>2.1800000000000002</v>
      </c>
      <c r="G37" s="74">
        <v>0</v>
      </c>
      <c r="H37" s="74">
        <v>2.3199999999999998</v>
      </c>
      <c r="I37" s="13" t="s">
        <v>232</v>
      </c>
      <c r="T37" s="292" t="s">
        <v>1756</v>
      </c>
      <c r="U37" s="283" t="s">
        <v>1757</v>
      </c>
      <c r="V37" s="283" t="s">
        <v>2350</v>
      </c>
      <c r="W37" s="293" t="str">
        <f t="shared" ref="W37:W60" si="3">D37</f>
        <v>S50前</v>
      </c>
      <c r="X37" s="284" t="str">
        <f t="shared" si="0"/>
        <v>-</v>
      </c>
      <c r="Y37" s="271"/>
      <c r="Z37" s="283">
        <f t="shared" si="2"/>
        <v>2.1800000000000002</v>
      </c>
      <c r="AA37" s="340">
        <f t="shared" si="2"/>
        <v>0</v>
      </c>
      <c r="AC37" s="317"/>
      <c r="AD37" s="317"/>
      <c r="AE37" s="317"/>
      <c r="AF37" s="317"/>
      <c r="AG37" s="208"/>
      <c r="AH37" s="249"/>
      <c r="AI37" s="249"/>
      <c r="AJ37" s="244"/>
      <c r="AK37" s="244"/>
      <c r="AL37" s="244"/>
      <c r="AM37" s="244"/>
    </row>
    <row r="38" spans="1:39">
      <c r="A38" s="74" t="s">
        <v>285</v>
      </c>
      <c r="B38" s="74" t="s">
        <v>2009</v>
      </c>
      <c r="C38" s="74" t="s">
        <v>1987</v>
      </c>
      <c r="D38" s="74" t="s">
        <v>2459</v>
      </c>
      <c r="E38" s="74" t="s">
        <v>2460</v>
      </c>
      <c r="F38" s="74">
        <v>1.8</v>
      </c>
      <c r="G38" s="74">
        <v>0</v>
      </c>
      <c r="H38" s="74">
        <v>2.3199999999999998</v>
      </c>
      <c r="I38" s="13" t="s">
        <v>232</v>
      </c>
      <c r="T38" s="292" t="s">
        <v>1756</v>
      </c>
      <c r="U38" s="283" t="s">
        <v>1757</v>
      </c>
      <c r="V38" s="283" t="s">
        <v>2350</v>
      </c>
      <c r="W38" s="293" t="str">
        <f t="shared" si="3"/>
        <v>S50</v>
      </c>
      <c r="X38" s="284" t="str">
        <f t="shared" si="0"/>
        <v>H</v>
      </c>
      <c r="Y38" s="271"/>
      <c r="Z38" s="283">
        <f t="shared" si="2"/>
        <v>1.8</v>
      </c>
      <c r="AA38" s="340">
        <f t="shared" si="2"/>
        <v>0</v>
      </c>
      <c r="AC38" s="317"/>
      <c r="AD38" s="317"/>
      <c r="AE38" s="317"/>
      <c r="AF38" s="317"/>
      <c r="AG38" s="245"/>
      <c r="AH38" s="249"/>
      <c r="AI38" s="249"/>
      <c r="AJ38" s="244"/>
      <c r="AK38" s="244"/>
      <c r="AL38" s="244"/>
      <c r="AM38" s="244"/>
    </row>
    <row r="39" spans="1:39" ht="13.75" customHeight="1">
      <c r="A39" s="74" t="s">
        <v>286</v>
      </c>
      <c r="B39" s="74" t="s">
        <v>2009</v>
      </c>
      <c r="C39" s="74" t="s">
        <v>1987</v>
      </c>
      <c r="D39" s="74" t="s">
        <v>0</v>
      </c>
      <c r="E39" s="74" t="s">
        <v>7</v>
      </c>
      <c r="F39" s="74">
        <v>1.2</v>
      </c>
      <c r="G39" s="74">
        <v>0</v>
      </c>
      <c r="H39" s="74">
        <v>2.3199999999999998</v>
      </c>
      <c r="I39" s="13" t="s">
        <v>232</v>
      </c>
      <c r="T39" s="292" t="s">
        <v>1756</v>
      </c>
      <c r="U39" s="283" t="s">
        <v>1757</v>
      </c>
      <c r="V39" s="283" t="s">
        <v>2350</v>
      </c>
      <c r="W39" s="293" t="str">
        <f t="shared" si="3"/>
        <v>S54</v>
      </c>
      <c r="X39" s="284" t="str">
        <f t="shared" si="0"/>
        <v>J</v>
      </c>
      <c r="Y39" s="271"/>
      <c r="Z39" s="283">
        <f t="shared" si="2"/>
        <v>1.2</v>
      </c>
      <c r="AA39" s="340">
        <f t="shared" si="2"/>
        <v>0</v>
      </c>
      <c r="AC39" s="317"/>
      <c r="AD39" s="317"/>
      <c r="AE39" s="317"/>
      <c r="AF39" s="317"/>
      <c r="AG39" s="209"/>
      <c r="AH39" s="244"/>
      <c r="AI39" s="249"/>
      <c r="AJ39" s="244"/>
      <c r="AK39" s="244"/>
      <c r="AL39" s="244"/>
      <c r="AM39" s="244"/>
    </row>
    <row r="40" spans="1:39" ht="16.5" customHeight="1">
      <c r="A40" s="74" t="s">
        <v>287</v>
      </c>
      <c r="B40" s="74" t="s">
        <v>2009</v>
      </c>
      <c r="C40" s="74" t="s">
        <v>1987</v>
      </c>
      <c r="D40" s="74" t="s">
        <v>9</v>
      </c>
      <c r="E40" s="74" t="s">
        <v>10</v>
      </c>
      <c r="F40" s="74">
        <v>0.9</v>
      </c>
      <c r="G40" s="74">
        <v>0</v>
      </c>
      <c r="H40" s="74">
        <v>2.3199999999999998</v>
      </c>
      <c r="I40" s="13" t="s">
        <v>232</v>
      </c>
      <c r="T40" s="292" t="s">
        <v>1756</v>
      </c>
      <c r="U40" s="283" t="s">
        <v>1757</v>
      </c>
      <c r="V40" s="283" t="s">
        <v>2350</v>
      </c>
      <c r="W40" s="293" t="str">
        <f t="shared" si="3"/>
        <v>S56</v>
      </c>
      <c r="X40" s="284" t="str">
        <f t="shared" si="0"/>
        <v>L</v>
      </c>
      <c r="Y40" s="271"/>
      <c r="Z40" s="283">
        <f t="shared" si="2"/>
        <v>0.9</v>
      </c>
      <c r="AA40" s="340">
        <f t="shared" si="2"/>
        <v>0</v>
      </c>
      <c r="AC40" s="312"/>
      <c r="AD40" s="297"/>
      <c r="AE40" s="312"/>
      <c r="AF40" s="300"/>
      <c r="AG40" s="209"/>
      <c r="AH40" s="244"/>
      <c r="AI40" s="249"/>
      <c r="AJ40" s="244"/>
      <c r="AK40" s="244"/>
      <c r="AL40" s="244"/>
      <c r="AM40" s="244"/>
    </row>
    <row r="41" spans="1:39" ht="13.75" customHeight="1">
      <c r="A41" s="74" t="s">
        <v>288</v>
      </c>
      <c r="B41" s="74" t="s">
        <v>2009</v>
      </c>
      <c r="C41" s="74" t="s">
        <v>1987</v>
      </c>
      <c r="D41" s="74" t="s">
        <v>18</v>
      </c>
      <c r="E41" s="74" t="s">
        <v>19</v>
      </c>
      <c r="F41" s="74">
        <v>0.7</v>
      </c>
      <c r="G41" s="74">
        <v>0</v>
      </c>
      <c r="H41" s="74">
        <v>2.3199999999999998</v>
      </c>
      <c r="I41" s="13" t="s">
        <v>232</v>
      </c>
      <c r="T41" s="292" t="s">
        <v>1756</v>
      </c>
      <c r="U41" s="283" t="s">
        <v>1757</v>
      </c>
      <c r="V41" s="283" t="s">
        <v>2350</v>
      </c>
      <c r="W41" s="293" t="str">
        <f t="shared" si="3"/>
        <v>H元</v>
      </c>
      <c r="X41" s="284" t="str">
        <f t="shared" si="0"/>
        <v>T</v>
      </c>
      <c r="Y41" s="271"/>
      <c r="Z41" s="283">
        <f t="shared" si="2"/>
        <v>0.7</v>
      </c>
      <c r="AA41" s="340">
        <f t="shared" si="2"/>
        <v>0</v>
      </c>
      <c r="AC41" s="312"/>
      <c r="AD41" s="297"/>
      <c r="AE41" s="312"/>
      <c r="AF41" s="300"/>
      <c r="AG41" s="209"/>
      <c r="AH41" s="244"/>
      <c r="AI41" s="244"/>
      <c r="AJ41" s="244"/>
      <c r="AK41" s="244"/>
      <c r="AL41" s="244"/>
      <c r="AM41" s="244"/>
    </row>
    <row r="42" spans="1:39" ht="13.75" customHeight="1">
      <c r="A42" s="74" t="s">
        <v>289</v>
      </c>
      <c r="B42" s="74" t="s">
        <v>2009</v>
      </c>
      <c r="C42" s="74" t="s">
        <v>1987</v>
      </c>
      <c r="D42" s="74" t="s">
        <v>1995</v>
      </c>
      <c r="E42" s="74" t="s">
        <v>49</v>
      </c>
      <c r="F42" s="74">
        <v>0.4</v>
      </c>
      <c r="G42" s="74">
        <v>0</v>
      </c>
      <c r="H42" s="74">
        <v>2.3199999999999998</v>
      </c>
      <c r="I42" s="13" t="s">
        <v>232</v>
      </c>
      <c r="T42" s="292" t="s">
        <v>1756</v>
      </c>
      <c r="U42" s="283" t="s">
        <v>1757</v>
      </c>
      <c r="V42" s="283" t="s">
        <v>2350</v>
      </c>
      <c r="W42" s="293" t="str">
        <f t="shared" si="3"/>
        <v>H6,H10</v>
      </c>
      <c r="X42" s="284" t="str">
        <f t="shared" si="0"/>
        <v>GA</v>
      </c>
      <c r="Y42" s="271"/>
      <c r="Z42" s="283">
        <f t="shared" si="2"/>
        <v>0.4</v>
      </c>
      <c r="AA42" s="340">
        <f t="shared" si="2"/>
        <v>0</v>
      </c>
      <c r="AC42" s="312"/>
      <c r="AD42" s="297"/>
      <c r="AE42" s="312"/>
      <c r="AF42" s="300"/>
      <c r="AG42" s="209"/>
      <c r="AH42" s="244"/>
      <c r="AI42" s="244"/>
      <c r="AJ42" s="244"/>
      <c r="AK42" s="244"/>
      <c r="AL42" s="244"/>
      <c r="AM42" s="244"/>
    </row>
    <row r="43" spans="1:39" ht="13.75" customHeight="1">
      <c r="A43" s="74" t="s">
        <v>290</v>
      </c>
      <c r="B43" s="74" t="s">
        <v>2009</v>
      </c>
      <c r="C43" s="74" t="s">
        <v>1987</v>
      </c>
      <c r="D43" s="74" t="s">
        <v>1995</v>
      </c>
      <c r="E43" s="74" t="s">
        <v>51</v>
      </c>
      <c r="F43" s="74">
        <v>0.4</v>
      </c>
      <c r="G43" s="74">
        <v>0</v>
      </c>
      <c r="H43" s="74">
        <v>2.3199999999999998</v>
      </c>
      <c r="I43" s="13" t="s">
        <v>232</v>
      </c>
      <c r="T43" s="292" t="s">
        <v>1756</v>
      </c>
      <c r="U43" s="283" t="s">
        <v>1757</v>
      </c>
      <c r="V43" s="283" t="s">
        <v>2350</v>
      </c>
      <c r="W43" s="293" t="str">
        <f t="shared" si="3"/>
        <v>H6,H10</v>
      </c>
      <c r="X43" s="284" t="str">
        <f t="shared" si="0"/>
        <v>GC</v>
      </c>
      <c r="Y43" s="271"/>
      <c r="Z43" s="283">
        <f t="shared" si="2"/>
        <v>0.4</v>
      </c>
      <c r="AA43" s="340">
        <f t="shared" si="2"/>
        <v>0</v>
      </c>
      <c r="AC43" s="312"/>
      <c r="AD43" s="297"/>
      <c r="AE43" s="312"/>
      <c r="AF43" s="300"/>
      <c r="AG43" s="209"/>
      <c r="AH43" s="208"/>
      <c r="AI43" s="244"/>
      <c r="AJ43" s="244"/>
      <c r="AK43" s="244"/>
      <c r="AL43" s="244"/>
      <c r="AM43" s="244"/>
    </row>
    <row r="44" spans="1:39" ht="13.75" customHeight="1">
      <c r="A44" s="74" t="s">
        <v>291</v>
      </c>
      <c r="B44" s="74" t="s">
        <v>2009</v>
      </c>
      <c r="C44" s="74" t="s">
        <v>1987</v>
      </c>
      <c r="D44" s="74" t="s">
        <v>1995</v>
      </c>
      <c r="E44" s="74" t="s">
        <v>59</v>
      </c>
      <c r="F44" s="74">
        <v>0.2</v>
      </c>
      <c r="G44" s="74">
        <v>0</v>
      </c>
      <c r="H44" s="74">
        <v>2.3199999999999998</v>
      </c>
      <c r="I44" s="13" t="s">
        <v>239</v>
      </c>
      <c r="J44" s="74" t="s">
        <v>240</v>
      </c>
      <c r="T44" s="292" t="s">
        <v>1756</v>
      </c>
      <c r="U44" s="283" t="s">
        <v>1757</v>
      </c>
      <c r="V44" s="283" t="s">
        <v>2350</v>
      </c>
      <c r="W44" s="293" t="str">
        <f t="shared" si="3"/>
        <v>H6,H10</v>
      </c>
      <c r="X44" s="284" t="str">
        <f t="shared" si="0"/>
        <v>HG</v>
      </c>
      <c r="Y44" s="271"/>
      <c r="Z44" s="283">
        <f t="shared" si="2"/>
        <v>0.2</v>
      </c>
      <c r="AA44" s="340">
        <f t="shared" si="2"/>
        <v>0</v>
      </c>
      <c r="AC44" s="312"/>
      <c r="AD44" s="297"/>
      <c r="AE44" s="312"/>
      <c r="AF44" s="300"/>
      <c r="AG44" s="209"/>
      <c r="AH44" s="244"/>
      <c r="AI44" s="244"/>
      <c r="AJ44" s="244"/>
      <c r="AK44" s="244"/>
      <c r="AL44" s="244"/>
      <c r="AM44" s="244"/>
    </row>
    <row r="45" spans="1:39" ht="13.75" customHeight="1">
      <c r="A45" s="74" t="s">
        <v>292</v>
      </c>
      <c r="B45" s="74" t="s">
        <v>2009</v>
      </c>
      <c r="C45" s="74" t="s">
        <v>1987</v>
      </c>
      <c r="D45" s="74" t="s">
        <v>21</v>
      </c>
      <c r="E45" s="74" t="s">
        <v>57</v>
      </c>
      <c r="F45" s="74">
        <v>0.13</v>
      </c>
      <c r="G45" s="74">
        <v>0</v>
      </c>
      <c r="H45" s="74">
        <v>2.3199999999999998</v>
      </c>
      <c r="I45" s="13" t="s">
        <v>232</v>
      </c>
      <c r="T45" s="292" t="s">
        <v>1756</v>
      </c>
      <c r="U45" s="283" t="s">
        <v>1757</v>
      </c>
      <c r="V45" s="283" t="s">
        <v>2350</v>
      </c>
      <c r="W45" s="293" t="str">
        <f t="shared" si="3"/>
        <v>H13</v>
      </c>
      <c r="X45" s="284" t="str">
        <f t="shared" si="0"/>
        <v>GK</v>
      </c>
      <c r="Y45" s="271"/>
      <c r="Z45" s="283">
        <f t="shared" si="2"/>
        <v>0.13</v>
      </c>
      <c r="AA45" s="340">
        <f t="shared" si="2"/>
        <v>0</v>
      </c>
      <c r="AI45" s="244"/>
      <c r="AJ45" s="244"/>
      <c r="AK45" s="244"/>
      <c r="AL45" s="244"/>
      <c r="AM45" s="244"/>
    </row>
    <row r="46" spans="1:39" ht="13.75" customHeight="1">
      <c r="A46" s="74" t="s">
        <v>293</v>
      </c>
      <c r="B46" s="74" t="s">
        <v>2009</v>
      </c>
      <c r="C46" s="74" t="s">
        <v>1987</v>
      </c>
      <c r="D46" s="74" t="s">
        <v>21</v>
      </c>
      <c r="E46" s="74" t="s">
        <v>68</v>
      </c>
      <c r="F46" s="74">
        <v>6.5000000000000002E-2</v>
      </c>
      <c r="G46" s="74">
        <v>0</v>
      </c>
      <c r="H46" s="74">
        <v>2.3199999999999998</v>
      </c>
      <c r="I46" s="13" t="s">
        <v>239</v>
      </c>
      <c r="J46" s="74" t="s">
        <v>240</v>
      </c>
      <c r="T46" s="292" t="s">
        <v>1756</v>
      </c>
      <c r="U46" s="283" t="s">
        <v>1757</v>
      </c>
      <c r="V46" s="283" t="s">
        <v>2350</v>
      </c>
      <c r="W46" s="293" t="str">
        <f t="shared" si="3"/>
        <v>H13</v>
      </c>
      <c r="X46" s="284" t="str">
        <f t="shared" si="0"/>
        <v>HQ</v>
      </c>
      <c r="Y46" s="271"/>
      <c r="Z46" s="283">
        <f t="shared" si="2"/>
        <v>6.5000000000000002E-2</v>
      </c>
      <c r="AA46" s="340">
        <f t="shared" si="2"/>
        <v>0</v>
      </c>
      <c r="AI46" s="244"/>
      <c r="AJ46" s="244"/>
      <c r="AK46" s="244"/>
      <c r="AL46" s="244"/>
      <c r="AM46" s="244"/>
    </row>
    <row r="47" spans="1:39">
      <c r="A47" s="74" t="s">
        <v>294</v>
      </c>
      <c r="B47" s="74" t="s">
        <v>2009</v>
      </c>
      <c r="C47" s="74" t="s">
        <v>1987</v>
      </c>
      <c r="D47" s="74" t="s">
        <v>21</v>
      </c>
      <c r="E47" s="74" t="s">
        <v>81</v>
      </c>
      <c r="F47" s="74">
        <v>9.7500000000000003E-2</v>
      </c>
      <c r="G47" s="74">
        <v>0</v>
      </c>
      <c r="H47" s="74">
        <v>2.3199999999999998</v>
      </c>
      <c r="I47" s="13" t="s">
        <v>232</v>
      </c>
      <c r="J47" s="74" t="s">
        <v>244</v>
      </c>
      <c r="T47" s="292" t="s">
        <v>1756</v>
      </c>
      <c r="U47" s="283" t="s">
        <v>1757</v>
      </c>
      <c r="V47" s="283" t="s">
        <v>2350</v>
      </c>
      <c r="W47" s="293" t="str">
        <f t="shared" si="3"/>
        <v>H13</v>
      </c>
      <c r="X47" s="284" t="str">
        <f t="shared" si="0"/>
        <v>TC</v>
      </c>
      <c r="Y47" s="271" t="s">
        <v>1765</v>
      </c>
      <c r="Z47" s="283">
        <f t="shared" si="2"/>
        <v>9.7500000000000003E-2</v>
      </c>
      <c r="AA47" s="340">
        <f t="shared" si="2"/>
        <v>0</v>
      </c>
    </row>
    <row r="48" spans="1:39">
      <c r="A48" s="74" t="s">
        <v>295</v>
      </c>
      <c r="B48" s="74" t="s">
        <v>2009</v>
      </c>
      <c r="C48" s="74" t="s">
        <v>1987</v>
      </c>
      <c r="D48" s="74" t="s">
        <v>21</v>
      </c>
      <c r="E48" s="74" t="s">
        <v>95</v>
      </c>
      <c r="F48" s="74">
        <v>9.7500000000000003E-2</v>
      </c>
      <c r="G48" s="74">
        <v>0</v>
      </c>
      <c r="H48" s="74">
        <v>2.3199999999999998</v>
      </c>
      <c r="I48" s="13" t="s">
        <v>239</v>
      </c>
      <c r="J48" s="74" t="s">
        <v>2134</v>
      </c>
      <c r="T48" s="292" t="s">
        <v>1756</v>
      </c>
      <c r="U48" s="283" t="s">
        <v>1757</v>
      </c>
      <c r="V48" s="283" t="s">
        <v>2350</v>
      </c>
      <c r="W48" s="293" t="str">
        <f t="shared" si="3"/>
        <v>H13</v>
      </c>
      <c r="X48" s="284" t="str">
        <f t="shared" si="0"/>
        <v>XC</v>
      </c>
      <c r="Y48" s="271" t="s">
        <v>1765</v>
      </c>
      <c r="Z48" s="283">
        <f t="shared" si="2"/>
        <v>9.7500000000000003E-2</v>
      </c>
      <c r="AA48" s="340">
        <f t="shared" si="2"/>
        <v>0</v>
      </c>
    </row>
    <row r="49" spans="1:34">
      <c r="A49" s="74" t="s">
        <v>296</v>
      </c>
      <c r="B49" s="74" t="s">
        <v>2009</v>
      </c>
      <c r="C49" s="74" t="s">
        <v>1987</v>
      </c>
      <c r="D49" s="74" t="s">
        <v>21</v>
      </c>
      <c r="E49" s="74" t="s">
        <v>72</v>
      </c>
      <c r="F49" s="74">
        <v>6.5000000000000002E-2</v>
      </c>
      <c r="G49" s="74">
        <v>0</v>
      </c>
      <c r="H49" s="74">
        <v>2.3199999999999998</v>
      </c>
      <c r="I49" s="13" t="s">
        <v>232</v>
      </c>
      <c r="J49" s="74" t="s">
        <v>247</v>
      </c>
      <c r="T49" s="292" t="s">
        <v>1756</v>
      </c>
      <c r="U49" s="283" t="s">
        <v>1757</v>
      </c>
      <c r="V49" s="283" t="s">
        <v>2350</v>
      </c>
      <c r="W49" s="293" t="str">
        <f t="shared" si="3"/>
        <v>H13</v>
      </c>
      <c r="X49" s="284" t="str">
        <f t="shared" si="0"/>
        <v>LC</v>
      </c>
      <c r="Y49" s="271" t="s">
        <v>1766</v>
      </c>
      <c r="Z49" s="283">
        <f t="shared" ref="Z49:AA71" si="4">F49</f>
        <v>6.5000000000000002E-2</v>
      </c>
      <c r="AA49" s="340">
        <f t="shared" si="4"/>
        <v>0</v>
      </c>
    </row>
    <row r="50" spans="1:34">
      <c r="A50" s="74" t="s">
        <v>297</v>
      </c>
      <c r="B50" s="74" t="s">
        <v>2009</v>
      </c>
      <c r="C50" s="74" t="s">
        <v>1987</v>
      </c>
      <c r="D50" s="74" t="s">
        <v>21</v>
      </c>
      <c r="E50" s="74" t="s">
        <v>99</v>
      </c>
      <c r="F50" s="74">
        <v>6.5000000000000002E-2</v>
      </c>
      <c r="G50" s="74">
        <v>0</v>
      </c>
      <c r="H50" s="74">
        <v>2.3199999999999998</v>
      </c>
      <c r="I50" s="13" t="s">
        <v>239</v>
      </c>
      <c r="J50" s="74" t="s">
        <v>2135</v>
      </c>
      <c r="T50" s="292" t="s">
        <v>1756</v>
      </c>
      <c r="U50" s="283" t="s">
        <v>1757</v>
      </c>
      <c r="V50" s="283" t="s">
        <v>2350</v>
      </c>
      <c r="W50" s="293" t="str">
        <f t="shared" si="3"/>
        <v>H13</v>
      </c>
      <c r="X50" s="284" t="str">
        <f t="shared" si="0"/>
        <v>YC</v>
      </c>
      <c r="Y50" s="271" t="s">
        <v>1766</v>
      </c>
      <c r="Z50" s="283">
        <f t="shared" si="4"/>
        <v>6.5000000000000002E-2</v>
      </c>
      <c r="AA50" s="340">
        <f t="shared" si="4"/>
        <v>0</v>
      </c>
    </row>
    <row r="51" spans="1:34">
      <c r="A51" s="74" t="s">
        <v>298</v>
      </c>
      <c r="B51" s="74" t="s">
        <v>2009</v>
      </c>
      <c r="C51" s="74" t="s">
        <v>1987</v>
      </c>
      <c r="D51" s="74" t="s">
        <v>21</v>
      </c>
      <c r="E51" s="74" t="s">
        <v>88</v>
      </c>
      <c r="F51" s="74">
        <v>3.2500000000000001E-2</v>
      </c>
      <c r="G51" s="74">
        <v>0</v>
      </c>
      <c r="H51" s="74">
        <v>2.3199999999999998</v>
      </c>
      <c r="I51" s="13" t="s">
        <v>232</v>
      </c>
      <c r="J51" s="74" t="s">
        <v>250</v>
      </c>
      <c r="T51" s="292" t="s">
        <v>1756</v>
      </c>
      <c r="U51" s="283" t="s">
        <v>1757</v>
      </c>
      <c r="V51" s="283" t="s">
        <v>2350</v>
      </c>
      <c r="W51" s="293" t="str">
        <f t="shared" si="3"/>
        <v>H13</v>
      </c>
      <c r="X51" s="284" t="str">
        <f t="shared" si="0"/>
        <v>UC</v>
      </c>
      <c r="Y51" s="271" t="s">
        <v>1767</v>
      </c>
      <c r="Z51" s="283">
        <f t="shared" si="4"/>
        <v>3.2500000000000001E-2</v>
      </c>
      <c r="AA51" s="340">
        <f t="shared" si="4"/>
        <v>0</v>
      </c>
    </row>
    <row r="52" spans="1:34">
      <c r="A52" s="74" t="s">
        <v>299</v>
      </c>
      <c r="B52" s="74" t="s">
        <v>2009</v>
      </c>
      <c r="C52" s="74" t="s">
        <v>1987</v>
      </c>
      <c r="D52" s="74" t="s">
        <v>21</v>
      </c>
      <c r="E52" s="74" t="s">
        <v>103</v>
      </c>
      <c r="F52" s="74">
        <v>3.2500000000000001E-2</v>
      </c>
      <c r="G52" s="74">
        <v>0</v>
      </c>
      <c r="H52" s="74">
        <v>2.3199999999999998</v>
      </c>
      <c r="I52" s="13" t="s">
        <v>239</v>
      </c>
      <c r="J52" s="74" t="s">
        <v>2136</v>
      </c>
      <c r="T52" s="292" t="s">
        <v>1756</v>
      </c>
      <c r="U52" s="283" t="s">
        <v>1757</v>
      </c>
      <c r="V52" s="283" t="s">
        <v>2350</v>
      </c>
      <c r="W52" s="293" t="str">
        <f t="shared" si="3"/>
        <v>H13</v>
      </c>
      <c r="X52" s="284" t="str">
        <f t="shared" si="0"/>
        <v>ZC</v>
      </c>
      <c r="Y52" s="271" t="s">
        <v>1767</v>
      </c>
      <c r="Z52" s="283">
        <f t="shared" si="4"/>
        <v>3.2500000000000001E-2</v>
      </c>
      <c r="AA52" s="340">
        <f t="shared" si="4"/>
        <v>0</v>
      </c>
    </row>
    <row r="53" spans="1:34">
      <c r="A53" s="74" t="s">
        <v>300</v>
      </c>
      <c r="B53" s="74" t="s">
        <v>2009</v>
      </c>
      <c r="C53" s="74" t="s">
        <v>1987</v>
      </c>
      <c r="D53" s="74" t="s">
        <v>1979</v>
      </c>
      <c r="E53" s="74" t="s">
        <v>301</v>
      </c>
      <c r="F53" s="268">
        <v>7.0000000000000007E-2</v>
      </c>
      <c r="G53" s="74">
        <v>0</v>
      </c>
      <c r="H53" s="74">
        <v>2.3199999999999998</v>
      </c>
      <c r="I53" s="13" t="s">
        <v>232</v>
      </c>
      <c r="T53" s="292" t="s">
        <v>1756</v>
      </c>
      <c r="U53" s="283" t="s">
        <v>1757</v>
      </c>
      <c r="V53" s="283" t="s">
        <v>2350</v>
      </c>
      <c r="W53" s="293" t="str">
        <f t="shared" si="3"/>
        <v>H17</v>
      </c>
      <c r="X53" s="284" t="str">
        <f t="shared" si="0"/>
        <v>ABF</v>
      </c>
      <c r="Y53" s="271"/>
      <c r="Z53" s="283">
        <f t="shared" si="4"/>
        <v>7.0000000000000007E-2</v>
      </c>
      <c r="AA53" s="340">
        <f t="shared" si="4"/>
        <v>0</v>
      </c>
    </row>
    <row r="54" spans="1:34">
      <c r="A54" s="74" t="s">
        <v>302</v>
      </c>
      <c r="B54" s="74" t="s">
        <v>2009</v>
      </c>
      <c r="C54" s="74" t="s">
        <v>1987</v>
      </c>
      <c r="D54" s="74" t="s">
        <v>1979</v>
      </c>
      <c r="E54" s="74" t="s">
        <v>303</v>
      </c>
      <c r="F54" s="268">
        <v>3.5000000000000003E-2</v>
      </c>
      <c r="G54" s="74">
        <v>0</v>
      </c>
      <c r="H54" s="74">
        <v>2.3199999999999998</v>
      </c>
      <c r="I54" s="13" t="s">
        <v>239</v>
      </c>
      <c r="J54" s="74" t="s">
        <v>240</v>
      </c>
      <c r="T54" s="292" t="s">
        <v>1756</v>
      </c>
      <c r="U54" s="283" t="s">
        <v>1757</v>
      </c>
      <c r="V54" s="283" t="s">
        <v>2350</v>
      </c>
      <c r="W54" s="293" t="str">
        <f t="shared" si="3"/>
        <v>H17</v>
      </c>
      <c r="X54" s="284" t="str">
        <f t="shared" si="0"/>
        <v>AAF</v>
      </c>
      <c r="Y54" s="271"/>
      <c r="Z54" s="283">
        <f t="shared" si="4"/>
        <v>3.5000000000000003E-2</v>
      </c>
      <c r="AA54" s="340">
        <f t="shared" si="4"/>
        <v>0</v>
      </c>
    </row>
    <row r="55" spans="1:34">
      <c r="A55" s="74" t="s">
        <v>304</v>
      </c>
      <c r="B55" s="74" t="s">
        <v>2009</v>
      </c>
      <c r="C55" s="74" t="s">
        <v>1987</v>
      </c>
      <c r="D55" s="74" t="s">
        <v>1979</v>
      </c>
      <c r="E55" s="74" t="s">
        <v>1989</v>
      </c>
      <c r="F55" s="74">
        <v>6.3000000000000014E-2</v>
      </c>
      <c r="G55" s="74">
        <v>0</v>
      </c>
      <c r="H55" s="74">
        <v>2.3199999999999998</v>
      </c>
      <c r="I55" s="13" t="s">
        <v>239</v>
      </c>
      <c r="J55" s="74" t="s">
        <v>2134</v>
      </c>
      <c r="T55" s="292" t="s">
        <v>1756</v>
      </c>
      <c r="U55" s="283" t="s">
        <v>1757</v>
      </c>
      <c r="V55" s="283" t="s">
        <v>2350</v>
      </c>
      <c r="W55" s="293" t="str">
        <f t="shared" si="3"/>
        <v>H17</v>
      </c>
      <c r="X55" s="284" t="str">
        <f t="shared" si="0"/>
        <v>BAF</v>
      </c>
      <c r="Y55" s="271" t="s">
        <v>2398</v>
      </c>
      <c r="Z55" s="283">
        <f t="shared" si="4"/>
        <v>6.3000000000000014E-2</v>
      </c>
      <c r="AA55" s="340">
        <f t="shared" si="4"/>
        <v>0</v>
      </c>
    </row>
    <row r="56" spans="1:34">
      <c r="A56" s="74" t="s">
        <v>305</v>
      </c>
      <c r="B56" s="74" t="s">
        <v>2009</v>
      </c>
      <c r="C56" s="74" t="s">
        <v>1987</v>
      </c>
      <c r="D56" s="74" t="s">
        <v>1979</v>
      </c>
      <c r="E56" s="74" t="s">
        <v>1990</v>
      </c>
      <c r="F56" s="74">
        <v>6.3000000000000014E-2</v>
      </c>
      <c r="G56" s="74">
        <v>0</v>
      </c>
      <c r="H56" s="74">
        <v>2.3199999999999998</v>
      </c>
      <c r="I56" s="13" t="s">
        <v>232</v>
      </c>
      <c r="J56" s="74" t="s">
        <v>244</v>
      </c>
      <c r="T56" s="292" t="s">
        <v>1756</v>
      </c>
      <c r="U56" s="283" t="s">
        <v>1757</v>
      </c>
      <c r="V56" s="283" t="s">
        <v>2350</v>
      </c>
      <c r="W56" s="293" t="str">
        <f t="shared" si="3"/>
        <v>H17</v>
      </c>
      <c r="X56" s="284" t="str">
        <f t="shared" si="0"/>
        <v>BBF</v>
      </c>
      <c r="Y56" s="271" t="s">
        <v>2398</v>
      </c>
      <c r="Z56" s="283">
        <f t="shared" si="4"/>
        <v>6.3000000000000014E-2</v>
      </c>
      <c r="AA56" s="340">
        <f t="shared" si="4"/>
        <v>0</v>
      </c>
    </row>
    <row r="57" spans="1:34">
      <c r="A57" s="74" t="s">
        <v>306</v>
      </c>
      <c r="B57" s="74" t="s">
        <v>2009</v>
      </c>
      <c r="C57" s="74" t="s">
        <v>1987</v>
      </c>
      <c r="D57" s="74" t="s">
        <v>1979</v>
      </c>
      <c r="E57" s="74" t="s">
        <v>1991</v>
      </c>
      <c r="F57" s="74">
        <v>3.5000000000000003E-2</v>
      </c>
      <c r="G57" s="74">
        <v>0</v>
      </c>
      <c r="H57" s="74">
        <v>2.3199999999999998</v>
      </c>
      <c r="I57" s="13" t="s">
        <v>239</v>
      </c>
      <c r="J57" s="74" t="s">
        <v>2135</v>
      </c>
      <c r="T57" s="292" t="s">
        <v>1756</v>
      </c>
      <c r="U57" s="283" t="s">
        <v>1757</v>
      </c>
      <c r="V57" s="283" t="s">
        <v>2350</v>
      </c>
      <c r="W57" s="293" t="str">
        <f t="shared" si="3"/>
        <v>H17</v>
      </c>
      <c r="X57" s="284" t="str">
        <f t="shared" si="0"/>
        <v>CAF</v>
      </c>
      <c r="Y57" s="271" t="s">
        <v>2261</v>
      </c>
      <c r="Z57" s="283">
        <f t="shared" si="4"/>
        <v>3.5000000000000003E-2</v>
      </c>
      <c r="AA57" s="340">
        <f t="shared" si="4"/>
        <v>0</v>
      </c>
      <c r="AC57" s="266"/>
      <c r="AD57" s="266"/>
      <c r="AE57" s="266"/>
      <c r="AF57" s="266"/>
      <c r="AG57" s="266"/>
      <c r="AH57" s="266"/>
    </row>
    <row r="58" spans="1:34">
      <c r="A58" s="74" t="s">
        <v>307</v>
      </c>
      <c r="B58" s="74" t="s">
        <v>2009</v>
      </c>
      <c r="C58" s="74" t="s">
        <v>1987</v>
      </c>
      <c r="D58" s="74" t="s">
        <v>1979</v>
      </c>
      <c r="E58" s="74" t="s">
        <v>1992</v>
      </c>
      <c r="F58" s="74">
        <v>3.5000000000000003E-2</v>
      </c>
      <c r="G58" s="74">
        <v>0</v>
      </c>
      <c r="H58" s="74">
        <v>2.3199999999999998</v>
      </c>
      <c r="I58" s="13" t="s">
        <v>260</v>
      </c>
      <c r="J58" s="74" t="s">
        <v>247</v>
      </c>
      <c r="T58" s="292" t="s">
        <v>1756</v>
      </c>
      <c r="U58" s="283" t="s">
        <v>1757</v>
      </c>
      <c r="V58" s="283" t="s">
        <v>2350</v>
      </c>
      <c r="W58" s="293" t="str">
        <f t="shared" si="3"/>
        <v>H17</v>
      </c>
      <c r="X58" s="284" t="str">
        <f t="shared" si="0"/>
        <v>CBF</v>
      </c>
      <c r="Y58" s="271" t="s">
        <v>2261</v>
      </c>
      <c r="Z58" s="283">
        <f t="shared" si="4"/>
        <v>3.5000000000000003E-2</v>
      </c>
      <c r="AA58" s="340">
        <f t="shared" si="4"/>
        <v>0</v>
      </c>
      <c r="AC58" s="266"/>
      <c r="AD58" s="266"/>
      <c r="AE58" s="266"/>
      <c r="AF58" s="266"/>
      <c r="AG58" s="266"/>
      <c r="AH58" s="266"/>
    </row>
    <row r="59" spans="1:34" s="266" customFormat="1">
      <c r="A59" s="266" t="s">
        <v>308</v>
      </c>
      <c r="B59" s="266" t="s">
        <v>2009</v>
      </c>
      <c r="C59" s="266" t="s">
        <v>1987</v>
      </c>
      <c r="D59" s="266" t="s">
        <v>1979</v>
      </c>
      <c r="E59" s="266" t="s">
        <v>1993</v>
      </c>
      <c r="F59" s="266">
        <v>1.7500000000000002E-2</v>
      </c>
      <c r="G59" s="266">
        <v>0</v>
      </c>
      <c r="H59" s="266">
        <v>2.3199999999999998</v>
      </c>
      <c r="I59" s="267" t="s">
        <v>239</v>
      </c>
      <c r="J59" s="266" t="s">
        <v>2136</v>
      </c>
      <c r="T59" s="292" t="s">
        <v>1756</v>
      </c>
      <c r="U59" s="283" t="s">
        <v>1757</v>
      </c>
      <c r="V59" s="283" t="s">
        <v>2350</v>
      </c>
      <c r="W59" s="293" t="str">
        <f t="shared" si="3"/>
        <v>H17</v>
      </c>
      <c r="X59" s="284" t="str">
        <f t="shared" si="0"/>
        <v>DAF</v>
      </c>
      <c r="Y59" s="271" t="s">
        <v>2262</v>
      </c>
      <c r="Z59" s="283">
        <f t="shared" si="4"/>
        <v>1.7500000000000002E-2</v>
      </c>
      <c r="AA59" s="340">
        <f t="shared" si="4"/>
        <v>0</v>
      </c>
      <c r="AC59" s="250"/>
      <c r="AD59" s="250"/>
      <c r="AE59" s="250"/>
      <c r="AF59" s="250"/>
      <c r="AG59" s="250"/>
      <c r="AH59" s="250"/>
    </row>
    <row r="60" spans="1:34" s="266" customFormat="1">
      <c r="A60" s="266" t="s">
        <v>309</v>
      </c>
      <c r="B60" s="266" t="s">
        <v>2009</v>
      </c>
      <c r="C60" s="266" t="s">
        <v>1987</v>
      </c>
      <c r="D60" s="266" t="s">
        <v>1979</v>
      </c>
      <c r="E60" s="266" t="s">
        <v>1994</v>
      </c>
      <c r="F60" s="266">
        <v>1.7500000000000002E-2</v>
      </c>
      <c r="G60" s="266">
        <v>0</v>
      </c>
      <c r="H60" s="266">
        <v>2.3199999999999998</v>
      </c>
      <c r="I60" s="267" t="s">
        <v>263</v>
      </c>
      <c r="J60" s="266" t="s">
        <v>250</v>
      </c>
      <c r="T60" s="292" t="s">
        <v>1756</v>
      </c>
      <c r="U60" s="283" t="s">
        <v>1757</v>
      </c>
      <c r="V60" s="283" t="s">
        <v>2350</v>
      </c>
      <c r="W60" s="293" t="str">
        <f t="shared" si="3"/>
        <v>H17</v>
      </c>
      <c r="X60" s="284" t="str">
        <f t="shared" si="0"/>
        <v>DBF</v>
      </c>
      <c r="Y60" s="271" t="s">
        <v>2262</v>
      </c>
      <c r="Z60" s="283">
        <f t="shared" si="4"/>
        <v>1.7500000000000002E-2</v>
      </c>
      <c r="AA60" s="340">
        <f t="shared" si="4"/>
        <v>0</v>
      </c>
      <c r="AC60" s="250"/>
      <c r="AD60" s="250"/>
      <c r="AE60" s="250"/>
      <c r="AF60" s="250"/>
      <c r="AG60" s="250"/>
      <c r="AH60" s="250"/>
    </row>
    <row r="61" spans="1:34" s="250" customFormat="1">
      <c r="A61" s="250" t="s">
        <v>310</v>
      </c>
      <c r="B61" s="250" t="s">
        <v>2009</v>
      </c>
      <c r="C61" s="250" t="s">
        <v>1987</v>
      </c>
      <c r="D61" s="251" t="s">
        <v>1979</v>
      </c>
      <c r="E61" s="251" t="s">
        <v>311</v>
      </c>
      <c r="F61" s="250">
        <v>6.3000000000000014E-2</v>
      </c>
      <c r="G61" s="250">
        <v>0</v>
      </c>
      <c r="H61" s="250">
        <v>2.3199999999999998</v>
      </c>
      <c r="I61" s="252" t="s">
        <v>239</v>
      </c>
      <c r="J61" s="250" t="s">
        <v>2134</v>
      </c>
      <c r="T61" s="292" t="s">
        <v>1756</v>
      </c>
      <c r="U61" s="283" t="s">
        <v>1757</v>
      </c>
      <c r="V61" s="283" t="s">
        <v>1763</v>
      </c>
      <c r="W61" s="283" t="s">
        <v>1979</v>
      </c>
      <c r="X61" s="284" t="s">
        <v>2351</v>
      </c>
      <c r="Y61" s="271" t="s">
        <v>2398</v>
      </c>
      <c r="Z61" s="283">
        <v>6.3E-2</v>
      </c>
      <c r="AA61" s="340">
        <v>0</v>
      </c>
    </row>
    <row r="62" spans="1:34" s="250" customFormat="1">
      <c r="A62" s="250" t="s">
        <v>312</v>
      </c>
      <c r="B62" s="250" t="s">
        <v>2009</v>
      </c>
      <c r="C62" s="250" t="s">
        <v>1987</v>
      </c>
      <c r="D62" s="251" t="s">
        <v>1979</v>
      </c>
      <c r="E62" s="251" t="s">
        <v>313</v>
      </c>
      <c r="F62" s="250">
        <v>6.3000000000000014E-2</v>
      </c>
      <c r="G62" s="250">
        <v>0</v>
      </c>
      <c r="H62" s="250">
        <v>2.3199999999999998</v>
      </c>
      <c r="I62" s="252" t="s">
        <v>232</v>
      </c>
      <c r="J62" s="251" t="s">
        <v>244</v>
      </c>
      <c r="T62" s="292" t="s">
        <v>1756</v>
      </c>
      <c r="U62" s="283" t="s">
        <v>1757</v>
      </c>
      <c r="V62" s="283" t="s">
        <v>1763</v>
      </c>
      <c r="W62" s="283" t="s">
        <v>1979</v>
      </c>
      <c r="X62" s="284" t="s">
        <v>2352</v>
      </c>
      <c r="Y62" s="271" t="s">
        <v>2398</v>
      </c>
      <c r="Z62" s="283">
        <v>6.3E-2</v>
      </c>
      <c r="AA62" s="340">
        <v>0</v>
      </c>
    </row>
    <row r="63" spans="1:34" s="250" customFormat="1">
      <c r="A63" s="250" t="s">
        <v>314</v>
      </c>
      <c r="B63" s="250" t="s">
        <v>2009</v>
      </c>
      <c r="C63" s="250" t="s">
        <v>1987</v>
      </c>
      <c r="D63" s="251" t="s">
        <v>2382</v>
      </c>
      <c r="E63" s="251" t="s">
        <v>315</v>
      </c>
      <c r="F63" s="250">
        <v>7.0000000000000007E-2</v>
      </c>
      <c r="G63" s="250">
        <v>0</v>
      </c>
      <c r="H63" s="250">
        <v>2.3199999999999998</v>
      </c>
      <c r="I63" s="252" t="s">
        <v>232</v>
      </c>
      <c r="J63" s="251"/>
      <c r="T63" s="292" t="s">
        <v>1756</v>
      </c>
      <c r="U63" s="283" t="s">
        <v>1757</v>
      </c>
      <c r="V63" s="283" t="s">
        <v>1763</v>
      </c>
      <c r="W63" s="293" t="str">
        <f t="shared" ref="W63:W68" si="5">D63</f>
        <v>H21</v>
      </c>
      <c r="X63" s="284" t="str">
        <f t="shared" si="0"/>
        <v>LBF</v>
      </c>
      <c r="Y63" s="271"/>
      <c r="Z63" s="283">
        <f t="shared" si="4"/>
        <v>7.0000000000000007E-2</v>
      </c>
      <c r="AA63" s="340">
        <f t="shared" si="4"/>
        <v>0</v>
      </c>
    </row>
    <row r="64" spans="1:34" s="250" customFormat="1">
      <c r="A64" s="250" t="s">
        <v>316</v>
      </c>
      <c r="B64" s="250" t="s">
        <v>2009</v>
      </c>
      <c r="C64" s="250" t="s">
        <v>1987</v>
      </c>
      <c r="D64" s="251" t="s">
        <v>2382</v>
      </c>
      <c r="E64" s="251" t="s">
        <v>317</v>
      </c>
      <c r="F64" s="250">
        <v>3.5000000000000003E-2</v>
      </c>
      <c r="G64" s="250">
        <v>0</v>
      </c>
      <c r="H64" s="250">
        <v>2.3199999999999998</v>
      </c>
      <c r="I64" s="252" t="s">
        <v>239</v>
      </c>
      <c r="J64" s="251" t="s">
        <v>240</v>
      </c>
      <c r="T64" s="292" t="s">
        <v>1756</v>
      </c>
      <c r="U64" s="283" t="s">
        <v>1757</v>
      </c>
      <c r="V64" s="283" t="s">
        <v>1763</v>
      </c>
      <c r="W64" s="293" t="str">
        <f t="shared" si="5"/>
        <v>H21</v>
      </c>
      <c r="X64" s="284" t="str">
        <f t="shared" si="0"/>
        <v>LAF</v>
      </c>
      <c r="Y64" s="271"/>
      <c r="Z64" s="283">
        <f t="shared" si="4"/>
        <v>3.5000000000000003E-2</v>
      </c>
      <c r="AA64" s="340">
        <f t="shared" si="4"/>
        <v>0</v>
      </c>
    </row>
    <row r="65" spans="1:34" s="250" customFormat="1">
      <c r="A65" s="250" t="s">
        <v>318</v>
      </c>
      <c r="B65" s="250" t="s">
        <v>2009</v>
      </c>
      <c r="C65" s="250" t="s">
        <v>1987</v>
      </c>
      <c r="D65" s="251" t="s">
        <v>2382</v>
      </c>
      <c r="E65" s="251" t="s">
        <v>319</v>
      </c>
      <c r="F65" s="250">
        <v>3.5000000000000003E-2</v>
      </c>
      <c r="G65" s="250">
        <v>0</v>
      </c>
      <c r="H65" s="250">
        <v>2.3199999999999998</v>
      </c>
      <c r="I65" s="252" t="s">
        <v>260</v>
      </c>
      <c r="J65" s="251" t="s">
        <v>2261</v>
      </c>
      <c r="T65" s="292" t="s">
        <v>1756</v>
      </c>
      <c r="U65" s="283" t="s">
        <v>1757</v>
      </c>
      <c r="V65" s="283" t="s">
        <v>1763</v>
      </c>
      <c r="W65" s="293" t="str">
        <f t="shared" si="5"/>
        <v>H21</v>
      </c>
      <c r="X65" s="284" t="str">
        <f t="shared" si="0"/>
        <v>MBF</v>
      </c>
      <c r="Y65" s="271" t="s">
        <v>2261</v>
      </c>
      <c r="Z65" s="283">
        <f t="shared" si="4"/>
        <v>3.5000000000000003E-2</v>
      </c>
      <c r="AA65" s="340">
        <f t="shared" si="4"/>
        <v>0</v>
      </c>
      <c r="AC65" s="74"/>
      <c r="AD65" s="74"/>
      <c r="AE65" s="74"/>
      <c r="AF65" s="74"/>
      <c r="AG65" s="74"/>
      <c r="AH65" s="74"/>
    </row>
    <row r="66" spans="1:34" s="250" customFormat="1">
      <c r="A66" s="250" t="s">
        <v>320</v>
      </c>
      <c r="B66" s="250" t="s">
        <v>2009</v>
      </c>
      <c r="C66" s="250" t="s">
        <v>1987</v>
      </c>
      <c r="D66" s="251" t="s">
        <v>2382</v>
      </c>
      <c r="E66" s="251" t="s">
        <v>321</v>
      </c>
      <c r="F66" s="250">
        <v>3.5000000000000003E-2</v>
      </c>
      <c r="G66" s="250">
        <v>0</v>
      </c>
      <c r="H66" s="250">
        <v>2.3199999999999998</v>
      </c>
      <c r="I66" s="252" t="s">
        <v>239</v>
      </c>
      <c r="J66" s="251" t="s">
        <v>2385</v>
      </c>
      <c r="T66" s="292" t="s">
        <v>1756</v>
      </c>
      <c r="U66" s="283" t="s">
        <v>1757</v>
      </c>
      <c r="V66" s="283" t="s">
        <v>1763</v>
      </c>
      <c r="W66" s="293" t="str">
        <f t="shared" si="5"/>
        <v>H21</v>
      </c>
      <c r="X66" s="284" t="str">
        <f t="shared" si="0"/>
        <v>MAF</v>
      </c>
      <c r="Y66" s="271" t="s">
        <v>2261</v>
      </c>
      <c r="Z66" s="283">
        <f t="shared" si="4"/>
        <v>3.5000000000000003E-2</v>
      </c>
      <c r="AA66" s="340">
        <f t="shared" si="4"/>
        <v>0</v>
      </c>
      <c r="AC66" s="74"/>
      <c r="AD66" s="74"/>
      <c r="AE66" s="74"/>
      <c r="AF66" s="74"/>
      <c r="AG66" s="74"/>
      <c r="AH66" s="74"/>
    </row>
    <row r="67" spans="1:34">
      <c r="A67" s="74" t="s">
        <v>322</v>
      </c>
      <c r="B67" s="74" t="s">
        <v>2009</v>
      </c>
      <c r="C67" s="74" t="s">
        <v>1987</v>
      </c>
      <c r="D67" s="74" t="s">
        <v>2382</v>
      </c>
      <c r="E67" s="74" t="s">
        <v>323</v>
      </c>
      <c r="F67" s="74">
        <v>1.7500000000000002E-2</v>
      </c>
      <c r="G67" s="74">
        <v>0</v>
      </c>
      <c r="H67" s="74">
        <v>2.3199999999999998</v>
      </c>
      <c r="I67" s="13" t="s">
        <v>263</v>
      </c>
      <c r="J67" s="74" t="s">
        <v>2262</v>
      </c>
      <c r="T67" s="292" t="s">
        <v>1756</v>
      </c>
      <c r="U67" s="283" t="s">
        <v>1757</v>
      </c>
      <c r="V67" s="283" t="s">
        <v>1763</v>
      </c>
      <c r="W67" s="293" t="str">
        <f t="shared" si="5"/>
        <v>H21</v>
      </c>
      <c r="X67" s="284" t="str">
        <f t="shared" si="0"/>
        <v>RBF</v>
      </c>
      <c r="Y67" s="271" t="s">
        <v>2262</v>
      </c>
      <c r="Z67" s="283">
        <f t="shared" si="4"/>
        <v>1.7500000000000002E-2</v>
      </c>
      <c r="AA67" s="340">
        <f t="shared" si="4"/>
        <v>0</v>
      </c>
    </row>
    <row r="68" spans="1:34">
      <c r="A68" s="74" t="s">
        <v>324</v>
      </c>
      <c r="B68" s="74" t="s">
        <v>2009</v>
      </c>
      <c r="C68" s="74" t="s">
        <v>1987</v>
      </c>
      <c r="D68" s="74" t="s">
        <v>2382</v>
      </c>
      <c r="E68" s="74" t="s">
        <v>325</v>
      </c>
      <c r="F68" s="74">
        <v>1.7500000000000002E-2</v>
      </c>
      <c r="G68" s="74">
        <v>0</v>
      </c>
      <c r="H68" s="74">
        <v>2.3199999999999998</v>
      </c>
      <c r="I68" s="13" t="s">
        <v>239</v>
      </c>
      <c r="J68" s="74" t="s">
        <v>2386</v>
      </c>
      <c r="T68" s="292" t="s">
        <v>1756</v>
      </c>
      <c r="U68" s="283" t="s">
        <v>1757</v>
      </c>
      <c r="V68" s="283" t="s">
        <v>1763</v>
      </c>
      <c r="W68" s="293" t="str">
        <f t="shared" si="5"/>
        <v>H21</v>
      </c>
      <c r="X68" s="284" t="str">
        <f t="shared" si="0"/>
        <v>RAF</v>
      </c>
      <c r="Y68" s="271" t="s">
        <v>2262</v>
      </c>
      <c r="Z68" s="283">
        <f t="shared" si="4"/>
        <v>1.7500000000000002E-2</v>
      </c>
      <c r="AA68" s="340">
        <f t="shared" si="4"/>
        <v>0</v>
      </c>
    </row>
    <row r="69" spans="1:34">
      <c r="A69" s="74" t="s">
        <v>326</v>
      </c>
      <c r="B69" s="74" t="s">
        <v>2009</v>
      </c>
      <c r="C69" s="74" t="s">
        <v>1987</v>
      </c>
      <c r="D69" s="74" t="s">
        <v>2382</v>
      </c>
      <c r="E69" s="74" t="s">
        <v>327</v>
      </c>
      <c r="F69" s="74">
        <v>6.3E-2</v>
      </c>
      <c r="G69" s="74">
        <v>0</v>
      </c>
      <c r="H69" s="74">
        <v>2.3199999999999998</v>
      </c>
      <c r="I69" s="13" t="s">
        <v>232</v>
      </c>
      <c r="J69" s="74" t="s">
        <v>244</v>
      </c>
      <c r="T69" s="292" t="s">
        <v>1760</v>
      </c>
      <c r="U69" s="283" t="s">
        <v>1761</v>
      </c>
      <c r="V69" s="283" t="s">
        <v>2396</v>
      </c>
      <c r="W69" s="293" t="s">
        <v>2382</v>
      </c>
      <c r="X69" s="284" t="s">
        <v>327</v>
      </c>
      <c r="Y69" s="271" t="s">
        <v>1762</v>
      </c>
      <c r="Z69" s="283">
        <v>6.3E-2</v>
      </c>
      <c r="AA69" s="340">
        <v>0</v>
      </c>
    </row>
    <row r="70" spans="1:34">
      <c r="A70" s="74" t="s">
        <v>328</v>
      </c>
      <c r="B70" s="74" t="s">
        <v>2009</v>
      </c>
      <c r="C70" s="74" t="s">
        <v>1987</v>
      </c>
      <c r="D70" s="74" t="s">
        <v>2382</v>
      </c>
      <c r="E70" s="74" t="s">
        <v>329</v>
      </c>
      <c r="F70" s="74">
        <v>6.3E-2</v>
      </c>
      <c r="G70" s="74">
        <v>0</v>
      </c>
      <c r="H70" s="74">
        <v>2.3199999999999998</v>
      </c>
      <c r="I70" s="13" t="s">
        <v>239</v>
      </c>
      <c r="J70" s="74" t="s">
        <v>2134</v>
      </c>
      <c r="T70" s="292" t="s">
        <v>1760</v>
      </c>
      <c r="U70" s="283" t="s">
        <v>1761</v>
      </c>
      <c r="V70" s="283" t="s">
        <v>2396</v>
      </c>
      <c r="W70" s="293" t="s">
        <v>2382</v>
      </c>
      <c r="X70" s="284" t="s">
        <v>329</v>
      </c>
      <c r="Y70" s="271" t="s">
        <v>1762</v>
      </c>
      <c r="Z70" s="283">
        <v>6.3E-2</v>
      </c>
      <c r="AA70" s="340">
        <v>0</v>
      </c>
    </row>
    <row r="71" spans="1:34">
      <c r="A71" s="74" t="s">
        <v>330</v>
      </c>
      <c r="B71" s="74" t="s">
        <v>2030</v>
      </c>
      <c r="C71" s="74" t="s">
        <v>1996</v>
      </c>
      <c r="D71" s="74" t="s">
        <v>2458</v>
      </c>
      <c r="E71" s="74" t="s">
        <v>2457</v>
      </c>
      <c r="F71" s="74">
        <v>1.8</v>
      </c>
      <c r="G71" s="74">
        <v>0</v>
      </c>
      <c r="H71" s="74">
        <v>2.3199999999999998</v>
      </c>
      <c r="I71" s="13" t="s">
        <v>232</v>
      </c>
      <c r="T71" s="292" t="s">
        <v>1756</v>
      </c>
      <c r="U71" s="283" t="s">
        <v>1757</v>
      </c>
      <c r="V71" s="285" t="s">
        <v>1771</v>
      </c>
      <c r="W71" s="293" t="str">
        <f t="shared" ref="W71:X91" si="6">D71</f>
        <v>S54前</v>
      </c>
      <c r="X71" s="284" t="str">
        <f t="shared" si="0"/>
        <v>-</v>
      </c>
      <c r="Y71" s="271"/>
      <c r="Z71" s="283">
        <f t="shared" si="4"/>
        <v>1.8</v>
      </c>
      <c r="AA71" s="340">
        <f t="shared" si="4"/>
        <v>0</v>
      </c>
    </row>
    <row r="72" spans="1:34">
      <c r="A72" s="74" t="s">
        <v>331</v>
      </c>
      <c r="B72" s="74" t="s">
        <v>2030</v>
      </c>
      <c r="C72" s="74" t="s">
        <v>1996</v>
      </c>
      <c r="D72" s="74" t="s">
        <v>0</v>
      </c>
      <c r="E72" s="74" t="s">
        <v>7</v>
      </c>
      <c r="F72" s="74">
        <v>1.2</v>
      </c>
      <c r="G72" s="74">
        <v>0</v>
      </c>
      <c r="H72" s="74">
        <v>2.3199999999999998</v>
      </c>
      <c r="I72" s="13" t="s">
        <v>232</v>
      </c>
      <c r="T72" s="292" t="s">
        <v>1756</v>
      </c>
      <c r="U72" s="283" t="s">
        <v>1757</v>
      </c>
      <c r="V72" s="285" t="s">
        <v>1771</v>
      </c>
      <c r="W72" s="293" t="str">
        <f t="shared" si="6"/>
        <v>S54</v>
      </c>
      <c r="X72" s="284" t="str">
        <f t="shared" si="0"/>
        <v>J</v>
      </c>
      <c r="Y72" s="271"/>
      <c r="Z72" s="283">
        <f t="shared" ref="Z72:AA143" si="7">F72</f>
        <v>1.2</v>
      </c>
      <c r="AA72" s="340">
        <f t="shared" si="7"/>
        <v>0</v>
      </c>
    </row>
    <row r="73" spans="1:34">
      <c r="A73" s="74" t="s">
        <v>332</v>
      </c>
      <c r="B73" s="74" t="s">
        <v>2030</v>
      </c>
      <c r="C73" s="74" t="s">
        <v>1996</v>
      </c>
      <c r="D73" s="74" t="s">
        <v>24</v>
      </c>
      <c r="E73" s="74" t="s">
        <v>25</v>
      </c>
      <c r="F73" s="74">
        <v>0.9</v>
      </c>
      <c r="G73" s="74">
        <v>0</v>
      </c>
      <c r="H73" s="74">
        <v>2.3199999999999998</v>
      </c>
      <c r="I73" s="13" t="s">
        <v>232</v>
      </c>
      <c r="T73" s="292" t="s">
        <v>1756</v>
      </c>
      <c r="U73" s="283" t="s">
        <v>1757</v>
      </c>
      <c r="V73" s="285" t="s">
        <v>1771</v>
      </c>
      <c r="W73" s="293" t="str">
        <f t="shared" si="6"/>
        <v>S57</v>
      </c>
      <c r="X73" s="284" t="str">
        <f t="shared" si="0"/>
        <v>M</v>
      </c>
      <c r="Y73" s="271"/>
      <c r="Z73" s="283">
        <f t="shared" si="7"/>
        <v>0.9</v>
      </c>
      <c r="AA73" s="340">
        <f t="shared" si="7"/>
        <v>0</v>
      </c>
    </row>
    <row r="74" spans="1:34">
      <c r="A74" s="74" t="s">
        <v>333</v>
      </c>
      <c r="B74" s="74" t="s">
        <v>2030</v>
      </c>
      <c r="C74" s="74" t="s">
        <v>1996</v>
      </c>
      <c r="D74" s="74" t="s">
        <v>18</v>
      </c>
      <c r="E74" s="74" t="s">
        <v>19</v>
      </c>
      <c r="F74" s="74">
        <v>0.7</v>
      </c>
      <c r="G74" s="74">
        <v>0</v>
      </c>
      <c r="H74" s="74">
        <v>2.3199999999999998</v>
      </c>
      <c r="I74" s="13" t="s">
        <v>232</v>
      </c>
      <c r="T74" s="292" t="s">
        <v>1756</v>
      </c>
      <c r="U74" s="283" t="s">
        <v>1757</v>
      </c>
      <c r="V74" s="285" t="s">
        <v>1771</v>
      </c>
      <c r="W74" s="293" t="str">
        <f t="shared" si="6"/>
        <v>H元</v>
      </c>
      <c r="X74" s="284" t="str">
        <f t="shared" si="0"/>
        <v>T</v>
      </c>
      <c r="Y74" s="271"/>
      <c r="Z74" s="283">
        <f t="shared" si="7"/>
        <v>0.7</v>
      </c>
      <c r="AA74" s="340">
        <f t="shared" si="7"/>
        <v>0</v>
      </c>
    </row>
    <row r="75" spans="1:34">
      <c r="A75" s="74" t="s">
        <v>334</v>
      </c>
      <c r="B75" s="74" t="s">
        <v>2030</v>
      </c>
      <c r="C75" s="74" t="s">
        <v>1996</v>
      </c>
      <c r="D75" s="74" t="s">
        <v>1998</v>
      </c>
      <c r="E75" s="74" t="s">
        <v>26</v>
      </c>
      <c r="F75" s="74">
        <v>0.49</v>
      </c>
      <c r="G75" s="74">
        <v>0</v>
      </c>
      <c r="H75" s="74">
        <v>2.3199999999999998</v>
      </c>
      <c r="I75" s="13" t="s">
        <v>232</v>
      </c>
      <c r="T75" s="292" t="s">
        <v>1756</v>
      </c>
      <c r="U75" s="283" t="s">
        <v>1757</v>
      </c>
      <c r="V75" s="285" t="s">
        <v>1771</v>
      </c>
      <c r="W75" s="293" t="str">
        <f t="shared" si="6"/>
        <v>H4</v>
      </c>
      <c r="X75" s="284" t="str">
        <f t="shared" si="0"/>
        <v>Z</v>
      </c>
      <c r="Y75" s="271"/>
      <c r="Z75" s="283">
        <f t="shared" si="7"/>
        <v>0.49</v>
      </c>
      <c r="AA75" s="340">
        <f t="shared" si="7"/>
        <v>0</v>
      </c>
    </row>
    <row r="76" spans="1:34">
      <c r="A76" s="74" t="s">
        <v>335</v>
      </c>
      <c r="B76" s="74" t="s">
        <v>2030</v>
      </c>
      <c r="C76" s="74" t="s">
        <v>1996</v>
      </c>
      <c r="D76" s="74" t="s">
        <v>1999</v>
      </c>
      <c r="E76" s="74" t="s">
        <v>50</v>
      </c>
      <c r="F76" s="74">
        <v>0.4</v>
      </c>
      <c r="G76" s="74">
        <v>0</v>
      </c>
      <c r="H76" s="74">
        <v>2.3199999999999998</v>
      </c>
      <c r="I76" s="13" t="s">
        <v>232</v>
      </c>
      <c r="T76" s="292" t="s">
        <v>1756</v>
      </c>
      <c r="U76" s="283" t="s">
        <v>1757</v>
      </c>
      <c r="V76" s="285" t="s">
        <v>1771</v>
      </c>
      <c r="W76" s="293" t="str">
        <f t="shared" si="6"/>
        <v>H7,H10</v>
      </c>
      <c r="X76" s="284" t="str">
        <f t="shared" si="0"/>
        <v>GB</v>
      </c>
      <c r="Y76" s="271"/>
      <c r="Z76" s="283">
        <f t="shared" si="7"/>
        <v>0.4</v>
      </c>
      <c r="AA76" s="340">
        <f t="shared" si="7"/>
        <v>0</v>
      </c>
    </row>
    <row r="77" spans="1:34">
      <c r="A77" s="74" t="s">
        <v>336</v>
      </c>
      <c r="B77" s="74" t="s">
        <v>2030</v>
      </c>
      <c r="C77" s="74" t="s">
        <v>1996</v>
      </c>
      <c r="D77" s="74" t="s">
        <v>1999</v>
      </c>
      <c r="E77" s="74" t="s">
        <v>52</v>
      </c>
      <c r="F77" s="74">
        <v>0.4</v>
      </c>
      <c r="G77" s="74">
        <v>0</v>
      </c>
      <c r="H77" s="74">
        <v>2.3199999999999998</v>
      </c>
      <c r="I77" s="13" t="s">
        <v>232</v>
      </c>
      <c r="T77" s="292" t="s">
        <v>1756</v>
      </c>
      <c r="U77" s="283" t="s">
        <v>1757</v>
      </c>
      <c r="V77" s="285" t="s">
        <v>1771</v>
      </c>
      <c r="W77" s="293" t="str">
        <f t="shared" si="6"/>
        <v>H7,H10</v>
      </c>
      <c r="X77" s="284" t="str">
        <f t="shared" si="0"/>
        <v>GE</v>
      </c>
      <c r="Y77" s="271"/>
      <c r="Z77" s="283">
        <f t="shared" si="7"/>
        <v>0.4</v>
      </c>
      <c r="AA77" s="340">
        <f t="shared" si="7"/>
        <v>0</v>
      </c>
    </row>
    <row r="78" spans="1:34">
      <c r="A78" s="74" t="s">
        <v>337</v>
      </c>
      <c r="B78" s="74" t="s">
        <v>2030</v>
      </c>
      <c r="C78" s="74" t="s">
        <v>1996</v>
      </c>
      <c r="D78" s="74" t="s">
        <v>1999</v>
      </c>
      <c r="E78" s="74" t="s">
        <v>60</v>
      </c>
      <c r="F78" s="74">
        <v>0.2</v>
      </c>
      <c r="G78" s="74">
        <v>0</v>
      </c>
      <c r="H78" s="74">
        <v>2.3199999999999998</v>
      </c>
      <c r="I78" s="13" t="s">
        <v>239</v>
      </c>
      <c r="J78" s="74" t="s">
        <v>240</v>
      </c>
      <c r="T78" s="292" t="s">
        <v>1756</v>
      </c>
      <c r="U78" s="283" t="s">
        <v>1757</v>
      </c>
      <c r="V78" s="285" t="s">
        <v>1771</v>
      </c>
      <c r="W78" s="293" t="str">
        <f t="shared" si="6"/>
        <v>H7,H10</v>
      </c>
      <c r="X78" s="284" t="str">
        <f t="shared" si="0"/>
        <v>HJ</v>
      </c>
      <c r="Y78" s="271"/>
      <c r="Z78" s="283">
        <f t="shared" si="7"/>
        <v>0.2</v>
      </c>
      <c r="AA78" s="340">
        <f t="shared" si="7"/>
        <v>0</v>
      </c>
    </row>
    <row r="79" spans="1:34">
      <c r="A79" s="74" t="s">
        <v>338</v>
      </c>
      <c r="B79" s="74" t="s">
        <v>2030</v>
      </c>
      <c r="C79" s="74" t="s">
        <v>1996</v>
      </c>
      <c r="D79" s="74" t="s">
        <v>21</v>
      </c>
      <c r="E79" s="74" t="s">
        <v>57</v>
      </c>
      <c r="F79" s="74">
        <v>0.13</v>
      </c>
      <c r="G79" s="74">
        <v>0</v>
      </c>
      <c r="H79" s="74">
        <v>2.3199999999999998</v>
      </c>
      <c r="I79" s="13" t="s">
        <v>232</v>
      </c>
      <c r="T79" s="292" t="s">
        <v>1756</v>
      </c>
      <c r="U79" s="283" t="s">
        <v>1757</v>
      </c>
      <c r="V79" s="285" t="s">
        <v>1771</v>
      </c>
      <c r="W79" s="293" t="str">
        <f t="shared" si="6"/>
        <v>H13</v>
      </c>
      <c r="X79" s="284" t="str">
        <f t="shared" si="0"/>
        <v>GK</v>
      </c>
      <c r="Y79" s="271"/>
      <c r="Z79" s="283">
        <f t="shared" si="7"/>
        <v>0.13</v>
      </c>
      <c r="AA79" s="340">
        <f t="shared" si="7"/>
        <v>0</v>
      </c>
    </row>
    <row r="80" spans="1:34">
      <c r="A80" s="74" t="s">
        <v>339</v>
      </c>
      <c r="B80" s="74" t="s">
        <v>2030</v>
      </c>
      <c r="C80" s="74" t="s">
        <v>1996</v>
      </c>
      <c r="D80" s="74" t="s">
        <v>21</v>
      </c>
      <c r="E80" s="74" t="s">
        <v>68</v>
      </c>
      <c r="F80" s="74">
        <v>6.5000000000000002E-2</v>
      </c>
      <c r="G80" s="74">
        <v>0</v>
      </c>
      <c r="H80" s="74">
        <v>2.3199999999999998</v>
      </c>
      <c r="I80" s="13" t="s">
        <v>239</v>
      </c>
      <c r="J80" s="74" t="s">
        <v>240</v>
      </c>
      <c r="T80" s="292" t="s">
        <v>1756</v>
      </c>
      <c r="U80" s="283" t="s">
        <v>1757</v>
      </c>
      <c r="V80" s="285" t="s">
        <v>1771</v>
      </c>
      <c r="W80" s="293" t="str">
        <f t="shared" si="6"/>
        <v>H13</v>
      </c>
      <c r="X80" s="284" t="str">
        <f t="shared" si="0"/>
        <v>HQ</v>
      </c>
      <c r="Y80" s="271"/>
      <c r="Z80" s="283">
        <f t="shared" si="7"/>
        <v>6.5000000000000002E-2</v>
      </c>
      <c r="AA80" s="340">
        <f t="shared" si="7"/>
        <v>0</v>
      </c>
    </row>
    <row r="81" spans="1:34">
      <c r="A81" s="74" t="s">
        <v>340</v>
      </c>
      <c r="B81" s="74" t="s">
        <v>2030</v>
      </c>
      <c r="C81" s="74" t="s">
        <v>1996</v>
      </c>
      <c r="D81" s="74" t="s">
        <v>21</v>
      </c>
      <c r="E81" s="74" t="s">
        <v>81</v>
      </c>
      <c r="F81" s="74">
        <v>9.7500000000000003E-2</v>
      </c>
      <c r="G81" s="74">
        <v>0</v>
      </c>
      <c r="H81" s="74">
        <v>2.3199999999999998</v>
      </c>
      <c r="I81" s="13" t="s">
        <v>232</v>
      </c>
      <c r="J81" s="74" t="s">
        <v>244</v>
      </c>
      <c r="T81" s="292" t="s">
        <v>1756</v>
      </c>
      <c r="U81" s="283" t="s">
        <v>1757</v>
      </c>
      <c r="V81" s="285" t="s">
        <v>1771</v>
      </c>
      <c r="W81" s="293" t="str">
        <f t="shared" si="6"/>
        <v>H13</v>
      </c>
      <c r="X81" s="284" t="str">
        <f t="shared" si="0"/>
        <v>TC</v>
      </c>
      <c r="Y81" s="271" t="s">
        <v>1765</v>
      </c>
      <c r="Z81" s="283">
        <f t="shared" si="7"/>
        <v>9.7500000000000003E-2</v>
      </c>
      <c r="AA81" s="340">
        <f t="shared" si="7"/>
        <v>0</v>
      </c>
    </row>
    <row r="82" spans="1:34">
      <c r="A82" s="74" t="s">
        <v>341</v>
      </c>
      <c r="B82" s="74" t="s">
        <v>2030</v>
      </c>
      <c r="C82" s="74" t="s">
        <v>1996</v>
      </c>
      <c r="D82" s="74" t="s">
        <v>21</v>
      </c>
      <c r="E82" s="74" t="s">
        <v>95</v>
      </c>
      <c r="F82" s="74">
        <v>9.7500000000000003E-2</v>
      </c>
      <c r="G82" s="74">
        <v>0</v>
      </c>
      <c r="H82" s="74">
        <v>2.3199999999999998</v>
      </c>
      <c r="I82" s="13" t="s">
        <v>239</v>
      </c>
      <c r="J82" s="74" t="s">
        <v>2134</v>
      </c>
      <c r="T82" s="292" t="s">
        <v>1756</v>
      </c>
      <c r="U82" s="283" t="s">
        <v>1757</v>
      </c>
      <c r="V82" s="285" t="s">
        <v>1771</v>
      </c>
      <c r="W82" s="293" t="str">
        <f t="shared" si="6"/>
        <v>H13</v>
      </c>
      <c r="X82" s="284" t="str">
        <f t="shared" si="0"/>
        <v>XC</v>
      </c>
      <c r="Y82" s="271" t="s">
        <v>1765</v>
      </c>
      <c r="Z82" s="283">
        <f t="shared" si="7"/>
        <v>9.7500000000000003E-2</v>
      </c>
      <c r="AA82" s="340">
        <f t="shared" si="7"/>
        <v>0</v>
      </c>
    </row>
    <row r="83" spans="1:34">
      <c r="A83" s="74" t="s">
        <v>342</v>
      </c>
      <c r="B83" s="74" t="s">
        <v>2030</v>
      </c>
      <c r="C83" s="74" t="s">
        <v>1996</v>
      </c>
      <c r="D83" s="74" t="s">
        <v>21</v>
      </c>
      <c r="E83" s="74" t="s">
        <v>72</v>
      </c>
      <c r="F83" s="74">
        <v>6.5000000000000002E-2</v>
      </c>
      <c r="G83" s="74">
        <v>0</v>
      </c>
      <c r="H83" s="74">
        <v>2.3199999999999998</v>
      </c>
      <c r="I83" s="13" t="s">
        <v>232</v>
      </c>
      <c r="J83" s="74" t="s">
        <v>247</v>
      </c>
      <c r="T83" s="292" t="s">
        <v>1756</v>
      </c>
      <c r="U83" s="283" t="s">
        <v>1757</v>
      </c>
      <c r="V83" s="285" t="s">
        <v>1771</v>
      </c>
      <c r="W83" s="293" t="str">
        <f t="shared" si="6"/>
        <v>H13</v>
      </c>
      <c r="X83" s="284" t="str">
        <f t="shared" si="0"/>
        <v>LC</v>
      </c>
      <c r="Y83" s="271" t="s">
        <v>1766</v>
      </c>
      <c r="Z83" s="283">
        <f t="shared" si="7"/>
        <v>6.5000000000000002E-2</v>
      </c>
      <c r="AA83" s="340">
        <f t="shared" si="7"/>
        <v>0</v>
      </c>
    </row>
    <row r="84" spans="1:34">
      <c r="A84" s="74" t="s">
        <v>343</v>
      </c>
      <c r="B84" s="74" t="s">
        <v>2030</v>
      </c>
      <c r="C84" s="74" t="s">
        <v>1996</v>
      </c>
      <c r="D84" s="74" t="s">
        <v>21</v>
      </c>
      <c r="E84" s="74" t="s">
        <v>99</v>
      </c>
      <c r="F84" s="74">
        <v>6.5000000000000002E-2</v>
      </c>
      <c r="G84" s="74">
        <v>0</v>
      </c>
      <c r="H84" s="74">
        <v>2.3199999999999998</v>
      </c>
      <c r="I84" s="13" t="s">
        <v>239</v>
      </c>
      <c r="J84" s="74" t="s">
        <v>2135</v>
      </c>
      <c r="T84" s="292" t="s">
        <v>1756</v>
      </c>
      <c r="U84" s="283" t="s">
        <v>1757</v>
      </c>
      <c r="V84" s="285" t="s">
        <v>1771</v>
      </c>
      <c r="W84" s="293" t="str">
        <f t="shared" si="6"/>
        <v>H13</v>
      </c>
      <c r="X84" s="284" t="str">
        <f t="shared" si="0"/>
        <v>YC</v>
      </c>
      <c r="Y84" s="271" t="s">
        <v>1766</v>
      </c>
      <c r="Z84" s="283">
        <f t="shared" si="7"/>
        <v>6.5000000000000002E-2</v>
      </c>
      <c r="AA84" s="340">
        <f t="shared" si="7"/>
        <v>0</v>
      </c>
    </row>
    <row r="85" spans="1:34">
      <c r="A85" s="74" t="s">
        <v>344</v>
      </c>
      <c r="B85" s="74" t="s">
        <v>2030</v>
      </c>
      <c r="C85" s="74" t="s">
        <v>1996</v>
      </c>
      <c r="D85" s="74" t="s">
        <v>21</v>
      </c>
      <c r="E85" s="74" t="s">
        <v>88</v>
      </c>
      <c r="F85" s="268">
        <v>3.2500000000000001E-2</v>
      </c>
      <c r="G85" s="74">
        <v>0</v>
      </c>
      <c r="H85" s="74">
        <v>2.3199999999999998</v>
      </c>
      <c r="I85" s="13" t="s">
        <v>232</v>
      </c>
      <c r="J85" s="74" t="s">
        <v>250</v>
      </c>
      <c r="T85" s="292" t="s">
        <v>1756</v>
      </c>
      <c r="U85" s="283" t="s">
        <v>1757</v>
      </c>
      <c r="V85" s="285" t="s">
        <v>1771</v>
      </c>
      <c r="W85" s="293" t="str">
        <f t="shared" si="6"/>
        <v>H13</v>
      </c>
      <c r="X85" s="284" t="str">
        <f t="shared" si="0"/>
        <v>UC</v>
      </c>
      <c r="Y85" s="271" t="s">
        <v>1767</v>
      </c>
      <c r="Z85" s="283">
        <f t="shared" si="7"/>
        <v>3.2500000000000001E-2</v>
      </c>
      <c r="AA85" s="340">
        <f t="shared" si="7"/>
        <v>0</v>
      </c>
    </row>
    <row r="86" spans="1:34">
      <c r="A86" s="74" t="s">
        <v>345</v>
      </c>
      <c r="B86" s="74" t="s">
        <v>2030</v>
      </c>
      <c r="C86" s="74" t="s">
        <v>1996</v>
      </c>
      <c r="D86" s="74" t="s">
        <v>21</v>
      </c>
      <c r="E86" s="74" t="s">
        <v>103</v>
      </c>
      <c r="F86" s="268">
        <v>3.2500000000000001E-2</v>
      </c>
      <c r="G86" s="74">
        <v>0</v>
      </c>
      <c r="H86" s="74">
        <v>2.3199999999999998</v>
      </c>
      <c r="I86" s="13" t="s">
        <v>239</v>
      </c>
      <c r="J86" s="74" t="s">
        <v>2136</v>
      </c>
      <c r="T86" s="292" t="s">
        <v>1756</v>
      </c>
      <c r="U86" s="283" t="s">
        <v>1757</v>
      </c>
      <c r="V86" s="285" t="s">
        <v>1771</v>
      </c>
      <c r="W86" s="293" t="str">
        <f t="shared" si="6"/>
        <v>H13</v>
      </c>
      <c r="X86" s="284" t="str">
        <f t="shared" si="0"/>
        <v>ZC</v>
      </c>
      <c r="Y86" s="271" t="s">
        <v>1767</v>
      </c>
      <c r="Z86" s="283">
        <f t="shared" si="7"/>
        <v>3.2500000000000001E-2</v>
      </c>
      <c r="AA86" s="340">
        <f t="shared" si="7"/>
        <v>0</v>
      </c>
    </row>
    <row r="87" spans="1:34">
      <c r="A87" s="74" t="s">
        <v>346</v>
      </c>
      <c r="B87" s="74" t="s">
        <v>2030</v>
      </c>
      <c r="C87" s="74" t="s">
        <v>1996</v>
      </c>
      <c r="D87" s="74" t="s">
        <v>1979</v>
      </c>
      <c r="E87" s="74" t="s">
        <v>301</v>
      </c>
      <c r="F87" s="74">
        <v>7.0000000000000007E-2</v>
      </c>
      <c r="G87" s="74">
        <v>0</v>
      </c>
      <c r="H87" s="74">
        <v>2.3199999999999998</v>
      </c>
      <c r="I87" s="13" t="s">
        <v>232</v>
      </c>
      <c r="T87" s="292" t="s">
        <v>1756</v>
      </c>
      <c r="U87" s="283" t="s">
        <v>1757</v>
      </c>
      <c r="V87" s="285" t="s">
        <v>1771</v>
      </c>
      <c r="W87" s="293" t="str">
        <f t="shared" si="6"/>
        <v>H17</v>
      </c>
      <c r="X87" s="284" t="str">
        <f t="shared" si="0"/>
        <v>ABF</v>
      </c>
      <c r="Y87" s="271"/>
      <c r="Z87" s="283">
        <f t="shared" si="7"/>
        <v>7.0000000000000007E-2</v>
      </c>
      <c r="AA87" s="340">
        <f t="shared" si="7"/>
        <v>0</v>
      </c>
    </row>
    <row r="88" spans="1:34">
      <c r="A88" s="74" t="s">
        <v>347</v>
      </c>
      <c r="B88" s="74" t="s">
        <v>2030</v>
      </c>
      <c r="C88" s="74" t="s">
        <v>1996</v>
      </c>
      <c r="D88" s="74" t="s">
        <v>1979</v>
      </c>
      <c r="E88" s="74" t="s">
        <v>303</v>
      </c>
      <c r="F88" s="74">
        <v>3.5000000000000003E-2</v>
      </c>
      <c r="G88" s="74">
        <v>0</v>
      </c>
      <c r="H88" s="74">
        <v>2.3199999999999998</v>
      </c>
      <c r="I88" s="13" t="s">
        <v>239</v>
      </c>
      <c r="J88" s="74" t="s">
        <v>240</v>
      </c>
      <c r="T88" s="292" t="s">
        <v>1756</v>
      </c>
      <c r="U88" s="283" t="s">
        <v>1757</v>
      </c>
      <c r="V88" s="285" t="s">
        <v>1771</v>
      </c>
      <c r="W88" s="293" t="str">
        <f t="shared" si="6"/>
        <v>H17</v>
      </c>
      <c r="X88" s="284" t="str">
        <f t="shared" si="0"/>
        <v>AAF</v>
      </c>
      <c r="Y88" s="271"/>
      <c r="Z88" s="283">
        <f t="shared" si="7"/>
        <v>3.5000000000000003E-2</v>
      </c>
      <c r="AA88" s="340">
        <f t="shared" si="7"/>
        <v>0</v>
      </c>
    </row>
    <row r="89" spans="1:34">
      <c r="A89" s="74" t="s">
        <v>348</v>
      </c>
      <c r="B89" s="74" t="s">
        <v>2030</v>
      </c>
      <c r="C89" s="74" t="s">
        <v>1996</v>
      </c>
      <c r="D89" s="74" t="s">
        <v>1979</v>
      </c>
      <c r="E89" s="74" t="s">
        <v>1989</v>
      </c>
      <c r="F89" s="74">
        <v>6.3000000000000014E-2</v>
      </c>
      <c r="G89" s="74">
        <v>0</v>
      </c>
      <c r="H89" s="74">
        <v>2.3199999999999998</v>
      </c>
      <c r="I89" s="13" t="s">
        <v>239</v>
      </c>
      <c r="J89" s="74" t="s">
        <v>2134</v>
      </c>
      <c r="T89" s="292" t="s">
        <v>1756</v>
      </c>
      <c r="U89" s="283" t="s">
        <v>1757</v>
      </c>
      <c r="V89" s="285" t="s">
        <v>1771</v>
      </c>
      <c r="W89" s="293" t="str">
        <f t="shared" si="6"/>
        <v>H17</v>
      </c>
      <c r="X89" s="284" t="str">
        <f t="shared" si="0"/>
        <v>BAF</v>
      </c>
      <c r="Y89" s="271" t="s">
        <v>2398</v>
      </c>
      <c r="Z89" s="283">
        <f t="shared" si="7"/>
        <v>6.3000000000000014E-2</v>
      </c>
      <c r="AA89" s="340">
        <f t="shared" si="7"/>
        <v>0</v>
      </c>
      <c r="AC89" s="266"/>
      <c r="AD89" s="266"/>
      <c r="AE89" s="266"/>
      <c r="AF89" s="266"/>
      <c r="AG89" s="266"/>
      <c r="AH89" s="266"/>
    </row>
    <row r="90" spans="1:34">
      <c r="A90" s="74" t="s">
        <v>349</v>
      </c>
      <c r="B90" s="74" t="s">
        <v>2030</v>
      </c>
      <c r="C90" s="74" t="s">
        <v>1996</v>
      </c>
      <c r="D90" s="74" t="s">
        <v>1979</v>
      </c>
      <c r="E90" s="74" t="s">
        <v>1990</v>
      </c>
      <c r="F90" s="74">
        <v>6.3000000000000014E-2</v>
      </c>
      <c r="G90" s="74">
        <v>0</v>
      </c>
      <c r="H90" s="74">
        <v>2.3199999999999998</v>
      </c>
      <c r="I90" s="13" t="s">
        <v>232</v>
      </c>
      <c r="J90" s="74" t="s">
        <v>244</v>
      </c>
      <c r="T90" s="292" t="s">
        <v>1756</v>
      </c>
      <c r="U90" s="283" t="s">
        <v>1757</v>
      </c>
      <c r="V90" s="285" t="s">
        <v>1771</v>
      </c>
      <c r="W90" s="293" t="str">
        <f t="shared" si="6"/>
        <v>H17</v>
      </c>
      <c r="X90" s="284" t="str">
        <f>E90</f>
        <v>BBF</v>
      </c>
      <c r="Y90" s="271" t="s">
        <v>2398</v>
      </c>
      <c r="Z90" s="283">
        <f t="shared" si="7"/>
        <v>6.3000000000000014E-2</v>
      </c>
      <c r="AA90" s="340">
        <f t="shared" si="7"/>
        <v>0</v>
      </c>
      <c r="AC90" s="266"/>
      <c r="AD90" s="266"/>
      <c r="AE90" s="266"/>
      <c r="AF90" s="266"/>
      <c r="AG90" s="266"/>
      <c r="AH90" s="266"/>
    </row>
    <row r="91" spans="1:34" s="266" customFormat="1">
      <c r="A91" s="266" t="s">
        <v>350</v>
      </c>
      <c r="B91" s="266" t="s">
        <v>2030</v>
      </c>
      <c r="C91" s="266" t="s">
        <v>1996</v>
      </c>
      <c r="D91" s="266" t="s">
        <v>1979</v>
      </c>
      <c r="E91" s="266" t="s">
        <v>1991</v>
      </c>
      <c r="F91" s="266">
        <v>3.5000000000000003E-2</v>
      </c>
      <c r="G91" s="266">
        <v>0</v>
      </c>
      <c r="H91" s="266">
        <v>2.3199999999999998</v>
      </c>
      <c r="I91" s="267" t="s">
        <v>239</v>
      </c>
      <c r="J91" s="266" t="s">
        <v>2135</v>
      </c>
      <c r="T91" s="292" t="s">
        <v>1756</v>
      </c>
      <c r="U91" s="283" t="s">
        <v>1757</v>
      </c>
      <c r="V91" s="285" t="s">
        <v>1771</v>
      </c>
      <c r="W91" s="293" t="str">
        <f t="shared" si="6"/>
        <v>H17</v>
      </c>
      <c r="X91" s="284" t="str">
        <f t="shared" si="6"/>
        <v>CAF</v>
      </c>
      <c r="Y91" s="271" t="s">
        <v>2261</v>
      </c>
      <c r="Z91" s="283">
        <f t="shared" si="7"/>
        <v>3.5000000000000003E-2</v>
      </c>
      <c r="AA91" s="340">
        <f t="shared" si="7"/>
        <v>0</v>
      </c>
      <c r="AC91" s="250"/>
      <c r="AD91" s="250"/>
      <c r="AE91" s="250"/>
      <c r="AF91" s="250"/>
      <c r="AG91" s="250"/>
      <c r="AH91" s="250"/>
    </row>
    <row r="92" spans="1:34" s="266" customFormat="1">
      <c r="A92" s="266" t="s">
        <v>351</v>
      </c>
      <c r="B92" s="266" t="s">
        <v>2030</v>
      </c>
      <c r="C92" s="266" t="s">
        <v>1996</v>
      </c>
      <c r="D92" s="266" t="s">
        <v>1979</v>
      </c>
      <c r="E92" s="266" t="s">
        <v>1992</v>
      </c>
      <c r="F92" s="266">
        <v>3.5000000000000003E-2</v>
      </c>
      <c r="G92" s="266">
        <v>0</v>
      </c>
      <c r="H92" s="266">
        <v>2.3199999999999998</v>
      </c>
      <c r="I92" s="267" t="s">
        <v>260</v>
      </c>
      <c r="J92" s="266" t="s">
        <v>247</v>
      </c>
      <c r="T92" s="292" t="s">
        <v>1756</v>
      </c>
      <c r="U92" s="283" t="s">
        <v>1757</v>
      </c>
      <c r="V92" s="285" t="s">
        <v>1771</v>
      </c>
      <c r="W92" s="293" t="str">
        <f t="shared" ref="W92:X161" si="8">D92</f>
        <v>H17</v>
      </c>
      <c r="X92" s="284" t="str">
        <f t="shared" si="8"/>
        <v>CBF</v>
      </c>
      <c r="Y92" s="271" t="s">
        <v>2261</v>
      </c>
      <c r="Z92" s="283">
        <f t="shared" si="7"/>
        <v>3.5000000000000003E-2</v>
      </c>
      <c r="AA92" s="340">
        <f t="shared" si="7"/>
        <v>0</v>
      </c>
      <c r="AC92" s="250"/>
      <c r="AD92" s="250"/>
      <c r="AE92" s="250"/>
      <c r="AF92" s="250"/>
      <c r="AG92" s="250"/>
      <c r="AH92" s="250"/>
    </row>
    <row r="93" spans="1:34" s="250" customFormat="1">
      <c r="A93" s="250" t="s">
        <v>352</v>
      </c>
      <c r="B93" s="250" t="s">
        <v>2030</v>
      </c>
      <c r="C93" s="250" t="s">
        <v>1996</v>
      </c>
      <c r="D93" s="251" t="s">
        <v>1979</v>
      </c>
      <c r="E93" s="251" t="s">
        <v>1993</v>
      </c>
      <c r="F93" s="250">
        <v>1.7500000000000002E-2</v>
      </c>
      <c r="G93" s="250">
        <v>0</v>
      </c>
      <c r="H93" s="250">
        <v>2.3199999999999998</v>
      </c>
      <c r="I93" s="252" t="s">
        <v>239</v>
      </c>
      <c r="J93" s="250" t="s">
        <v>2136</v>
      </c>
      <c r="T93" s="292" t="s">
        <v>1756</v>
      </c>
      <c r="U93" s="283" t="s">
        <v>1757</v>
      </c>
      <c r="V93" s="285" t="s">
        <v>1771</v>
      </c>
      <c r="W93" s="293" t="str">
        <f t="shared" si="8"/>
        <v>H17</v>
      </c>
      <c r="X93" s="284" t="str">
        <f t="shared" si="8"/>
        <v>DAF</v>
      </c>
      <c r="Y93" s="271" t="s">
        <v>2262</v>
      </c>
      <c r="Z93" s="283">
        <f t="shared" si="7"/>
        <v>1.7500000000000002E-2</v>
      </c>
      <c r="AA93" s="340">
        <f t="shared" si="7"/>
        <v>0</v>
      </c>
    </row>
    <row r="94" spans="1:34" s="250" customFormat="1">
      <c r="A94" s="250" t="s">
        <v>353</v>
      </c>
      <c r="B94" s="250" t="s">
        <v>2030</v>
      </c>
      <c r="C94" s="250" t="s">
        <v>1996</v>
      </c>
      <c r="D94" s="251" t="s">
        <v>1979</v>
      </c>
      <c r="E94" s="251" t="s">
        <v>1994</v>
      </c>
      <c r="F94" s="250">
        <v>1.7500000000000002E-2</v>
      </c>
      <c r="G94" s="250">
        <v>0</v>
      </c>
      <c r="H94" s="250">
        <v>2.3199999999999998</v>
      </c>
      <c r="I94" s="252" t="s">
        <v>263</v>
      </c>
      <c r="J94" s="251" t="s">
        <v>250</v>
      </c>
      <c r="T94" s="292" t="s">
        <v>1756</v>
      </c>
      <c r="U94" s="283" t="s">
        <v>1757</v>
      </c>
      <c r="V94" s="285" t="s">
        <v>1771</v>
      </c>
      <c r="W94" s="293" t="str">
        <f t="shared" si="8"/>
        <v>H17</v>
      </c>
      <c r="X94" s="284" t="str">
        <f t="shared" si="8"/>
        <v>DBF</v>
      </c>
      <c r="Y94" s="271" t="s">
        <v>2262</v>
      </c>
      <c r="Z94" s="283">
        <f t="shared" si="7"/>
        <v>1.7500000000000002E-2</v>
      </c>
      <c r="AA94" s="340">
        <f t="shared" si="7"/>
        <v>0</v>
      </c>
    </row>
    <row r="95" spans="1:34" s="250" customFormat="1">
      <c r="A95" s="250" t="s">
        <v>354</v>
      </c>
      <c r="B95" s="250" t="s">
        <v>2030</v>
      </c>
      <c r="C95" s="250" t="s">
        <v>1996</v>
      </c>
      <c r="D95" s="251" t="s">
        <v>1979</v>
      </c>
      <c r="E95" s="251" t="s">
        <v>311</v>
      </c>
      <c r="F95" s="250">
        <v>6.3000000000000014E-2</v>
      </c>
      <c r="G95" s="250">
        <v>0</v>
      </c>
      <c r="H95" s="250">
        <v>2.3199999999999998</v>
      </c>
      <c r="I95" s="252" t="s">
        <v>239</v>
      </c>
      <c r="J95" s="251" t="s">
        <v>2134</v>
      </c>
      <c r="T95" s="292" t="s">
        <v>1756</v>
      </c>
      <c r="U95" s="283" t="s">
        <v>1757</v>
      </c>
      <c r="V95" s="285" t="s">
        <v>2395</v>
      </c>
      <c r="W95" s="283" t="s">
        <v>1979</v>
      </c>
      <c r="X95" s="284" t="s">
        <v>2351</v>
      </c>
      <c r="Y95" s="271" t="s">
        <v>2398</v>
      </c>
      <c r="Z95" s="283">
        <v>6.3E-2</v>
      </c>
      <c r="AA95" s="340">
        <v>0</v>
      </c>
    </row>
    <row r="96" spans="1:34" s="250" customFormat="1">
      <c r="A96" s="250" t="s">
        <v>355</v>
      </c>
      <c r="B96" s="250" t="s">
        <v>2030</v>
      </c>
      <c r="C96" s="250" t="s">
        <v>1996</v>
      </c>
      <c r="D96" s="251" t="s">
        <v>1979</v>
      </c>
      <c r="E96" s="251" t="s">
        <v>313</v>
      </c>
      <c r="F96" s="250">
        <v>6.3000000000000014E-2</v>
      </c>
      <c r="G96" s="250">
        <v>0</v>
      </c>
      <c r="H96" s="250">
        <v>2.3199999999999998</v>
      </c>
      <c r="I96" s="252" t="s">
        <v>232</v>
      </c>
      <c r="J96" s="251" t="s">
        <v>244</v>
      </c>
      <c r="T96" s="292" t="s">
        <v>1756</v>
      </c>
      <c r="U96" s="283" t="s">
        <v>1757</v>
      </c>
      <c r="V96" s="285" t="s">
        <v>2395</v>
      </c>
      <c r="W96" s="283" t="s">
        <v>1979</v>
      </c>
      <c r="X96" s="284" t="s">
        <v>2352</v>
      </c>
      <c r="Y96" s="271" t="s">
        <v>2398</v>
      </c>
      <c r="Z96" s="283">
        <v>6.3E-2</v>
      </c>
      <c r="AA96" s="340">
        <v>0</v>
      </c>
    </row>
    <row r="97" spans="1:34" s="250" customFormat="1">
      <c r="A97" s="250" t="s">
        <v>356</v>
      </c>
      <c r="B97" s="250" t="s">
        <v>2030</v>
      </c>
      <c r="C97" s="250" t="s">
        <v>1996</v>
      </c>
      <c r="D97" s="251" t="s">
        <v>2382</v>
      </c>
      <c r="E97" s="251" t="s">
        <v>315</v>
      </c>
      <c r="F97" s="250">
        <v>7.0000000000000007E-2</v>
      </c>
      <c r="G97" s="250">
        <v>0</v>
      </c>
      <c r="H97" s="250">
        <v>2.3199999999999998</v>
      </c>
      <c r="I97" s="252" t="s">
        <v>232</v>
      </c>
      <c r="J97" s="251"/>
      <c r="T97" s="292" t="s">
        <v>1756</v>
      </c>
      <c r="U97" s="283" t="s">
        <v>1757</v>
      </c>
      <c r="V97" s="285" t="s">
        <v>2395</v>
      </c>
      <c r="W97" s="293" t="str">
        <f t="shared" si="8"/>
        <v>H21</v>
      </c>
      <c r="X97" s="284" t="str">
        <f t="shared" si="8"/>
        <v>LBF</v>
      </c>
      <c r="Y97" s="271"/>
      <c r="Z97" s="283">
        <f t="shared" si="7"/>
        <v>7.0000000000000007E-2</v>
      </c>
      <c r="AA97" s="340">
        <f t="shared" si="7"/>
        <v>0</v>
      </c>
      <c r="AC97" s="74"/>
      <c r="AD97" s="74"/>
      <c r="AE97" s="74"/>
      <c r="AF97" s="74"/>
      <c r="AG97" s="74"/>
      <c r="AH97" s="74"/>
    </row>
    <row r="98" spans="1:34" s="250" customFormat="1">
      <c r="A98" s="250" t="s">
        <v>357</v>
      </c>
      <c r="B98" s="250" t="s">
        <v>2030</v>
      </c>
      <c r="C98" s="250" t="s">
        <v>1996</v>
      </c>
      <c r="D98" s="251" t="s">
        <v>2382</v>
      </c>
      <c r="E98" s="251" t="s">
        <v>317</v>
      </c>
      <c r="F98" s="250">
        <v>3.5000000000000003E-2</v>
      </c>
      <c r="G98" s="250">
        <v>0</v>
      </c>
      <c r="H98" s="250">
        <v>2.3199999999999998</v>
      </c>
      <c r="I98" s="252" t="s">
        <v>239</v>
      </c>
      <c r="J98" s="251" t="s">
        <v>240</v>
      </c>
      <c r="T98" s="292" t="s">
        <v>1756</v>
      </c>
      <c r="U98" s="283" t="s">
        <v>1757</v>
      </c>
      <c r="V98" s="285" t="s">
        <v>2395</v>
      </c>
      <c r="W98" s="293" t="str">
        <f t="shared" si="8"/>
        <v>H21</v>
      </c>
      <c r="X98" s="284" t="str">
        <f t="shared" si="8"/>
        <v>LAF</v>
      </c>
      <c r="Y98" s="271"/>
      <c r="Z98" s="283">
        <f t="shared" si="7"/>
        <v>3.5000000000000003E-2</v>
      </c>
      <c r="AA98" s="340">
        <f t="shared" si="7"/>
        <v>0</v>
      </c>
      <c r="AC98" s="74"/>
      <c r="AD98" s="74"/>
      <c r="AE98" s="74"/>
      <c r="AF98" s="74"/>
      <c r="AG98" s="74"/>
      <c r="AH98" s="74"/>
    </row>
    <row r="99" spans="1:34">
      <c r="A99" s="74" t="s">
        <v>358</v>
      </c>
      <c r="B99" s="74" t="s">
        <v>2030</v>
      </c>
      <c r="C99" s="74" t="s">
        <v>1996</v>
      </c>
      <c r="D99" s="74" t="s">
        <v>2382</v>
      </c>
      <c r="E99" s="74" t="s">
        <v>319</v>
      </c>
      <c r="F99" s="74">
        <v>3.5000000000000003E-2</v>
      </c>
      <c r="G99" s="74">
        <v>0</v>
      </c>
      <c r="H99" s="74">
        <v>2.3199999999999998</v>
      </c>
      <c r="I99" s="13" t="s">
        <v>260</v>
      </c>
      <c r="J99" s="74" t="s">
        <v>2261</v>
      </c>
      <c r="T99" s="292" t="s">
        <v>1756</v>
      </c>
      <c r="U99" s="283" t="s">
        <v>1757</v>
      </c>
      <c r="V99" s="285" t="s">
        <v>2395</v>
      </c>
      <c r="W99" s="293" t="str">
        <f t="shared" si="8"/>
        <v>H21</v>
      </c>
      <c r="X99" s="284" t="str">
        <f t="shared" si="8"/>
        <v>MBF</v>
      </c>
      <c r="Y99" s="271" t="s">
        <v>2261</v>
      </c>
      <c r="Z99" s="283">
        <f t="shared" si="7"/>
        <v>3.5000000000000003E-2</v>
      </c>
      <c r="AA99" s="340">
        <f t="shared" si="7"/>
        <v>0</v>
      </c>
    </row>
    <row r="100" spans="1:34">
      <c r="A100" s="74" t="s">
        <v>359</v>
      </c>
      <c r="B100" s="74" t="s">
        <v>2030</v>
      </c>
      <c r="C100" s="74" t="s">
        <v>1996</v>
      </c>
      <c r="D100" s="74" t="s">
        <v>2382</v>
      </c>
      <c r="E100" s="74" t="s">
        <v>321</v>
      </c>
      <c r="F100" s="74">
        <v>3.5000000000000003E-2</v>
      </c>
      <c r="G100" s="74">
        <v>0</v>
      </c>
      <c r="H100" s="74">
        <v>2.3199999999999998</v>
      </c>
      <c r="I100" s="13" t="s">
        <v>239</v>
      </c>
      <c r="J100" s="74" t="s">
        <v>2385</v>
      </c>
      <c r="T100" s="292" t="s">
        <v>1756</v>
      </c>
      <c r="U100" s="283" t="s">
        <v>1757</v>
      </c>
      <c r="V100" s="285" t="s">
        <v>2395</v>
      </c>
      <c r="W100" s="293" t="str">
        <f t="shared" si="8"/>
        <v>H21</v>
      </c>
      <c r="X100" s="284" t="str">
        <f t="shared" si="8"/>
        <v>MAF</v>
      </c>
      <c r="Y100" s="271" t="s">
        <v>2261</v>
      </c>
      <c r="Z100" s="283">
        <f t="shared" si="7"/>
        <v>3.5000000000000003E-2</v>
      </c>
      <c r="AA100" s="340">
        <f t="shared" si="7"/>
        <v>0</v>
      </c>
    </row>
    <row r="101" spans="1:34">
      <c r="A101" s="74" t="s">
        <v>360</v>
      </c>
      <c r="B101" s="74" t="s">
        <v>2030</v>
      </c>
      <c r="C101" s="74" t="s">
        <v>1996</v>
      </c>
      <c r="D101" s="74" t="s">
        <v>2382</v>
      </c>
      <c r="E101" s="74" t="s">
        <v>323</v>
      </c>
      <c r="F101" s="74">
        <v>1.7500000000000002E-2</v>
      </c>
      <c r="G101" s="74">
        <v>0</v>
      </c>
      <c r="H101" s="74">
        <v>2.3199999999999998</v>
      </c>
      <c r="I101" s="13" t="s">
        <v>263</v>
      </c>
      <c r="J101" s="74" t="s">
        <v>2262</v>
      </c>
      <c r="T101" s="292" t="s">
        <v>1756</v>
      </c>
      <c r="U101" s="283" t="s">
        <v>1757</v>
      </c>
      <c r="V101" s="285" t="s">
        <v>2395</v>
      </c>
      <c r="W101" s="293" t="str">
        <f t="shared" si="8"/>
        <v>H21</v>
      </c>
      <c r="X101" s="284" t="str">
        <f t="shared" si="8"/>
        <v>RBF</v>
      </c>
      <c r="Y101" s="271" t="s">
        <v>2262</v>
      </c>
      <c r="Z101" s="283">
        <f t="shared" si="7"/>
        <v>1.7500000000000002E-2</v>
      </c>
      <c r="AA101" s="340">
        <f t="shared" si="7"/>
        <v>0</v>
      </c>
    </row>
    <row r="102" spans="1:34">
      <c r="A102" s="74" t="s">
        <v>361</v>
      </c>
      <c r="B102" s="74" t="s">
        <v>2030</v>
      </c>
      <c r="C102" s="74" t="s">
        <v>1996</v>
      </c>
      <c r="D102" s="74" t="s">
        <v>2382</v>
      </c>
      <c r="E102" s="74" t="s">
        <v>325</v>
      </c>
      <c r="F102" s="74">
        <v>1.7500000000000002E-2</v>
      </c>
      <c r="G102" s="74">
        <v>0</v>
      </c>
      <c r="H102" s="74">
        <v>2.3199999999999998</v>
      </c>
      <c r="I102" s="13" t="s">
        <v>239</v>
      </c>
      <c r="J102" s="74" t="s">
        <v>2386</v>
      </c>
      <c r="T102" s="292" t="s">
        <v>1756</v>
      </c>
      <c r="U102" s="283" t="s">
        <v>1757</v>
      </c>
      <c r="V102" s="285" t="s">
        <v>2395</v>
      </c>
      <c r="W102" s="293" t="str">
        <f t="shared" si="8"/>
        <v>H21</v>
      </c>
      <c r="X102" s="284" t="str">
        <f t="shared" si="8"/>
        <v>RAF</v>
      </c>
      <c r="Y102" s="271" t="s">
        <v>2262</v>
      </c>
      <c r="Z102" s="283">
        <f t="shared" si="7"/>
        <v>1.7500000000000002E-2</v>
      </c>
      <c r="AA102" s="340">
        <f t="shared" si="7"/>
        <v>0</v>
      </c>
    </row>
    <row r="103" spans="1:34">
      <c r="A103" s="74" t="s">
        <v>362</v>
      </c>
      <c r="B103" s="74" t="s">
        <v>2030</v>
      </c>
      <c r="C103" s="74" t="s">
        <v>1996</v>
      </c>
      <c r="D103" s="74" t="s">
        <v>2382</v>
      </c>
      <c r="E103" s="74" t="s">
        <v>327</v>
      </c>
      <c r="F103" s="74">
        <v>6.3E-2</v>
      </c>
      <c r="G103" s="74">
        <v>0</v>
      </c>
      <c r="H103" s="74">
        <v>2.3199999999999998</v>
      </c>
      <c r="I103" s="13" t="s">
        <v>232</v>
      </c>
      <c r="J103" s="74" t="s">
        <v>244</v>
      </c>
      <c r="T103" s="292" t="s">
        <v>1760</v>
      </c>
      <c r="U103" s="283" t="s">
        <v>1761</v>
      </c>
      <c r="V103" s="285" t="s">
        <v>2395</v>
      </c>
      <c r="W103" s="293" t="s">
        <v>2382</v>
      </c>
      <c r="X103" s="284" t="s">
        <v>327</v>
      </c>
      <c r="Y103" s="271" t="s">
        <v>1762</v>
      </c>
      <c r="Z103" s="283">
        <v>6.3E-2</v>
      </c>
      <c r="AA103" s="340">
        <v>0</v>
      </c>
    </row>
    <row r="104" spans="1:34">
      <c r="A104" s="74" t="s">
        <v>363</v>
      </c>
      <c r="B104" s="74" t="s">
        <v>2030</v>
      </c>
      <c r="C104" s="74" t="s">
        <v>1996</v>
      </c>
      <c r="D104" s="74" t="s">
        <v>2382</v>
      </c>
      <c r="E104" s="74" t="s">
        <v>329</v>
      </c>
      <c r="F104" s="74">
        <v>6.3E-2</v>
      </c>
      <c r="G104" s="74">
        <v>0</v>
      </c>
      <c r="H104" s="74">
        <v>2.3199999999999998</v>
      </c>
      <c r="I104" s="13" t="s">
        <v>239</v>
      </c>
      <c r="J104" s="74" t="s">
        <v>2134</v>
      </c>
      <c r="T104" s="292" t="s">
        <v>1760</v>
      </c>
      <c r="U104" s="283" t="s">
        <v>1761</v>
      </c>
      <c r="V104" s="285" t="s">
        <v>2395</v>
      </c>
      <c r="W104" s="293" t="s">
        <v>2382</v>
      </c>
      <c r="X104" s="284" t="s">
        <v>329</v>
      </c>
      <c r="Y104" s="271" t="s">
        <v>1762</v>
      </c>
      <c r="Z104" s="283">
        <v>6.3E-2</v>
      </c>
      <c r="AA104" s="340">
        <v>0</v>
      </c>
    </row>
    <row r="105" spans="1:34">
      <c r="A105" s="74" t="s">
        <v>364</v>
      </c>
      <c r="B105" s="74" t="s">
        <v>2031</v>
      </c>
      <c r="C105" s="74" t="s">
        <v>2000</v>
      </c>
      <c r="D105" s="74" t="s">
        <v>2458</v>
      </c>
      <c r="E105" s="74" t="s">
        <v>2457</v>
      </c>
      <c r="F105" s="74">
        <v>1.17</v>
      </c>
      <c r="G105" s="74">
        <v>0</v>
      </c>
      <c r="H105" s="74">
        <v>2.3199999999999998</v>
      </c>
      <c r="I105" s="13" t="s">
        <v>232</v>
      </c>
      <c r="T105" s="292" t="s">
        <v>1756</v>
      </c>
      <c r="U105" s="283" t="s">
        <v>1757</v>
      </c>
      <c r="V105" s="285" t="s">
        <v>1772</v>
      </c>
      <c r="W105" s="293" t="str">
        <f t="shared" si="8"/>
        <v>S54前</v>
      </c>
      <c r="X105" s="284" t="str">
        <f t="shared" si="8"/>
        <v>-</v>
      </c>
      <c r="Y105" s="271"/>
      <c r="Z105" s="283">
        <f t="shared" si="7"/>
        <v>1.17</v>
      </c>
      <c r="AA105" s="340">
        <f t="shared" si="7"/>
        <v>0</v>
      </c>
    </row>
    <row r="106" spans="1:34">
      <c r="A106" s="74" t="s">
        <v>365</v>
      </c>
      <c r="B106" s="74" t="s">
        <v>2031</v>
      </c>
      <c r="C106" s="74" t="s">
        <v>2000</v>
      </c>
      <c r="D106" s="74" t="s">
        <v>0</v>
      </c>
      <c r="E106" s="74" t="s">
        <v>7</v>
      </c>
      <c r="F106" s="74">
        <v>0.83</v>
      </c>
      <c r="G106" s="74">
        <v>0</v>
      </c>
      <c r="H106" s="74">
        <v>2.3199999999999998</v>
      </c>
      <c r="I106" s="13" t="s">
        <v>232</v>
      </c>
      <c r="T106" s="292" t="s">
        <v>1756</v>
      </c>
      <c r="U106" s="283" t="s">
        <v>1757</v>
      </c>
      <c r="V106" s="285" t="s">
        <v>1772</v>
      </c>
      <c r="W106" s="293" t="str">
        <f t="shared" si="8"/>
        <v>S54</v>
      </c>
      <c r="X106" s="284" t="str">
        <f t="shared" si="8"/>
        <v>J</v>
      </c>
      <c r="Y106" s="271"/>
      <c r="Z106" s="283">
        <f t="shared" si="7"/>
        <v>0.83</v>
      </c>
      <c r="AA106" s="340">
        <f t="shared" si="7"/>
        <v>0</v>
      </c>
    </row>
    <row r="107" spans="1:34">
      <c r="A107" s="74" t="s">
        <v>366</v>
      </c>
      <c r="B107" s="74" t="s">
        <v>2031</v>
      </c>
      <c r="C107" s="74" t="s">
        <v>2000</v>
      </c>
      <c r="D107" s="74" t="s">
        <v>24</v>
      </c>
      <c r="E107" s="74" t="s">
        <v>25</v>
      </c>
      <c r="F107" s="74">
        <v>0.56999999999999995</v>
      </c>
      <c r="G107" s="74">
        <v>0</v>
      </c>
      <c r="H107" s="74">
        <v>2.3199999999999998</v>
      </c>
      <c r="I107" s="13" t="s">
        <v>232</v>
      </c>
      <c r="T107" s="292" t="s">
        <v>1756</v>
      </c>
      <c r="U107" s="283" t="s">
        <v>1757</v>
      </c>
      <c r="V107" s="285" t="s">
        <v>1772</v>
      </c>
      <c r="W107" s="293" t="str">
        <f t="shared" si="8"/>
        <v>S57</v>
      </c>
      <c r="X107" s="284" t="str">
        <f t="shared" si="8"/>
        <v>M</v>
      </c>
      <c r="Y107" s="271"/>
      <c r="Z107" s="283">
        <f t="shared" si="7"/>
        <v>0.56999999999999995</v>
      </c>
      <c r="AA107" s="340">
        <f t="shared" si="7"/>
        <v>0</v>
      </c>
    </row>
    <row r="108" spans="1:34">
      <c r="A108" s="74" t="s">
        <v>367</v>
      </c>
      <c r="B108" s="74" t="s">
        <v>2031</v>
      </c>
      <c r="C108" s="74" t="s">
        <v>2000</v>
      </c>
      <c r="D108" s="74" t="s">
        <v>18</v>
      </c>
      <c r="E108" s="74" t="s">
        <v>19</v>
      </c>
      <c r="F108" s="74">
        <v>0.49</v>
      </c>
      <c r="G108" s="74">
        <v>0</v>
      </c>
      <c r="H108" s="74">
        <v>2.3199999999999998</v>
      </c>
      <c r="I108" s="13" t="s">
        <v>232</v>
      </c>
      <c r="T108" s="292" t="s">
        <v>1756</v>
      </c>
      <c r="U108" s="283" t="s">
        <v>1757</v>
      </c>
      <c r="V108" s="285" t="s">
        <v>1772</v>
      </c>
      <c r="W108" s="293" t="str">
        <f t="shared" si="8"/>
        <v>H元</v>
      </c>
      <c r="X108" s="284" t="str">
        <f t="shared" si="8"/>
        <v>T</v>
      </c>
      <c r="Y108" s="271"/>
      <c r="Z108" s="283">
        <f t="shared" si="7"/>
        <v>0.49</v>
      </c>
      <c r="AA108" s="340">
        <f t="shared" si="7"/>
        <v>0</v>
      </c>
    </row>
    <row r="109" spans="1:34">
      <c r="A109" s="74" t="s">
        <v>368</v>
      </c>
      <c r="B109" s="74" t="s">
        <v>2031</v>
      </c>
      <c r="C109" s="74" t="s">
        <v>2000</v>
      </c>
      <c r="D109" s="74" t="s">
        <v>1998</v>
      </c>
      <c r="E109" s="74" t="s">
        <v>26</v>
      </c>
      <c r="F109" s="74">
        <v>0.4</v>
      </c>
      <c r="G109" s="74">
        <v>0</v>
      </c>
      <c r="H109" s="74">
        <v>2.3199999999999998</v>
      </c>
      <c r="I109" s="13" t="s">
        <v>232</v>
      </c>
      <c r="T109" s="292" t="s">
        <v>1756</v>
      </c>
      <c r="U109" s="283" t="s">
        <v>1757</v>
      </c>
      <c r="V109" s="285" t="s">
        <v>1772</v>
      </c>
      <c r="W109" s="293" t="str">
        <f t="shared" si="8"/>
        <v>H4</v>
      </c>
      <c r="X109" s="284" t="str">
        <f t="shared" si="8"/>
        <v>Z</v>
      </c>
      <c r="Y109" s="271"/>
      <c r="Z109" s="283">
        <f t="shared" si="7"/>
        <v>0.4</v>
      </c>
      <c r="AA109" s="340">
        <f t="shared" si="7"/>
        <v>0</v>
      </c>
    </row>
    <row r="110" spans="1:34">
      <c r="A110" s="74" t="s">
        <v>369</v>
      </c>
      <c r="B110" s="74" t="s">
        <v>2031</v>
      </c>
      <c r="C110" s="74" t="s">
        <v>2000</v>
      </c>
      <c r="D110" s="74" t="s">
        <v>1999</v>
      </c>
      <c r="E110" s="74" t="s">
        <v>50</v>
      </c>
      <c r="F110" s="74">
        <v>0.33</v>
      </c>
      <c r="G110" s="74">
        <v>0</v>
      </c>
      <c r="H110" s="74">
        <v>2.3199999999999998</v>
      </c>
      <c r="I110" s="13" t="s">
        <v>232</v>
      </c>
      <c r="T110" s="292" t="s">
        <v>1756</v>
      </c>
      <c r="U110" s="283" t="s">
        <v>1757</v>
      </c>
      <c r="V110" s="285" t="s">
        <v>1772</v>
      </c>
      <c r="W110" s="293" t="str">
        <f t="shared" si="8"/>
        <v>H7,H10</v>
      </c>
      <c r="X110" s="284" t="str">
        <f t="shared" si="8"/>
        <v>GB</v>
      </c>
      <c r="Y110" s="271"/>
      <c r="Z110" s="283">
        <f t="shared" si="7"/>
        <v>0.33</v>
      </c>
      <c r="AA110" s="340">
        <f t="shared" si="7"/>
        <v>0</v>
      </c>
    </row>
    <row r="111" spans="1:34">
      <c r="A111" s="74" t="s">
        <v>370</v>
      </c>
      <c r="B111" s="74" t="s">
        <v>2031</v>
      </c>
      <c r="C111" s="74" t="s">
        <v>2000</v>
      </c>
      <c r="D111" s="74" t="s">
        <v>1999</v>
      </c>
      <c r="E111" s="74" t="s">
        <v>52</v>
      </c>
      <c r="F111" s="74">
        <v>0.33</v>
      </c>
      <c r="G111" s="74">
        <v>0</v>
      </c>
      <c r="H111" s="74">
        <v>2.3199999999999998</v>
      </c>
      <c r="I111" s="13" t="s">
        <v>232</v>
      </c>
      <c r="T111" s="292" t="s">
        <v>1756</v>
      </c>
      <c r="U111" s="283" t="s">
        <v>1757</v>
      </c>
      <c r="V111" s="285" t="s">
        <v>1772</v>
      </c>
      <c r="W111" s="293" t="str">
        <f t="shared" si="8"/>
        <v>H7,H10</v>
      </c>
      <c r="X111" s="284" t="str">
        <f t="shared" si="8"/>
        <v>GE</v>
      </c>
      <c r="Y111" s="271"/>
      <c r="Z111" s="283">
        <f t="shared" si="7"/>
        <v>0.33</v>
      </c>
      <c r="AA111" s="340">
        <f t="shared" si="7"/>
        <v>0</v>
      </c>
    </row>
    <row r="112" spans="1:34">
      <c r="A112" s="74" t="s">
        <v>371</v>
      </c>
      <c r="B112" s="74" t="s">
        <v>2031</v>
      </c>
      <c r="C112" s="74" t="s">
        <v>2000</v>
      </c>
      <c r="D112" s="74" t="s">
        <v>1999</v>
      </c>
      <c r="E112" s="74" t="s">
        <v>60</v>
      </c>
      <c r="F112" s="74">
        <v>0.16500000000000001</v>
      </c>
      <c r="G112" s="74">
        <v>0</v>
      </c>
      <c r="H112" s="74">
        <v>2.3199999999999998</v>
      </c>
      <c r="I112" s="13" t="s">
        <v>239</v>
      </c>
      <c r="J112" s="74" t="s">
        <v>240</v>
      </c>
      <c r="T112" s="292" t="s">
        <v>1756</v>
      </c>
      <c r="U112" s="283" t="s">
        <v>1757</v>
      </c>
      <c r="V112" s="285" t="s">
        <v>1772</v>
      </c>
      <c r="W112" s="293" t="str">
        <f t="shared" si="8"/>
        <v>H7,H10</v>
      </c>
      <c r="X112" s="284" t="str">
        <f t="shared" si="8"/>
        <v>HJ</v>
      </c>
      <c r="Y112" s="271"/>
      <c r="Z112" s="283">
        <f t="shared" si="7"/>
        <v>0.16500000000000001</v>
      </c>
      <c r="AA112" s="340">
        <f t="shared" si="7"/>
        <v>0</v>
      </c>
    </row>
    <row r="113" spans="1:34">
      <c r="A113" s="74" t="s">
        <v>372</v>
      </c>
      <c r="B113" s="74" t="s">
        <v>2031</v>
      </c>
      <c r="C113" s="74" t="s">
        <v>2000</v>
      </c>
      <c r="D113" s="74" t="s">
        <v>21</v>
      </c>
      <c r="E113" s="74" t="s">
        <v>58</v>
      </c>
      <c r="F113" s="74">
        <v>0.1</v>
      </c>
      <c r="G113" s="74">
        <v>0</v>
      </c>
      <c r="H113" s="74">
        <v>2.3199999999999998</v>
      </c>
      <c r="I113" s="13" t="s">
        <v>232</v>
      </c>
      <c r="T113" s="292" t="s">
        <v>1756</v>
      </c>
      <c r="U113" s="283" t="s">
        <v>1757</v>
      </c>
      <c r="V113" s="285" t="s">
        <v>1772</v>
      </c>
      <c r="W113" s="293" t="str">
        <f t="shared" si="8"/>
        <v>H13</v>
      </c>
      <c r="X113" s="284" t="str">
        <f t="shared" si="8"/>
        <v>GL</v>
      </c>
      <c r="Y113" s="271"/>
      <c r="Z113" s="283">
        <f t="shared" si="7"/>
        <v>0.1</v>
      </c>
      <c r="AA113" s="340">
        <f t="shared" si="7"/>
        <v>0</v>
      </c>
    </row>
    <row r="114" spans="1:34">
      <c r="A114" s="74" t="s">
        <v>373</v>
      </c>
      <c r="B114" s="74" t="s">
        <v>2031</v>
      </c>
      <c r="C114" s="74" t="s">
        <v>2000</v>
      </c>
      <c r="D114" s="74" t="s">
        <v>21</v>
      </c>
      <c r="E114" s="74" t="s">
        <v>69</v>
      </c>
      <c r="F114" s="74">
        <v>0.05</v>
      </c>
      <c r="G114" s="74">
        <v>0</v>
      </c>
      <c r="H114" s="74">
        <v>2.3199999999999998</v>
      </c>
      <c r="I114" s="13" t="s">
        <v>239</v>
      </c>
      <c r="J114" s="74" t="s">
        <v>240</v>
      </c>
      <c r="T114" s="292" t="s">
        <v>1756</v>
      </c>
      <c r="U114" s="283" t="s">
        <v>1757</v>
      </c>
      <c r="V114" s="285" t="s">
        <v>1772</v>
      </c>
      <c r="W114" s="293" t="str">
        <f t="shared" si="8"/>
        <v>H13</v>
      </c>
      <c r="X114" s="284" t="str">
        <f t="shared" si="8"/>
        <v>HR</v>
      </c>
      <c r="Y114" s="271"/>
      <c r="Z114" s="283">
        <f t="shared" si="7"/>
        <v>0.05</v>
      </c>
      <c r="AA114" s="340">
        <f t="shared" si="7"/>
        <v>0</v>
      </c>
    </row>
    <row r="115" spans="1:34">
      <c r="A115" s="74" t="s">
        <v>374</v>
      </c>
      <c r="B115" s="74" t="s">
        <v>2031</v>
      </c>
      <c r="C115" s="74" t="s">
        <v>2000</v>
      </c>
      <c r="D115" s="74" t="s">
        <v>21</v>
      </c>
      <c r="E115" s="74" t="s">
        <v>82</v>
      </c>
      <c r="F115" s="74">
        <v>7.4999999999999997E-2</v>
      </c>
      <c r="G115" s="74">
        <v>0</v>
      </c>
      <c r="H115" s="74">
        <v>2.3199999999999998</v>
      </c>
      <c r="I115" s="13" t="s">
        <v>232</v>
      </c>
      <c r="J115" s="74" t="s">
        <v>244</v>
      </c>
      <c r="T115" s="292" t="s">
        <v>1756</v>
      </c>
      <c r="U115" s="283" t="s">
        <v>1757</v>
      </c>
      <c r="V115" s="285" t="s">
        <v>1772</v>
      </c>
      <c r="W115" s="293" t="str">
        <f t="shared" si="8"/>
        <v>H13</v>
      </c>
      <c r="X115" s="284" t="str">
        <f t="shared" si="8"/>
        <v>TD</v>
      </c>
      <c r="Y115" s="271" t="s">
        <v>1765</v>
      </c>
      <c r="Z115" s="283">
        <f t="shared" si="7"/>
        <v>7.4999999999999997E-2</v>
      </c>
      <c r="AA115" s="340">
        <f t="shared" si="7"/>
        <v>0</v>
      </c>
    </row>
    <row r="116" spans="1:34">
      <c r="A116" s="74" t="s">
        <v>375</v>
      </c>
      <c r="B116" s="74" t="s">
        <v>2031</v>
      </c>
      <c r="C116" s="74" t="s">
        <v>2000</v>
      </c>
      <c r="D116" s="74" t="s">
        <v>21</v>
      </c>
      <c r="E116" s="74" t="s">
        <v>96</v>
      </c>
      <c r="F116" s="74">
        <v>7.4999999999999997E-2</v>
      </c>
      <c r="G116" s="74">
        <v>0</v>
      </c>
      <c r="H116" s="74">
        <v>2.3199999999999998</v>
      </c>
      <c r="I116" s="13" t="s">
        <v>239</v>
      </c>
      <c r="J116" s="74" t="s">
        <v>2134</v>
      </c>
      <c r="T116" s="292" t="s">
        <v>1756</v>
      </c>
      <c r="U116" s="283" t="s">
        <v>1757</v>
      </c>
      <c r="V116" s="285" t="s">
        <v>1772</v>
      </c>
      <c r="W116" s="293" t="str">
        <f t="shared" si="8"/>
        <v>H13</v>
      </c>
      <c r="X116" s="284" t="str">
        <f t="shared" si="8"/>
        <v>XD</v>
      </c>
      <c r="Y116" s="271" t="s">
        <v>1765</v>
      </c>
      <c r="Z116" s="283">
        <f t="shared" si="7"/>
        <v>7.4999999999999997E-2</v>
      </c>
      <c r="AA116" s="340">
        <f t="shared" si="7"/>
        <v>0</v>
      </c>
    </row>
    <row r="117" spans="1:34">
      <c r="A117" s="74" t="s">
        <v>376</v>
      </c>
      <c r="B117" s="74" t="s">
        <v>2031</v>
      </c>
      <c r="C117" s="74" t="s">
        <v>2000</v>
      </c>
      <c r="D117" s="74" t="s">
        <v>21</v>
      </c>
      <c r="E117" s="74" t="s">
        <v>73</v>
      </c>
      <c r="F117" s="268">
        <v>0.05</v>
      </c>
      <c r="G117" s="74">
        <v>0</v>
      </c>
      <c r="H117" s="74">
        <v>2.3199999999999998</v>
      </c>
      <c r="I117" s="13" t="s">
        <v>232</v>
      </c>
      <c r="J117" s="74" t="s">
        <v>247</v>
      </c>
      <c r="T117" s="292" t="s">
        <v>1756</v>
      </c>
      <c r="U117" s="283" t="s">
        <v>1757</v>
      </c>
      <c r="V117" s="285" t="s">
        <v>1772</v>
      </c>
      <c r="W117" s="293" t="str">
        <f t="shared" si="8"/>
        <v>H13</v>
      </c>
      <c r="X117" s="284" t="str">
        <f t="shared" si="8"/>
        <v>LD</v>
      </c>
      <c r="Y117" s="271" t="s">
        <v>1766</v>
      </c>
      <c r="Z117" s="283">
        <f t="shared" si="7"/>
        <v>0.05</v>
      </c>
      <c r="AA117" s="340">
        <f t="shared" si="7"/>
        <v>0</v>
      </c>
    </row>
    <row r="118" spans="1:34">
      <c r="A118" s="74" t="s">
        <v>377</v>
      </c>
      <c r="B118" s="74" t="s">
        <v>2031</v>
      </c>
      <c r="C118" s="74" t="s">
        <v>2000</v>
      </c>
      <c r="D118" s="74" t="s">
        <v>21</v>
      </c>
      <c r="E118" s="74" t="s">
        <v>100</v>
      </c>
      <c r="F118" s="268">
        <v>0.05</v>
      </c>
      <c r="G118" s="74">
        <v>0</v>
      </c>
      <c r="H118" s="74">
        <v>2.3199999999999998</v>
      </c>
      <c r="I118" s="13" t="s">
        <v>239</v>
      </c>
      <c r="J118" s="74" t="s">
        <v>2135</v>
      </c>
      <c r="T118" s="292" t="s">
        <v>1756</v>
      </c>
      <c r="U118" s="283" t="s">
        <v>1757</v>
      </c>
      <c r="V118" s="285" t="s">
        <v>1772</v>
      </c>
      <c r="W118" s="293" t="str">
        <f t="shared" si="8"/>
        <v>H13</v>
      </c>
      <c r="X118" s="284" t="str">
        <f t="shared" si="8"/>
        <v>YD</v>
      </c>
      <c r="Y118" s="271" t="s">
        <v>1766</v>
      </c>
      <c r="Z118" s="283">
        <f t="shared" si="7"/>
        <v>0.05</v>
      </c>
      <c r="AA118" s="340">
        <f t="shared" si="7"/>
        <v>0</v>
      </c>
    </row>
    <row r="119" spans="1:34">
      <c r="A119" s="74" t="s">
        <v>378</v>
      </c>
      <c r="B119" s="74" t="s">
        <v>2031</v>
      </c>
      <c r="C119" s="74" t="s">
        <v>2000</v>
      </c>
      <c r="D119" s="74" t="s">
        <v>21</v>
      </c>
      <c r="E119" s="74" t="s">
        <v>89</v>
      </c>
      <c r="F119" s="74">
        <v>2.5000000000000001E-2</v>
      </c>
      <c r="G119" s="74">
        <v>0</v>
      </c>
      <c r="H119" s="74">
        <v>2.3199999999999998</v>
      </c>
      <c r="I119" s="13" t="s">
        <v>232</v>
      </c>
      <c r="J119" s="74" t="s">
        <v>250</v>
      </c>
      <c r="T119" s="292" t="s">
        <v>1756</v>
      </c>
      <c r="U119" s="283" t="s">
        <v>1757</v>
      </c>
      <c r="V119" s="285" t="s">
        <v>1772</v>
      </c>
      <c r="W119" s="293" t="str">
        <f t="shared" si="8"/>
        <v>H13</v>
      </c>
      <c r="X119" s="284" t="str">
        <f t="shared" si="8"/>
        <v>UD</v>
      </c>
      <c r="Y119" s="271" t="s">
        <v>1767</v>
      </c>
      <c r="Z119" s="283">
        <f t="shared" si="7"/>
        <v>2.5000000000000001E-2</v>
      </c>
      <c r="AA119" s="340">
        <f t="shared" si="7"/>
        <v>0</v>
      </c>
    </row>
    <row r="120" spans="1:34">
      <c r="A120" s="74" t="s">
        <v>379</v>
      </c>
      <c r="B120" s="74" t="s">
        <v>2031</v>
      </c>
      <c r="C120" s="74" t="s">
        <v>2000</v>
      </c>
      <c r="D120" s="74" t="s">
        <v>21</v>
      </c>
      <c r="E120" s="74" t="s">
        <v>104</v>
      </c>
      <c r="F120" s="74">
        <v>2.5000000000000001E-2</v>
      </c>
      <c r="G120" s="74">
        <v>0</v>
      </c>
      <c r="H120" s="74">
        <v>2.3199999999999998</v>
      </c>
      <c r="I120" s="13" t="s">
        <v>239</v>
      </c>
      <c r="J120" s="74" t="s">
        <v>2136</v>
      </c>
      <c r="T120" s="292" t="s">
        <v>1756</v>
      </c>
      <c r="U120" s="283" t="s">
        <v>1757</v>
      </c>
      <c r="V120" s="285" t="s">
        <v>1772</v>
      </c>
      <c r="W120" s="293" t="str">
        <f t="shared" si="8"/>
        <v>H13</v>
      </c>
      <c r="X120" s="284" t="str">
        <f t="shared" si="8"/>
        <v>ZD</v>
      </c>
      <c r="Y120" s="271" t="s">
        <v>1767</v>
      </c>
      <c r="Z120" s="283">
        <f t="shared" si="7"/>
        <v>2.5000000000000001E-2</v>
      </c>
      <c r="AA120" s="340">
        <f t="shared" si="7"/>
        <v>0</v>
      </c>
    </row>
    <row r="121" spans="1:34">
      <c r="A121" s="74" t="s">
        <v>380</v>
      </c>
      <c r="B121" s="74" t="s">
        <v>2031</v>
      </c>
      <c r="C121" s="74" t="s">
        <v>2000</v>
      </c>
      <c r="D121" s="74" t="s">
        <v>1979</v>
      </c>
      <c r="E121" s="74" t="s">
        <v>381</v>
      </c>
      <c r="F121" s="74">
        <v>0.05</v>
      </c>
      <c r="G121" s="74">
        <v>0</v>
      </c>
      <c r="H121" s="74">
        <v>2.3199999999999998</v>
      </c>
      <c r="I121" s="13" t="s">
        <v>232</v>
      </c>
      <c r="T121" s="292" t="s">
        <v>1756</v>
      </c>
      <c r="U121" s="283" t="s">
        <v>1757</v>
      </c>
      <c r="V121" s="285" t="s">
        <v>1772</v>
      </c>
      <c r="W121" s="293" t="str">
        <f t="shared" si="8"/>
        <v>H17</v>
      </c>
      <c r="X121" s="284" t="str">
        <f t="shared" si="8"/>
        <v>ABG</v>
      </c>
      <c r="Y121" s="271"/>
      <c r="Z121" s="283">
        <f t="shared" si="7"/>
        <v>0.05</v>
      </c>
      <c r="AA121" s="340">
        <f t="shared" si="7"/>
        <v>0</v>
      </c>
      <c r="AC121" s="266"/>
      <c r="AD121" s="266"/>
      <c r="AE121" s="266"/>
      <c r="AF121" s="266"/>
      <c r="AG121" s="266"/>
      <c r="AH121" s="266"/>
    </row>
    <row r="122" spans="1:34">
      <c r="A122" s="74" t="s">
        <v>382</v>
      </c>
      <c r="B122" s="74" t="s">
        <v>2031</v>
      </c>
      <c r="C122" s="74" t="s">
        <v>2000</v>
      </c>
      <c r="D122" s="74" t="s">
        <v>1979</v>
      </c>
      <c r="E122" s="74" t="s">
        <v>383</v>
      </c>
      <c r="F122" s="74">
        <v>2.5000000000000001E-2</v>
      </c>
      <c r="G122" s="74">
        <v>0</v>
      </c>
      <c r="H122" s="74">
        <v>2.3199999999999998</v>
      </c>
      <c r="I122" s="13" t="s">
        <v>239</v>
      </c>
      <c r="J122" s="74" t="s">
        <v>240</v>
      </c>
      <c r="T122" s="292" t="s">
        <v>1756</v>
      </c>
      <c r="U122" s="283" t="s">
        <v>1757</v>
      </c>
      <c r="V122" s="285" t="s">
        <v>1772</v>
      </c>
      <c r="W122" s="293" t="str">
        <f t="shared" si="8"/>
        <v>H17</v>
      </c>
      <c r="X122" s="284" t="str">
        <f t="shared" si="8"/>
        <v>AAG</v>
      </c>
      <c r="Y122" s="271"/>
      <c r="Z122" s="283">
        <f t="shared" si="7"/>
        <v>2.5000000000000001E-2</v>
      </c>
      <c r="AA122" s="340">
        <f t="shared" si="7"/>
        <v>0</v>
      </c>
      <c r="AC122" s="266"/>
      <c r="AD122" s="266"/>
      <c r="AE122" s="266"/>
      <c r="AF122" s="266"/>
      <c r="AG122" s="266"/>
      <c r="AH122" s="266"/>
    </row>
    <row r="123" spans="1:34" s="266" customFormat="1">
      <c r="A123" s="266" t="s">
        <v>384</v>
      </c>
      <c r="B123" s="266" t="s">
        <v>2031</v>
      </c>
      <c r="C123" s="266" t="s">
        <v>2000</v>
      </c>
      <c r="D123" s="266" t="s">
        <v>1979</v>
      </c>
      <c r="E123" s="266" t="s">
        <v>2001</v>
      </c>
      <c r="F123" s="266">
        <v>4.4999999999999998E-2</v>
      </c>
      <c r="G123" s="266">
        <v>0</v>
      </c>
      <c r="H123" s="266">
        <v>2.3199999999999998</v>
      </c>
      <c r="I123" s="267" t="s">
        <v>239</v>
      </c>
      <c r="J123" s="266" t="s">
        <v>2134</v>
      </c>
      <c r="T123" s="292" t="s">
        <v>1756</v>
      </c>
      <c r="U123" s="283" t="s">
        <v>1757</v>
      </c>
      <c r="V123" s="285" t="s">
        <v>1772</v>
      </c>
      <c r="W123" s="293" t="str">
        <f t="shared" si="8"/>
        <v>H17</v>
      </c>
      <c r="X123" s="284" t="str">
        <f t="shared" si="8"/>
        <v>BAG</v>
      </c>
      <c r="Y123" s="271" t="s">
        <v>2398</v>
      </c>
      <c r="Z123" s="283">
        <f t="shared" si="7"/>
        <v>4.4999999999999998E-2</v>
      </c>
      <c r="AA123" s="340">
        <f t="shared" si="7"/>
        <v>0</v>
      </c>
      <c r="AC123" s="250"/>
      <c r="AD123" s="250"/>
      <c r="AE123" s="250"/>
      <c r="AF123" s="250"/>
      <c r="AG123" s="250"/>
      <c r="AH123" s="250"/>
    </row>
    <row r="124" spans="1:34" s="266" customFormat="1">
      <c r="A124" s="266" t="s">
        <v>385</v>
      </c>
      <c r="B124" s="266" t="s">
        <v>2031</v>
      </c>
      <c r="C124" s="266" t="s">
        <v>2000</v>
      </c>
      <c r="D124" s="266" t="s">
        <v>1979</v>
      </c>
      <c r="E124" s="266" t="s">
        <v>2002</v>
      </c>
      <c r="F124" s="266">
        <v>4.4999999999999998E-2</v>
      </c>
      <c r="G124" s="266">
        <v>0</v>
      </c>
      <c r="H124" s="266">
        <v>2.3199999999999998</v>
      </c>
      <c r="I124" s="267" t="s">
        <v>232</v>
      </c>
      <c r="J124" s="266" t="s">
        <v>244</v>
      </c>
      <c r="T124" s="292" t="s">
        <v>1756</v>
      </c>
      <c r="U124" s="283" t="s">
        <v>1757</v>
      </c>
      <c r="V124" s="285" t="s">
        <v>1772</v>
      </c>
      <c r="W124" s="293" t="str">
        <f t="shared" si="8"/>
        <v>H17</v>
      </c>
      <c r="X124" s="284" t="str">
        <f t="shared" si="8"/>
        <v>BBG</v>
      </c>
      <c r="Y124" s="271" t="s">
        <v>2398</v>
      </c>
      <c r="Z124" s="283">
        <f t="shared" si="7"/>
        <v>4.4999999999999998E-2</v>
      </c>
      <c r="AA124" s="340">
        <f t="shared" si="7"/>
        <v>0</v>
      </c>
      <c r="AC124" s="250"/>
      <c r="AD124" s="250"/>
      <c r="AE124" s="250"/>
      <c r="AF124" s="250"/>
      <c r="AG124" s="250"/>
      <c r="AH124" s="250"/>
    </row>
    <row r="125" spans="1:34" s="250" customFormat="1">
      <c r="A125" s="250" t="s">
        <v>386</v>
      </c>
      <c r="B125" s="250" t="s">
        <v>2031</v>
      </c>
      <c r="C125" s="250" t="s">
        <v>2000</v>
      </c>
      <c r="D125" s="251" t="s">
        <v>1979</v>
      </c>
      <c r="E125" s="251" t="s">
        <v>2003</v>
      </c>
      <c r="F125" s="250">
        <v>2.5000000000000001E-2</v>
      </c>
      <c r="G125" s="250">
        <v>0</v>
      </c>
      <c r="H125" s="250">
        <v>2.3199999999999998</v>
      </c>
      <c r="I125" s="252" t="s">
        <v>239</v>
      </c>
      <c r="J125" s="250" t="s">
        <v>2135</v>
      </c>
      <c r="T125" s="292" t="s">
        <v>1756</v>
      </c>
      <c r="U125" s="283" t="s">
        <v>1757</v>
      </c>
      <c r="V125" s="285" t="s">
        <v>1772</v>
      </c>
      <c r="W125" s="293" t="str">
        <f t="shared" si="8"/>
        <v>H17</v>
      </c>
      <c r="X125" s="284" t="str">
        <f t="shared" si="8"/>
        <v>CAG</v>
      </c>
      <c r="Y125" s="271" t="s">
        <v>2261</v>
      </c>
      <c r="Z125" s="283">
        <f t="shared" si="7"/>
        <v>2.5000000000000001E-2</v>
      </c>
      <c r="AA125" s="340">
        <f t="shared" si="7"/>
        <v>0</v>
      </c>
    </row>
    <row r="126" spans="1:34" s="250" customFormat="1">
      <c r="A126" s="250" t="s">
        <v>387</v>
      </c>
      <c r="B126" s="250" t="s">
        <v>2031</v>
      </c>
      <c r="C126" s="250" t="s">
        <v>2000</v>
      </c>
      <c r="D126" s="251" t="s">
        <v>1979</v>
      </c>
      <c r="E126" s="251" t="s">
        <v>2004</v>
      </c>
      <c r="F126" s="250">
        <v>2.5000000000000001E-2</v>
      </c>
      <c r="G126" s="250">
        <v>0</v>
      </c>
      <c r="H126" s="250">
        <v>2.3199999999999998</v>
      </c>
      <c r="I126" s="252" t="s">
        <v>260</v>
      </c>
      <c r="J126" s="251" t="s">
        <v>247</v>
      </c>
      <c r="T126" s="292" t="s">
        <v>1756</v>
      </c>
      <c r="U126" s="283" t="s">
        <v>1757</v>
      </c>
      <c r="V126" s="285" t="s">
        <v>1772</v>
      </c>
      <c r="W126" s="293" t="str">
        <f t="shared" si="8"/>
        <v>H17</v>
      </c>
      <c r="X126" s="284" t="str">
        <f t="shared" si="8"/>
        <v>CBG</v>
      </c>
      <c r="Y126" s="271" t="s">
        <v>2261</v>
      </c>
      <c r="Z126" s="283">
        <f t="shared" si="7"/>
        <v>2.5000000000000001E-2</v>
      </c>
      <c r="AA126" s="340">
        <f t="shared" si="7"/>
        <v>0</v>
      </c>
    </row>
    <row r="127" spans="1:34" s="250" customFormat="1">
      <c r="A127" s="250" t="s">
        <v>388</v>
      </c>
      <c r="B127" s="250" t="s">
        <v>2031</v>
      </c>
      <c r="C127" s="250" t="s">
        <v>2000</v>
      </c>
      <c r="D127" s="251" t="s">
        <v>1979</v>
      </c>
      <c r="E127" s="251" t="s">
        <v>2005</v>
      </c>
      <c r="F127" s="250">
        <v>1.2500000000000001E-2</v>
      </c>
      <c r="G127" s="250">
        <v>0</v>
      </c>
      <c r="H127" s="250">
        <v>2.3199999999999998</v>
      </c>
      <c r="I127" s="252" t="s">
        <v>239</v>
      </c>
      <c r="J127" s="251" t="s">
        <v>2136</v>
      </c>
      <c r="T127" s="292" t="s">
        <v>1756</v>
      </c>
      <c r="U127" s="283" t="s">
        <v>1757</v>
      </c>
      <c r="V127" s="285" t="s">
        <v>1772</v>
      </c>
      <c r="W127" s="293" t="str">
        <f t="shared" si="8"/>
        <v>H17</v>
      </c>
      <c r="X127" s="284" t="str">
        <f t="shared" si="8"/>
        <v>DAG</v>
      </c>
      <c r="Y127" s="271" t="s">
        <v>2262</v>
      </c>
      <c r="Z127" s="283">
        <f t="shared" si="7"/>
        <v>1.2500000000000001E-2</v>
      </c>
      <c r="AA127" s="340">
        <f t="shared" si="7"/>
        <v>0</v>
      </c>
    </row>
    <row r="128" spans="1:34" s="250" customFormat="1">
      <c r="A128" s="250" t="s">
        <v>389</v>
      </c>
      <c r="B128" s="250" t="s">
        <v>2031</v>
      </c>
      <c r="C128" s="250" t="s">
        <v>2000</v>
      </c>
      <c r="D128" s="251" t="s">
        <v>1979</v>
      </c>
      <c r="E128" s="251" t="s">
        <v>2006</v>
      </c>
      <c r="F128" s="250">
        <v>1.2500000000000001E-2</v>
      </c>
      <c r="G128" s="250">
        <v>0</v>
      </c>
      <c r="H128" s="250">
        <v>2.3199999999999998</v>
      </c>
      <c r="I128" s="252" t="s">
        <v>263</v>
      </c>
      <c r="J128" s="251" t="s">
        <v>250</v>
      </c>
      <c r="T128" s="292" t="s">
        <v>1756</v>
      </c>
      <c r="U128" s="283" t="s">
        <v>1757</v>
      </c>
      <c r="V128" s="285" t="s">
        <v>1772</v>
      </c>
      <c r="W128" s="293" t="str">
        <f t="shared" si="8"/>
        <v>H17</v>
      </c>
      <c r="X128" s="284" t="str">
        <f t="shared" si="8"/>
        <v>DBG</v>
      </c>
      <c r="Y128" s="271" t="s">
        <v>2262</v>
      </c>
      <c r="Z128" s="283">
        <f t="shared" si="7"/>
        <v>1.2500000000000001E-2</v>
      </c>
      <c r="AA128" s="340">
        <f t="shared" si="7"/>
        <v>0</v>
      </c>
    </row>
    <row r="129" spans="1:34" s="250" customFormat="1">
      <c r="A129" s="250" t="s">
        <v>390</v>
      </c>
      <c r="B129" s="250" t="s">
        <v>2031</v>
      </c>
      <c r="C129" s="250" t="s">
        <v>2000</v>
      </c>
      <c r="D129" s="251" t="s">
        <v>1979</v>
      </c>
      <c r="E129" s="251" t="s">
        <v>391</v>
      </c>
      <c r="F129" s="250">
        <v>4.4999999999999998E-2</v>
      </c>
      <c r="G129" s="250">
        <v>0</v>
      </c>
      <c r="H129" s="250">
        <v>2.3199999999999998</v>
      </c>
      <c r="I129" s="252" t="s">
        <v>239</v>
      </c>
      <c r="J129" s="251" t="s">
        <v>2134</v>
      </c>
      <c r="T129" s="292" t="s">
        <v>1756</v>
      </c>
      <c r="U129" s="283" t="s">
        <v>1757</v>
      </c>
      <c r="V129" s="285" t="s">
        <v>2394</v>
      </c>
      <c r="W129" s="283" t="s">
        <v>1979</v>
      </c>
      <c r="X129" s="284" t="s">
        <v>2353</v>
      </c>
      <c r="Y129" s="271" t="s">
        <v>2398</v>
      </c>
      <c r="Z129" s="283">
        <v>4.4999999999999998E-2</v>
      </c>
      <c r="AA129" s="340">
        <v>0</v>
      </c>
      <c r="AC129" s="74"/>
      <c r="AD129" s="74"/>
      <c r="AE129" s="74"/>
      <c r="AF129" s="74"/>
      <c r="AG129" s="74"/>
      <c r="AH129" s="74"/>
    </row>
    <row r="130" spans="1:34" s="250" customFormat="1">
      <c r="A130" s="250" t="s">
        <v>392</v>
      </c>
      <c r="B130" s="250" t="s">
        <v>2031</v>
      </c>
      <c r="C130" s="250" t="s">
        <v>2000</v>
      </c>
      <c r="D130" s="251" t="s">
        <v>1979</v>
      </c>
      <c r="E130" s="251" t="s">
        <v>393</v>
      </c>
      <c r="F130" s="250">
        <v>4.4999999999999998E-2</v>
      </c>
      <c r="G130" s="250">
        <v>0</v>
      </c>
      <c r="H130" s="250">
        <v>2.3199999999999998</v>
      </c>
      <c r="I130" s="252" t="s">
        <v>232</v>
      </c>
      <c r="J130" s="251" t="s">
        <v>244</v>
      </c>
      <c r="T130" s="292" t="s">
        <v>1756</v>
      </c>
      <c r="U130" s="283" t="s">
        <v>1757</v>
      </c>
      <c r="V130" s="285" t="s">
        <v>2394</v>
      </c>
      <c r="W130" s="283" t="s">
        <v>1979</v>
      </c>
      <c r="X130" s="284" t="s">
        <v>2354</v>
      </c>
      <c r="Y130" s="271" t="s">
        <v>2398</v>
      </c>
      <c r="Z130" s="283">
        <v>4.4999999999999998E-2</v>
      </c>
      <c r="AA130" s="340">
        <v>0</v>
      </c>
      <c r="AC130" s="74"/>
      <c r="AD130" s="74"/>
      <c r="AE130" s="74"/>
      <c r="AF130" s="74"/>
      <c r="AG130" s="74"/>
      <c r="AH130" s="74"/>
    </row>
    <row r="131" spans="1:34">
      <c r="A131" s="74" t="s">
        <v>394</v>
      </c>
      <c r="B131" s="74" t="s">
        <v>2031</v>
      </c>
      <c r="C131" s="74" t="s">
        <v>2000</v>
      </c>
      <c r="D131" s="74" t="s">
        <v>2382</v>
      </c>
      <c r="E131" s="74" t="s">
        <v>395</v>
      </c>
      <c r="F131" s="74">
        <v>0.05</v>
      </c>
      <c r="G131" s="74">
        <v>0</v>
      </c>
      <c r="H131" s="74">
        <v>2.3199999999999998</v>
      </c>
      <c r="I131" s="13" t="s">
        <v>232</v>
      </c>
      <c r="T131" s="292" t="s">
        <v>1756</v>
      </c>
      <c r="U131" s="283" t="s">
        <v>1757</v>
      </c>
      <c r="V131" s="285" t="s">
        <v>2394</v>
      </c>
      <c r="W131" s="293" t="str">
        <f t="shared" si="8"/>
        <v>H21</v>
      </c>
      <c r="X131" s="284" t="str">
        <f t="shared" si="8"/>
        <v>LBG</v>
      </c>
      <c r="Y131" s="271"/>
      <c r="Z131" s="283">
        <f t="shared" si="7"/>
        <v>0.05</v>
      </c>
      <c r="AA131" s="340">
        <f t="shared" si="7"/>
        <v>0</v>
      </c>
    </row>
    <row r="132" spans="1:34">
      <c r="A132" s="74" t="s">
        <v>396</v>
      </c>
      <c r="B132" s="74" t="s">
        <v>2031</v>
      </c>
      <c r="C132" s="74" t="s">
        <v>2000</v>
      </c>
      <c r="D132" s="74" t="s">
        <v>2382</v>
      </c>
      <c r="E132" s="74" t="s">
        <v>397</v>
      </c>
      <c r="F132" s="74">
        <v>2.5000000000000001E-2</v>
      </c>
      <c r="G132" s="74">
        <v>0</v>
      </c>
      <c r="H132" s="74">
        <v>2.3199999999999998</v>
      </c>
      <c r="I132" s="13" t="s">
        <v>239</v>
      </c>
      <c r="J132" s="74" t="s">
        <v>240</v>
      </c>
      <c r="T132" s="292" t="s">
        <v>1756</v>
      </c>
      <c r="U132" s="283" t="s">
        <v>1757</v>
      </c>
      <c r="V132" s="285" t="s">
        <v>2394</v>
      </c>
      <c r="W132" s="293" t="str">
        <f t="shared" si="8"/>
        <v>H21</v>
      </c>
      <c r="X132" s="284" t="str">
        <f t="shared" si="8"/>
        <v>LAG</v>
      </c>
      <c r="Y132" s="271"/>
      <c r="Z132" s="283">
        <f t="shared" si="7"/>
        <v>2.5000000000000001E-2</v>
      </c>
      <c r="AA132" s="340">
        <f t="shared" si="7"/>
        <v>0</v>
      </c>
    </row>
    <row r="133" spans="1:34">
      <c r="A133" s="74" t="s">
        <v>398</v>
      </c>
      <c r="B133" s="74" t="s">
        <v>2031</v>
      </c>
      <c r="C133" s="74" t="s">
        <v>2000</v>
      </c>
      <c r="D133" s="74" t="s">
        <v>2382</v>
      </c>
      <c r="E133" s="74" t="s">
        <v>399</v>
      </c>
      <c r="F133" s="74">
        <v>2.5000000000000001E-2</v>
      </c>
      <c r="G133" s="74">
        <v>0</v>
      </c>
      <c r="H133" s="74">
        <v>2.3199999999999998</v>
      </c>
      <c r="I133" s="13" t="s">
        <v>260</v>
      </c>
      <c r="J133" s="74" t="s">
        <v>2261</v>
      </c>
      <c r="T133" s="292" t="s">
        <v>1756</v>
      </c>
      <c r="U133" s="283" t="s">
        <v>1757</v>
      </c>
      <c r="V133" s="285" t="s">
        <v>2394</v>
      </c>
      <c r="W133" s="293" t="str">
        <f t="shared" si="8"/>
        <v>H21</v>
      </c>
      <c r="X133" s="284" t="str">
        <f t="shared" si="8"/>
        <v>MBG</v>
      </c>
      <c r="Y133" s="271" t="s">
        <v>2261</v>
      </c>
      <c r="Z133" s="283">
        <f t="shared" si="7"/>
        <v>2.5000000000000001E-2</v>
      </c>
      <c r="AA133" s="340">
        <f t="shared" si="7"/>
        <v>0</v>
      </c>
    </row>
    <row r="134" spans="1:34">
      <c r="A134" s="74" t="s">
        <v>400</v>
      </c>
      <c r="B134" s="74" t="s">
        <v>2031</v>
      </c>
      <c r="C134" s="74" t="s">
        <v>2000</v>
      </c>
      <c r="D134" s="74" t="s">
        <v>2382</v>
      </c>
      <c r="E134" s="74" t="s">
        <v>401</v>
      </c>
      <c r="F134" s="74">
        <v>2.5000000000000001E-2</v>
      </c>
      <c r="G134" s="74">
        <v>0</v>
      </c>
      <c r="H134" s="74">
        <v>2.3199999999999998</v>
      </c>
      <c r="I134" s="13" t="s">
        <v>239</v>
      </c>
      <c r="J134" s="74" t="s">
        <v>2385</v>
      </c>
      <c r="T134" s="292" t="s">
        <v>1756</v>
      </c>
      <c r="U134" s="283" t="s">
        <v>1757</v>
      </c>
      <c r="V134" s="285" t="s">
        <v>2394</v>
      </c>
      <c r="W134" s="293" t="str">
        <f t="shared" si="8"/>
        <v>H21</v>
      </c>
      <c r="X134" s="284" t="str">
        <f t="shared" si="8"/>
        <v>MAG</v>
      </c>
      <c r="Y134" s="271" t="s">
        <v>2261</v>
      </c>
      <c r="Z134" s="283">
        <f t="shared" si="7"/>
        <v>2.5000000000000001E-2</v>
      </c>
      <c r="AA134" s="340">
        <f t="shared" si="7"/>
        <v>0</v>
      </c>
    </row>
    <row r="135" spans="1:34">
      <c r="A135" s="74" t="s">
        <v>402</v>
      </c>
      <c r="B135" s="74" t="s">
        <v>2031</v>
      </c>
      <c r="C135" s="74" t="s">
        <v>2000</v>
      </c>
      <c r="D135" s="74" t="s">
        <v>2382</v>
      </c>
      <c r="E135" s="74" t="s">
        <v>403</v>
      </c>
      <c r="F135" s="74">
        <v>1.2500000000000001E-2</v>
      </c>
      <c r="G135" s="74">
        <v>0</v>
      </c>
      <c r="H135" s="74">
        <v>2.3199999999999998</v>
      </c>
      <c r="I135" s="13" t="s">
        <v>263</v>
      </c>
      <c r="J135" s="74" t="s">
        <v>2262</v>
      </c>
      <c r="T135" s="292" t="s">
        <v>1756</v>
      </c>
      <c r="U135" s="283" t="s">
        <v>1757</v>
      </c>
      <c r="V135" s="285" t="s">
        <v>2394</v>
      </c>
      <c r="W135" s="293" t="str">
        <f t="shared" si="8"/>
        <v>H21</v>
      </c>
      <c r="X135" s="284" t="str">
        <f t="shared" si="8"/>
        <v>RBG</v>
      </c>
      <c r="Y135" s="271" t="s">
        <v>2262</v>
      </c>
      <c r="Z135" s="283">
        <f t="shared" si="7"/>
        <v>1.2500000000000001E-2</v>
      </c>
      <c r="AA135" s="340">
        <f t="shared" si="7"/>
        <v>0</v>
      </c>
    </row>
    <row r="136" spans="1:34">
      <c r="A136" s="74" t="s">
        <v>404</v>
      </c>
      <c r="B136" s="74" t="s">
        <v>2031</v>
      </c>
      <c r="C136" s="74" t="s">
        <v>2000</v>
      </c>
      <c r="D136" s="74" t="s">
        <v>2382</v>
      </c>
      <c r="E136" s="74" t="s">
        <v>405</v>
      </c>
      <c r="F136" s="74">
        <v>1.2500000000000001E-2</v>
      </c>
      <c r="G136" s="74">
        <v>0</v>
      </c>
      <c r="H136" s="74">
        <v>2.3199999999999998</v>
      </c>
      <c r="I136" s="13" t="s">
        <v>239</v>
      </c>
      <c r="J136" s="74" t="s">
        <v>2386</v>
      </c>
      <c r="T136" s="292" t="s">
        <v>1756</v>
      </c>
      <c r="U136" s="283" t="s">
        <v>1757</v>
      </c>
      <c r="V136" s="285" t="s">
        <v>2394</v>
      </c>
      <c r="W136" s="293" t="str">
        <f t="shared" si="8"/>
        <v>H21</v>
      </c>
      <c r="X136" s="284" t="str">
        <f t="shared" si="8"/>
        <v>RAG</v>
      </c>
      <c r="Y136" s="271" t="s">
        <v>2262</v>
      </c>
      <c r="Z136" s="283">
        <f t="shared" si="7"/>
        <v>1.2500000000000001E-2</v>
      </c>
      <c r="AA136" s="340">
        <f t="shared" si="7"/>
        <v>0</v>
      </c>
    </row>
    <row r="137" spans="1:34">
      <c r="A137" s="74" t="s">
        <v>406</v>
      </c>
      <c r="B137" s="74" t="s">
        <v>2031</v>
      </c>
      <c r="C137" s="74" t="s">
        <v>2000</v>
      </c>
      <c r="D137" s="74" t="s">
        <v>2382</v>
      </c>
      <c r="E137" s="74" t="s">
        <v>407</v>
      </c>
      <c r="F137" s="74">
        <v>4.4999999999999998E-2</v>
      </c>
      <c r="G137" s="74">
        <v>0</v>
      </c>
      <c r="H137" s="74">
        <v>2.3199999999999998</v>
      </c>
      <c r="I137" s="13" t="s">
        <v>232</v>
      </c>
      <c r="J137" s="74" t="s">
        <v>244</v>
      </c>
      <c r="T137" s="292" t="s">
        <v>1760</v>
      </c>
      <c r="U137" s="283" t="s">
        <v>1761</v>
      </c>
      <c r="V137" s="285" t="s">
        <v>2394</v>
      </c>
      <c r="W137" s="293" t="s">
        <v>2382</v>
      </c>
      <c r="X137" s="284" t="s">
        <v>407</v>
      </c>
      <c r="Y137" s="271" t="s">
        <v>1762</v>
      </c>
      <c r="Z137" s="283">
        <v>4.4999999999999998E-2</v>
      </c>
      <c r="AA137" s="340">
        <v>0</v>
      </c>
    </row>
    <row r="138" spans="1:34">
      <c r="A138" s="74" t="s">
        <v>408</v>
      </c>
      <c r="B138" s="74" t="s">
        <v>2031</v>
      </c>
      <c r="C138" s="74" t="s">
        <v>2000</v>
      </c>
      <c r="D138" s="74" t="s">
        <v>2382</v>
      </c>
      <c r="E138" s="74" t="s">
        <v>409</v>
      </c>
      <c r="F138" s="74">
        <v>4.4999999999999998E-2</v>
      </c>
      <c r="G138" s="74">
        <v>0</v>
      </c>
      <c r="H138" s="74">
        <v>2.3199999999999998</v>
      </c>
      <c r="I138" s="13" t="s">
        <v>239</v>
      </c>
      <c r="J138" s="74" t="s">
        <v>2134</v>
      </c>
      <c r="T138" s="292" t="s">
        <v>1760</v>
      </c>
      <c r="U138" s="283" t="s">
        <v>1761</v>
      </c>
      <c r="V138" s="285" t="s">
        <v>2394</v>
      </c>
      <c r="W138" s="293" t="s">
        <v>2382</v>
      </c>
      <c r="X138" s="284" t="s">
        <v>409</v>
      </c>
      <c r="Y138" s="271" t="s">
        <v>1762</v>
      </c>
      <c r="Z138" s="283">
        <v>4.4999999999999998E-2</v>
      </c>
      <c r="AA138" s="340">
        <v>0</v>
      </c>
    </row>
    <row r="139" spans="1:34">
      <c r="A139" s="74" t="s">
        <v>410</v>
      </c>
      <c r="B139" s="74" t="s">
        <v>2008</v>
      </c>
      <c r="C139" s="74" t="s">
        <v>1933</v>
      </c>
      <c r="D139" s="74" t="s">
        <v>2456</v>
      </c>
      <c r="E139" s="74" t="s">
        <v>2457</v>
      </c>
      <c r="F139" s="74">
        <v>2.1800000000000002</v>
      </c>
      <c r="G139" s="74">
        <v>0</v>
      </c>
      <c r="H139" s="74">
        <v>3</v>
      </c>
      <c r="I139" s="13" t="s">
        <v>232</v>
      </c>
      <c r="T139" s="292" t="s">
        <v>1756</v>
      </c>
      <c r="U139" s="283" t="s">
        <v>2355</v>
      </c>
      <c r="V139" s="283" t="s">
        <v>1758</v>
      </c>
      <c r="W139" s="293" t="str">
        <f t="shared" si="8"/>
        <v>S50前</v>
      </c>
      <c r="X139" s="284" t="str">
        <f t="shared" si="8"/>
        <v>-</v>
      </c>
      <c r="Y139" s="271"/>
      <c r="Z139" s="283">
        <f t="shared" si="7"/>
        <v>2.1800000000000002</v>
      </c>
      <c r="AA139" s="340">
        <f t="shared" si="7"/>
        <v>0</v>
      </c>
    </row>
    <row r="140" spans="1:34">
      <c r="A140" s="74" t="s">
        <v>411</v>
      </c>
      <c r="B140" s="74" t="s">
        <v>2008</v>
      </c>
      <c r="C140" s="74" t="s">
        <v>1933</v>
      </c>
      <c r="D140" s="74" t="s">
        <v>2459</v>
      </c>
      <c r="E140" s="74" t="s">
        <v>2460</v>
      </c>
      <c r="F140" s="74">
        <v>2.1800000000000002</v>
      </c>
      <c r="G140" s="74">
        <v>0</v>
      </c>
      <c r="H140" s="74">
        <v>3</v>
      </c>
      <c r="I140" s="13" t="s">
        <v>232</v>
      </c>
      <c r="T140" s="292" t="s">
        <v>1756</v>
      </c>
      <c r="U140" s="283" t="s">
        <v>2355</v>
      </c>
      <c r="V140" s="283" t="s">
        <v>1758</v>
      </c>
      <c r="W140" s="293" t="str">
        <f t="shared" si="8"/>
        <v>S50</v>
      </c>
      <c r="X140" s="284" t="str">
        <f t="shared" si="8"/>
        <v>H</v>
      </c>
      <c r="Y140" s="271"/>
      <c r="Z140" s="283">
        <f t="shared" si="7"/>
        <v>2.1800000000000002</v>
      </c>
      <c r="AA140" s="340">
        <f t="shared" si="7"/>
        <v>0</v>
      </c>
    </row>
    <row r="141" spans="1:34">
      <c r="A141" s="74" t="s">
        <v>412</v>
      </c>
      <c r="B141" s="74" t="s">
        <v>2008</v>
      </c>
      <c r="C141" s="74" t="s">
        <v>1933</v>
      </c>
      <c r="D141" s="74" t="s">
        <v>0</v>
      </c>
      <c r="E141" s="74" t="s">
        <v>7</v>
      </c>
      <c r="F141" s="74">
        <v>1</v>
      </c>
      <c r="G141" s="74">
        <v>0</v>
      </c>
      <c r="H141" s="74">
        <v>3</v>
      </c>
      <c r="I141" s="13" t="s">
        <v>232</v>
      </c>
      <c r="T141" s="292" t="s">
        <v>1756</v>
      </c>
      <c r="U141" s="283" t="s">
        <v>2355</v>
      </c>
      <c r="V141" s="283" t="s">
        <v>1758</v>
      </c>
      <c r="W141" s="293" t="str">
        <f t="shared" si="8"/>
        <v>S54</v>
      </c>
      <c r="X141" s="284" t="str">
        <f t="shared" si="8"/>
        <v>J</v>
      </c>
      <c r="Y141" s="271"/>
      <c r="Z141" s="283">
        <f t="shared" si="7"/>
        <v>1</v>
      </c>
      <c r="AA141" s="340">
        <f t="shared" si="7"/>
        <v>0</v>
      </c>
    </row>
    <row r="142" spans="1:34">
      <c r="A142" s="74" t="s">
        <v>413</v>
      </c>
      <c r="B142" s="74" t="s">
        <v>2008</v>
      </c>
      <c r="C142" s="74" t="s">
        <v>1933</v>
      </c>
      <c r="D142" s="74" t="s">
        <v>9</v>
      </c>
      <c r="E142" s="74" t="s">
        <v>10</v>
      </c>
      <c r="F142" s="74">
        <v>0.6</v>
      </c>
      <c r="G142" s="74">
        <v>0</v>
      </c>
      <c r="H142" s="74">
        <v>3</v>
      </c>
      <c r="I142" s="13" t="s">
        <v>232</v>
      </c>
      <c r="T142" s="292" t="s">
        <v>1756</v>
      </c>
      <c r="U142" s="283" t="s">
        <v>2355</v>
      </c>
      <c r="V142" s="283" t="s">
        <v>1758</v>
      </c>
      <c r="W142" s="293" t="str">
        <f t="shared" si="8"/>
        <v>S56</v>
      </c>
      <c r="X142" s="284" t="str">
        <f t="shared" si="8"/>
        <v>L</v>
      </c>
      <c r="Y142" s="271"/>
      <c r="Z142" s="283">
        <f t="shared" si="7"/>
        <v>0.6</v>
      </c>
      <c r="AA142" s="340">
        <f t="shared" si="7"/>
        <v>0</v>
      </c>
    </row>
    <row r="143" spans="1:34">
      <c r="A143" s="74" t="s">
        <v>414</v>
      </c>
      <c r="B143" s="74" t="s">
        <v>2008</v>
      </c>
      <c r="C143" s="74" t="s">
        <v>1933</v>
      </c>
      <c r="D143" s="74" t="s">
        <v>13</v>
      </c>
      <c r="E143" s="74" t="s">
        <v>78</v>
      </c>
      <c r="F143" s="74">
        <v>0.25</v>
      </c>
      <c r="G143" s="74">
        <v>0</v>
      </c>
      <c r="H143" s="74">
        <v>3</v>
      </c>
      <c r="I143" s="13" t="s">
        <v>232</v>
      </c>
      <c r="T143" s="292" t="s">
        <v>1756</v>
      </c>
      <c r="U143" s="283" t="s">
        <v>2355</v>
      </c>
      <c r="V143" s="283" t="s">
        <v>1758</v>
      </c>
      <c r="W143" s="293" t="str">
        <f t="shared" si="8"/>
        <v>S63,H10</v>
      </c>
      <c r="X143" s="284" t="str">
        <f t="shared" si="8"/>
        <v>R</v>
      </c>
      <c r="Y143" s="271"/>
      <c r="Z143" s="283">
        <f t="shared" si="7"/>
        <v>0.25</v>
      </c>
      <c r="AA143" s="340">
        <f t="shared" si="7"/>
        <v>0</v>
      </c>
    </row>
    <row r="144" spans="1:34">
      <c r="A144" s="74" t="s">
        <v>415</v>
      </c>
      <c r="B144" s="74" t="s">
        <v>2008</v>
      </c>
      <c r="C144" s="74" t="s">
        <v>1933</v>
      </c>
      <c r="D144" s="74" t="s">
        <v>13</v>
      </c>
      <c r="E144" s="74" t="s">
        <v>54</v>
      </c>
      <c r="F144" s="74">
        <v>0.25</v>
      </c>
      <c r="G144" s="74">
        <v>0</v>
      </c>
      <c r="H144" s="74">
        <v>3</v>
      </c>
      <c r="I144" s="13" t="s">
        <v>232</v>
      </c>
      <c r="T144" s="292" t="s">
        <v>1756</v>
      </c>
      <c r="U144" s="283" t="s">
        <v>2355</v>
      </c>
      <c r="V144" s="283" t="s">
        <v>1758</v>
      </c>
      <c r="W144" s="293" t="str">
        <f t="shared" si="8"/>
        <v>S63,H10</v>
      </c>
      <c r="X144" s="284" t="str">
        <f t="shared" si="8"/>
        <v>GG</v>
      </c>
      <c r="Y144" s="271"/>
      <c r="Z144" s="283">
        <f t="shared" ref="Z144:AA215" si="9">F144</f>
        <v>0.25</v>
      </c>
      <c r="AA144" s="340">
        <f t="shared" si="9"/>
        <v>0</v>
      </c>
    </row>
    <row r="145" spans="1:34">
      <c r="A145" s="74" t="s">
        <v>416</v>
      </c>
      <c r="B145" s="74" t="s">
        <v>2008</v>
      </c>
      <c r="C145" s="74" t="s">
        <v>1933</v>
      </c>
      <c r="D145" s="74" t="s">
        <v>13</v>
      </c>
      <c r="E145" s="74" t="s">
        <v>62</v>
      </c>
      <c r="F145" s="74">
        <v>0.125</v>
      </c>
      <c r="G145" s="74">
        <v>0</v>
      </c>
      <c r="H145" s="74">
        <v>3</v>
      </c>
      <c r="I145" s="13" t="s">
        <v>239</v>
      </c>
      <c r="J145" s="74" t="s">
        <v>240</v>
      </c>
      <c r="T145" s="292" t="s">
        <v>1756</v>
      </c>
      <c r="U145" s="283" t="s">
        <v>2355</v>
      </c>
      <c r="V145" s="283" t="s">
        <v>1758</v>
      </c>
      <c r="W145" s="293" t="str">
        <f t="shared" si="8"/>
        <v>S63,H10</v>
      </c>
      <c r="X145" s="284" t="str">
        <f t="shared" si="8"/>
        <v>HL</v>
      </c>
      <c r="Y145" s="271"/>
      <c r="Z145" s="283">
        <f t="shared" si="9"/>
        <v>0.125</v>
      </c>
      <c r="AA145" s="340">
        <f t="shared" si="9"/>
        <v>0</v>
      </c>
    </row>
    <row r="146" spans="1:34">
      <c r="A146" s="74" t="s">
        <v>417</v>
      </c>
      <c r="B146" s="74" t="s">
        <v>2008</v>
      </c>
      <c r="C146" s="74" t="s">
        <v>1933</v>
      </c>
      <c r="D146" s="74" t="s">
        <v>15</v>
      </c>
      <c r="E146" s="74" t="s">
        <v>56</v>
      </c>
      <c r="F146" s="74">
        <v>0.08</v>
      </c>
      <c r="G146" s="74">
        <v>0</v>
      </c>
      <c r="H146" s="74">
        <v>3</v>
      </c>
      <c r="I146" s="13" t="s">
        <v>232</v>
      </c>
      <c r="T146" s="292" t="s">
        <v>1756</v>
      </c>
      <c r="U146" s="283" t="s">
        <v>2355</v>
      </c>
      <c r="V146" s="283" t="s">
        <v>1758</v>
      </c>
      <c r="W146" s="293" t="str">
        <f t="shared" si="8"/>
        <v>H12</v>
      </c>
      <c r="X146" s="284" t="str">
        <f t="shared" si="8"/>
        <v>GJ</v>
      </c>
      <c r="Y146" s="271"/>
      <c r="Z146" s="283">
        <f t="shared" si="9"/>
        <v>0.08</v>
      </c>
      <c r="AA146" s="340">
        <f t="shared" si="9"/>
        <v>0</v>
      </c>
    </row>
    <row r="147" spans="1:34">
      <c r="A147" s="74" t="s">
        <v>418</v>
      </c>
      <c r="B147" s="74" t="s">
        <v>2008</v>
      </c>
      <c r="C147" s="74" t="s">
        <v>1933</v>
      </c>
      <c r="D147" s="74" t="s">
        <v>15</v>
      </c>
      <c r="E147" s="74" t="s">
        <v>64</v>
      </c>
      <c r="F147" s="74">
        <v>0.04</v>
      </c>
      <c r="G147" s="74">
        <v>0</v>
      </c>
      <c r="H147" s="74">
        <v>3</v>
      </c>
      <c r="I147" s="13" t="s">
        <v>239</v>
      </c>
      <c r="J147" s="74" t="s">
        <v>240</v>
      </c>
      <c r="T147" s="292" t="s">
        <v>1756</v>
      </c>
      <c r="U147" s="283" t="s">
        <v>2355</v>
      </c>
      <c r="V147" s="283" t="s">
        <v>1758</v>
      </c>
      <c r="W147" s="293" t="str">
        <f t="shared" si="8"/>
        <v>H12</v>
      </c>
      <c r="X147" s="284" t="str">
        <f t="shared" si="8"/>
        <v>HP</v>
      </c>
      <c r="Y147" s="271"/>
      <c r="Z147" s="283">
        <f t="shared" si="9"/>
        <v>0.04</v>
      </c>
      <c r="AA147" s="340">
        <f t="shared" si="9"/>
        <v>0</v>
      </c>
    </row>
    <row r="148" spans="1:34">
      <c r="A148" s="74" t="s">
        <v>419</v>
      </c>
      <c r="B148" s="74" t="s">
        <v>2008</v>
      </c>
      <c r="C148" s="74" t="s">
        <v>1933</v>
      </c>
      <c r="D148" s="74" t="s">
        <v>15</v>
      </c>
      <c r="E148" s="74" t="s">
        <v>80</v>
      </c>
      <c r="F148" s="268">
        <v>0.06</v>
      </c>
      <c r="G148" s="74">
        <v>0</v>
      </c>
      <c r="H148" s="74">
        <v>3</v>
      </c>
      <c r="I148" s="13" t="s">
        <v>232</v>
      </c>
      <c r="J148" s="74" t="s">
        <v>244</v>
      </c>
      <c r="T148" s="292" t="s">
        <v>1756</v>
      </c>
      <c r="U148" s="283" t="s">
        <v>2355</v>
      </c>
      <c r="V148" s="283" t="s">
        <v>1758</v>
      </c>
      <c r="W148" s="293" t="str">
        <f t="shared" si="8"/>
        <v>H12</v>
      </c>
      <c r="X148" s="284" t="str">
        <f t="shared" si="8"/>
        <v>TB</v>
      </c>
      <c r="Y148" s="271" t="s">
        <v>1765</v>
      </c>
      <c r="Z148" s="283">
        <f t="shared" si="9"/>
        <v>0.06</v>
      </c>
      <c r="AA148" s="340">
        <f t="shared" si="9"/>
        <v>0</v>
      </c>
    </row>
    <row r="149" spans="1:34">
      <c r="A149" s="74" t="s">
        <v>420</v>
      </c>
      <c r="B149" s="74" t="s">
        <v>2008</v>
      </c>
      <c r="C149" s="74" t="s">
        <v>1933</v>
      </c>
      <c r="D149" s="74" t="s">
        <v>15</v>
      </c>
      <c r="E149" s="74" t="s">
        <v>94</v>
      </c>
      <c r="F149" s="268">
        <v>0.06</v>
      </c>
      <c r="G149" s="74">
        <v>0</v>
      </c>
      <c r="H149" s="74">
        <v>3</v>
      </c>
      <c r="I149" s="13" t="s">
        <v>239</v>
      </c>
      <c r="J149" s="74" t="s">
        <v>2134</v>
      </c>
      <c r="T149" s="292" t="s">
        <v>1756</v>
      </c>
      <c r="U149" s="283" t="s">
        <v>2355</v>
      </c>
      <c r="V149" s="283" t="s">
        <v>1758</v>
      </c>
      <c r="W149" s="293" t="str">
        <f t="shared" si="8"/>
        <v>H12</v>
      </c>
      <c r="X149" s="284" t="str">
        <f t="shared" si="8"/>
        <v>XB</v>
      </c>
      <c r="Y149" s="271" t="s">
        <v>1765</v>
      </c>
      <c r="Z149" s="283">
        <f t="shared" si="9"/>
        <v>0.06</v>
      </c>
      <c r="AA149" s="340">
        <f t="shared" si="9"/>
        <v>0</v>
      </c>
    </row>
    <row r="150" spans="1:34">
      <c r="A150" s="74" t="s">
        <v>421</v>
      </c>
      <c r="B150" s="74" t="s">
        <v>2008</v>
      </c>
      <c r="C150" s="74" t="s">
        <v>1933</v>
      </c>
      <c r="D150" s="74" t="s">
        <v>15</v>
      </c>
      <c r="E150" s="74" t="s">
        <v>71</v>
      </c>
      <c r="F150" s="74">
        <v>0.04</v>
      </c>
      <c r="G150" s="74">
        <v>0</v>
      </c>
      <c r="H150" s="74">
        <v>3</v>
      </c>
      <c r="I150" s="13" t="s">
        <v>232</v>
      </c>
      <c r="J150" s="74" t="s">
        <v>247</v>
      </c>
      <c r="T150" s="292" t="s">
        <v>1756</v>
      </c>
      <c r="U150" s="283" t="s">
        <v>2355</v>
      </c>
      <c r="V150" s="283" t="s">
        <v>1758</v>
      </c>
      <c r="W150" s="293" t="str">
        <f t="shared" si="8"/>
        <v>H12</v>
      </c>
      <c r="X150" s="284" t="str">
        <f t="shared" si="8"/>
        <v>LB</v>
      </c>
      <c r="Y150" s="271" t="s">
        <v>1766</v>
      </c>
      <c r="Z150" s="283">
        <f t="shared" si="9"/>
        <v>0.04</v>
      </c>
      <c r="AA150" s="340">
        <f t="shared" si="9"/>
        <v>0</v>
      </c>
    </row>
    <row r="151" spans="1:34">
      <c r="A151" s="74" t="s">
        <v>422</v>
      </c>
      <c r="B151" s="74" t="s">
        <v>2008</v>
      </c>
      <c r="C151" s="74" t="s">
        <v>1933</v>
      </c>
      <c r="D151" s="74" t="s">
        <v>15</v>
      </c>
      <c r="E151" s="74" t="s">
        <v>98</v>
      </c>
      <c r="F151" s="74">
        <v>0.04</v>
      </c>
      <c r="G151" s="74">
        <v>0</v>
      </c>
      <c r="H151" s="74">
        <v>3</v>
      </c>
      <c r="I151" s="13" t="s">
        <v>239</v>
      </c>
      <c r="J151" s="74" t="s">
        <v>2135</v>
      </c>
      <c r="T151" s="292" t="s">
        <v>1756</v>
      </c>
      <c r="U151" s="283" t="s">
        <v>2355</v>
      </c>
      <c r="V151" s="283" t="s">
        <v>1758</v>
      </c>
      <c r="W151" s="293" t="str">
        <f t="shared" si="8"/>
        <v>H12</v>
      </c>
      <c r="X151" s="284" t="str">
        <f t="shared" si="8"/>
        <v>YB</v>
      </c>
      <c r="Y151" s="271" t="s">
        <v>1766</v>
      </c>
      <c r="Z151" s="283">
        <f t="shared" si="9"/>
        <v>0.04</v>
      </c>
      <c r="AA151" s="340">
        <f t="shared" si="9"/>
        <v>0</v>
      </c>
    </row>
    <row r="152" spans="1:34">
      <c r="A152" s="74" t="s">
        <v>423</v>
      </c>
      <c r="B152" s="74" t="s">
        <v>2008</v>
      </c>
      <c r="C152" s="74" t="s">
        <v>1933</v>
      </c>
      <c r="D152" s="74" t="s">
        <v>15</v>
      </c>
      <c r="E152" s="74" t="s">
        <v>87</v>
      </c>
      <c r="F152" s="74">
        <v>0.02</v>
      </c>
      <c r="G152" s="74">
        <v>0</v>
      </c>
      <c r="H152" s="74">
        <v>3</v>
      </c>
      <c r="I152" s="13" t="s">
        <v>232</v>
      </c>
      <c r="J152" s="74" t="s">
        <v>250</v>
      </c>
      <c r="T152" s="292" t="s">
        <v>1756</v>
      </c>
      <c r="U152" s="283" t="s">
        <v>2355</v>
      </c>
      <c r="V152" s="283" t="s">
        <v>1758</v>
      </c>
      <c r="W152" s="293" t="str">
        <f t="shared" si="8"/>
        <v>H12</v>
      </c>
      <c r="X152" s="284" t="str">
        <f t="shared" si="8"/>
        <v>UB</v>
      </c>
      <c r="Y152" s="271" t="s">
        <v>1767</v>
      </c>
      <c r="Z152" s="283">
        <f t="shared" si="9"/>
        <v>0.02</v>
      </c>
      <c r="AA152" s="340">
        <f t="shared" si="9"/>
        <v>0</v>
      </c>
      <c r="AC152" s="266"/>
      <c r="AD152" s="266"/>
      <c r="AE152" s="266"/>
      <c r="AF152" s="266"/>
      <c r="AG152" s="266"/>
      <c r="AH152" s="266"/>
    </row>
    <row r="153" spans="1:34">
      <c r="A153" s="74" t="s">
        <v>424</v>
      </c>
      <c r="B153" s="74" t="s">
        <v>2008</v>
      </c>
      <c r="C153" s="74" t="s">
        <v>1933</v>
      </c>
      <c r="D153" s="74" t="s">
        <v>15</v>
      </c>
      <c r="E153" s="74" t="s">
        <v>102</v>
      </c>
      <c r="F153" s="74">
        <v>0.02</v>
      </c>
      <c r="G153" s="74">
        <v>0</v>
      </c>
      <c r="H153" s="74">
        <v>3</v>
      </c>
      <c r="I153" s="13" t="s">
        <v>239</v>
      </c>
      <c r="J153" s="74" t="s">
        <v>2136</v>
      </c>
      <c r="T153" s="292" t="s">
        <v>1756</v>
      </c>
      <c r="U153" s="283" t="s">
        <v>2355</v>
      </c>
      <c r="V153" s="283" t="s">
        <v>1758</v>
      </c>
      <c r="W153" s="293" t="str">
        <f t="shared" si="8"/>
        <v>H12</v>
      </c>
      <c r="X153" s="284" t="str">
        <f t="shared" si="8"/>
        <v>ZB</v>
      </c>
      <c r="Y153" s="271" t="s">
        <v>1767</v>
      </c>
      <c r="Z153" s="283">
        <f t="shared" si="9"/>
        <v>0.02</v>
      </c>
      <c r="AA153" s="340">
        <f t="shared" si="9"/>
        <v>0</v>
      </c>
      <c r="AC153" s="266"/>
      <c r="AD153" s="266"/>
      <c r="AE153" s="266"/>
      <c r="AF153" s="266"/>
      <c r="AG153" s="266"/>
      <c r="AH153" s="266"/>
    </row>
    <row r="154" spans="1:34" s="266" customFormat="1">
      <c r="A154" s="266" t="s">
        <v>425</v>
      </c>
      <c r="B154" s="266" t="s">
        <v>2008</v>
      </c>
      <c r="C154" s="266" t="s">
        <v>1933</v>
      </c>
      <c r="D154" s="266" t="s">
        <v>1979</v>
      </c>
      <c r="E154" s="266" t="s">
        <v>253</v>
      </c>
      <c r="F154" s="266">
        <v>0.05</v>
      </c>
      <c r="G154" s="266">
        <v>0</v>
      </c>
      <c r="H154" s="266">
        <v>3</v>
      </c>
      <c r="I154" s="267" t="s">
        <v>232</v>
      </c>
      <c r="T154" s="292" t="s">
        <v>1756</v>
      </c>
      <c r="U154" s="283" t="s">
        <v>2355</v>
      </c>
      <c r="V154" s="283" t="s">
        <v>1758</v>
      </c>
      <c r="W154" s="293" t="str">
        <f t="shared" si="8"/>
        <v>H17</v>
      </c>
      <c r="X154" s="284" t="str">
        <f t="shared" si="8"/>
        <v>ABE</v>
      </c>
      <c r="Y154" s="271"/>
      <c r="Z154" s="283">
        <f t="shared" si="9"/>
        <v>0.05</v>
      </c>
      <c r="AA154" s="340">
        <f t="shared" si="9"/>
        <v>0</v>
      </c>
      <c r="AC154" s="250"/>
      <c r="AD154" s="250"/>
      <c r="AE154" s="250"/>
      <c r="AF154" s="250"/>
      <c r="AG154" s="250"/>
      <c r="AH154" s="250"/>
    </row>
    <row r="155" spans="1:34" s="266" customFormat="1">
      <c r="A155" s="266" t="s">
        <v>426</v>
      </c>
      <c r="B155" s="266" t="s">
        <v>2008</v>
      </c>
      <c r="C155" s="266" t="s">
        <v>1933</v>
      </c>
      <c r="D155" s="266" t="s">
        <v>1979</v>
      </c>
      <c r="E155" s="266" t="s">
        <v>255</v>
      </c>
      <c r="F155" s="266">
        <v>2.5000000000000001E-2</v>
      </c>
      <c r="G155" s="266">
        <v>0</v>
      </c>
      <c r="H155" s="266">
        <v>3</v>
      </c>
      <c r="I155" s="267" t="s">
        <v>239</v>
      </c>
      <c r="J155" s="266" t="s">
        <v>240</v>
      </c>
      <c r="T155" s="292" t="s">
        <v>1756</v>
      </c>
      <c r="U155" s="283" t="s">
        <v>2355</v>
      </c>
      <c r="V155" s="283" t="s">
        <v>1758</v>
      </c>
      <c r="W155" s="293" t="str">
        <f t="shared" si="8"/>
        <v>H17</v>
      </c>
      <c r="X155" s="284" t="str">
        <f t="shared" si="8"/>
        <v>AAE</v>
      </c>
      <c r="Y155" s="271"/>
      <c r="Z155" s="283">
        <f t="shared" si="9"/>
        <v>2.5000000000000001E-2</v>
      </c>
      <c r="AA155" s="340">
        <f t="shared" si="9"/>
        <v>0</v>
      </c>
      <c r="AC155" s="250"/>
      <c r="AD155" s="250"/>
      <c r="AE155" s="250"/>
      <c r="AF155" s="250"/>
      <c r="AG155" s="250"/>
      <c r="AH155" s="250"/>
    </row>
    <row r="156" spans="1:34" s="250" customFormat="1">
      <c r="A156" s="250" t="s">
        <v>427</v>
      </c>
      <c r="B156" s="250" t="s">
        <v>2008</v>
      </c>
      <c r="C156" s="250" t="s">
        <v>1933</v>
      </c>
      <c r="D156" s="251" t="s">
        <v>1979</v>
      </c>
      <c r="E156" s="251" t="s">
        <v>1981</v>
      </c>
      <c r="F156" s="250">
        <v>4.4999999999999998E-2</v>
      </c>
      <c r="G156" s="250">
        <v>0</v>
      </c>
      <c r="H156" s="250">
        <v>3</v>
      </c>
      <c r="I156" s="252" t="s">
        <v>239</v>
      </c>
      <c r="J156" s="250" t="s">
        <v>2134</v>
      </c>
      <c r="T156" s="292" t="s">
        <v>1756</v>
      </c>
      <c r="U156" s="283" t="s">
        <v>2355</v>
      </c>
      <c r="V156" s="283" t="s">
        <v>1758</v>
      </c>
      <c r="W156" s="293" t="str">
        <f t="shared" si="8"/>
        <v>H17</v>
      </c>
      <c r="X156" s="284" t="str">
        <f t="shared" si="8"/>
        <v>BAE</v>
      </c>
      <c r="Y156" s="271" t="s">
        <v>2398</v>
      </c>
      <c r="Z156" s="283">
        <f t="shared" si="9"/>
        <v>4.4999999999999998E-2</v>
      </c>
      <c r="AA156" s="340">
        <f t="shared" si="9"/>
        <v>0</v>
      </c>
    </row>
    <row r="157" spans="1:34" s="250" customFormat="1">
      <c r="A157" s="250" t="s">
        <v>428</v>
      </c>
      <c r="B157" s="250" t="s">
        <v>2008</v>
      </c>
      <c r="C157" s="250" t="s">
        <v>1933</v>
      </c>
      <c r="D157" s="251" t="s">
        <v>1979</v>
      </c>
      <c r="E157" s="251" t="s">
        <v>1982</v>
      </c>
      <c r="F157" s="250">
        <v>4.4999999999999998E-2</v>
      </c>
      <c r="G157" s="250">
        <v>0</v>
      </c>
      <c r="H157" s="250">
        <v>3</v>
      </c>
      <c r="I157" s="252" t="s">
        <v>232</v>
      </c>
      <c r="J157" s="251" t="s">
        <v>244</v>
      </c>
      <c r="T157" s="292" t="s">
        <v>1756</v>
      </c>
      <c r="U157" s="283" t="s">
        <v>2355</v>
      </c>
      <c r="V157" s="283" t="s">
        <v>1758</v>
      </c>
      <c r="W157" s="293" t="str">
        <f t="shared" si="8"/>
        <v>H17</v>
      </c>
      <c r="X157" s="284" t="str">
        <f t="shared" si="8"/>
        <v>BBE</v>
      </c>
      <c r="Y157" s="271" t="s">
        <v>2398</v>
      </c>
      <c r="Z157" s="283">
        <f t="shared" si="9"/>
        <v>4.4999999999999998E-2</v>
      </c>
      <c r="AA157" s="340">
        <f t="shared" si="9"/>
        <v>0</v>
      </c>
    </row>
    <row r="158" spans="1:34" s="250" customFormat="1">
      <c r="A158" s="250" t="s">
        <v>429</v>
      </c>
      <c r="B158" s="250" t="s">
        <v>2008</v>
      </c>
      <c r="C158" s="250" t="s">
        <v>1933</v>
      </c>
      <c r="D158" s="251" t="s">
        <v>1979</v>
      </c>
      <c r="E158" s="251" t="s">
        <v>1983</v>
      </c>
      <c r="F158" s="250">
        <v>2.5000000000000001E-2</v>
      </c>
      <c r="G158" s="250">
        <v>0</v>
      </c>
      <c r="H158" s="250">
        <v>3</v>
      </c>
      <c r="I158" s="252" t="s">
        <v>239</v>
      </c>
      <c r="J158" s="251" t="s">
        <v>2135</v>
      </c>
      <c r="T158" s="292" t="s">
        <v>1756</v>
      </c>
      <c r="U158" s="283" t="s">
        <v>2355</v>
      </c>
      <c r="V158" s="283" t="s">
        <v>1758</v>
      </c>
      <c r="W158" s="293" t="str">
        <f t="shared" si="8"/>
        <v>H17</v>
      </c>
      <c r="X158" s="284" t="str">
        <f t="shared" si="8"/>
        <v>CAE</v>
      </c>
      <c r="Y158" s="271" t="s">
        <v>2261</v>
      </c>
      <c r="Z158" s="283">
        <f t="shared" si="9"/>
        <v>2.5000000000000001E-2</v>
      </c>
      <c r="AA158" s="340">
        <f t="shared" si="9"/>
        <v>0</v>
      </c>
    </row>
    <row r="159" spans="1:34" s="250" customFormat="1">
      <c r="A159" s="250" t="s">
        <v>430</v>
      </c>
      <c r="B159" s="250" t="s">
        <v>2008</v>
      </c>
      <c r="C159" s="250" t="s">
        <v>1933</v>
      </c>
      <c r="D159" s="251" t="s">
        <v>1979</v>
      </c>
      <c r="E159" s="251" t="s">
        <v>1984</v>
      </c>
      <c r="F159" s="250">
        <v>2.5000000000000001E-2</v>
      </c>
      <c r="G159" s="250">
        <v>0</v>
      </c>
      <c r="H159" s="250">
        <v>3</v>
      </c>
      <c r="I159" s="252" t="s">
        <v>260</v>
      </c>
      <c r="J159" s="251" t="s">
        <v>247</v>
      </c>
      <c r="T159" s="292" t="s">
        <v>1756</v>
      </c>
      <c r="U159" s="283" t="s">
        <v>2355</v>
      </c>
      <c r="V159" s="283" t="s">
        <v>1758</v>
      </c>
      <c r="W159" s="293" t="str">
        <f t="shared" si="8"/>
        <v>H17</v>
      </c>
      <c r="X159" s="284" t="str">
        <f t="shared" si="8"/>
        <v>CBE</v>
      </c>
      <c r="Y159" s="271" t="s">
        <v>2261</v>
      </c>
      <c r="Z159" s="283">
        <f t="shared" si="9"/>
        <v>2.5000000000000001E-2</v>
      </c>
      <c r="AA159" s="340">
        <f t="shared" si="9"/>
        <v>0</v>
      </c>
    </row>
    <row r="160" spans="1:34" s="250" customFormat="1">
      <c r="A160" s="250" t="s">
        <v>431</v>
      </c>
      <c r="B160" s="250" t="s">
        <v>2008</v>
      </c>
      <c r="C160" s="250" t="s">
        <v>1933</v>
      </c>
      <c r="D160" s="251" t="s">
        <v>1979</v>
      </c>
      <c r="E160" s="251" t="s">
        <v>1985</v>
      </c>
      <c r="F160" s="250">
        <v>1.2500000000000001E-2</v>
      </c>
      <c r="G160" s="250">
        <v>0</v>
      </c>
      <c r="H160" s="250">
        <v>3</v>
      </c>
      <c r="I160" s="252" t="s">
        <v>239</v>
      </c>
      <c r="J160" s="251" t="s">
        <v>2136</v>
      </c>
      <c r="T160" s="292" t="s">
        <v>1756</v>
      </c>
      <c r="U160" s="283" t="s">
        <v>2355</v>
      </c>
      <c r="V160" s="283" t="s">
        <v>1758</v>
      </c>
      <c r="W160" s="293" t="str">
        <f t="shared" si="8"/>
        <v>H17</v>
      </c>
      <c r="X160" s="284" t="str">
        <f t="shared" si="8"/>
        <v>DAE</v>
      </c>
      <c r="Y160" s="271" t="s">
        <v>2262</v>
      </c>
      <c r="Z160" s="283">
        <f t="shared" si="9"/>
        <v>1.2500000000000001E-2</v>
      </c>
      <c r="AA160" s="340">
        <f t="shared" si="9"/>
        <v>0</v>
      </c>
      <c r="AC160" s="74"/>
      <c r="AD160" s="74"/>
      <c r="AE160" s="74"/>
      <c r="AF160" s="74"/>
      <c r="AG160" s="74"/>
      <c r="AH160" s="74"/>
    </row>
    <row r="161" spans="1:34" s="250" customFormat="1">
      <c r="A161" s="250" t="s">
        <v>432</v>
      </c>
      <c r="B161" s="250" t="s">
        <v>2008</v>
      </c>
      <c r="C161" s="250" t="s">
        <v>1933</v>
      </c>
      <c r="D161" s="251" t="s">
        <v>1979</v>
      </c>
      <c r="E161" s="251" t="s">
        <v>1986</v>
      </c>
      <c r="F161" s="250">
        <v>1.2500000000000001E-2</v>
      </c>
      <c r="G161" s="250">
        <v>0</v>
      </c>
      <c r="H161" s="250">
        <v>3</v>
      </c>
      <c r="I161" s="252" t="s">
        <v>263</v>
      </c>
      <c r="J161" s="251" t="s">
        <v>250</v>
      </c>
      <c r="T161" s="292" t="s">
        <v>1756</v>
      </c>
      <c r="U161" s="283" t="s">
        <v>2355</v>
      </c>
      <c r="V161" s="283" t="s">
        <v>1758</v>
      </c>
      <c r="W161" s="293" t="str">
        <f t="shared" si="8"/>
        <v>H17</v>
      </c>
      <c r="X161" s="284" t="str">
        <f t="shared" si="8"/>
        <v>DBE</v>
      </c>
      <c r="Y161" s="271" t="s">
        <v>2262</v>
      </c>
      <c r="Z161" s="283">
        <f t="shared" si="9"/>
        <v>1.2500000000000001E-2</v>
      </c>
      <c r="AA161" s="340">
        <f t="shared" si="9"/>
        <v>0</v>
      </c>
      <c r="AC161" s="74"/>
      <c r="AD161" s="74"/>
      <c r="AE161" s="74"/>
      <c r="AF161" s="74"/>
      <c r="AG161" s="74"/>
      <c r="AH161" s="74"/>
    </row>
    <row r="162" spans="1:34">
      <c r="A162" s="74" t="s">
        <v>433</v>
      </c>
      <c r="B162" s="74" t="s">
        <v>2008</v>
      </c>
      <c r="C162" s="74" t="s">
        <v>1933</v>
      </c>
      <c r="D162" s="74" t="s">
        <v>1979</v>
      </c>
      <c r="E162" s="74" t="s">
        <v>265</v>
      </c>
      <c r="F162" s="74">
        <v>4.4999999999999998E-2</v>
      </c>
      <c r="G162" s="74">
        <v>0</v>
      </c>
      <c r="H162" s="74">
        <v>3</v>
      </c>
      <c r="I162" s="13" t="s">
        <v>239</v>
      </c>
      <c r="J162" s="74" t="s">
        <v>2134</v>
      </c>
      <c r="T162" s="292" t="s">
        <v>1756</v>
      </c>
      <c r="U162" s="294" t="s">
        <v>2355</v>
      </c>
      <c r="V162" s="285" t="s">
        <v>1764</v>
      </c>
      <c r="W162" s="283" t="s">
        <v>1979</v>
      </c>
      <c r="X162" s="284" t="s">
        <v>2348</v>
      </c>
      <c r="Y162" s="271" t="s">
        <v>2398</v>
      </c>
      <c r="Z162" s="283">
        <v>4.4999999999999998E-2</v>
      </c>
      <c r="AA162" s="340">
        <v>0</v>
      </c>
    </row>
    <row r="163" spans="1:34">
      <c r="A163" s="74" t="s">
        <v>434</v>
      </c>
      <c r="B163" s="74" t="s">
        <v>2008</v>
      </c>
      <c r="C163" s="74" t="s">
        <v>1933</v>
      </c>
      <c r="D163" s="74" t="s">
        <v>1979</v>
      </c>
      <c r="E163" s="74" t="s">
        <v>267</v>
      </c>
      <c r="F163" s="74">
        <v>4.4999999999999998E-2</v>
      </c>
      <c r="G163" s="74">
        <v>0</v>
      </c>
      <c r="H163" s="74">
        <v>3</v>
      </c>
      <c r="I163" s="13" t="s">
        <v>232</v>
      </c>
      <c r="J163" s="74" t="s">
        <v>244</v>
      </c>
      <c r="T163" s="292" t="s">
        <v>1756</v>
      </c>
      <c r="U163" s="283" t="s">
        <v>2355</v>
      </c>
      <c r="V163" s="283" t="s">
        <v>1759</v>
      </c>
      <c r="W163" s="283" t="s">
        <v>1979</v>
      </c>
      <c r="X163" s="284" t="s">
        <v>2349</v>
      </c>
      <c r="Y163" s="271" t="s">
        <v>2398</v>
      </c>
      <c r="Z163" s="283">
        <v>4.4999999999999998E-2</v>
      </c>
      <c r="AA163" s="340">
        <v>0</v>
      </c>
    </row>
    <row r="164" spans="1:34">
      <c r="A164" s="74" t="s">
        <v>435</v>
      </c>
      <c r="B164" s="74" t="s">
        <v>2008</v>
      </c>
      <c r="C164" s="74" t="s">
        <v>1933</v>
      </c>
      <c r="D164" s="74" t="s">
        <v>2382</v>
      </c>
      <c r="E164" s="74" t="s">
        <v>269</v>
      </c>
      <c r="F164" s="74">
        <v>0.05</v>
      </c>
      <c r="G164" s="74">
        <v>0</v>
      </c>
      <c r="H164" s="74">
        <v>3</v>
      </c>
      <c r="I164" s="13" t="s">
        <v>232</v>
      </c>
      <c r="T164" s="292" t="s">
        <v>1756</v>
      </c>
      <c r="U164" s="283" t="s">
        <v>2355</v>
      </c>
      <c r="V164" s="283" t="s">
        <v>1759</v>
      </c>
      <c r="W164" s="293" t="str">
        <f t="shared" ref="W164:X235" si="10">D164</f>
        <v>H21</v>
      </c>
      <c r="X164" s="284" t="str">
        <f t="shared" si="10"/>
        <v>LBE</v>
      </c>
      <c r="Y164" s="271"/>
      <c r="Z164" s="283">
        <f t="shared" si="9"/>
        <v>0.05</v>
      </c>
      <c r="AA164" s="340">
        <f t="shared" si="9"/>
        <v>0</v>
      </c>
    </row>
    <row r="165" spans="1:34">
      <c r="A165" s="74" t="s">
        <v>436</v>
      </c>
      <c r="B165" s="74" t="s">
        <v>2008</v>
      </c>
      <c r="C165" s="74" t="s">
        <v>1933</v>
      </c>
      <c r="D165" s="74" t="s">
        <v>2382</v>
      </c>
      <c r="E165" s="74" t="s">
        <v>271</v>
      </c>
      <c r="F165" s="74">
        <v>2.5000000000000001E-2</v>
      </c>
      <c r="G165" s="74">
        <v>0</v>
      </c>
      <c r="H165" s="74">
        <v>3</v>
      </c>
      <c r="I165" s="13" t="s">
        <v>239</v>
      </c>
      <c r="J165" s="74" t="s">
        <v>240</v>
      </c>
      <c r="T165" s="292" t="s">
        <v>1756</v>
      </c>
      <c r="U165" s="283" t="s">
        <v>2355</v>
      </c>
      <c r="V165" s="283" t="s">
        <v>1759</v>
      </c>
      <c r="W165" s="293" t="str">
        <f t="shared" si="10"/>
        <v>H21</v>
      </c>
      <c r="X165" s="284" t="str">
        <f t="shared" si="10"/>
        <v>LAE</v>
      </c>
      <c r="Y165" s="271"/>
      <c r="Z165" s="283">
        <f t="shared" si="9"/>
        <v>2.5000000000000001E-2</v>
      </c>
      <c r="AA165" s="340">
        <f t="shared" si="9"/>
        <v>0</v>
      </c>
    </row>
    <row r="166" spans="1:34">
      <c r="A166" s="74" t="s">
        <v>437</v>
      </c>
      <c r="B166" s="74" t="s">
        <v>2008</v>
      </c>
      <c r="C166" s="74" t="s">
        <v>1933</v>
      </c>
      <c r="D166" s="74" t="s">
        <v>2382</v>
      </c>
      <c r="E166" s="74" t="s">
        <v>273</v>
      </c>
      <c r="F166" s="74">
        <v>2.5000000000000001E-2</v>
      </c>
      <c r="G166" s="74">
        <v>0</v>
      </c>
      <c r="H166" s="74">
        <v>3</v>
      </c>
      <c r="I166" s="13" t="s">
        <v>260</v>
      </c>
      <c r="J166" s="74" t="s">
        <v>2261</v>
      </c>
      <c r="T166" s="292" t="s">
        <v>1756</v>
      </c>
      <c r="U166" s="283" t="s">
        <v>2355</v>
      </c>
      <c r="V166" s="283" t="s">
        <v>1759</v>
      </c>
      <c r="W166" s="293" t="str">
        <f t="shared" si="10"/>
        <v>H21</v>
      </c>
      <c r="X166" s="284" t="str">
        <f t="shared" si="10"/>
        <v>MBE</v>
      </c>
      <c r="Y166" s="271" t="s">
        <v>2261</v>
      </c>
      <c r="Z166" s="283">
        <f t="shared" si="9"/>
        <v>2.5000000000000001E-2</v>
      </c>
      <c r="AA166" s="340">
        <f t="shared" si="9"/>
        <v>0</v>
      </c>
    </row>
    <row r="167" spans="1:34">
      <c r="A167" s="74" t="s">
        <v>438</v>
      </c>
      <c r="B167" s="74" t="s">
        <v>2008</v>
      </c>
      <c r="C167" s="74" t="s">
        <v>1933</v>
      </c>
      <c r="D167" s="74" t="s">
        <v>2382</v>
      </c>
      <c r="E167" s="74" t="s">
        <v>275</v>
      </c>
      <c r="F167" s="74">
        <v>2.5000000000000001E-2</v>
      </c>
      <c r="G167" s="74">
        <v>0</v>
      </c>
      <c r="H167" s="74">
        <v>3</v>
      </c>
      <c r="I167" s="13" t="s">
        <v>239</v>
      </c>
      <c r="J167" s="74" t="s">
        <v>2385</v>
      </c>
      <c r="T167" s="292" t="s">
        <v>1756</v>
      </c>
      <c r="U167" s="283" t="s">
        <v>2355</v>
      </c>
      <c r="V167" s="283" t="s">
        <v>1759</v>
      </c>
      <c r="W167" s="293" t="str">
        <f t="shared" si="10"/>
        <v>H21</v>
      </c>
      <c r="X167" s="284" t="str">
        <f t="shared" si="10"/>
        <v>MAE</v>
      </c>
      <c r="Y167" s="271" t="s">
        <v>2261</v>
      </c>
      <c r="Z167" s="283">
        <f t="shared" si="9"/>
        <v>2.5000000000000001E-2</v>
      </c>
      <c r="AA167" s="340">
        <f t="shared" si="9"/>
        <v>0</v>
      </c>
    </row>
    <row r="168" spans="1:34">
      <c r="A168" s="74" t="s">
        <v>439</v>
      </c>
      <c r="B168" s="74" t="s">
        <v>2008</v>
      </c>
      <c r="C168" s="74" t="s">
        <v>1933</v>
      </c>
      <c r="D168" s="74" t="s">
        <v>2382</v>
      </c>
      <c r="E168" s="74" t="s">
        <v>277</v>
      </c>
      <c r="F168" s="74">
        <v>1.2500000000000001E-2</v>
      </c>
      <c r="G168" s="74">
        <v>0</v>
      </c>
      <c r="H168" s="74">
        <v>3</v>
      </c>
      <c r="I168" s="13" t="s">
        <v>263</v>
      </c>
      <c r="J168" s="74" t="s">
        <v>2262</v>
      </c>
      <c r="T168" s="292" t="s">
        <v>1756</v>
      </c>
      <c r="U168" s="283" t="s">
        <v>2355</v>
      </c>
      <c r="V168" s="283" t="s">
        <v>1759</v>
      </c>
      <c r="W168" s="293" t="str">
        <f t="shared" si="10"/>
        <v>H21</v>
      </c>
      <c r="X168" s="284" t="str">
        <f t="shared" si="10"/>
        <v>RBE</v>
      </c>
      <c r="Y168" s="271" t="s">
        <v>2262</v>
      </c>
      <c r="Z168" s="283">
        <f t="shared" si="9"/>
        <v>1.2500000000000001E-2</v>
      </c>
      <c r="AA168" s="340">
        <f t="shared" si="9"/>
        <v>0</v>
      </c>
    </row>
    <row r="169" spans="1:34">
      <c r="A169" s="74" t="s">
        <v>440</v>
      </c>
      <c r="B169" s="74" t="s">
        <v>2008</v>
      </c>
      <c r="C169" s="74" t="s">
        <v>1933</v>
      </c>
      <c r="D169" s="74" t="s">
        <v>2382</v>
      </c>
      <c r="E169" s="74" t="s">
        <v>279</v>
      </c>
      <c r="F169" s="74">
        <v>1.2500000000000001E-2</v>
      </c>
      <c r="G169" s="74">
        <v>0</v>
      </c>
      <c r="H169" s="74">
        <v>3</v>
      </c>
      <c r="I169" s="13" t="s">
        <v>239</v>
      </c>
      <c r="J169" s="74" t="s">
        <v>2386</v>
      </c>
      <c r="T169" s="292" t="s">
        <v>1756</v>
      </c>
      <c r="U169" s="283" t="s">
        <v>2355</v>
      </c>
      <c r="V169" s="283" t="s">
        <v>1759</v>
      </c>
      <c r="W169" s="293" t="str">
        <f t="shared" si="10"/>
        <v>H21</v>
      </c>
      <c r="X169" s="284" t="str">
        <f t="shared" si="10"/>
        <v>RAE</v>
      </c>
      <c r="Y169" s="271" t="s">
        <v>2262</v>
      </c>
      <c r="Z169" s="283">
        <f t="shared" si="9"/>
        <v>1.2500000000000001E-2</v>
      </c>
      <c r="AA169" s="340">
        <f t="shared" si="9"/>
        <v>0</v>
      </c>
    </row>
    <row r="170" spans="1:34">
      <c r="A170" s="74" t="s">
        <v>441</v>
      </c>
      <c r="B170" s="74" t="s">
        <v>2008</v>
      </c>
      <c r="C170" s="74" t="s">
        <v>1933</v>
      </c>
      <c r="D170" s="74" t="s">
        <v>2382</v>
      </c>
      <c r="E170" s="74" t="s">
        <v>281</v>
      </c>
      <c r="F170" s="74">
        <v>4.4999999999999998E-2</v>
      </c>
      <c r="G170" s="74">
        <v>0</v>
      </c>
      <c r="H170" s="74">
        <v>3</v>
      </c>
      <c r="I170" s="13" t="s">
        <v>232</v>
      </c>
      <c r="J170" s="74" t="s">
        <v>244</v>
      </c>
      <c r="T170" s="292" t="s">
        <v>1760</v>
      </c>
      <c r="U170" s="283" t="s">
        <v>1051</v>
      </c>
      <c r="V170" s="283" t="s">
        <v>2397</v>
      </c>
      <c r="W170" s="293" t="s">
        <v>2382</v>
      </c>
      <c r="X170" s="284" t="s">
        <v>281</v>
      </c>
      <c r="Y170" s="271" t="s">
        <v>1762</v>
      </c>
      <c r="Z170" s="283">
        <v>4.4999999999999998E-2</v>
      </c>
      <c r="AA170" s="340">
        <v>0</v>
      </c>
    </row>
    <row r="171" spans="1:34">
      <c r="A171" s="74" t="s">
        <v>442</v>
      </c>
      <c r="B171" s="74" t="s">
        <v>2008</v>
      </c>
      <c r="C171" s="74" t="s">
        <v>1933</v>
      </c>
      <c r="D171" s="74" t="s">
        <v>2382</v>
      </c>
      <c r="E171" s="74" t="s">
        <v>283</v>
      </c>
      <c r="F171" s="74">
        <v>4.4999999999999998E-2</v>
      </c>
      <c r="G171" s="74">
        <v>0</v>
      </c>
      <c r="H171" s="74">
        <v>3</v>
      </c>
      <c r="I171" s="13" t="s">
        <v>239</v>
      </c>
      <c r="J171" s="74" t="s">
        <v>2134</v>
      </c>
      <c r="T171" s="292" t="s">
        <v>1760</v>
      </c>
      <c r="U171" s="283" t="s">
        <v>1051</v>
      </c>
      <c r="V171" s="283" t="s">
        <v>2397</v>
      </c>
      <c r="W171" s="293" t="s">
        <v>2382</v>
      </c>
      <c r="X171" s="284" t="s">
        <v>283</v>
      </c>
      <c r="Y171" s="271" t="s">
        <v>1762</v>
      </c>
      <c r="Z171" s="283">
        <v>4.4999999999999998E-2</v>
      </c>
      <c r="AA171" s="340">
        <v>0</v>
      </c>
    </row>
    <row r="172" spans="1:34">
      <c r="A172" s="74" t="s">
        <v>443</v>
      </c>
      <c r="B172" s="74" t="s">
        <v>2009</v>
      </c>
      <c r="C172" s="74" t="s">
        <v>1934</v>
      </c>
      <c r="D172" s="74" t="s">
        <v>2456</v>
      </c>
      <c r="E172" s="74" t="s">
        <v>2457</v>
      </c>
      <c r="F172" s="74">
        <v>2.1800000000000002</v>
      </c>
      <c r="G172" s="74">
        <v>0</v>
      </c>
      <c r="H172" s="74">
        <v>3</v>
      </c>
      <c r="I172" s="13" t="s">
        <v>232</v>
      </c>
      <c r="T172" s="292" t="s">
        <v>1756</v>
      </c>
      <c r="U172" s="283" t="s">
        <v>2355</v>
      </c>
      <c r="V172" s="283" t="s">
        <v>2350</v>
      </c>
      <c r="W172" s="293" t="str">
        <f t="shared" si="10"/>
        <v>S50前</v>
      </c>
      <c r="X172" s="284" t="str">
        <f t="shared" si="10"/>
        <v>-</v>
      </c>
      <c r="Y172" s="271"/>
      <c r="Z172" s="283">
        <f t="shared" si="9"/>
        <v>2.1800000000000002</v>
      </c>
      <c r="AA172" s="340">
        <f t="shared" si="9"/>
        <v>0</v>
      </c>
    </row>
    <row r="173" spans="1:34">
      <c r="A173" s="74" t="s">
        <v>444</v>
      </c>
      <c r="B173" s="74" t="s">
        <v>2009</v>
      </c>
      <c r="C173" s="74" t="s">
        <v>1934</v>
      </c>
      <c r="D173" s="74" t="s">
        <v>2459</v>
      </c>
      <c r="E173" s="74" t="s">
        <v>2460</v>
      </c>
      <c r="F173" s="74">
        <v>1.8</v>
      </c>
      <c r="G173" s="74">
        <v>0</v>
      </c>
      <c r="H173" s="74">
        <v>3</v>
      </c>
      <c r="I173" s="13" t="s">
        <v>232</v>
      </c>
      <c r="T173" s="292" t="s">
        <v>1756</v>
      </c>
      <c r="U173" s="283" t="s">
        <v>2355</v>
      </c>
      <c r="V173" s="283" t="s">
        <v>2350</v>
      </c>
      <c r="W173" s="293" t="str">
        <f t="shared" si="10"/>
        <v>S50</v>
      </c>
      <c r="X173" s="284" t="str">
        <f t="shared" si="10"/>
        <v>H</v>
      </c>
      <c r="Y173" s="271"/>
      <c r="Z173" s="283">
        <f t="shared" si="9"/>
        <v>1.8</v>
      </c>
      <c r="AA173" s="340">
        <f t="shared" si="9"/>
        <v>0</v>
      </c>
    </row>
    <row r="174" spans="1:34">
      <c r="A174" s="74" t="s">
        <v>445</v>
      </c>
      <c r="B174" s="74" t="s">
        <v>2009</v>
      </c>
      <c r="C174" s="74" t="s">
        <v>1934</v>
      </c>
      <c r="D174" s="74" t="s">
        <v>0</v>
      </c>
      <c r="E174" s="74" t="s">
        <v>7</v>
      </c>
      <c r="F174" s="74">
        <v>1.2</v>
      </c>
      <c r="G174" s="74">
        <v>0</v>
      </c>
      <c r="H174" s="74">
        <v>3</v>
      </c>
      <c r="I174" s="13" t="s">
        <v>232</v>
      </c>
      <c r="T174" s="292" t="s">
        <v>1756</v>
      </c>
      <c r="U174" s="283" t="s">
        <v>2355</v>
      </c>
      <c r="V174" s="283" t="s">
        <v>2350</v>
      </c>
      <c r="W174" s="293" t="str">
        <f t="shared" si="10"/>
        <v>S54</v>
      </c>
      <c r="X174" s="284" t="str">
        <f t="shared" si="10"/>
        <v>J</v>
      </c>
      <c r="Y174" s="271"/>
      <c r="Z174" s="283">
        <f t="shared" si="9"/>
        <v>1.2</v>
      </c>
      <c r="AA174" s="340">
        <f t="shared" si="9"/>
        <v>0</v>
      </c>
    </row>
    <row r="175" spans="1:34">
      <c r="A175" s="74" t="s">
        <v>446</v>
      </c>
      <c r="B175" s="74" t="s">
        <v>2009</v>
      </c>
      <c r="C175" s="74" t="s">
        <v>1934</v>
      </c>
      <c r="D175" s="74" t="s">
        <v>9</v>
      </c>
      <c r="E175" s="74" t="s">
        <v>10</v>
      </c>
      <c r="F175" s="74">
        <v>0.9</v>
      </c>
      <c r="G175" s="74">
        <v>0</v>
      </c>
      <c r="H175" s="74">
        <v>3</v>
      </c>
      <c r="I175" s="13" t="s">
        <v>232</v>
      </c>
      <c r="T175" s="292" t="s">
        <v>1756</v>
      </c>
      <c r="U175" s="283" t="s">
        <v>2355</v>
      </c>
      <c r="V175" s="283" t="s">
        <v>2350</v>
      </c>
      <c r="W175" s="293" t="str">
        <f t="shared" si="10"/>
        <v>S56</v>
      </c>
      <c r="X175" s="284" t="str">
        <f t="shared" si="10"/>
        <v>L</v>
      </c>
      <c r="Y175" s="271"/>
      <c r="Z175" s="283">
        <f t="shared" si="9"/>
        <v>0.9</v>
      </c>
      <c r="AA175" s="340">
        <f t="shared" si="9"/>
        <v>0</v>
      </c>
    </row>
    <row r="176" spans="1:34">
      <c r="A176" s="74" t="s">
        <v>447</v>
      </c>
      <c r="B176" s="74" t="s">
        <v>2009</v>
      </c>
      <c r="C176" s="74" t="s">
        <v>1934</v>
      </c>
      <c r="D176" s="74" t="s">
        <v>18</v>
      </c>
      <c r="E176" s="74" t="s">
        <v>19</v>
      </c>
      <c r="F176" s="74">
        <v>0.7</v>
      </c>
      <c r="G176" s="74">
        <v>0</v>
      </c>
      <c r="H176" s="74">
        <v>3</v>
      </c>
      <c r="I176" s="13" t="s">
        <v>232</v>
      </c>
      <c r="T176" s="292" t="s">
        <v>1756</v>
      </c>
      <c r="U176" s="283" t="s">
        <v>2355</v>
      </c>
      <c r="V176" s="283" t="s">
        <v>2350</v>
      </c>
      <c r="W176" s="293" t="str">
        <f t="shared" si="10"/>
        <v>H元</v>
      </c>
      <c r="X176" s="284" t="str">
        <f t="shared" si="10"/>
        <v>T</v>
      </c>
      <c r="Y176" s="271"/>
      <c r="Z176" s="283">
        <f t="shared" si="9"/>
        <v>0.7</v>
      </c>
      <c r="AA176" s="340">
        <f t="shared" si="9"/>
        <v>0</v>
      </c>
    </row>
    <row r="177" spans="1:34">
      <c r="A177" s="74" t="s">
        <v>448</v>
      </c>
      <c r="B177" s="74" t="s">
        <v>2009</v>
      </c>
      <c r="C177" s="74" t="s">
        <v>1934</v>
      </c>
      <c r="D177" s="74" t="s">
        <v>1995</v>
      </c>
      <c r="E177" s="74" t="s">
        <v>49</v>
      </c>
      <c r="F177" s="74">
        <v>0.4</v>
      </c>
      <c r="G177" s="74">
        <v>0</v>
      </c>
      <c r="H177" s="74">
        <v>3</v>
      </c>
      <c r="I177" s="13" t="s">
        <v>232</v>
      </c>
      <c r="T177" s="292" t="s">
        <v>1756</v>
      </c>
      <c r="U177" s="283" t="s">
        <v>2355</v>
      </c>
      <c r="V177" s="283" t="s">
        <v>2350</v>
      </c>
      <c r="W177" s="293" t="str">
        <f t="shared" si="10"/>
        <v>H6,H10</v>
      </c>
      <c r="X177" s="284" t="str">
        <f t="shared" si="10"/>
        <v>GA</v>
      </c>
      <c r="Y177" s="271"/>
      <c r="Z177" s="283">
        <f t="shared" si="9"/>
        <v>0.4</v>
      </c>
      <c r="AA177" s="340">
        <f t="shared" si="9"/>
        <v>0</v>
      </c>
    </row>
    <row r="178" spans="1:34">
      <c r="A178" s="74" t="s">
        <v>449</v>
      </c>
      <c r="B178" s="74" t="s">
        <v>2009</v>
      </c>
      <c r="C178" s="74" t="s">
        <v>1934</v>
      </c>
      <c r="D178" s="74" t="s">
        <v>1995</v>
      </c>
      <c r="E178" s="74" t="s">
        <v>51</v>
      </c>
      <c r="F178" s="74">
        <v>0.4</v>
      </c>
      <c r="G178" s="74">
        <v>0</v>
      </c>
      <c r="H178" s="74">
        <v>3</v>
      </c>
      <c r="I178" s="13" t="s">
        <v>232</v>
      </c>
      <c r="T178" s="292" t="s">
        <v>1756</v>
      </c>
      <c r="U178" s="283" t="s">
        <v>2355</v>
      </c>
      <c r="V178" s="283" t="s">
        <v>2350</v>
      </c>
      <c r="W178" s="293" t="str">
        <f t="shared" si="10"/>
        <v>H6,H10</v>
      </c>
      <c r="X178" s="284" t="str">
        <f t="shared" si="10"/>
        <v>GC</v>
      </c>
      <c r="Y178" s="271"/>
      <c r="Z178" s="283">
        <f t="shared" si="9"/>
        <v>0.4</v>
      </c>
      <c r="AA178" s="340">
        <f t="shared" si="9"/>
        <v>0</v>
      </c>
    </row>
    <row r="179" spans="1:34">
      <c r="A179" s="74" t="s">
        <v>450</v>
      </c>
      <c r="B179" s="74" t="s">
        <v>2009</v>
      </c>
      <c r="C179" s="74" t="s">
        <v>1934</v>
      </c>
      <c r="D179" s="74" t="s">
        <v>1995</v>
      </c>
      <c r="E179" s="74" t="s">
        <v>59</v>
      </c>
      <c r="F179" s="74">
        <v>0.2</v>
      </c>
      <c r="G179" s="74">
        <v>0</v>
      </c>
      <c r="H179" s="74">
        <v>3</v>
      </c>
      <c r="I179" s="13" t="s">
        <v>239</v>
      </c>
      <c r="J179" s="74" t="s">
        <v>240</v>
      </c>
      <c r="T179" s="292" t="s">
        <v>1756</v>
      </c>
      <c r="U179" s="283" t="s">
        <v>2355</v>
      </c>
      <c r="V179" s="283" t="s">
        <v>2350</v>
      </c>
      <c r="W179" s="293" t="str">
        <f t="shared" si="10"/>
        <v>H6,H10</v>
      </c>
      <c r="X179" s="284" t="str">
        <f t="shared" si="10"/>
        <v>HG</v>
      </c>
      <c r="Y179" s="271"/>
      <c r="Z179" s="283">
        <f t="shared" si="9"/>
        <v>0.2</v>
      </c>
      <c r="AA179" s="340">
        <f t="shared" si="9"/>
        <v>0</v>
      </c>
    </row>
    <row r="180" spans="1:34">
      <c r="A180" s="74" t="s">
        <v>451</v>
      </c>
      <c r="B180" s="74" t="s">
        <v>2009</v>
      </c>
      <c r="C180" s="74" t="s">
        <v>1934</v>
      </c>
      <c r="D180" s="74" t="s">
        <v>21</v>
      </c>
      <c r="E180" s="74" t="s">
        <v>57</v>
      </c>
      <c r="F180" s="268">
        <v>0.13</v>
      </c>
      <c r="G180" s="74">
        <v>0</v>
      </c>
      <c r="H180" s="74">
        <v>3</v>
      </c>
      <c r="I180" s="13" t="s">
        <v>232</v>
      </c>
      <c r="T180" s="292" t="s">
        <v>1756</v>
      </c>
      <c r="U180" s="283" t="s">
        <v>2355</v>
      </c>
      <c r="V180" s="283" t="s">
        <v>2350</v>
      </c>
      <c r="W180" s="293" t="str">
        <f t="shared" si="10"/>
        <v>H13</v>
      </c>
      <c r="X180" s="284" t="str">
        <f t="shared" si="10"/>
        <v>GK</v>
      </c>
      <c r="Y180" s="271"/>
      <c r="Z180" s="283">
        <f t="shared" si="9"/>
        <v>0.13</v>
      </c>
      <c r="AA180" s="340">
        <f t="shared" si="9"/>
        <v>0</v>
      </c>
    </row>
    <row r="181" spans="1:34">
      <c r="A181" s="74" t="s">
        <v>452</v>
      </c>
      <c r="B181" s="74" t="s">
        <v>2009</v>
      </c>
      <c r="C181" s="74" t="s">
        <v>1934</v>
      </c>
      <c r="D181" s="74" t="s">
        <v>21</v>
      </c>
      <c r="E181" s="74" t="s">
        <v>68</v>
      </c>
      <c r="F181" s="268">
        <v>6.5000000000000002E-2</v>
      </c>
      <c r="G181" s="74">
        <v>0</v>
      </c>
      <c r="H181" s="74">
        <v>3</v>
      </c>
      <c r="I181" s="13" t="s">
        <v>239</v>
      </c>
      <c r="J181" s="74" t="s">
        <v>240</v>
      </c>
      <c r="T181" s="292" t="s">
        <v>1756</v>
      </c>
      <c r="U181" s="283" t="s">
        <v>2355</v>
      </c>
      <c r="V181" s="283" t="s">
        <v>2350</v>
      </c>
      <c r="W181" s="293" t="str">
        <f t="shared" si="10"/>
        <v>H13</v>
      </c>
      <c r="X181" s="284" t="str">
        <f t="shared" si="10"/>
        <v>HQ</v>
      </c>
      <c r="Y181" s="271"/>
      <c r="Z181" s="283">
        <f t="shared" si="9"/>
        <v>6.5000000000000002E-2</v>
      </c>
      <c r="AA181" s="340">
        <f t="shared" si="9"/>
        <v>0</v>
      </c>
    </row>
    <row r="182" spans="1:34">
      <c r="A182" s="74" t="s">
        <v>453</v>
      </c>
      <c r="B182" s="74" t="s">
        <v>2009</v>
      </c>
      <c r="C182" s="74" t="s">
        <v>1934</v>
      </c>
      <c r="D182" s="74" t="s">
        <v>21</v>
      </c>
      <c r="E182" s="74" t="s">
        <v>81</v>
      </c>
      <c r="F182" s="74">
        <v>9.7500000000000003E-2</v>
      </c>
      <c r="G182" s="74">
        <v>0</v>
      </c>
      <c r="H182" s="74">
        <v>3</v>
      </c>
      <c r="I182" s="13" t="s">
        <v>232</v>
      </c>
      <c r="J182" s="74" t="s">
        <v>244</v>
      </c>
      <c r="T182" s="292" t="s">
        <v>1756</v>
      </c>
      <c r="U182" s="283" t="s">
        <v>2355</v>
      </c>
      <c r="V182" s="283" t="s">
        <v>2350</v>
      </c>
      <c r="W182" s="293" t="str">
        <f t="shared" si="10"/>
        <v>H13</v>
      </c>
      <c r="X182" s="284" t="str">
        <f t="shared" si="10"/>
        <v>TC</v>
      </c>
      <c r="Y182" s="271" t="s">
        <v>1765</v>
      </c>
      <c r="Z182" s="283">
        <f t="shared" si="9"/>
        <v>9.7500000000000003E-2</v>
      </c>
      <c r="AA182" s="340">
        <f t="shared" si="9"/>
        <v>0</v>
      </c>
    </row>
    <row r="183" spans="1:34">
      <c r="A183" s="74" t="s">
        <v>454</v>
      </c>
      <c r="B183" s="74" t="s">
        <v>2009</v>
      </c>
      <c r="C183" s="74" t="s">
        <v>1934</v>
      </c>
      <c r="D183" s="74" t="s">
        <v>21</v>
      </c>
      <c r="E183" s="74" t="s">
        <v>95</v>
      </c>
      <c r="F183" s="74">
        <v>9.7500000000000003E-2</v>
      </c>
      <c r="G183" s="74">
        <v>0</v>
      </c>
      <c r="H183" s="74">
        <v>3</v>
      </c>
      <c r="I183" s="13" t="s">
        <v>239</v>
      </c>
      <c r="J183" s="74" t="s">
        <v>2134</v>
      </c>
      <c r="T183" s="292" t="s">
        <v>1756</v>
      </c>
      <c r="U183" s="283" t="s">
        <v>2355</v>
      </c>
      <c r="V183" s="283" t="s">
        <v>2350</v>
      </c>
      <c r="W183" s="293" t="str">
        <f t="shared" si="10"/>
        <v>H13</v>
      </c>
      <c r="X183" s="284" t="str">
        <f t="shared" si="10"/>
        <v>XC</v>
      </c>
      <c r="Y183" s="271" t="s">
        <v>1765</v>
      </c>
      <c r="Z183" s="283">
        <f t="shared" si="9"/>
        <v>9.7500000000000003E-2</v>
      </c>
      <c r="AA183" s="340">
        <f t="shared" si="9"/>
        <v>0</v>
      </c>
    </row>
    <row r="184" spans="1:34">
      <c r="A184" s="74" t="s">
        <v>455</v>
      </c>
      <c r="B184" s="74" t="s">
        <v>2009</v>
      </c>
      <c r="C184" s="74" t="s">
        <v>1934</v>
      </c>
      <c r="D184" s="74" t="s">
        <v>21</v>
      </c>
      <c r="E184" s="74" t="s">
        <v>72</v>
      </c>
      <c r="F184" s="74">
        <v>6.5000000000000002E-2</v>
      </c>
      <c r="G184" s="74">
        <v>0</v>
      </c>
      <c r="H184" s="74">
        <v>3</v>
      </c>
      <c r="I184" s="13" t="s">
        <v>232</v>
      </c>
      <c r="J184" s="74" t="s">
        <v>247</v>
      </c>
      <c r="T184" s="292" t="s">
        <v>1756</v>
      </c>
      <c r="U184" s="283" t="s">
        <v>2355</v>
      </c>
      <c r="V184" s="283" t="s">
        <v>2350</v>
      </c>
      <c r="W184" s="293" t="str">
        <f t="shared" si="10"/>
        <v>H13</v>
      </c>
      <c r="X184" s="284" t="str">
        <f t="shared" si="10"/>
        <v>LC</v>
      </c>
      <c r="Y184" s="271" t="s">
        <v>1766</v>
      </c>
      <c r="Z184" s="283">
        <f t="shared" si="9"/>
        <v>6.5000000000000002E-2</v>
      </c>
      <c r="AA184" s="340">
        <f t="shared" si="9"/>
        <v>0</v>
      </c>
      <c r="AC184" s="266"/>
      <c r="AD184" s="266"/>
      <c r="AE184" s="266"/>
      <c r="AF184" s="266"/>
      <c r="AG184" s="266"/>
      <c r="AH184" s="266"/>
    </row>
    <row r="185" spans="1:34">
      <c r="A185" s="74" t="s">
        <v>456</v>
      </c>
      <c r="B185" s="74" t="s">
        <v>2009</v>
      </c>
      <c r="C185" s="74" t="s">
        <v>1934</v>
      </c>
      <c r="D185" s="74" t="s">
        <v>21</v>
      </c>
      <c r="E185" s="74" t="s">
        <v>99</v>
      </c>
      <c r="F185" s="74">
        <v>6.5000000000000002E-2</v>
      </c>
      <c r="G185" s="74">
        <v>0</v>
      </c>
      <c r="H185" s="74">
        <v>3</v>
      </c>
      <c r="I185" s="13" t="s">
        <v>239</v>
      </c>
      <c r="J185" s="74" t="s">
        <v>2135</v>
      </c>
      <c r="T185" s="292" t="s">
        <v>1756</v>
      </c>
      <c r="U185" s="283" t="s">
        <v>2355</v>
      </c>
      <c r="V185" s="283" t="s">
        <v>2350</v>
      </c>
      <c r="W185" s="293" t="str">
        <f t="shared" si="10"/>
        <v>H13</v>
      </c>
      <c r="X185" s="284" t="str">
        <f t="shared" si="10"/>
        <v>YC</v>
      </c>
      <c r="Y185" s="271" t="s">
        <v>1766</v>
      </c>
      <c r="Z185" s="283">
        <f t="shared" si="9"/>
        <v>6.5000000000000002E-2</v>
      </c>
      <c r="AA185" s="340">
        <f t="shared" si="9"/>
        <v>0</v>
      </c>
      <c r="AC185" s="266"/>
      <c r="AD185" s="266"/>
      <c r="AE185" s="266"/>
      <c r="AF185" s="266"/>
      <c r="AG185" s="266"/>
      <c r="AH185" s="266"/>
    </row>
    <row r="186" spans="1:34" s="266" customFormat="1">
      <c r="A186" s="266" t="s">
        <v>457</v>
      </c>
      <c r="B186" s="266" t="s">
        <v>2009</v>
      </c>
      <c r="C186" s="266" t="s">
        <v>1934</v>
      </c>
      <c r="D186" s="266" t="s">
        <v>21</v>
      </c>
      <c r="E186" s="266" t="s">
        <v>88</v>
      </c>
      <c r="F186" s="266">
        <v>3.2500000000000001E-2</v>
      </c>
      <c r="G186" s="266">
        <v>0</v>
      </c>
      <c r="H186" s="266">
        <v>3</v>
      </c>
      <c r="I186" s="267" t="s">
        <v>232</v>
      </c>
      <c r="J186" s="266" t="s">
        <v>250</v>
      </c>
      <c r="T186" s="292" t="s">
        <v>1756</v>
      </c>
      <c r="U186" s="283" t="s">
        <v>2355</v>
      </c>
      <c r="V186" s="283" t="s">
        <v>2350</v>
      </c>
      <c r="W186" s="293" t="str">
        <f t="shared" si="10"/>
        <v>H13</v>
      </c>
      <c r="X186" s="284" t="str">
        <f t="shared" si="10"/>
        <v>UC</v>
      </c>
      <c r="Y186" s="271" t="s">
        <v>1767</v>
      </c>
      <c r="Z186" s="283">
        <f t="shared" si="9"/>
        <v>3.2500000000000001E-2</v>
      </c>
      <c r="AA186" s="340">
        <f t="shared" si="9"/>
        <v>0</v>
      </c>
      <c r="AC186" s="250"/>
      <c r="AD186" s="250"/>
      <c r="AE186" s="250"/>
      <c r="AF186" s="250"/>
      <c r="AG186" s="250"/>
      <c r="AH186" s="250"/>
    </row>
    <row r="187" spans="1:34" s="266" customFormat="1">
      <c r="A187" s="266" t="s">
        <v>458</v>
      </c>
      <c r="B187" s="266" t="s">
        <v>2009</v>
      </c>
      <c r="C187" s="266" t="s">
        <v>1934</v>
      </c>
      <c r="D187" s="266" t="s">
        <v>21</v>
      </c>
      <c r="E187" s="266" t="s">
        <v>103</v>
      </c>
      <c r="F187" s="266">
        <v>3.2500000000000001E-2</v>
      </c>
      <c r="G187" s="266">
        <v>0</v>
      </c>
      <c r="H187" s="266">
        <v>3</v>
      </c>
      <c r="I187" s="267" t="s">
        <v>239</v>
      </c>
      <c r="J187" s="266" t="s">
        <v>2136</v>
      </c>
      <c r="T187" s="292" t="s">
        <v>1756</v>
      </c>
      <c r="U187" s="283" t="s">
        <v>2355</v>
      </c>
      <c r="V187" s="283" t="s">
        <v>2350</v>
      </c>
      <c r="W187" s="293" t="str">
        <f t="shared" si="10"/>
        <v>H13</v>
      </c>
      <c r="X187" s="284" t="str">
        <f t="shared" si="10"/>
        <v>ZC</v>
      </c>
      <c r="Y187" s="271" t="s">
        <v>1767</v>
      </c>
      <c r="Z187" s="283">
        <f t="shared" si="9"/>
        <v>3.2500000000000001E-2</v>
      </c>
      <c r="AA187" s="340">
        <f t="shared" si="9"/>
        <v>0</v>
      </c>
      <c r="AC187" s="250"/>
      <c r="AD187" s="250"/>
      <c r="AE187" s="250"/>
      <c r="AF187" s="250"/>
      <c r="AG187" s="250"/>
      <c r="AH187" s="250"/>
    </row>
    <row r="188" spans="1:34" s="250" customFormat="1">
      <c r="A188" s="250" t="s">
        <v>459</v>
      </c>
      <c r="B188" s="250" t="s">
        <v>2009</v>
      </c>
      <c r="C188" s="250" t="s">
        <v>1934</v>
      </c>
      <c r="D188" s="251" t="s">
        <v>1979</v>
      </c>
      <c r="E188" s="251" t="s">
        <v>301</v>
      </c>
      <c r="F188" s="250">
        <v>7.0000000000000007E-2</v>
      </c>
      <c r="G188" s="250">
        <v>0</v>
      </c>
      <c r="H188" s="250">
        <v>3</v>
      </c>
      <c r="I188" s="252" t="s">
        <v>232</v>
      </c>
      <c r="T188" s="292" t="s">
        <v>1756</v>
      </c>
      <c r="U188" s="283" t="s">
        <v>2355</v>
      </c>
      <c r="V188" s="283" t="s">
        <v>2350</v>
      </c>
      <c r="W188" s="293" t="str">
        <f t="shared" si="10"/>
        <v>H17</v>
      </c>
      <c r="X188" s="284" t="str">
        <f t="shared" si="10"/>
        <v>ABF</v>
      </c>
      <c r="Y188" s="271"/>
      <c r="Z188" s="283">
        <f t="shared" si="9"/>
        <v>7.0000000000000007E-2</v>
      </c>
      <c r="AA188" s="340">
        <f t="shared" si="9"/>
        <v>0</v>
      </c>
    </row>
    <row r="189" spans="1:34" s="250" customFormat="1">
      <c r="A189" s="250" t="s">
        <v>460</v>
      </c>
      <c r="B189" s="250" t="s">
        <v>2009</v>
      </c>
      <c r="C189" s="250" t="s">
        <v>1934</v>
      </c>
      <c r="D189" s="251" t="s">
        <v>1979</v>
      </c>
      <c r="E189" s="251" t="s">
        <v>303</v>
      </c>
      <c r="F189" s="250">
        <v>3.5000000000000003E-2</v>
      </c>
      <c r="G189" s="250">
        <v>0</v>
      </c>
      <c r="H189" s="250">
        <v>3</v>
      </c>
      <c r="I189" s="252" t="s">
        <v>239</v>
      </c>
      <c r="J189" s="251" t="s">
        <v>240</v>
      </c>
      <c r="T189" s="292" t="s">
        <v>1756</v>
      </c>
      <c r="U189" s="283" t="s">
        <v>2355</v>
      </c>
      <c r="V189" s="283" t="s">
        <v>2350</v>
      </c>
      <c r="W189" s="293" t="str">
        <f t="shared" si="10"/>
        <v>H17</v>
      </c>
      <c r="X189" s="284" t="str">
        <f t="shared" si="10"/>
        <v>AAF</v>
      </c>
      <c r="Y189" s="271"/>
      <c r="Z189" s="283">
        <f t="shared" si="9"/>
        <v>3.5000000000000003E-2</v>
      </c>
      <c r="AA189" s="340">
        <f t="shared" si="9"/>
        <v>0</v>
      </c>
    </row>
    <row r="190" spans="1:34" s="250" customFormat="1">
      <c r="A190" s="250" t="s">
        <v>461</v>
      </c>
      <c r="B190" s="250" t="s">
        <v>2009</v>
      </c>
      <c r="C190" s="250" t="s">
        <v>1934</v>
      </c>
      <c r="D190" s="251" t="s">
        <v>1979</v>
      </c>
      <c r="E190" s="251" t="s">
        <v>1989</v>
      </c>
      <c r="F190" s="250">
        <v>6.3000000000000014E-2</v>
      </c>
      <c r="G190" s="250">
        <v>0</v>
      </c>
      <c r="H190" s="250">
        <v>3</v>
      </c>
      <c r="I190" s="252" t="s">
        <v>239</v>
      </c>
      <c r="J190" s="251" t="s">
        <v>2134</v>
      </c>
      <c r="T190" s="292" t="s">
        <v>1756</v>
      </c>
      <c r="U190" s="283" t="s">
        <v>2355</v>
      </c>
      <c r="V190" s="283" t="s">
        <v>2350</v>
      </c>
      <c r="W190" s="293" t="str">
        <f t="shared" si="10"/>
        <v>H17</v>
      </c>
      <c r="X190" s="284" t="str">
        <f t="shared" si="10"/>
        <v>BAF</v>
      </c>
      <c r="Y190" s="271" t="s">
        <v>2398</v>
      </c>
      <c r="Z190" s="283">
        <f t="shared" si="9"/>
        <v>6.3000000000000014E-2</v>
      </c>
      <c r="AA190" s="340">
        <f t="shared" si="9"/>
        <v>0</v>
      </c>
    </row>
    <row r="191" spans="1:34" s="250" customFormat="1">
      <c r="A191" s="250" t="s">
        <v>462</v>
      </c>
      <c r="B191" s="250" t="s">
        <v>2009</v>
      </c>
      <c r="C191" s="250" t="s">
        <v>1934</v>
      </c>
      <c r="D191" s="251" t="s">
        <v>1979</v>
      </c>
      <c r="E191" s="251" t="s">
        <v>1990</v>
      </c>
      <c r="F191" s="250">
        <v>6.3000000000000014E-2</v>
      </c>
      <c r="G191" s="250">
        <v>0</v>
      </c>
      <c r="H191" s="250">
        <v>3</v>
      </c>
      <c r="I191" s="252" t="s">
        <v>232</v>
      </c>
      <c r="J191" s="251" t="s">
        <v>244</v>
      </c>
      <c r="T191" s="292" t="s">
        <v>1756</v>
      </c>
      <c r="U191" s="283" t="s">
        <v>2355</v>
      </c>
      <c r="V191" s="283" t="s">
        <v>2350</v>
      </c>
      <c r="W191" s="293" t="str">
        <f t="shared" si="10"/>
        <v>H17</v>
      </c>
      <c r="X191" s="284" t="str">
        <f t="shared" si="10"/>
        <v>BBF</v>
      </c>
      <c r="Y191" s="271" t="s">
        <v>2398</v>
      </c>
      <c r="Z191" s="283">
        <f t="shared" si="9"/>
        <v>6.3000000000000014E-2</v>
      </c>
      <c r="AA191" s="340">
        <f t="shared" si="9"/>
        <v>0</v>
      </c>
    </row>
    <row r="192" spans="1:34" s="250" customFormat="1">
      <c r="A192" s="250" t="s">
        <v>463</v>
      </c>
      <c r="B192" s="250" t="s">
        <v>2009</v>
      </c>
      <c r="C192" s="250" t="s">
        <v>1934</v>
      </c>
      <c r="D192" s="251" t="s">
        <v>1979</v>
      </c>
      <c r="E192" s="251" t="s">
        <v>1991</v>
      </c>
      <c r="F192" s="250">
        <v>3.5000000000000003E-2</v>
      </c>
      <c r="G192" s="250">
        <v>0</v>
      </c>
      <c r="H192" s="250">
        <v>3</v>
      </c>
      <c r="I192" s="252" t="s">
        <v>239</v>
      </c>
      <c r="J192" s="251" t="s">
        <v>2135</v>
      </c>
      <c r="T192" s="292" t="s">
        <v>1756</v>
      </c>
      <c r="U192" s="283" t="s">
        <v>2355</v>
      </c>
      <c r="V192" s="283" t="s">
        <v>2350</v>
      </c>
      <c r="W192" s="293" t="str">
        <f t="shared" si="10"/>
        <v>H17</v>
      </c>
      <c r="X192" s="284" t="str">
        <f t="shared" si="10"/>
        <v>CAF</v>
      </c>
      <c r="Y192" s="271" t="s">
        <v>2261</v>
      </c>
      <c r="Z192" s="283">
        <f t="shared" si="9"/>
        <v>3.5000000000000003E-2</v>
      </c>
      <c r="AA192" s="340">
        <f t="shared" si="9"/>
        <v>0</v>
      </c>
      <c r="AC192" s="74"/>
      <c r="AD192" s="74"/>
      <c r="AE192" s="74"/>
      <c r="AF192" s="74"/>
      <c r="AG192" s="74"/>
      <c r="AH192" s="74"/>
    </row>
    <row r="193" spans="1:34" s="250" customFormat="1">
      <c r="A193" s="250" t="s">
        <v>464</v>
      </c>
      <c r="B193" s="250" t="s">
        <v>2009</v>
      </c>
      <c r="C193" s="250" t="s">
        <v>1934</v>
      </c>
      <c r="D193" s="251" t="s">
        <v>1979</v>
      </c>
      <c r="E193" s="251" t="s">
        <v>1992</v>
      </c>
      <c r="F193" s="250">
        <v>3.5000000000000003E-2</v>
      </c>
      <c r="G193" s="250">
        <v>0</v>
      </c>
      <c r="H193" s="250">
        <v>3</v>
      </c>
      <c r="I193" s="252" t="s">
        <v>260</v>
      </c>
      <c r="J193" s="251" t="s">
        <v>247</v>
      </c>
      <c r="T193" s="292" t="s">
        <v>1756</v>
      </c>
      <c r="U193" s="283" t="s">
        <v>2355</v>
      </c>
      <c r="V193" s="283" t="s">
        <v>2350</v>
      </c>
      <c r="W193" s="293" t="str">
        <f t="shared" si="10"/>
        <v>H17</v>
      </c>
      <c r="X193" s="284" t="str">
        <f t="shared" si="10"/>
        <v>CBF</v>
      </c>
      <c r="Y193" s="271" t="s">
        <v>2261</v>
      </c>
      <c r="Z193" s="283">
        <f t="shared" si="9"/>
        <v>3.5000000000000003E-2</v>
      </c>
      <c r="AA193" s="340">
        <f t="shared" si="9"/>
        <v>0</v>
      </c>
      <c r="AC193" s="74"/>
      <c r="AD193" s="74"/>
      <c r="AE193" s="74"/>
      <c r="AF193" s="74"/>
      <c r="AG193" s="74"/>
      <c r="AH193" s="74"/>
    </row>
    <row r="194" spans="1:34">
      <c r="A194" s="74" t="s">
        <v>465</v>
      </c>
      <c r="B194" s="74" t="s">
        <v>2009</v>
      </c>
      <c r="C194" s="74" t="s">
        <v>1934</v>
      </c>
      <c r="D194" s="74" t="s">
        <v>1979</v>
      </c>
      <c r="E194" s="74" t="s">
        <v>1993</v>
      </c>
      <c r="F194" s="74">
        <v>1.7500000000000002E-2</v>
      </c>
      <c r="G194" s="74">
        <v>0</v>
      </c>
      <c r="H194" s="74">
        <v>3</v>
      </c>
      <c r="I194" s="13" t="s">
        <v>239</v>
      </c>
      <c r="J194" s="74" t="s">
        <v>2136</v>
      </c>
      <c r="T194" s="292" t="s">
        <v>1756</v>
      </c>
      <c r="U194" s="283" t="s">
        <v>2355</v>
      </c>
      <c r="V194" s="283" t="s">
        <v>2350</v>
      </c>
      <c r="W194" s="293" t="str">
        <f t="shared" si="10"/>
        <v>H17</v>
      </c>
      <c r="X194" s="284" t="str">
        <f t="shared" si="10"/>
        <v>DAF</v>
      </c>
      <c r="Y194" s="271" t="s">
        <v>2262</v>
      </c>
      <c r="Z194" s="283">
        <f t="shared" si="9"/>
        <v>1.7500000000000002E-2</v>
      </c>
      <c r="AA194" s="340">
        <f t="shared" si="9"/>
        <v>0</v>
      </c>
    </row>
    <row r="195" spans="1:34">
      <c r="A195" s="74" t="s">
        <v>466</v>
      </c>
      <c r="B195" s="74" t="s">
        <v>2009</v>
      </c>
      <c r="C195" s="74" t="s">
        <v>1934</v>
      </c>
      <c r="D195" s="74" t="s">
        <v>1979</v>
      </c>
      <c r="E195" s="74" t="s">
        <v>1994</v>
      </c>
      <c r="F195" s="74">
        <v>1.7500000000000002E-2</v>
      </c>
      <c r="G195" s="74">
        <v>0</v>
      </c>
      <c r="H195" s="74">
        <v>3</v>
      </c>
      <c r="I195" s="13" t="s">
        <v>263</v>
      </c>
      <c r="J195" s="74" t="s">
        <v>250</v>
      </c>
      <c r="T195" s="292" t="s">
        <v>1756</v>
      </c>
      <c r="U195" s="283" t="s">
        <v>2355</v>
      </c>
      <c r="V195" s="283" t="s">
        <v>2350</v>
      </c>
      <c r="W195" s="293" t="str">
        <f t="shared" si="10"/>
        <v>H17</v>
      </c>
      <c r="X195" s="284" t="str">
        <f t="shared" si="10"/>
        <v>DBF</v>
      </c>
      <c r="Y195" s="271" t="s">
        <v>2262</v>
      </c>
      <c r="Z195" s="283">
        <f t="shared" si="9"/>
        <v>1.7500000000000002E-2</v>
      </c>
      <c r="AA195" s="340">
        <f t="shared" si="9"/>
        <v>0</v>
      </c>
    </row>
    <row r="196" spans="1:34">
      <c r="A196" s="74" t="s">
        <v>467</v>
      </c>
      <c r="B196" s="74" t="s">
        <v>2030</v>
      </c>
      <c r="C196" s="74" t="s">
        <v>1934</v>
      </c>
      <c r="D196" s="74" t="s">
        <v>1979</v>
      </c>
      <c r="E196" s="74" t="s">
        <v>311</v>
      </c>
      <c r="F196" s="74">
        <v>6.3000000000000014E-2</v>
      </c>
      <c r="G196" s="74">
        <v>0</v>
      </c>
      <c r="H196" s="74">
        <v>3</v>
      </c>
      <c r="I196" s="13" t="s">
        <v>239</v>
      </c>
      <c r="J196" s="74" t="s">
        <v>2134</v>
      </c>
      <c r="T196" s="292" t="s">
        <v>1756</v>
      </c>
      <c r="U196" s="283" t="s">
        <v>2355</v>
      </c>
      <c r="V196" s="283" t="s">
        <v>1763</v>
      </c>
      <c r="W196" s="283" t="s">
        <v>1979</v>
      </c>
      <c r="X196" s="284" t="s">
        <v>2351</v>
      </c>
      <c r="Y196" s="271" t="s">
        <v>2398</v>
      </c>
      <c r="Z196" s="283">
        <v>6.3E-2</v>
      </c>
      <c r="AA196" s="340">
        <v>0</v>
      </c>
    </row>
    <row r="197" spans="1:34">
      <c r="A197" s="74" t="s">
        <v>468</v>
      </c>
      <c r="B197" s="74" t="s">
        <v>2030</v>
      </c>
      <c r="C197" s="74" t="s">
        <v>1934</v>
      </c>
      <c r="D197" s="74" t="s">
        <v>1979</v>
      </c>
      <c r="E197" s="74" t="s">
        <v>313</v>
      </c>
      <c r="F197" s="74">
        <v>6.3000000000000014E-2</v>
      </c>
      <c r="G197" s="74">
        <v>0</v>
      </c>
      <c r="H197" s="74">
        <v>3</v>
      </c>
      <c r="I197" s="13" t="s">
        <v>232</v>
      </c>
      <c r="J197" s="74" t="s">
        <v>244</v>
      </c>
      <c r="T197" s="292" t="s">
        <v>1756</v>
      </c>
      <c r="U197" s="283" t="s">
        <v>2355</v>
      </c>
      <c r="V197" s="283" t="s">
        <v>1763</v>
      </c>
      <c r="W197" s="283" t="s">
        <v>1979</v>
      </c>
      <c r="X197" s="284" t="s">
        <v>2352</v>
      </c>
      <c r="Y197" s="271" t="s">
        <v>2398</v>
      </c>
      <c r="Z197" s="283">
        <v>6.3E-2</v>
      </c>
      <c r="AA197" s="340">
        <v>0</v>
      </c>
    </row>
    <row r="198" spans="1:34">
      <c r="A198" s="74" t="s">
        <v>469</v>
      </c>
      <c r="B198" s="74" t="s">
        <v>2009</v>
      </c>
      <c r="C198" s="74" t="s">
        <v>1934</v>
      </c>
      <c r="D198" s="74" t="s">
        <v>2382</v>
      </c>
      <c r="E198" s="74" t="s">
        <v>315</v>
      </c>
      <c r="F198" s="74">
        <v>7.0000000000000007E-2</v>
      </c>
      <c r="G198" s="74">
        <v>0</v>
      </c>
      <c r="H198" s="74">
        <v>3</v>
      </c>
      <c r="I198" s="13" t="s">
        <v>232</v>
      </c>
      <c r="T198" s="292" t="s">
        <v>1756</v>
      </c>
      <c r="U198" s="283" t="s">
        <v>2355</v>
      </c>
      <c r="V198" s="283" t="s">
        <v>1763</v>
      </c>
      <c r="W198" s="293" t="str">
        <f t="shared" si="10"/>
        <v>H21</v>
      </c>
      <c r="X198" s="284" t="str">
        <f t="shared" si="10"/>
        <v>LBF</v>
      </c>
      <c r="Y198" s="271"/>
      <c r="Z198" s="283">
        <f t="shared" si="9"/>
        <v>7.0000000000000007E-2</v>
      </c>
      <c r="AA198" s="340">
        <f t="shared" si="9"/>
        <v>0</v>
      </c>
    </row>
    <row r="199" spans="1:34">
      <c r="A199" s="74" t="s">
        <v>470</v>
      </c>
      <c r="B199" s="74" t="s">
        <v>2009</v>
      </c>
      <c r="C199" s="74" t="s">
        <v>1934</v>
      </c>
      <c r="D199" s="74" t="s">
        <v>2382</v>
      </c>
      <c r="E199" s="74" t="s">
        <v>317</v>
      </c>
      <c r="F199" s="74">
        <v>3.5000000000000003E-2</v>
      </c>
      <c r="G199" s="74">
        <v>0</v>
      </c>
      <c r="H199" s="74">
        <v>3</v>
      </c>
      <c r="I199" s="13" t="s">
        <v>239</v>
      </c>
      <c r="J199" s="74" t="s">
        <v>240</v>
      </c>
      <c r="T199" s="292" t="s">
        <v>1756</v>
      </c>
      <c r="U199" s="283" t="s">
        <v>2355</v>
      </c>
      <c r="V199" s="283" t="s">
        <v>1763</v>
      </c>
      <c r="W199" s="293" t="str">
        <f t="shared" si="10"/>
        <v>H21</v>
      </c>
      <c r="X199" s="284" t="str">
        <f t="shared" si="10"/>
        <v>LAF</v>
      </c>
      <c r="Y199" s="271"/>
      <c r="Z199" s="283">
        <f t="shared" si="9"/>
        <v>3.5000000000000003E-2</v>
      </c>
      <c r="AA199" s="340">
        <f t="shared" si="9"/>
        <v>0</v>
      </c>
    </row>
    <row r="200" spans="1:34">
      <c r="A200" s="74" t="s">
        <v>471</v>
      </c>
      <c r="B200" s="74" t="s">
        <v>2009</v>
      </c>
      <c r="C200" s="74" t="s">
        <v>1934</v>
      </c>
      <c r="D200" s="74" t="s">
        <v>2382</v>
      </c>
      <c r="E200" s="74" t="s">
        <v>319</v>
      </c>
      <c r="F200" s="74">
        <v>3.5000000000000003E-2</v>
      </c>
      <c r="G200" s="74">
        <v>0</v>
      </c>
      <c r="H200" s="74">
        <v>3</v>
      </c>
      <c r="I200" s="13" t="s">
        <v>260</v>
      </c>
      <c r="J200" s="74" t="s">
        <v>2261</v>
      </c>
      <c r="T200" s="292" t="s">
        <v>1756</v>
      </c>
      <c r="U200" s="283" t="s">
        <v>2355</v>
      </c>
      <c r="V200" s="283" t="s">
        <v>1763</v>
      </c>
      <c r="W200" s="293" t="str">
        <f t="shared" si="10"/>
        <v>H21</v>
      </c>
      <c r="X200" s="284" t="str">
        <f t="shared" si="10"/>
        <v>MBF</v>
      </c>
      <c r="Y200" s="271" t="s">
        <v>2261</v>
      </c>
      <c r="Z200" s="283">
        <f t="shared" si="9"/>
        <v>3.5000000000000003E-2</v>
      </c>
      <c r="AA200" s="340">
        <f t="shared" si="9"/>
        <v>0</v>
      </c>
    </row>
    <row r="201" spans="1:34">
      <c r="A201" s="74" t="s">
        <v>472</v>
      </c>
      <c r="B201" s="74" t="s">
        <v>2009</v>
      </c>
      <c r="C201" s="74" t="s">
        <v>1934</v>
      </c>
      <c r="D201" s="74" t="s">
        <v>2382</v>
      </c>
      <c r="E201" s="74" t="s">
        <v>321</v>
      </c>
      <c r="F201" s="74">
        <v>3.5000000000000003E-2</v>
      </c>
      <c r="G201" s="74">
        <v>0</v>
      </c>
      <c r="H201" s="74">
        <v>3</v>
      </c>
      <c r="I201" s="13" t="s">
        <v>239</v>
      </c>
      <c r="J201" s="74" t="s">
        <v>2385</v>
      </c>
      <c r="T201" s="292" t="s">
        <v>1756</v>
      </c>
      <c r="U201" s="283" t="s">
        <v>2355</v>
      </c>
      <c r="V201" s="283" t="s">
        <v>1763</v>
      </c>
      <c r="W201" s="293" t="str">
        <f t="shared" si="10"/>
        <v>H21</v>
      </c>
      <c r="X201" s="284" t="str">
        <f t="shared" si="10"/>
        <v>MAF</v>
      </c>
      <c r="Y201" s="271" t="s">
        <v>2261</v>
      </c>
      <c r="Z201" s="283">
        <f t="shared" si="9"/>
        <v>3.5000000000000003E-2</v>
      </c>
      <c r="AA201" s="340">
        <f t="shared" si="9"/>
        <v>0</v>
      </c>
    </row>
    <row r="202" spans="1:34">
      <c r="A202" s="74" t="s">
        <v>473</v>
      </c>
      <c r="B202" s="74" t="s">
        <v>2009</v>
      </c>
      <c r="C202" s="74" t="s">
        <v>1934</v>
      </c>
      <c r="D202" s="74" t="s">
        <v>2382</v>
      </c>
      <c r="E202" s="74" t="s">
        <v>323</v>
      </c>
      <c r="F202" s="74">
        <v>1.7500000000000002E-2</v>
      </c>
      <c r="G202" s="74">
        <v>0</v>
      </c>
      <c r="H202" s="74">
        <v>3</v>
      </c>
      <c r="I202" s="13" t="s">
        <v>263</v>
      </c>
      <c r="J202" s="74" t="s">
        <v>2262</v>
      </c>
      <c r="T202" s="292" t="s">
        <v>1756</v>
      </c>
      <c r="U202" s="283" t="s">
        <v>2355</v>
      </c>
      <c r="V202" s="283" t="s">
        <v>1763</v>
      </c>
      <c r="W202" s="293" t="str">
        <f t="shared" si="10"/>
        <v>H21</v>
      </c>
      <c r="X202" s="284" t="str">
        <f t="shared" si="10"/>
        <v>RBF</v>
      </c>
      <c r="Y202" s="271" t="s">
        <v>2262</v>
      </c>
      <c r="Z202" s="283">
        <f t="shared" si="9"/>
        <v>1.7500000000000002E-2</v>
      </c>
      <c r="AA202" s="340">
        <f t="shared" si="9"/>
        <v>0</v>
      </c>
    </row>
    <row r="203" spans="1:34">
      <c r="A203" s="74" t="s">
        <v>474</v>
      </c>
      <c r="B203" s="74" t="s">
        <v>2009</v>
      </c>
      <c r="C203" s="74" t="s">
        <v>1934</v>
      </c>
      <c r="D203" s="74" t="s">
        <v>2382</v>
      </c>
      <c r="E203" s="74" t="s">
        <v>325</v>
      </c>
      <c r="F203" s="74">
        <v>1.7500000000000002E-2</v>
      </c>
      <c r="G203" s="74">
        <v>0</v>
      </c>
      <c r="H203" s="74">
        <v>3</v>
      </c>
      <c r="I203" s="13" t="s">
        <v>239</v>
      </c>
      <c r="J203" s="74" t="s">
        <v>2386</v>
      </c>
      <c r="T203" s="292" t="s">
        <v>1756</v>
      </c>
      <c r="U203" s="283" t="s">
        <v>2355</v>
      </c>
      <c r="V203" s="283" t="s">
        <v>1763</v>
      </c>
      <c r="W203" s="293" t="str">
        <f t="shared" si="10"/>
        <v>H21</v>
      </c>
      <c r="X203" s="284" t="str">
        <f t="shared" si="10"/>
        <v>RAF</v>
      </c>
      <c r="Y203" s="271" t="s">
        <v>2262</v>
      </c>
      <c r="Z203" s="283">
        <f t="shared" si="9"/>
        <v>1.7500000000000002E-2</v>
      </c>
      <c r="AA203" s="340">
        <f t="shared" si="9"/>
        <v>0</v>
      </c>
    </row>
    <row r="204" spans="1:34">
      <c r="A204" s="74" t="s">
        <v>475</v>
      </c>
      <c r="B204" s="74" t="s">
        <v>2009</v>
      </c>
      <c r="C204" s="74" t="s">
        <v>1934</v>
      </c>
      <c r="D204" s="74" t="s">
        <v>2382</v>
      </c>
      <c r="E204" s="74" t="s">
        <v>327</v>
      </c>
      <c r="F204" s="74">
        <v>6.3E-2</v>
      </c>
      <c r="G204" s="74">
        <v>0</v>
      </c>
      <c r="H204" s="74">
        <v>3</v>
      </c>
      <c r="I204" s="13" t="s">
        <v>232</v>
      </c>
      <c r="J204" s="74" t="s">
        <v>244</v>
      </c>
      <c r="T204" s="292" t="s">
        <v>1760</v>
      </c>
      <c r="U204" s="283" t="s">
        <v>1051</v>
      </c>
      <c r="V204" s="283" t="s">
        <v>2396</v>
      </c>
      <c r="W204" s="293" t="s">
        <v>2382</v>
      </c>
      <c r="X204" s="284" t="s">
        <v>327</v>
      </c>
      <c r="Y204" s="271" t="s">
        <v>1762</v>
      </c>
      <c r="Z204" s="283">
        <v>6.3E-2</v>
      </c>
      <c r="AA204" s="340">
        <v>0</v>
      </c>
    </row>
    <row r="205" spans="1:34">
      <c r="A205" s="74" t="s">
        <v>476</v>
      </c>
      <c r="B205" s="74" t="s">
        <v>2009</v>
      </c>
      <c r="C205" s="74" t="s">
        <v>1934</v>
      </c>
      <c r="D205" s="74" t="s">
        <v>2382</v>
      </c>
      <c r="E205" s="74" t="s">
        <v>329</v>
      </c>
      <c r="F205" s="74">
        <v>6.3E-2</v>
      </c>
      <c r="G205" s="74">
        <v>0</v>
      </c>
      <c r="H205" s="74">
        <v>3</v>
      </c>
      <c r="I205" s="13" t="s">
        <v>239</v>
      </c>
      <c r="J205" s="74" t="s">
        <v>2134</v>
      </c>
      <c r="T205" s="292" t="s">
        <v>1760</v>
      </c>
      <c r="U205" s="283" t="s">
        <v>1051</v>
      </c>
      <c r="V205" s="283" t="s">
        <v>2396</v>
      </c>
      <c r="W205" s="293" t="s">
        <v>2382</v>
      </c>
      <c r="X205" s="284" t="s">
        <v>329</v>
      </c>
      <c r="Y205" s="271" t="s">
        <v>1762</v>
      </c>
      <c r="Z205" s="283">
        <v>6.3E-2</v>
      </c>
      <c r="AA205" s="340">
        <v>0</v>
      </c>
    </row>
    <row r="206" spans="1:34">
      <c r="A206" s="74" t="s">
        <v>477</v>
      </c>
      <c r="B206" s="74" t="s">
        <v>2030</v>
      </c>
      <c r="C206" s="74" t="s">
        <v>1935</v>
      </c>
      <c r="D206" s="74" t="s">
        <v>2458</v>
      </c>
      <c r="E206" s="74" t="s">
        <v>2457</v>
      </c>
      <c r="F206" s="74">
        <v>1.8</v>
      </c>
      <c r="G206" s="74">
        <v>0</v>
      </c>
      <c r="H206" s="74">
        <v>3</v>
      </c>
      <c r="I206" s="13" t="s">
        <v>232</v>
      </c>
      <c r="T206" s="292" t="s">
        <v>1756</v>
      </c>
      <c r="U206" s="283" t="s">
        <v>2355</v>
      </c>
      <c r="V206" s="285" t="s">
        <v>1771</v>
      </c>
      <c r="W206" s="293" t="str">
        <f t="shared" si="10"/>
        <v>S54前</v>
      </c>
      <c r="X206" s="284" t="str">
        <f t="shared" si="10"/>
        <v>-</v>
      </c>
      <c r="Y206" s="271"/>
      <c r="Z206" s="283">
        <f t="shared" si="9"/>
        <v>1.8</v>
      </c>
      <c r="AA206" s="340">
        <f t="shared" si="9"/>
        <v>0</v>
      </c>
    </row>
    <row r="207" spans="1:34">
      <c r="A207" s="74" t="s">
        <v>478</v>
      </c>
      <c r="B207" s="74" t="s">
        <v>2030</v>
      </c>
      <c r="C207" s="74" t="s">
        <v>1935</v>
      </c>
      <c r="D207" s="74" t="s">
        <v>0</v>
      </c>
      <c r="E207" s="74" t="s">
        <v>7</v>
      </c>
      <c r="F207" s="74">
        <v>1.2</v>
      </c>
      <c r="G207" s="74">
        <v>0</v>
      </c>
      <c r="H207" s="74">
        <v>3</v>
      </c>
      <c r="I207" s="13" t="s">
        <v>232</v>
      </c>
      <c r="T207" s="292" t="s">
        <v>1756</v>
      </c>
      <c r="U207" s="283" t="s">
        <v>2355</v>
      </c>
      <c r="V207" s="285" t="s">
        <v>1771</v>
      </c>
      <c r="W207" s="293" t="str">
        <f t="shared" si="10"/>
        <v>S54</v>
      </c>
      <c r="X207" s="284" t="str">
        <f t="shared" si="10"/>
        <v>J</v>
      </c>
      <c r="Y207" s="271"/>
      <c r="Z207" s="283">
        <f t="shared" si="9"/>
        <v>1.2</v>
      </c>
      <c r="AA207" s="340">
        <f t="shared" si="9"/>
        <v>0</v>
      </c>
    </row>
    <row r="208" spans="1:34">
      <c r="A208" s="74" t="s">
        <v>479</v>
      </c>
      <c r="B208" s="74" t="s">
        <v>2030</v>
      </c>
      <c r="C208" s="74" t="s">
        <v>1935</v>
      </c>
      <c r="D208" s="74" t="s">
        <v>24</v>
      </c>
      <c r="E208" s="74" t="s">
        <v>25</v>
      </c>
      <c r="F208" s="74">
        <v>0.9</v>
      </c>
      <c r="G208" s="74">
        <v>0</v>
      </c>
      <c r="H208" s="74">
        <v>3</v>
      </c>
      <c r="I208" s="13" t="s">
        <v>232</v>
      </c>
      <c r="T208" s="292" t="s">
        <v>1756</v>
      </c>
      <c r="U208" s="283" t="s">
        <v>2355</v>
      </c>
      <c r="V208" s="285" t="s">
        <v>1771</v>
      </c>
      <c r="W208" s="293" t="str">
        <f t="shared" si="10"/>
        <v>S57</v>
      </c>
      <c r="X208" s="284" t="str">
        <f t="shared" si="10"/>
        <v>M</v>
      </c>
      <c r="Y208" s="271"/>
      <c r="Z208" s="283">
        <f t="shared" si="9"/>
        <v>0.9</v>
      </c>
      <c r="AA208" s="340">
        <f t="shared" si="9"/>
        <v>0</v>
      </c>
    </row>
    <row r="209" spans="1:34">
      <c r="A209" s="74" t="s">
        <v>480</v>
      </c>
      <c r="B209" s="74" t="s">
        <v>2030</v>
      </c>
      <c r="C209" s="74" t="s">
        <v>1935</v>
      </c>
      <c r="D209" s="74" t="s">
        <v>18</v>
      </c>
      <c r="E209" s="74" t="s">
        <v>19</v>
      </c>
      <c r="F209" s="74">
        <v>0.7</v>
      </c>
      <c r="G209" s="74">
        <v>0</v>
      </c>
      <c r="H209" s="74">
        <v>3</v>
      </c>
      <c r="I209" s="13" t="s">
        <v>232</v>
      </c>
      <c r="T209" s="292" t="s">
        <v>1756</v>
      </c>
      <c r="U209" s="283" t="s">
        <v>2355</v>
      </c>
      <c r="V209" s="285" t="s">
        <v>1771</v>
      </c>
      <c r="W209" s="293" t="str">
        <f t="shared" si="10"/>
        <v>H元</v>
      </c>
      <c r="X209" s="284" t="str">
        <f t="shared" si="10"/>
        <v>T</v>
      </c>
      <c r="Y209" s="271"/>
      <c r="Z209" s="283">
        <f t="shared" si="9"/>
        <v>0.7</v>
      </c>
      <c r="AA209" s="340">
        <f t="shared" si="9"/>
        <v>0</v>
      </c>
    </row>
    <row r="210" spans="1:34">
      <c r="A210" s="74" t="s">
        <v>481</v>
      </c>
      <c r="B210" s="74" t="s">
        <v>2030</v>
      </c>
      <c r="C210" s="74" t="s">
        <v>1935</v>
      </c>
      <c r="D210" s="74" t="s">
        <v>1998</v>
      </c>
      <c r="E210" s="74" t="s">
        <v>26</v>
      </c>
      <c r="F210" s="74">
        <v>0.49</v>
      </c>
      <c r="G210" s="74">
        <v>0</v>
      </c>
      <c r="H210" s="74">
        <v>3</v>
      </c>
      <c r="I210" s="13" t="s">
        <v>232</v>
      </c>
      <c r="T210" s="292" t="s">
        <v>1756</v>
      </c>
      <c r="U210" s="283" t="s">
        <v>2355</v>
      </c>
      <c r="V210" s="285" t="s">
        <v>1771</v>
      </c>
      <c r="W210" s="293" t="str">
        <f t="shared" si="10"/>
        <v>H4</v>
      </c>
      <c r="X210" s="284" t="str">
        <f t="shared" si="10"/>
        <v>Z</v>
      </c>
      <c r="Y210" s="271"/>
      <c r="Z210" s="283">
        <f t="shared" si="9"/>
        <v>0.49</v>
      </c>
      <c r="AA210" s="340">
        <f t="shared" si="9"/>
        <v>0</v>
      </c>
    </row>
    <row r="211" spans="1:34">
      <c r="A211" s="74" t="s">
        <v>482</v>
      </c>
      <c r="B211" s="74" t="s">
        <v>2030</v>
      </c>
      <c r="C211" s="74" t="s">
        <v>1935</v>
      </c>
      <c r="D211" s="74" t="s">
        <v>1999</v>
      </c>
      <c r="E211" s="74" t="s">
        <v>50</v>
      </c>
      <c r="F211" s="74">
        <v>0.4</v>
      </c>
      <c r="G211" s="74">
        <v>0</v>
      </c>
      <c r="H211" s="74">
        <v>3</v>
      </c>
      <c r="I211" s="13" t="s">
        <v>232</v>
      </c>
      <c r="T211" s="292" t="s">
        <v>1756</v>
      </c>
      <c r="U211" s="283" t="s">
        <v>2355</v>
      </c>
      <c r="V211" s="285" t="s">
        <v>1771</v>
      </c>
      <c r="W211" s="293" t="str">
        <f t="shared" si="10"/>
        <v>H7,H10</v>
      </c>
      <c r="X211" s="284" t="str">
        <f t="shared" si="10"/>
        <v>GB</v>
      </c>
      <c r="Y211" s="271"/>
      <c r="Z211" s="283">
        <f t="shared" si="9"/>
        <v>0.4</v>
      </c>
      <c r="AA211" s="340">
        <f t="shared" si="9"/>
        <v>0</v>
      </c>
    </row>
    <row r="212" spans="1:34">
      <c r="A212" s="74" t="s">
        <v>483</v>
      </c>
      <c r="B212" s="74" t="s">
        <v>2030</v>
      </c>
      <c r="C212" s="74" t="s">
        <v>1935</v>
      </c>
      <c r="D212" s="74" t="s">
        <v>1999</v>
      </c>
      <c r="E212" s="74" t="s">
        <v>52</v>
      </c>
      <c r="F212" s="268">
        <v>0.4</v>
      </c>
      <c r="G212" s="74">
        <v>0</v>
      </c>
      <c r="H212" s="74">
        <v>3</v>
      </c>
      <c r="I212" s="13" t="s">
        <v>232</v>
      </c>
      <c r="T212" s="292" t="s">
        <v>1756</v>
      </c>
      <c r="U212" s="283" t="s">
        <v>2355</v>
      </c>
      <c r="V212" s="285" t="s">
        <v>1771</v>
      </c>
      <c r="W212" s="293" t="str">
        <f t="shared" si="10"/>
        <v>H7,H10</v>
      </c>
      <c r="X212" s="284" t="str">
        <f t="shared" si="10"/>
        <v>GE</v>
      </c>
      <c r="Y212" s="271"/>
      <c r="Z212" s="283">
        <f t="shared" si="9"/>
        <v>0.4</v>
      </c>
      <c r="AA212" s="340">
        <f t="shared" si="9"/>
        <v>0</v>
      </c>
    </row>
    <row r="213" spans="1:34">
      <c r="A213" s="74" t="s">
        <v>484</v>
      </c>
      <c r="B213" s="74" t="s">
        <v>2030</v>
      </c>
      <c r="C213" s="74" t="s">
        <v>1935</v>
      </c>
      <c r="D213" s="74" t="s">
        <v>1999</v>
      </c>
      <c r="E213" s="74" t="s">
        <v>60</v>
      </c>
      <c r="F213" s="268">
        <v>0.2</v>
      </c>
      <c r="G213" s="74">
        <v>0</v>
      </c>
      <c r="H213" s="74">
        <v>3</v>
      </c>
      <c r="I213" s="13" t="s">
        <v>239</v>
      </c>
      <c r="J213" s="74" t="s">
        <v>240</v>
      </c>
      <c r="T213" s="292" t="s">
        <v>1756</v>
      </c>
      <c r="U213" s="283" t="s">
        <v>2355</v>
      </c>
      <c r="V213" s="285" t="s">
        <v>1771</v>
      </c>
      <c r="W213" s="293" t="str">
        <f t="shared" si="10"/>
        <v>H7,H10</v>
      </c>
      <c r="X213" s="284" t="str">
        <f t="shared" si="10"/>
        <v>HJ</v>
      </c>
      <c r="Y213" s="271"/>
      <c r="Z213" s="283">
        <f t="shared" si="9"/>
        <v>0.2</v>
      </c>
      <c r="AA213" s="340">
        <f t="shared" si="9"/>
        <v>0</v>
      </c>
    </row>
    <row r="214" spans="1:34">
      <c r="A214" s="74" t="s">
        <v>485</v>
      </c>
      <c r="B214" s="74" t="s">
        <v>2030</v>
      </c>
      <c r="C214" s="74" t="s">
        <v>1935</v>
      </c>
      <c r="D214" s="74" t="s">
        <v>21</v>
      </c>
      <c r="E214" s="74" t="s">
        <v>57</v>
      </c>
      <c r="F214" s="74">
        <v>0.13</v>
      </c>
      <c r="G214" s="74">
        <v>0</v>
      </c>
      <c r="H214" s="74">
        <v>3</v>
      </c>
      <c r="I214" s="13" t="s">
        <v>232</v>
      </c>
      <c r="T214" s="292" t="s">
        <v>1756</v>
      </c>
      <c r="U214" s="283" t="s">
        <v>2355</v>
      </c>
      <c r="V214" s="285" t="s">
        <v>1771</v>
      </c>
      <c r="W214" s="293" t="str">
        <f t="shared" si="10"/>
        <v>H13</v>
      </c>
      <c r="X214" s="284" t="str">
        <f t="shared" si="10"/>
        <v>GK</v>
      </c>
      <c r="Y214" s="271"/>
      <c r="Z214" s="283">
        <f t="shared" si="9"/>
        <v>0.13</v>
      </c>
      <c r="AA214" s="340">
        <f t="shared" si="9"/>
        <v>0</v>
      </c>
    </row>
    <row r="215" spans="1:34">
      <c r="A215" s="74" t="s">
        <v>486</v>
      </c>
      <c r="B215" s="74" t="s">
        <v>2030</v>
      </c>
      <c r="C215" s="74" t="s">
        <v>1935</v>
      </c>
      <c r="D215" s="74" t="s">
        <v>21</v>
      </c>
      <c r="E215" s="74" t="s">
        <v>68</v>
      </c>
      <c r="F215" s="74">
        <v>6.5000000000000002E-2</v>
      </c>
      <c r="G215" s="74">
        <v>0</v>
      </c>
      <c r="H215" s="74">
        <v>3</v>
      </c>
      <c r="I215" s="13" t="s">
        <v>239</v>
      </c>
      <c r="J215" s="74" t="s">
        <v>240</v>
      </c>
      <c r="T215" s="292" t="s">
        <v>1756</v>
      </c>
      <c r="U215" s="283" t="s">
        <v>2355</v>
      </c>
      <c r="V215" s="285" t="s">
        <v>1771</v>
      </c>
      <c r="W215" s="293" t="str">
        <f t="shared" si="10"/>
        <v>H13</v>
      </c>
      <c r="X215" s="284" t="str">
        <f t="shared" si="10"/>
        <v>HQ</v>
      </c>
      <c r="Y215" s="271"/>
      <c r="Z215" s="283">
        <f t="shared" si="9"/>
        <v>6.5000000000000002E-2</v>
      </c>
      <c r="AA215" s="340">
        <f t="shared" si="9"/>
        <v>0</v>
      </c>
    </row>
    <row r="216" spans="1:34">
      <c r="A216" s="74" t="s">
        <v>487</v>
      </c>
      <c r="B216" s="74" t="s">
        <v>2030</v>
      </c>
      <c r="C216" s="74" t="s">
        <v>1935</v>
      </c>
      <c r="D216" s="74" t="s">
        <v>21</v>
      </c>
      <c r="E216" s="74" t="s">
        <v>81</v>
      </c>
      <c r="F216" s="74">
        <v>9.7500000000000003E-2</v>
      </c>
      <c r="G216" s="74">
        <v>0</v>
      </c>
      <c r="H216" s="74">
        <v>3</v>
      </c>
      <c r="I216" s="13" t="s">
        <v>232</v>
      </c>
      <c r="J216" s="74" t="s">
        <v>244</v>
      </c>
      <c r="T216" s="292" t="s">
        <v>1756</v>
      </c>
      <c r="U216" s="283" t="s">
        <v>2355</v>
      </c>
      <c r="V216" s="285" t="s">
        <v>1771</v>
      </c>
      <c r="W216" s="293" t="str">
        <f t="shared" si="10"/>
        <v>H13</v>
      </c>
      <c r="X216" s="284" t="str">
        <f t="shared" si="10"/>
        <v>TC</v>
      </c>
      <c r="Y216" s="271" t="s">
        <v>1765</v>
      </c>
      <c r="Z216" s="283">
        <f t="shared" ref="Z216:AA271" si="11">F216</f>
        <v>9.7500000000000003E-2</v>
      </c>
      <c r="AA216" s="340">
        <f t="shared" si="11"/>
        <v>0</v>
      </c>
      <c r="AC216" s="266"/>
      <c r="AD216" s="266"/>
      <c r="AE216" s="266"/>
      <c r="AF216" s="266"/>
      <c r="AG216" s="266"/>
      <c r="AH216" s="266"/>
    </row>
    <row r="217" spans="1:34">
      <c r="A217" s="74" t="s">
        <v>488</v>
      </c>
      <c r="B217" s="74" t="s">
        <v>2030</v>
      </c>
      <c r="C217" s="74" t="s">
        <v>1935</v>
      </c>
      <c r="D217" s="74" t="s">
        <v>21</v>
      </c>
      <c r="E217" s="74" t="s">
        <v>95</v>
      </c>
      <c r="F217" s="74">
        <v>9.7500000000000003E-2</v>
      </c>
      <c r="G217" s="74">
        <v>0</v>
      </c>
      <c r="H217" s="74">
        <v>3</v>
      </c>
      <c r="I217" s="13" t="s">
        <v>239</v>
      </c>
      <c r="J217" s="74" t="s">
        <v>2134</v>
      </c>
      <c r="T217" s="292" t="s">
        <v>1756</v>
      </c>
      <c r="U217" s="283" t="s">
        <v>2355</v>
      </c>
      <c r="V217" s="285" t="s">
        <v>1771</v>
      </c>
      <c r="W217" s="293" t="str">
        <f t="shared" si="10"/>
        <v>H13</v>
      </c>
      <c r="X217" s="284" t="str">
        <f t="shared" si="10"/>
        <v>XC</v>
      </c>
      <c r="Y217" s="271" t="s">
        <v>1765</v>
      </c>
      <c r="Z217" s="283">
        <f t="shared" si="11"/>
        <v>9.7500000000000003E-2</v>
      </c>
      <c r="AA217" s="340">
        <f t="shared" si="11"/>
        <v>0</v>
      </c>
      <c r="AC217" s="266"/>
      <c r="AD217" s="266"/>
      <c r="AE217" s="266"/>
      <c r="AF217" s="266"/>
      <c r="AG217" s="266"/>
      <c r="AH217" s="266"/>
    </row>
    <row r="218" spans="1:34" s="266" customFormat="1">
      <c r="A218" s="266" t="s">
        <v>489</v>
      </c>
      <c r="B218" s="266" t="s">
        <v>2030</v>
      </c>
      <c r="C218" s="266" t="s">
        <v>1935</v>
      </c>
      <c r="D218" s="266" t="s">
        <v>21</v>
      </c>
      <c r="E218" s="266" t="s">
        <v>72</v>
      </c>
      <c r="F218" s="266">
        <v>6.5000000000000002E-2</v>
      </c>
      <c r="G218" s="266">
        <v>0</v>
      </c>
      <c r="H218" s="266">
        <v>3</v>
      </c>
      <c r="I218" s="267" t="s">
        <v>232</v>
      </c>
      <c r="J218" s="266" t="s">
        <v>247</v>
      </c>
      <c r="T218" s="292" t="s">
        <v>1756</v>
      </c>
      <c r="U218" s="283" t="s">
        <v>2355</v>
      </c>
      <c r="V218" s="285" t="s">
        <v>1771</v>
      </c>
      <c r="W218" s="293" t="str">
        <f t="shared" si="10"/>
        <v>H13</v>
      </c>
      <c r="X218" s="284" t="str">
        <f t="shared" si="10"/>
        <v>LC</v>
      </c>
      <c r="Y218" s="271" t="s">
        <v>1766</v>
      </c>
      <c r="Z218" s="283">
        <f t="shared" si="11"/>
        <v>6.5000000000000002E-2</v>
      </c>
      <c r="AA218" s="340">
        <f t="shared" si="11"/>
        <v>0</v>
      </c>
      <c r="AC218" s="250"/>
      <c r="AD218" s="250"/>
      <c r="AE218" s="250"/>
      <c r="AF218" s="250"/>
      <c r="AG218" s="250"/>
      <c r="AH218" s="250"/>
    </row>
    <row r="219" spans="1:34" s="266" customFormat="1">
      <c r="A219" s="266" t="s">
        <v>490</v>
      </c>
      <c r="B219" s="266" t="s">
        <v>2030</v>
      </c>
      <c r="C219" s="266" t="s">
        <v>1935</v>
      </c>
      <c r="D219" s="266" t="s">
        <v>21</v>
      </c>
      <c r="E219" s="266" t="s">
        <v>99</v>
      </c>
      <c r="F219" s="266">
        <v>6.5000000000000002E-2</v>
      </c>
      <c r="G219" s="266">
        <v>0</v>
      </c>
      <c r="H219" s="266">
        <v>3</v>
      </c>
      <c r="I219" s="267" t="s">
        <v>239</v>
      </c>
      <c r="J219" s="266" t="s">
        <v>2135</v>
      </c>
      <c r="T219" s="292" t="s">
        <v>1756</v>
      </c>
      <c r="U219" s="283" t="s">
        <v>2355</v>
      </c>
      <c r="V219" s="285" t="s">
        <v>1771</v>
      </c>
      <c r="W219" s="293" t="str">
        <f t="shared" si="10"/>
        <v>H13</v>
      </c>
      <c r="X219" s="284" t="str">
        <f t="shared" si="10"/>
        <v>YC</v>
      </c>
      <c r="Y219" s="271" t="s">
        <v>1766</v>
      </c>
      <c r="Z219" s="283">
        <f t="shared" si="11"/>
        <v>6.5000000000000002E-2</v>
      </c>
      <c r="AA219" s="340">
        <f t="shared" si="11"/>
        <v>0</v>
      </c>
      <c r="AC219" s="250"/>
      <c r="AD219" s="250"/>
      <c r="AE219" s="250"/>
      <c r="AF219" s="250"/>
      <c r="AG219" s="250"/>
      <c r="AH219" s="250"/>
    </row>
    <row r="220" spans="1:34" s="250" customFormat="1">
      <c r="A220" s="250" t="s">
        <v>491</v>
      </c>
      <c r="B220" s="250" t="s">
        <v>2030</v>
      </c>
      <c r="C220" s="250" t="s">
        <v>1935</v>
      </c>
      <c r="D220" s="251" t="s">
        <v>21</v>
      </c>
      <c r="E220" s="251" t="s">
        <v>88</v>
      </c>
      <c r="F220" s="250">
        <v>3.2500000000000001E-2</v>
      </c>
      <c r="G220" s="250">
        <v>0</v>
      </c>
      <c r="H220" s="250">
        <v>3</v>
      </c>
      <c r="I220" s="252" t="s">
        <v>232</v>
      </c>
      <c r="J220" s="250" t="s">
        <v>250</v>
      </c>
      <c r="T220" s="292" t="s">
        <v>1756</v>
      </c>
      <c r="U220" s="283" t="s">
        <v>2355</v>
      </c>
      <c r="V220" s="285" t="s">
        <v>1771</v>
      </c>
      <c r="W220" s="293" t="str">
        <f t="shared" si="10"/>
        <v>H13</v>
      </c>
      <c r="X220" s="284" t="str">
        <f t="shared" si="10"/>
        <v>UC</v>
      </c>
      <c r="Y220" s="271" t="s">
        <v>1767</v>
      </c>
      <c r="Z220" s="283">
        <f t="shared" si="11"/>
        <v>3.2500000000000001E-2</v>
      </c>
      <c r="AA220" s="340">
        <f t="shared" si="11"/>
        <v>0</v>
      </c>
    </row>
    <row r="221" spans="1:34" s="250" customFormat="1">
      <c r="A221" s="250" t="s">
        <v>492</v>
      </c>
      <c r="B221" s="250" t="s">
        <v>2030</v>
      </c>
      <c r="C221" s="250" t="s">
        <v>1935</v>
      </c>
      <c r="D221" s="251" t="s">
        <v>21</v>
      </c>
      <c r="E221" s="251" t="s">
        <v>103</v>
      </c>
      <c r="F221" s="250">
        <v>3.2500000000000001E-2</v>
      </c>
      <c r="G221" s="250">
        <v>0</v>
      </c>
      <c r="H221" s="250">
        <v>3</v>
      </c>
      <c r="I221" s="252" t="s">
        <v>239</v>
      </c>
      <c r="J221" s="251" t="s">
        <v>2136</v>
      </c>
      <c r="T221" s="292" t="s">
        <v>1756</v>
      </c>
      <c r="U221" s="283" t="s">
        <v>2355</v>
      </c>
      <c r="V221" s="285" t="s">
        <v>1771</v>
      </c>
      <c r="W221" s="293" t="str">
        <f t="shared" si="10"/>
        <v>H13</v>
      </c>
      <c r="X221" s="284" t="str">
        <f t="shared" si="10"/>
        <v>ZC</v>
      </c>
      <c r="Y221" s="271" t="s">
        <v>1767</v>
      </c>
      <c r="Z221" s="283">
        <f t="shared" si="11"/>
        <v>3.2500000000000001E-2</v>
      </c>
      <c r="AA221" s="340">
        <f t="shared" si="11"/>
        <v>0</v>
      </c>
    </row>
    <row r="222" spans="1:34" s="250" customFormat="1">
      <c r="A222" s="250" t="s">
        <v>493</v>
      </c>
      <c r="B222" s="250" t="s">
        <v>2030</v>
      </c>
      <c r="C222" s="250" t="s">
        <v>1935</v>
      </c>
      <c r="D222" s="251" t="s">
        <v>1979</v>
      </c>
      <c r="E222" s="251" t="s">
        <v>301</v>
      </c>
      <c r="F222" s="250">
        <v>7.0000000000000007E-2</v>
      </c>
      <c r="G222" s="250">
        <v>0</v>
      </c>
      <c r="H222" s="250">
        <v>3</v>
      </c>
      <c r="I222" s="252" t="s">
        <v>232</v>
      </c>
      <c r="J222" s="251"/>
      <c r="T222" s="292" t="s">
        <v>1756</v>
      </c>
      <c r="U222" s="283" t="s">
        <v>2355</v>
      </c>
      <c r="V222" s="285" t="s">
        <v>1771</v>
      </c>
      <c r="W222" s="293" t="str">
        <f t="shared" si="10"/>
        <v>H17</v>
      </c>
      <c r="X222" s="284" t="str">
        <f t="shared" si="10"/>
        <v>ABF</v>
      </c>
      <c r="Y222" s="271"/>
      <c r="Z222" s="283">
        <f t="shared" si="11"/>
        <v>7.0000000000000007E-2</v>
      </c>
      <c r="AA222" s="340">
        <f t="shared" si="11"/>
        <v>0</v>
      </c>
    </row>
    <row r="223" spans="1:34" s="250" customFormat="1">
      <c r="A223" s="250" t="s">
        <v>494</v>
      </c>
      <c r="B223" s="250" t="s">
        <v>2030</v>
      </c>
      <c r="C223" s="250" t="s">
        <v>1935</v>
      </c>
      <c r="D223" s="251" t="s">
        <v>1979</v>
      </c>
      <c r="E223" s="251" t="s">
        <v>303</v>
      </c>
      <c r="F223" s="250">
        <v>3.5000000000000003E-2</v>
      </c>
      <c r="G223" s="250">
        <v>0</v>
      </c>
      <c r="H223" s="250">
        <v>3</v>
      </c>
      <c r="I223" s="252" t="s">
        <v>239</v>
      </c>
      <c r="J223" s="251" t="s">
        <v>240</v>
      </c>
      <c r="T223" s="292" t="s">
        <v>1756</v>
      </c>
      <c r="U223" s="283" t="s">
        <v>2355</v>
      </c>
      <c r="V223" s="285" t="s">
        <v>1771</v>
      </c>
      <c r="W223" s="293" t="str">
        <f t="shared" si="10"/>
        <v>H17</v>
      </c>
      <c r="X223" s="284" t="str">
        <f t="shared" si="10"/>
        <v>AAF</v>
      </c>
      <c r="Y223" s="271"/>
      <c r="Z223" s="283">
        <f t="shared" si="11"/>
        <v>3.5000000000000003E-2</v>
      </c>
      <c r="AA223" s="340">
        <f t="shared" si="11"/>
        <v>0</v>
      </c>
    </row>
    <row r="224" spans="1:34" s="250" customFormat="1">
      <c r="A224" s="250" t="s">
        <v>495</v>
      </c>
      <c r="B224" s="250" t="s">
        <v>2030</v>
      </c>
      <c r="C224" s="250" t="s">
        <v>1935</v>
      </c>
      <c r="D224" s="251" t="s">
        <v>1979</v>
      </c>
      <c r="E224" s="251" t="s">
        <v>1989</v>
      </c>
      <c r="F224" s="250">
        <v>6.3000000000000014E-2</v>
      </c>
      <c r="G224" s="250">
        <v>0</v>
      </c>
      <c r="H224" s="250">
        <v>3</v>
      </c>
      <c r="I224" s="252" t="s">
        <v>239</v>
      </c>
      <c r="J224" s="251" t="s">
        <v>2134</v>
      </c>
      <c r="T224" s="292" t="s">
        <v>1756</v>
      </c>
      <c r="U224" s="283" t="s">
        <v>2355</v>
      </c>
      <c r="V224" s="285" t="s">
        <v>1771</v>
      </c>
      <c r="W224" s="293" t="str">
        <f t="shared" si="10"/>
        <v>H17</v>
      </c>
      <c r="X224" s="284" t="str">
        <f t="shared" si="10"/>
        <v>BAF</v>
      </c>
      <c r="Y224" s="271" t="s">
        <v>2398</v>
      </c>
      <c r="Z224" s="283">
        <f t="shared" si="11"/>
        <v>6.3000000000000014E-2</v>
      </c>
      <c r="AA224" s="340">
        <f t="shared" si="11"/>
        <v>0</v>
      </c>
      <c r="AC224" s="74"/>
      <c r="AD224" s="74"/>
      <c r="AE224" s="74"/>
      <c r="AF224" s="74"/>
      <c r="AG224" s="74"/>
      <c r="AH224" s="74"/>
    </row>
    <row r="225" spans="1:34" s="250" customFormat="1">
      <c r="A225" s="250" t="s">
        <v>496</v>
      </c>
      <c r="B225" s="250" t="s">
        <v>2030</v>
      </c>
      <c r="C225" s="250" t="s">
        <v>1935</v>
      </c>
      <c r="D225" s="251" t="s">
        <v>1979</v>
      </c>
      <c r="E225" s="251" t="s">
        <v>1990</v>
      </c>
      <c r="F225" s="250">
        <v>6.3000000000000014E-2</v>
      </c>
      <c r="G225" s="250">
        <v>0</v>
      </c>
      <c r="H225" s="250">
        <v>3</v>
      </c>
      <c r="I225" s="252" t="s">
        <v>232</v>
      </c>
      <c r="J225" s="251" t="s">
        <v>244</v>
      </c>
      <c r="T225" s="292" t="s">
        <v>1756</v>
      </c>
      <c r="U225" s="283" t="s">
        <v>2355</v>
      </c>
      <c r="V225" s="285" t="s">
        <v>1771</v>
      </c>
      <c r="W225" s="293" t="str">
        <f t="shared" si="10"/>
        <v>H17</v>
      </c>
      <c r="X225" s="284" t="str">
        <f t="shared" si="10"/>
        <v>BBF</v>
      </c>
      <c r="Y225" s="271" t="s">
        <v>2398</v>
      </c>
      <c r="Z225" s="283">
        <f t="shared" si="11"/>
        <v>6.3000000000000014E-2</v>
      </c>
      <c r="AA225" s="340">
        <f t="shared" si="11"/>
        <v>0</v>
      </c>
      <c r="AC225" s="74"/>
      <c r="AD225" s="74"/>
      <c r="AE225" s="74"/>
      <c r="AF225" s="74"/>
      <c r="AG225" s="74"/>
      <c r="AH225" s="74"/>
    </row>
    <row r="226" spans="1:34">
      <c r="A226" s="74" t="s">
        <v>497</v>
      </c>
      <c r="B226" s="74" t="s">
        <v>2030</v>
      </c>
      <c r="C226" s="74" t="s">
        <v>1935</v>
      </c>
      <c r="D226" s="74" t="s">
        <v>1979</v>
      </c>
      <c r="E226" s="74" t="s">
        <v>1991</v>
      </c>
      <c r="F226" s="74">
        <v>3.5000000000000003E-2</v>
      </c>
      <c r="G226" s="74">
        <v>0</v>
      </c>
      <c r="H226" s="74">
        <v>3</v>
      </c>
      <c r="I226" s="13" t="s">
        <v>239</v>
      </c>
      <c r="J226" s="74" t="s">
        <v>2135</v>
      </c>
      <c r="T226" s="292" t="s">
        <v>1756</v>
      </c>
      <c r="U226" s="283" t="s">
        <v>2355</v>
      </c>
      <c r="V226" s="285" t="s">
        <v>1771</v>
      </c>
      <c r="W226" s="293" t="str">
        <f t="shared" si="10"/>
        <v>H17</v>
      </c>
      <c r="X226" s="284" t="str">
        <f t="shared" si="10"/>
        <v>CAF</v>
      </c>
      <c r="Y226" s="271" t="s">
        <v>2261</v>
      </c>
      <c r="Z226" s="283">
        <f t="shared" si="11"/>
        <v>3.5000000000000003E-2</v>
      </c>
      <c r="AA226" s="340">
        <f t="shared" si="11"/>
        <v>0</v>
      </c>
    </row>
    <row r="227" spans="1:34">
      <c r="A227" s="74" t="s">
        <v>498</v>
      </c>
      <c r="B227" s="74" t="s">
        <v>2030</v>
      </c>
      <c r="C227" s="74" t="s">
        <v>1935</v>
      </c>
      <c r="D227" s="74" t="s">
        <v>1979</v>
      </c>
      <c r="E227" s="74" t="s">
        <v>1992</v>
      </c>
      <c r="F227" s="74">
        <v>3.5000000000000003E-2</v>
      </c>
      <c r="G227" s="74">
        <v>0</v>
      </c>
      <c r="H227" s="74">
        <v>3</v>
      </c>
      <c r="I227" s="13" t="s">
        <v>260</v>
      </c>
      <c r="J227" s="74" t="s">
        <v>247</v>
      </c>
      <c r="T227" s="292" t="s">
        <v>1756</v>
      </c>
      <c r="U227" s="283" t="s">
        <v>2355</v>
      </c>
      <c r="V227" s="285" t="s">
        <v>1771</v>
      </c>
      <c r="W227" s="293" t="str">
        <f t="shared" si="10"/>
        <v>H17</v>
      </c>
      <c r="X227" s="284" t="str">
        <f t="shared" si="10"/>
        <v>CBF</v>
      </c>
      <c r="Y227" s="271" t="s">
        <v>2261</v>
      </c>
      <c r="Z227" s="283">
        <f t="shared" si="11"/>
        <v>3.5000000000000003E-2</v>
      </c>
      <c r="AA227" s="340">
        <f t="shared" si="11"/>
        <v>0</v>
      </c>
    </row>
    <row r="228" spans="1:34">
      <c r="A228" s="74" t="s">
        <v>499</v>
      </c>
      <c r="B228" s="74" t="s">
        <v>2030</v>
      </c>
      <c r="C228" s="74" t="s">
        <v>1935</v>
      </c>
      <c r="D228" s="74" t="s">
        <v>1979</v>
      </c>
      <c r="E228" s="74" t="s">
        <v>1993</v>
      </c>
      <c r="F228" s="74">
        <v>1.7500000000000002E-2</v>
      </c>
      <c r="G228" s="74">
        <v>0</v>
      </c>
      <c r="H228" s="74">
        <v>3</v>
      </c>
      <c r="I228" s="13" t="s">
        <v>239</v>
      </c>
      <c r="J228" s="74" t="s">
        <v>2136</v>
      </c>
      <c r="T228" s="292" t="s">
        <v>1756</v>
      </c>
      <c r="U228" s="283" t="s">
        <v>2355</v>
      </c>
      <c r="V228" s="285" t="s">
        <v>1771</v>
      </c>
      <c r="W228" s="293" t="str">
        <f t="shared" si="10"/>
        <v>H17</v>
      </c>
      <c r="X228" s="284" t="str">
        <f t="shared" si="10"/>
        <v>DAF</v>
      </c>
      <c r="Y228" s="271" t="s">
        <v>2262</v>
      </c>
      <c r="Z228" s="283">
        <f t="shared" si="11"/>
        <v>1.7500000000000002E-2</v>
      </c>
      <c r="AA228" s="340">
        <f t="shared" si="11"/>
        <v>0</v>
      </c>
    </row>
    <row r="229" spans="1:34">
      <c r="A229" s="74" t="s">
        <v>500</v>
      </c>
      <c r="B229" s="74" t="s">
        <v>2030</v>
      </c>
      <c r="C229" s="74" t="s">
        <v>1935</v>
      </c>
      <c r="D229" s="74" t="s">
        <v>1979</v>
      </c>
      <c r="E229" s="74" t="s">
        <v>1994</v>
      </c>
      <c r="F229" s="74">
        <v>1.7500000000000002E-2</v>
      </c>
      <c r="G229" s="74">
        <v>0</v>
      </c>
      <c r="H229" s="74">
        <v>3</v>
      </c>
      <c r="I229" s="13" t="s">
        <v>263</v>
      </c>
      <c r="J229" s="74" t="s">
        <v>250</v>
      </c>
      <c r="T229" s="292" t="s">
        <v>1756</v>
      </c>
      <c r="U229" s="283" t="s">
        <v>2355</v>
      </c>
      <c r="V229" s="285" t="s">
        <v>1771</v>
      </c>
      <c r="W229" s="293" t="str">
        <f t="shared" si="10"/>
        <v>H17</v>
      </c>
      <c r="X229" s="284" t="str">
        <f t="shared" si="10"/>
        <v>DBF</v>
      </c>
      <c r="Y229" s="271" t="s">
        <v>2262</v>
      </c>
      <c r="Z229" s="283">
        <f t="shared" si="11"/>
        <v>1.7500000000000002E-2</v>
      </c>
      <c r="AA229" s="340">
        <f t="shared" si="11"/>
        <v>0</v>
      </c>
    </row>
    <row r="230" spans="1:34">
      <c r="A230" s="74" t="s">
        <v>501</v>
      </c>
      <c r="B230" s="74" t="s">
        <v>2030</v>
      </c>
      <c r="C230" s="74" t="s">
        <v>1935</v>
      </c>
      <c r="D230" s="74" t="s">
        <v>1979</v>
      </c>
      <c r="E230" s="74" t="s">
        <v>311</v>
      </c>
      <c r="F230" s="74">
        <v>6.3000000000000014E-2</v>
      </c>
      <c r="G230" s="74">
        <v>0</v>
      </c>
      <c r="H230" s="74">
        <v>3</v>
      </c>
      <c r="I230" s="13" t="s">
        <v>239</v>
      </c>
      <c r="J230" s="74" t="s">
        <v>2134</v>
      </c>
      <c r="T230" s="292" t="s">
        <v>1756</v>
      </c>
      <c r="U230" s="283" t="s">
        <v>2355</v>
      </c>
      <c r="V230" s="285" t="s">
        <v>2395</v>
      </c>
      <c r="W230" s="283" t="s">
        <v>1979</v>
      </c>
      <c r="X230" s="284" t="s">
        <v>2351</v>
      </c>
      <c r="Y230" s="271" t="s">
        <v>2398</v>
      </c>
      <c r="Z230" s="283">
        <v>6.3E-2</v>
      </c>
      <c r="AA230" s="340">
        <v>0</v>
      </c>
    </row>
    <row r="231" spans="1:34">
      <c r="A231" s="74" t="s">
        <v>502</v>
      </c>
      <c r="B231" s="74" t="s">
        <v>2030</v>
      </c>
      <c r="C231" s="74" t="s">
        <v>1935</v>
      </c>
      <c r="D231" s="74" t="s">
        <v>1979</v>
      </c>
      <c r="E231" s="74" t="s">
        <v>313</v>
      </c>
      <c r="F231" s="74">
        <v>6.3000000000000014E-2</v>
      </c>
      <c r="G231" s="74">
        <v>0</v>
      </c>
      <c r="H231" s="74">
        <v>3</v>
      </c>
      <c r="I231" s="13" t="s">
        <v>232</v>
      </c>
      <c r="J231" s="74" t="s">
        <v>244</v>
      </c>
      <c r="T231" s="292" t="s">
        <v>1756</v>
      </c>
      <c r="U231" s="283" t="s">
        <v>2355</v>
      </c>
      <c r="V231" s="285" t="s">
        <v>2395</v>
      </c>
      <c r="W231" s="283" t="s">
        <v>1979</v>
      </c>
      <c r="X231" s="284" t="s">
        <v>2352</v>
      </c>
      <c r="Y231" s="271" t="s">
        <v>2398</v>
      </c>
      <c r="Z231" s="283">
        <v>6.3E-2</v>
      </c>
      <c r="AA231" s="340">
        <v>0</v>
      </c>
    </row>
    <row r="232" spans="1:34">
      <c r="A232" s="74" t="s">
        <v>503</v>
      </c>
      <c r="B232" s="74" t="s">
        <v>2030</v>
      </c>
      <c r="C232" s="74" t="s">
        <v>1935</v>
      </c>
      <c r="D232" s="74" t="s">
        <v>2382</v>
      </c>
      <c r="E232" s="74" t="s">
        <v>315</v>
      </c>
      <c r="F232" s="74">
        <v>7.0000000000000007E-2</v>
      </c>
      <c r="G232" s="74">
        <v>0</v>
      </c>
      <c r="H232" s="74">
        <v>3</v>
      </c>
      <c r="I232" s="13" t="s">
        <v>232</v>
      </c>
      <c r="T232" s="292" t="s">
        <v>1756</v>
      </c>
      <c r="U232" s="283" t="s">
        <v>2355</v>
      </c>
      <c r="V232" s="285" t="s">
        <v>2395</v>
      </c>
      <c r="W232" s="293" t="str">
        <f t="shared" si="10"/>
        <v>H21</v>
      </c>
      <c r="X232" s="284" t="str">
        <f t="shared" si="10"/>
        <v>LBF</v>
      </c>
      <c r="Y232" s="271"/>
      <c r="Z232" s="283">
        <f t="shared" si="11"/>
        <v>7.0000000000000007E-2</v>
      </c>
      <c r="AA232" s="340">
        <f t="shared" si="11"/>
        <v>0</v>
      </c>
    </row>
    <row r="233" spans="1:34">
      <c r="A233" s="74" t="s">
        <v>504</v>
      </c>
      <c r="B233" s="74" t="s">
        <v>2030</v>
      </c>
      <c r="C233" s="74" t="s">
        <v>1935</v>
      </c>
      <c r="D233" s="74" t="s">
        <v>2382</v>
      </c>
      <c r="E233" s="74" t="s">
        <v>317</v>
      </c>
      <c r="F233" s="74">
        <v>3.5000000000000003E-2</v>
      </c>
      <c r="G233" s="74">
        <v>0</v>
      </c>
      <c r="H233" s="74">
        <v>3</v>
      </c>
      <c r="I233" s="13" t="s">
        <v>239</v>
      </c>
      <c r="J233" s="74" t="s">
        <v>240</v>
      </c>
      <c r="T233" s="292" t="s">
        <v>1756</v>
      </c>
      <c r="U233" s="283" t="s">
        <v>2355</v>
      </c>
      <c r="V233" s="285" t="s">
        <v>2395</v>
      </c>
      <c r="W233" s="293" t="str">
        <f t="shared" si="10"/>
        <v>H21</v>
      </c>
      <c r="X233" s="284" t="str">
        <f t="shared" si="10"/>
        <v>LAF</v>
      </c>
      <c r="Y233" s="271"/>
      <c r="Z233" s="283">
        <f t="shared" si="11"/>
        <v>3.5000000000000003E-2</v>
      </c>
      <c r="AA233" s="340">
        <f t="shared" si="11"/>
        <v>0</v>
      </c>
    </row>
    <row r="234" spans="1:34">
      <c r="A234" s="74" t="s">
        <v>505</v>
      </c>
      <c r="B234" s="74" t="s">
        <v>2030</v>
      </c>
      <c r="C234" s="74" t="s">
        <v>1935</v>
      </c>
      <c r="D234" s="74" t="s">
        <v>2382</v>
      </c>
      <c r="E234" s="74" t="s">
        <v>319</v>
      </c>
      <c r="F234" s="74">
        <v>3.5000000000000003E-2</v>
      </c>
      <c r="G234" s="74">
        <v>0</v>
      </c>
      <c r="H234" s="74">
        <v>3</v>
      </c>
      <c r="I234" s="13" t="s">
        <v>260</v>
      </c>
      <c r="J234" s="74" t="s">
        <v>2261</v>
      </c>
      <c r="T234" s="292" t="s">
        <v>1756</v>
      </c>
      <c r="U234" s="283" t="s">
        <v>2355</v>
      </c>
      <c r="V234" s="285" t="s">
        <v>2395</v>
      </c>
      <c r="W234" s="293" t="str">
        <f t="shared" si="10"/>
        <v>H21</v>
      </c>
      <c r="X234" s="284" t="str">
        <f t="shared" si="10"/>
        <v>MBF</v>
      </c>
      <c r="Y234" s="271" t="s">
        <v>2261</v>
      </c>
      <c r="Z234" s="283">
        <f t="shared" si="11"/>
        <v>3.5000000000000003E-2</v>
      </c>
      <c r="AA234" s="340">
        <f t="shared" si="11"/>
        <v>0</v>
      </c>
    </row>
    <row r="235" spans="1:34">
      <c r="A235" s="74" t="s">
        <v>506</v>
      </c>
      <c r="B235" s="74" t="s">
        <v>2030</v>
      </c>
      <c r="C235" s="74" t="s">
        <v>1935</v>
      </c>
      <c r="D235" s="74" t="s">
        <v>2382</v>
      </c>
      <c r="E235" s="74" t="s">
        <v>321</v>
      </c>
      <c r="F235" s="74">
        <v>3.5000000000000003E-2</v>
      </c>
      <c r="G235" s="74">
        <v>0</v>
      </c>
      <c r="H235" s="74">
        <v>3</v>
      </c>
      <c r="I235" s="13" t="s">
        <v>239</v>
      </c>
      <c r="J235" s="74" t="s">
        <v>2385</v>
      </c>
      <c r="T235" s="292" t="s">
        <v>1756</v>
      </c>
      <c r="U235" s="283" t="s">
        <v>2355</v>
      </c>
      <c r="V235" s="285" t="s">
        <v>2395</v>
      </c>
      <c r="W235" s="293" t="str">
        <f t="shared" si="10"/>
        <v>H21</v>
      </c>
      <c r="X235" s="284" t="str">
        <f t="shared" si="10"/>
        <v>MAF</v>
      </c>
      <c r="Y235" s="271" t="s">
        <v>2261</v>
      </c>
      <c r="Z235" s="283">
        <f t="shared" si="11"/>
        <v>3.5000000000000003E-2</v>
      </c>
      <c r="AA235" s="340">
        <f t="shared" si="11"/>
        <v>0</v>
      </c>
    </row>
    <row r="236" spans="1:34">
      <c r="A236" s="74" t="s">
        <v>507</v>
      </c>
      <c r="B236" s="74" t="s">
        <v>2030</v>
      </c>
      <c r="C236" s="74" t="s">
        <v>1935</v>
      </c>
      <c r="D236" s="74" t="s">
        <v>2382</v>
      </c>
      <c r="E236" s="74" t="s">
        <v>323</v>
      </c>
      <c r="F236" s="74">
        <v>1.7500000000000002E-2</v>
      </c>
      <c r="G236" s="74">
        <v>0</v>
      </c>
      <c r="H236" s="74">
        <v>3</v>
      </c>
      <c r="I236" s="13" t="s">
        <v>263</v>
      </c>
      <c r="J236" s="74" t="s">
        <v>2262</v>
      </c>
      <c r="T236" s="292" t="s">
        <v>1756</v>
      </c>
      <c r="U236" s="283" t="s">
        <v>2355</v>
      </c>
      <c r="V236" s="285" t="s">
        <v>2395</v>
      </c>
      <c r="W236" s="293" t="str">
        <f t="shared" ref="W236:X307" si="12">D236</f>
        <v>H21</v>
      </c>
      <c r="X236" s="284" t="str">
        <f t="shared" si="12"/>
        <v>RBF</v>
      </c>
      <c r="Y236" s="271" t="s">
        <v>2262</v>
      </c>
      <c r="Z236" s="283">
        <f t="shared" si="11"/>
        <v>1.7500000000000002E-2</v>
      </c>
      <c r="AA236" s="340">
        <f t="shared" si="11"/>
        <v>0</v>
      </c>
    </row>
    <row r="237" spans="1:34">
      <c r="A237" s="74" t="s">
        <v>508</v>
      </c>
      <c r="B237" s="74" t="s">
        <v>2030</v>
      </c>
      <c r="C237" s="74" t="s">
        <v>1935</v>
      </c>
      <c r="D237" s="74" t="s">
        <v>2382</v>
      </c>
      <c r="E237" s="74" t="s">
        <v>325</v>
      </c>
      <c r="F237" s="74">
        <v>1.7500000000000002E-2</v>
      </c>
      <c r="G237" s="74">
        <v>0</v>
      </c>
      <c r="H237" s="74">
        <v>3</v>
      </c>
      <c r="I237" s="13" t="s">
        <v>239</v>
      </c>
      <c r="J237" s="74" t="s">
        <v>2386</v>
      </c>
      <c r="T237" s="292" t="s">
        <v>1756</v>
      </c>
      <c r="U237" s="283" t="s">
        <v>2355</v>
      </c>
      <c r="V237" s="285" t="s">
        <v>2395</v>
      </c>
      <c r="W237" s="293" t="str">
        <f t="shared" si="12"/>
        <v>H21</v>
      </c>
      <c r="X237" s="284" t="str">
        <f t="shared" si="12"/>
        <v>RAF</v>
      </c>
      <c r="Y237" s="271" t="s">
        <v>2262</v>
      </c>
      <c r="Z237" s="283">
        <f t="shared" si="11"/>
        <v>1.7500000000000002E-2</v>
      </c>
      <c r="AA237" s="340">
        <f t="shared" si="11"/>
        <v>0</v>
      </c>
    </row>
    <row r="238" spans="1:34">
      <c r="A238" s="74" t="s">
        <v>509</v>
      </c>
      <c r="B238" s="74" t="s">
        <v>2030</v>
      </c>
      <c r="C238" s="74" t="s">
        <v>1935</v>
      </c>
      <c r="D238" s="74" t="s">
        <v>2382</v>
      </c>
      <c r="E238" s="74" t="s">
        <v>327</v>
      </c>
      <c r="F238" s="74">
        <v>6.3E-2</v>
      </c>
      <c r="G238" s="74">
        <v>0</v>
      </c>
      <c r="H238" s="74">
        <v>3</v>
      </c>
      <c r="I238" s="13" t="s">
        <v>232</v>
      </c>
      <c r="J238" s="74" t="s">
        <v>244</v>
      </c>
      <c r="T238" s="292" t="s">
        <v>1760</v>
      </c>
      <c r="U238" s="283" t="s">
        <v>1051</v>
      </c>
      <c r="V238" s="285" t="s">
        <v>2395</v>
      </c>
      <c r="W238" s="293" t="s">
        <v>2382</v>
      </c>
      <c r="X238" s="284" t="s">
        <v>327</v>
      </c>
      <c r="Y238" s="271" t="s">
        <v>1762</v>
      </c>
      <c r="Z238" s="283">
        <v>6.3E-2</v>
      </c>
      <c r="AA238" s="340">
        <v>0</v>
      </c>
    </row>
    <row r="239" spans="1:34">
      <c r="A239" s="74" t="s">
        <v>510</v>
      </c>
      <c r="B239" s="74" t="s">
        <v>2030</v>
      </c>
      <c r="C239" s="74" t="s">
        <v>1935</v>
      </c>
      <c r="D239" s="74" t="s">
        <v>2382</v>
      </c>
      <c r="E239" s="74" t="s">
        <v>329</v>
      </c>
      <c r="F239" s="74">
        <v>6.3E-2</v>
      </c>
      <c r="G239" s="74">
        <v>0</v>
      </c>
      <c r="H239" s="74">
        <v>3</v>
      </c>
      <c r="I239" s="13" t="s">
        <v>239</v>
      </c>
      <c r="J239" s="74" t="s">
        <v>2134</v>
      </c>
      <c r="T239" s="292" t="s">
        <v>1760</v>
      </c>
      <c r="U239" s="283" t="s">
        <v>1051</v>
      </c>
      <c r="V239" s="285" t="s">
        <v>2395</v>
      </c>
      <c r="W239" s="293" t="s">
        <v>2382</v>
      </c>
      <c r="X239" s="284" t="s">
        <v>329</v>
      </c>
      <c r="Y239" s="271" t="s">
        <v>1762</v>
      </c>
      <c r="Z239" s="283">
        <v>6.3E-2</v>
      </c>
      <c r="AA239" s="340">
        <v>0</v>
      </c>
    </row>
    <row r="240" spans="1:34">
      <c r="A240" s="74" t="s">
        <v>511</v>
      </c>
      <c r="B240" s="74" t="s">
        <v>2031</v>
      </c>
      <c r="C240" s="74" t="s">
        <v>1936</v>
      </c>
      <c r="D240" s="74" t="s">
        <v>2458</v>
      </c>
      <c r="E240" s="74" t="s">
        <v>2457</v>
      </c>
      <c r="F240" s="74">
        <v>1.17</v>
      </c>
      <c r="G240" s="74">
        <v>0</v>
      </c>
      <c r="H240" s="74">
        <v>3</v>
      </c>
      <c r="I240" s="13" t="s">
        <v>232</v>
      </c>
      <c r="T240" s="292" t="s">
        <v>1756</v>
      </c>
      <c r="U240" s="283" t="s">
        <v>2355</v>
      </c>
      <c r="V240" s="285" t="s">
        <v>1772</v>
      </c>
      <c r="W240" s="293" t="str">
        <f t="shared" si="12"/>
        <v>S54前</v>
      </c>
      <c r="X240" s="284" t="str">
        <f t="shared" si="12"/>
        <v>-</v>
      </c>
      <c r="Y240" s="271"/>
      <c r="Z240" s="283">
        <f t="shared" si="11"/>
        <v>1.17</v>
      </c>
      <c r="AA240" s="340">
        <f t="shared" si="11"/>
        <v>0</v>
      </c>
    </row>
    <row r="241" spans="1:34">
      <c r="A241" s="74" t="s">
        <v>512</v>
      </c>
      <c r="B241" s="74" t="s">
        <v>2031</v>
      </c>
      <c r="C241" s="74" t="s">
        <v>1936</v>
      </c>
      <c r="D241" s="74" t="s">
        <v>0</v>
      </c>
      <c r="E241" s="74" t="s">
        <v>7</v>
      </c>
      <c r="F241" s="74">
        <v>0.83</v>
      </c>
      <c r="G241" s="74">
        <v>0</v>
      </c>
      <c r="H241" s="74">
        <v>3</v>
      </c>
      <c r="I241" s="13" t="s">
        <v>232</v>
      </c>
      <c r="T241" s="292" t="s">
        <v>1756</v>
      </c>
      <c r="U241" s="283" t="s">
        <v>2355</v>
      </c>
      <c r="V241" s="285" t="s">
        <v>1772</v>
      </c>
      <c r="W241" s="293" t="str">
        <f t="shared" si="12"/>
        <v>S54</v>
      </c>
      <c r="X241" s="284" t="str">
        <f t="shared" si="12"/>
        <v>J</v>
      </c>
      <c r="Y241" s="271"/>
      <c r="Z241" s="283">
        <f t="shared" si="11"/>
        <v>0.83</v>
      </c>
      <c r="AA241" s="340">
        <f t="shared" si="11"/>
        <v>0</v>
      </c>
    </row>
    <row r="242" spans="1:34">
      <c r="A242" s="74" t="s">
        <v>513</v>
      </c>
      <c r="B242" s="74" t="s">
        <v>2031</v>
      </c>
      <c r="C242" s="74" t="s">
        <v>1936</v>
      </c>
      <c r="D242" s="74" t="s">
        <v>24</v>
      </c>
      <c r="E242" s="74" t="s">
        <v>25</v>
      </c>
      <c r="F242" s="74">
        <v>0.56999999999999995</v>
      </c>
      <c r="G242" s="74">
        <v>0</v>
      </c>
      <c r="H242" s="74">
        <v>3</v>
      </c>
      <c r="I242" s="13" t="s">
        <v>232</v>
      </c>
      <c r="T242" s="292" t="s">
        <v>1756</v>
      </c>
      <c r="U242" s="283" t="s">
        <v>2355</v>
      </c>
      <c r="V242" s="285" t="s">
        <v>1772</v>
      </c>
      <c r="W242" s="293" t="str">
        <f t="shared" si="12"/>
        <v>S57</v>
      </c>
      <c r="X242" s="284" t="str">
        <f t="shared" si="12"/>
        <v>M</v>
      </c>
      <c r="Y242" s="271"/>
      <c r="Z242" s="283">
        <f t="shared" si="11"/>
        <v>0.56999999999999995</v>
      </c>
      <c r="AA242" s="340">
        <f t="shared" si="11"/>
        <v>0</v>
      </c>
    </row>
    <row r="243" spans="1:34">
      <c r="A243" s="74" t="s">
        <v>514</v>
      </c>
      <c r="B243" s="74" t="s">
        <v>2031</v>
      </c>
      <c r="C243" s="74" t="s">
        <v>1936</v>
      </c>
      <c r="D243" s="74" t="s">
        <v>18</v>
      </c>
      <c r="E243" s="74" t="s">
        <v>19</v>
      </c>
      <c r="F243" s="74">
        <v>0.49</v>
      </c>
      <c r="G243" s="74">
        <v>0</v>
      </c>
      <c r="H243" s="74">
        <v>3</v>
      </c>
      <c r="I243" s="13" t="s">
        <v>232</v>
      </c>
      <c r="T243" s="292" t="s">
        <v>1756</v>
      </c>
      <c r="U243" s="283" t="s">
        <v>2355</v>
      </c>
      <c r="V243" s="285" t="s">
        <v>1772</v>
      </c>
      <c r="W243" s="293" t="str">
        <f t="shared" si="12"/>
        <v>H元</v>
      </c>
      <c r="X243" s="284" t="str">
        <f t="shared" si="12"/>
        <v>T</v>
      </c>
      <c r="Y243" s="271"/>
      <c r="Z243" s="283">
        <f t="shared" si="11"/>
        <v>0.49</v>
      </c>
      <c r="AA243" s="340">
        <f t="shared" si="11"/>
        <v>0</v>
      </c>
    </row>
    <row r="244" spans="1:34">
      <c r="A244" s="74" t="s">
        <v>515</v>
      </c>
      <c r="B244" s="74" t="s">
        <v>2031</v>
      </c>
      <c r="C244" s="74" t="s">
        <v>1936</v>
      </c>
      <c r="D244" s="74" t="s">
        <v>1998</v>
      </c>
      <c r="E244" s="74" t="s">
        <v>26</v>
      </c>
      <c r="F244" s="268">
        <v>0.4</v>
      </c>
      <c r="G244" s="74">
        <v>0</v>
      </c>
      <c r="H244" s="74">
        <v>3</v>
      </c>
      <c r="I244" s="13" t="s">
        <v>232</v>
      </c>
      <c r="T244" s="292" t="s">
        <v>1756</v>
      </c>
      <c r="U244" s="283" t="s">
        <v>2355</v>
      </c>
      <c r="V244" s="285" t="s">
        <v>1772</v>
      </c>
      <c r="W244" s="293" t="str">
        <f t="shared" si="12"/>
        <v>H4</v>
      </c>
      <c r="X244" s="284" t="str">
        <f t="shared" si="12"/>
        <v>Z</v>
      </c>
      <c r="Y244" s="271"/>
      <c r="Z244" s="283">
        <f t="shared" si="11"/>
        <v>0.4</v>
      </c>
      <c r="AA244" s="340">
        <f t="shared" si="11"/>
        <v>0</v>
      </c>
    </row>
    <row r="245" spans="1:34">
      <c r="A245" s="74" t="s">
        <v>516</v>
      </c>
      <c r="B245" s="74" t="s">
        <v>2031</v>
      </c>
      <c r="C245" s="74" t="s">
        <v>1936</v>
      </c>
      <c r="D245" s="74" t="s">
        <v>1999</v>
      </c>
      <c r="E245" s="74" t="s">
        <v>50</v>
      </c>
      <c r="F245" s="268">
        <v>0.33</v>
      </c>
      <c r="G245" s="74">
        <v>0</v>
      </c>
      <c r="H245" s="74">
        <v>3</v>
      </c>
      <c r="I245" s="13" t="s">
        <v>232</v>
      </c>
      <c r="T245" s="292" t="s">
        <v>1756</v>
      </c>
      <c r="U245" s="283" t="s">
        <v>2355</v>
      </c>
      <c r="V245" s="285" t="s">
        <v>1772</v>
      </c>
      <c r="W245" s="293" t="str">
        <f t="shared" si="12"/>
        <v>H7,H10</v>
      </c>
      <c r="X245" s="284" t="str">
        <f t="shared" si="12"/>
        <v>GB</v>
      </c>
      <c r="Y245" s="271"/>
      <c r="Z245" s="283">
        <f t="shared" si="11"/>
        <v>0.33</v>
      </c>
      <c r="AA245" s="340">
        <f t="shared" si="11"/>
        <v>0</v>
      </c>
    </row>
    <row r="246" spans="1:34">
      <c r="A246" s="74" t="s">
        <v>517</v>
      </c>
      <c r="B246" s="74" t="s">
        <v>2031</v>
      </c>
      <c r="C246" s="74" t="s">
        <v>1936</v>
      </c>
      <c r="D246" s="74" t="s">
        <v>1999</v>
      </c>
      <c r="E246" s="74" t="s">
        <v>52</v>
      </c>
      <c r="F246" s="74">
        <v>0.33</v>
      </c>
      <c r="G246" s="74">
        <v>0</v>
      </c>
      <c r="H246" s="74">
        <v>3</v>
      </c>
      <c r="I246" s="13" t="s">
        <v>232</v>
      </c>
      <c r="T246" s="292" t="s">
        <v>1756</v>
      </c>
      <c r="U246" s="283" t="s">
        <v>2355</v>
      </c>
      <c r="V246" s="285" t="s">
        <v>1772</v>
      </c>
      <c r="W246" s="293" t="str">
        <f t="shared" si="12"/>
        <v>H7,H10</v>
      </c>
      <c r="X246" s="284" t="str">
        <f t="shared" si="12"/>
        <v>GE</v>
      </c>
      <c r="Y246" s="271"/>
      <c r="Z246" s="283">
        <f t="shared" si="11"/>
        <v>0.33</v>
      </c>
      <c r="AA246" s="340">
        <f t="shared" si="11"/>
        <v>0</v>
      </c>
    </row>
    <row r="247" spans="1:34">
      <c r="A247" s="74" t="s">
        <v>518</v>
      </c>
      <c r="B247" s="74" t="s">
        <v>2031</v>
      </c>
      <c r="C247" s="74" t="s">
        <v>1936</v>
      </c>
      <c r="D247" s="74" t="s">
        <v>1999</v>
      </c>
      <c r="E247" s="74" t="s">
        <v>60</v>
      </c>
      <c r="F247" s="74">
        <v>0.16500000000000001</v>
      </c>
      <c r="G247" s="74">
        <v>0</v>
      </c>
      <c r="H247" s="74">
        <v>3</v>
      </c>
      <c r="I247" s="13" t="s">
        <v>239</v>
      </c>
      <c r="J247" s="74" t="s">
        <v>240</v>
      </c>
      <c r="T247" s="292" t="s">
        <v>1756</v>
      </c>
      <c r="U247" s="283" t="s">
        <v>2355</v>
      </c>
      <c r="V247" s="285" t="s">
        <v>1772</v>
      </c>
      <c r="W247" s="293" t="str">
        <f t="shared" si="12"/>
        <v>H7,H10</v>
      </c>
      <c r="X247" s="284" t="str">
        <f t="shared" si="12"/>
        <v>HJ</v>
      </c>
      <c r="Y247" s="271"/>
      <c r="Z247" s="283">
        <f t="shared" si="11"/>
        <v>0.16500000000000001</v>
      </c>
      <c r="AA247" s="340">
        <f t="shared" si="11"/>
        <v>0</v>
      </c>
    </row>
    <row r="248" spans="1:34">
      <c r="A248" s="74" t="s">
        <v>519</v>
      </c>
      <c r="B248" s="74" t="s">
        <v>2031</v>
      </c>
      <c r="C248" s="74" t="s">
        <v>1936</v>
      </c>
      <c r="D248" s="74" t="s">
        <v>21</v>
      </c>
      <c r="E248" s="74" t="s">
        <v>58</v>
      </c>
      <c r="F248" s="74">
        <v>0.1</v>
      </c>
      <c r="G248" s="74">
        <v>0</v>
      </c>
      <c r="H248" s="74">
        <v>3</v>
      </c>
      <c r="I248" s="13" t="s">
        <v>232</v>
      </c>
      <c r="T248" s="292" t="s">
        <v>1756</v>
      </c>
      <c r="U248" s="283" t="s">
        <v>2355</v>
      </c>
      <c r="V248" s="285" t="s">
        <v>1772</v>
      </c>
      <c r="W248" s="293" t="str">
        <f t="shared" si="12"/>
        <v>H13</v>
      </c>
      <c r="X248" s="284" t="str">
        <f t="shared" si="12"/>
        <v>GL</v>
      </c>
      <c r="Y248" s="271"/>
      <c r="Z248" s="283">
        <f t="shared" si="11"/>
        <v>0.1</v>
      </c>
      <c r="AA248" s="340">
        <f t="shared" si="11"/>
        <v>0</v>
      </c>
      <c r="AC248" s="268"/>
      <c r="AD248" s="268"/>
      <c r="AE248" s="268"/>
      <c r="AF248" s="268"/>
      <c r="AG248" s="268"/>
      <c r="AH248" s="268"/>
    </row>
    <row r="249" spans="1:34">
      <c r="A249" s="74" t="s">
        <v>520</v>
      </c>
      <c r="B249" s="74" t="s">
        <v>2031</v>
      </c>
      <c r="C249" s="74" t="s">
        <v>1936</v>
      </c>
      <c r="D249" s="74" t="s">
        <v>21</v>
      </c>
      <c r="E249" s="74" t="s">
        <v>69</v>
      </c>
      <c r="F249" s="74">
        <v>0.05</v>
      </c>
      <c r="G249" s="74">
        <v>0</v>
      </c>
      <c r="H249" s="74">
        <v>3</v>
      </c>
      <c r="I249" s="13" t="s">
        <v>239</v>
      </c>
      <c r="J249" s="74" t="s">
        <v>240</v>
      </c>
      <c r="T249" s="292" t="s">
        <v>1756</v>
      </c>
      <c r="U249" s="283" t="s">
        <v>2355</v>
      </c>
      <c r="V249" s="285" t="s">
        <v>1772</v>
      </c>
      <c r="W249" s="293" t="str">
        <f t="shared" si="12"/>
        <v>H13</v>
      </c>
      <c r="X249" s="284" t="str">
        <f t="shared" si="12"/>
        <v>HR</v>
      </c>
      <c r="Y249" s="271"/>
      <c r="Z249" s="283">
        <f t="shared" si="11"/>
        <v>0.05</v>
      </c>
      <c r="AA249" s="340">
        <f t="shared" si="11"/>
        <v>0</v>
      </c>
      <c r="AC249" s="268"/>
      <c r="AD249" s="268"/>
      <c r="AE249" s="268"/>
      <c r="AF249" s="268"/>
      <c r="AG249" s="268"/>
      <c r="AH249" s="268"/>
    </row>
    <row r="250" spans="1:34" s="268" customFormat="1">
      <c r="A250" s="268" t="s">
        <v>521</v>
      </c>
      <c r="B250" s="268" t="s">
        <v>2031</v>
      </c>
      <c r="C250" s="268" t="s">
        <v>1936</v>
      </c>
      <c r="D250" s="268" t="s">
        <v>21</v>
      </c>
      <c r="E250" s="269" t="s">
        <v>82</v>
      </c>
      <c r="F250" s="268">
        <v>7.4999999999999997E-2</v>
      </c>
      <c r="G250" s="268">
        <v>0</v>
      </c>
      <c r="H250" s="268">
        <v>3</v>
      </c>
      <c r="I250" s="267" t="s">
        <v>232</v>
      </c>
      <c r="J250" s="269" t="s">
        <v>244</v>
      </c>
      <c r="T250" s="292" t="s">
        <v>1756</v>
      </c>
      <c r="U250" s="283" t="s">
        <v>2355</v>
      </c>
      <c r="V250" s="285" t="s">
        <v>1772</v>
      </c>
      <c r="W250" s="293" t="str">
        <f t="shared" si="12"/>
        <v>H13</v>
      </c>
      <c r="X250" s="284" t="str">
        <f t="shared" si="12"/>
        <v>TD</v>
      </c>
      <c r="Y250" s="271" t="s">
        <v>1765</v>
      </c>
      <c r="Z250" s="283">
        <f t="shared" si="11"/>
        <v>7.4999999999999997E-2</v>
      </c>
      <c r="AA250" s="340">
        <f t="shared" si="11"/>
        <v>0</v>
      </c>
      <c r="AC250" s="250"/>
      <c r="AD250" s="250"/>
      <c r="AE250" s="250"/>
      <c r="AF250" s="250"/>
      <c r="AG250" s="250"/>
      <c r="AH250" s="250"/>
    </row>
    <row r="251" spans="1:34" s="268" customFormat="1">
      <c r="A251" s="268" t="s">
        <v>522</v>
      </c>
      <c r="B251" s="268" t="s">
        <v>2031</v>
      </c>
      <c r="C251" s="268" t="s">
        <v>1936</v>
      </c>
      <c r="D251" s="268" t="s">
        <v>21</v>
      </c>
      <c r="E251" s="269" t="s">
        <v>96</v>
      </c>
      <c r="F251" s="268">
        <v>7.4999999999999997E-2</v>
      </c>
      <c r="G251" s="268">
        <v>0</v>
      </c>
      <c r="H251" s="268">
        <v>3</v>
      </c>
      <c r="I251" s="267" t="s">
        <v>239</v>
      </c>
      <c r="J251" s="269" t="s">
        <v>2134</v>
      </c>
      <c r="T251" s="292" t="s">
        <v>1756</v>
      </c>
      <c r="U251" s="283" t="s">
        <v>2355</v>
      </c>
      <c r="V251" s="285" t="s">
        <v>1772</v>
      </c>
      <c r="W251" s="293" t="str">
        <f t="shared" si="12"/>
        <v>H13</v>
      </c>
      <c r="X251" s="284" t="str">
        <f t="shared" si="12"/>
        <v>XD</v>
      </c>
      <c r="Y251" s="271" t="s">
        <v>1765</v>
      </c>
      <c r="Z251" s="283">
        <f t="shared" si="11"/>
        <v>7.4999999999999997E-2</v>
      </c>
      <c r="AA251" s="340">
        <f t="shared" si="11"/>
        <v>0</v>
      </c>
      <c r="AC251" s="250"/>
      <c r="AD251" s="250"/>
      <c r="AE251" s="250"/>
      <c r="AF251" s="250"/>
      <c r="AG251" s="250"/>
      <c r="AH251" s="250"/>
    </row>
    <row r="252" spans="1:34" s="250" customFormat="1">
      <c r="A252" s="250" t="s">
        <v>523</v>
      </c>
      <c r="B252" s="250" t="s">
        <v>2031</v>
      </c>
      <c r="C252" s="250" t="s">
        <v>1936</v>
      </c>
      <c r="D252" s="251" t="s">
        <v>21</v>
      </c>
      <c r="E252" s="251" t="s">
        <v>73</v>
      </c>
      <c r="F252" s="250">
        <v>0.05</v>
      </c>
      <c r="G252" s="250">
        <v>0</v>
      </c>
      <c r="H252" s="250">
        <v>3</v>
      </c>
      <c r="I252" s="252" t="s">
        <v>232</v>
      </c>
      <c r="J252" s="250" t="s">
        <v>247</v>
      </c>
      <c r="T252" s="292" t="s">
        <v>1756</v>
      </c>
      <c r="U252" s="283" t="s">
        <v>2355</v>
      </c>
      <c r="V252" s="285" t="s">
        <v>1772</v>
      </c>
      <c r="W252" s="293" t="str">
        <f t="shared" si="12"/>
        <v>H13</v>
      </c>
      <c r="X252" s="284" t="str">
        <f t="shared" si="12"/>
        <v>LD</v>
      </c>
      <c r="Y252" s="271" t="s">
        <v>1766</v>
      </c>
      <c r="Z252" s="283">
        <f t="shared" si="11"/>
        <v>0.05</v>
      </c>
      <c r="AA252" s="340">
        <f t="shared" si="11"/>
        <v>0</v>
      </c>
    </row>
    <row r="253" spans="1:34" s="250" customFormat="1">
      <c r="A253" s="250" t="s">
        <v>524</v>
      </c>
      <c r="B253" s="250" t="s">
        <v>2031</v>
      </c>
      <c r="C253" s="250" t="s">
        <v>1936</v>
      </c>
      <c r="D253" s="251" t="s">
        <v>21</v>
      </c>
      <c r="E253" s="251" t="s">
        <v>100</v>
      </c>
      <c r="F253" s="250">
        <v>0.05</v>
      </c>
      <c r="G253" s="250">
        <v>0</v>
      </c>
      <c r="H253" s="250">
        <v>3</v>
      </c>
      <c r="I253" s="252" t="s">
        <v>239</v>
      </c>
      <c r="J253" s="251" t="s">
        <v>2135</v>
      </c>
      <c r="T253" s="292" t="s">
        <v>1756</v>
      </c>
      <c r="U253" s="283" t="s">
        <v>2355</v>
      </c>
      <c r="V253" s="285" t="s">
        <v>1772</v>
      </c>
      <c r="W253" s="293" t="str">
        <f t="shared" si="12"/>
        <v>H13</v>
      </c>
      <c r="X253" s="284" t="str">
        <f t="shared" si="12"/>
        <v>YD</v>
      </c>
      <c r="Y253" s="271" t="s">
        <v>1766</v>
      </c>
      <c r="Z253" s="283">
        <f t="shared" si="11"/>
        <v>0.05</v>
      </c>
      <c r="AA253" s="340">
        <f t="shared" si="11"/>
        <v>0</v>
      </c>
    </row>
    <row r="254" spans="1:34" s="250" customFormat="1">
      <c r="A254" s="250" t="s">
        <v>525</v>
      </c>
      <c r="B254" s="250" t="s">
        <v>2031</v>
      </c>
      <c r="C254" s="250" t="s">
        <v>1936</v>
      </c>
      <c r="D254" s="251" t="s">
        <v>21</v>
      </c>
      <c r="E254" s="251" t="s">
        <v>89</v>
      </c>
      <c r="F254" s="250">
        <v>2.5000000000000001E-2</v>
      </c>
      <c r="G254" s="250">
        <v>0</v>
      </c>
      <c r="H254" s="250">
        <v>3</v>
      </c>
      <c r="I254" s="252" t="s">
        <v>232</v>
      </c>
      <c r="J254" s="251" t="s">
        <v>250</v>
      </c>
      <c r="T254" s="292" t="s">
        <v>1756</v>
      </c>
      <c r="U254" s="283" t="s">
        <v>2355</v>
      </c>
      <c r="V254" s="285" t="s">
        <v>1772</v>
      </c>
      <c r="W254" s="293" t="str">
        <f t="shared" si="12"/>
        <v>H13</v>
      </c>
      <c r="X254" s="284" t="str">
        <f t="shared" si="12"/>
        <v>UD</v>
      </c>
      <c r="Y254" s="271" t="s">
        <v>1767</v>
      </c>
      <c r="Z254" s="283">
        <f t="shared" si="11"/>
        <v>2.5000000000000001E-2</v>
      </c>
      <c r="AA254" s="340">
        <f t="shared" si="11"/>
        <v>0</v>
      </c>
    </row>
    <row r="255" spans="1:34" s="250" customFormat="1">
      <c r="A255" s="250" t="s">
        <v>526</v>
      </c>
      <c r="B255" s="250" t="s">
        <v>2031</v>
      </c>
      <c r="C255" s="250" t="s">
        <v>1936</v>
      </c>
      <c r="D255" s="251" t="s">
        <v>21</v>
      </c>
      <c r="E255" s="251" t="s">
        <v>104</v>
      </c>
      <c r="F255" s="250">
        <v>2.5000000000000001E-2</v>
      </c>
      <c r="G255" s="250">
        <v>0</v>
      </c>
      <c r="H255" s="250">
        <v>3</v>
      </c>
      <c r="I255" s="252" t="s">
        <v>239</v>
      </c>
      <c r="J255" s="251" t="s">
        <v>2136</v>
      </c>
      <c r="T255" s="292" t="s">
        <v>1756</v>
      </c>
      <c r="U255" s="283" t="s">
        <v>2355</v>
      </c>
      <c r="V255" s="285" t="s">
        <v>1772</v>
      </c>
      <c r="W255" s="293" t="str">
        <f t="shared" si="12"/>
        <v>H13</v>
      </c>
      <c r="X255" s="284" t="str">
        <f t="shared" si="12"/>
        <v>ZD</v>
      </c>
      <c r="Y255" s="271" t="s">
        <v>1767</v>
      </c>
      <c r="Z255" s="283">
        <f t="shared" si="11"/>
        <v>2.5000000000000001E-2</v>
      </c>
      <c r="AA255" s="340">
        <f t="shared" si="11"/>
        <v>0</v>
      </c>
    </row>
    <row r="256" spans="1:34" s="250" customFormat="1">
      <c r="A256" s="250" t="s">
        <v>527</v>
      </c>
      <c r="B256" s="250" t="s">
        <v>2031</v>
      </c>
      <c r="C256" s="250" t="s">
        <v>1936</v>
      </c>
      <c r="D256" s="251" t="s">
        <v>1979</v>
      </c>
      <c r="E256" s="251" t="s">
        <v>381</v>
      </c>
      <c r="F256" s="250">
        <v>0.05</v>
      </c>
      <c r="G256" s="250">
        <v>0</v>
      </c>
      <c r="H256" s="250">
        <v>3</v>
      </c>
      <c r="I256" s="252" t="s">
        <v>232</v>
      </c>
      <c r="J256" s="251"/>
      <c r="T256" s="292" t="s">
        <v>1756</v>
      </c>
      <c r="U256" s="283" t="s">
        <v>2355</v>
      </c>
      <c r="V256" s="285" t="s">
        <v>1772</v>
      </c>
      <c r="W256" s="293" t="str">
        <f t="shared" si="12"/>
        <v>H17</v>
      </c>
      <c r="X256" s="284" t="str">
        <f t="shared" si="12"/>
        <v>ABG</v>
      </c>
      <c r="Y256" s="271"/>
      <c r="Z256" s="283">
        <f t="shared" si="11"/>
        <v>0.05</v>
      </c>
      <c r="AA256" s="340">
        <f t="shared" si="11"/>
        <v>0</v>
      </c>
      <c r="AC256" s="74"/>
      <c r="AD256" s="74"/>
      <c r="AE256" s="74"/>
      <c r="AF256" s="74"/>
      <c r="AG256" s="74"/>
      <c r="AH256" s="74"/>
    </row>
    <row r="257" spans="1:34" s="250" customFormat="1">
      <c r="A257" s="250" t="s">
        <v>528</v>
      </c>
      <c r="B257" s="250" t="s">
        <v>2031</v>
      </c>
      <c r="C257" s="250" t="s">
        <v>1936</v>
      </c>
      <c r="D257" s="251" t="s">
        <v>1979</v>
      </c>
      <c r="E257" s="251" t="s">
        <v>383</v>
      </c>
      <c r="F257" s="250">
        <v>2.5000000000000001E-2</v>
      </c>
      <c r="G257" s="250">
        <v>0</v>
      </c>
      <c r="H257" s="250">
        <v>3</v>
      </c>
      <c r="I257" s="252" t="s">
        <v>239</v>
      </c>
      <c r="J257" s="251" t="s">
        <v>240</v>
      </c>
      <c r="T257" s="292" t="s">
        <v>1756</v>
      </c>
      <c r="U257" s="283" t="s">
        <v>2355</v>
      </c>
      <c r="V257" s="285" t="s">
        <v>1772</v>
      </c>
      <c r="W257" s="293" t="str">
        <f t="shared" si="12"/>
        <v>H17</v>
      </c>
      <c r="X257" s="284" t="str">
        <f t="shared" si="12"/>
        <v>AAG</v>
      </c>
      <c r="Y257" s="271"/>
      <c r="Z257" s="283">
        <f t="shared" si="11"/>
        <v>2.5000000000000001E-2</v>
      </c>
      <c r="AA257" s="340">
        <f t="shared" si="11"/>
        <v>0</v>
      </c>
      <c r="AC257" s="74"/>
      <c r="AD257" s="74"/>
      <c r="AE257" s="74"/>
      <c r="AF257" s="74"/>
      <c r="AG257" s="74"/>
      <c r="AH257" s="74"/>
    </row>
    <row r="258" spans="1:34">
      <c r="A258" s="74" t="s">
        <v>529</v>
      </c>
      <c r="B258" s="74" t="s">
        <v>2031</v>
      </c>
      <c r="C258" s="74" t="s">
        <v>1936</v>
      </c>
      <c r="D258" s="74" t="s">
        <v>1979</v>
      </c>
      <c r="E258" s="74" t="s">
        <v>2001</v>
      </c>
      <c r="F258" s="74">
        <v>4.4999999999999998E-2</v>
      </c>
      <c r="G258" s="74">
        <v>0</v>
      </c>
      <c r="H258" s="74">
        <v>3</v>
      </c>
      <c r="I258" s="13" t="s">
        <v>239</v>
      </c>
      <c r="J258" s="74" t="s">
        <v>2134</v>
      </c>
      <c r="T258" s="292" t="s">
        <v>1756</v>
      </c>
      <c r="U258" s="283" t="s">
        <v>2355</v>
      </c>
      <c r="V258" s="285" t="s">
        <v>1772</v>
      </c>
      <c r="W258" s="293" t="str">
        <f t="shared" si="12"/>
        <v>H17</v>
      </c>
      <c r="X258" s="284" t="str">
        <f t="shared" si="12"/>
        <v>BAG</v>
      </c>
      <c r="Y258" s="271" t="s">
        <v>2398</v>
      </c>
      <c r="Z258" s="283">
        <f t="shared" si="11"/>
        <v>4.4999999999999998E-2</v>
      </c>
      <c r="AA258" s="340">
        <f t="shared" si="11"/>
        <v>0</v>
      </c>
    </row>
    <row r="259" spans="1:34">
      <c r="A259" s="74" t="s">
        <v>530</v>
      </c>
      <c r="B259" s="74" t="s">
        <v>2031</v>
      </c>
      <c r="C259" s="74" t="s">
        <v>1936</v>
      </c>
      <c r="D259" s="74" t="s">
        <v>1979</v>
      </c>
      <c r="E259" s="74" t="s">
        <v>2002</v>
      </c>
      <c r="F259" s="74">
        <v>4.4999999999999998E-2</v>
      </c>
      <c r="G259" s="74">
        <v>0</v>
      </c>
      <c r="H259" s="74">
        <v>3</v>
      </c>
      <c r="I259" s="13" t="s">
        <v>232</v>
      </c>
      <c r="J259" s="74" t="s">
        <v>244</v>
      </c>
      <c r="T259" s="292" t="s">
        <v>1756</v>
      </c>
      <c r="U259" s="283" t="s">
        <v>2355</v>
      </c>
      <c r="V259" s="285" t="s">
        <v>1772</v>
      </c>
      <c r="W259" s="293" t="str">
        <f t="shared" si="12"/>
        <v>H17</v>
      </c>
      <c r="X259" s="284" t="str">
        <f t="shared" si="12"/>
        <v>BBG</v>
      </c>
      <c r="Y259" s="271" t="s">
        <v>2398</v>
      </c>
      <c r="Z259" s="283">
        <f t="shared" si="11"/>
        <v>4.4999999999999998E-2</v>
      </c>
      <c r="AA259" s="340">
        <f t="shared" si="11"/>
        <v>0</v>
      </c>
    </row>
    <row r="260" spans="1:34">
      <c r="A260" s="74" t="s">
        <v>531</v>
      </c>
      <c r="B260" s="74" t="s">
        <v>2031</v>
      </c>
      <c r="C260" s="74" t="s">
        <v>1936</v>
      </c>
      <c r="D260" s="74" t="s">
        <v>1979</v>
      </c>
      <c r="E260" s="74" t="s">
        <v>2003</v>
      </c>
      <c r="F260" s="74">
        <v>2.5000000000000001E-2</v>
      </c>
      <c r="G260" s="74">
        <v>0</v>
      </c>
      <c r="H260" s="74">
        <v>3</v>
      </c>
      <c r="I260" s="13" t="s">
        <v>239</v>
      </c>
      <c r="J260" s="74" t="s">
        <v>2135</v>
      </c>
      <c r="T260" s="292" t="s">
        <v>1756</v>
      </c>
      <c r="U260" s="283" t="s">
        <v>2355</v>
      </c>
      <c r="V260" s="285" t="s">
        <v>1772</v>
      </c>
      <c r="W260" s="293" t="str">
        <f t="shared" si="12"/>
        <v>H17</v>
      </c>
      <c r="X260" s="284" t="str">
        <f t="shared" si="12"/>
        <v>CAG</v>
      </c>
      <c r="Y260" s="271" t="s">
        <v>2261</v>
      </c>
      <c r="Z260" s="283">
        <f t="shared" si="11"/>
        <v>2.5000000000000001E-2</v>
      </c>
      <c r="AA260" s="340">
        <f t="shared" si="11"/>
        <v>0</v>
      </c>
    </row>
    <row r="261" spans="1:34">
      <c r="A261" s="74" t="s">
        <v>532</v>
      </c>
      <c r="B261" s="74" t="s">
        <v>2031</v>
      </c>
      <c r="C261" s="74" t="s">
        <v>1936</v>
      </c>
      <c r="D261" s="74" t="s">
        <v>1979</v>
      </c>
      <c r="E261" s="74" t="s">
        <v>2004</v>
      </c>
      <c r="F261" s="74">
        <v>2.5000000000000001E-2</v>
      </c>
      <c r="G261" s="74">
        <v>0</v>
      </c>
      <c r="H261" s="74">
        <v>3</v>
      </c>
      <c r="I261" s="13" t="s">
        <v>260</v>
      </c>
      <c r="J261" s="74" t="s">
        <v>247</v>
      </c>
      <c r="T261" s="292" t="s">
        <v>1756</v>
      </c>
      <c r="U261" s="283" t="s">
        <v>2355</v>
      </c>
      <c r="V261" s="285" t="s">
        <v>1772</v>
      </c>
      <c r="W261" s="293" t="str">
        <f t="shared" si="12"/>
        <v>H17</v>
      </c>
      <c r="X261" s="284" t="str">
        <f t="shared" si="12"/>
        <v>CBG</v>
      </c>
      <c r="Y261" s="271" t="s">
        <v>2261</v>
      </c>
      <c r="Z261" s="283">
        <f t="shared" si="11"/>
        <v>2.5000000000000001E-2</v>
      </c>
      <c r="AA261" s="340">
        <f t="shared" si="11"/>
        <v>0</v>
      </c>
    </row>
    <row r="262" spans="1:34">
      <c r="A262" s="74" t="s">
        <v>533</v>
      </c>
      <c r="B262" s="74" t="s">
        <v>2031</v>
      </c>
      <c r="C262" s="74" t="s">
        <v>1936</v>
      </c>
      <c r="D262" s="74" t="s">
        <v>1979</v>
      </c>
      <c r="E262" s="74" t="s">
        <v>2005</v>
      </c>
      <c r="F262" s="74">
        <v>1.2500000000000001E-2</v>
      </c>
      <c r="G262" s="74">
        <v>0</v>
      </c>
      <c r="H262" s="74">
        <v>3</v>
      </c>
      <c r="I262" s="13" t="s">
        <v>239</v>
      </c>
      <c r="J262" s="74" t="s">
        <v>2136</v>
      </c>
      <c r="T262" s="292" t="s">
        <v>1756</v>
      </c>
      <c r="U262" s="283" t="s">
        <v>2355</v>
      </c>
      <c r="V262" s="285" t="s">
        <v>1772</v>
      </c>
      <c r="W262" s="293" t="str">
        <f t="shared" si="12"/>
        <v>H17</v>
      </c>
      <c r="X262" s="284" t="str">
        <f t="shared" si="12"/>
        <v>DAG</v>
      </c>
      <c r="Y262" s="271" t="s">
        <v>2262</v>
      </c>
      <c r="Z262" s="283">
        <f t="shared" si="11"/>
        <v>1.2500000000000001E-2</v>
      </c>
      <c r="AA262" s="340">
        <f t="shared" si="11"/>
        <v>0</v>
      </c>
    </row>
    <row r="263" spans="1:34">
      <c r="A263" s="74" t="s">
        <v>534</v>
      </c>
      <c r="B263" s="74" t="s">
        <v>2031</v>
      </c>
      <c r="C263" s="74" t="s">
        <v>1936</v>
      </c>
      <c r="D263" s="74" t="s">
        <v>1979</v>
      </c>
      <c r="E263" s="74" t="s">
        <v>2006</v>
      </c>
      <c r="F263" s="74">
        <v>1.2500000000000001E-2</v>
      </c>
      <c r="G263" s="74">
        <v>0</v>
      </c>
      <c r="H263" s="74">
        <v>3</v>
      </c>
      <c r="I263" s="13" t="s">
        <v>263</v>
      </c>
      <c r="J263" s="74" t="s">
        <v>250</v>
      </c>
      <c r="T263" s="292" t="s">
        <v>1756</v>
      </c>
      <c r="U263" s="283" t="s">
        <v>2355</v>
      </c>
      <c r="V263" s="285" t="s">
        <v>1772</v>
      </c>
      <c r="W263" s="293" t="str">
        <f t="shared" si="12"/>
        <v>H17</v>
      </c>
      <c r="X263" s="284" t="str">
        <f t="shared" si="12"/>
        <v>DBG</v>
      </c>
      <c r="Y263" s="271" t="s">
        <v>2262</v>
      </c>
      <c r="Z263" s="283">
        <f t="shared" si="11"/>
        <v>1.2500000000000001E-2</v>
      </c>
      <c r="AA263" s="340">
        <f t="shared" si="11"/>
        <v>0</v>
      </c>
    </row>
    <row r="264" spans="1:34">
      <c r="A264" s="74" t="s">
        <v>535</v>
      </c>
      <c r="B264" s="74" t="s">
        <v>2031</v>
      </c>
      <c r="C264" s="74" t="s">
        <v>1936</v>
      </c>
      <c r="D264" s="74" t="s">
        <v>1979</v>
      </c>
      <c r="E264" s="74" t="s">
        <v>391</v>
      </c>
      <c r="F264" s="74">
        <v>4.4999999999999998E-2</v>
      </c>
      <c r="G264" s="74">
        <v>0</v>
      </c>
      <c r="H264" s="74">
        <v>3</v>
      </c>
      <c r="I264" s="13" t="s">
        <v>239</v>
      </c>
      <c r="J264" s="74" t="s">
        <v>2400</v>
      </c>
      <c r="T264" s="292" t="s">
        <v>1756</v>
      </c>
      <c r="U264" s="283" t="s">
        <v>2355</v>
      </c>
      <c r="V264" s="285" t="s">
        <v>2394</v>
      </c>
      <c r="W264" s="293" t="str">
        <f t="shared" si="12"/>
        <v>H17</v>
      </c>
      <c r="X264" s="284" t="str">
        <f t="shared" si="12"/>
        <v>NAG</v>
      </c>
      <c r="Y264" s="271" t="s">
        <v>2398</v>
      </c>
      <c r="Z264" s="283">
        <f t="shared" si="11"/>
        <v>4.4999999999999998E-2</v>
      </c>
      <c r="AA264" s="340">
        <f t="shared" si="11"/>
        <v>0</v>
      </c>
    </row>
    <row r="265" spans="1:34">
      <c r="A265" s="74" t="s">
        <v>536</v>
      </c>
      <c r="B265" s="74" t="s">
        <v>2031</v>
      </c>
      <c r="C265" s="74" t="s">
        <v>1936</v>
      </c>
      <c r="D265" s="74" t="s">
        <v>1979</v>
      </c>
      <c r="E265" s="74" t="s">
        <v>393</v>
      </c>
      <c r="F265" s="74">
        <v>4.4999999999999998E-2</v>
      </c>
      <c r="G265" s="74">
        <v>0</v>
      </c>
      <c r="H265" s="74">
        <v>3</v>
      </c>
      <c r="I265" s="13" t="s">
        <v>232</v>
      </c>
      <c r="J265" s="74" t="s">
        <v>244</v>
      </c>
      <c r="T265" s="292" t="s">
        <v>1756</v>
      </c>
      <c r="U265" s="283" t="s">
        <v>2355</v>
      </c>
      <c r="V265" s="285" t="s">
        <v>2394</v>
      </c>
      <c r="W265" s="293" t="str">
        <f t="shared" si="12"/>
        <v>H17</v>
      </c>
      <c r="X265" s="284" t="str">
        <f t="shared" si="12"/>
        <v>NBG</v>
      </c>
      <c r="Y265" s="271" t="s">
        <v>2398</v>
      </c>
      <c r="Z265" s="283">
        <f t="shared" si="11"/>
        <v>4.4999999999999998E-2</v>
      </c>
      <c r="AA265" s="340">
        <f t="shared" si="11"/>
        <v>0</v>
      </c>
    </row>
    <row r="266" spans="1:34">
      <c r="A266" s="74" t="s">
        <v>537</v>
      </c>
      <c r="B266" s="74" t="s">
        <v>2031</v>
      </c>
      <c r="C266" s="74" t="s">
        <v>1936</v>
      </c>
      <c r="D266" s="74" t="s">
        <v>2382</v>
      </c>
      <c r="E266" s="74" t="s">
        <v>395</v>
      </c>
      <c r="F266" s="74">
        <v>0.05</v>
      </c>
      <c r="G266" s="74">
        <v>0</v>
      </c>
      <c r="H266" s="74">
        <v>3</v>
      </c>
      <c r="I266" s="13" t="s">
        <v>232</v>
      </c>
      <c r="T266" s="292" t="s">
        <v>1756</v>
      </c>
      <c r="U266" s="283" t="s">
        <v>2355</v>
      </c>
      <c r="V266" s="285" t="s">
        <v>2394</v>
      </c>
      <c r="W266" s="293" t="str">
        <f t="shared" si="12"/>
        <v>H21</v>
      </c>
      <c r="X266" s="284" t="str">
        <f t="shared" si="12"/>
        <v>LBG</v>
      </c>
      <c r="Y266" s="271"/>
      <c r="Z266" s="283">
        <f t="shared" si="11"/>
        <v>0.05</v>
      </c>
      <c r="AA266" s="340">
        <f t="shared" si="11"/>
        <v>0</v>
      </c>
    </row>
    <row r="267" spans="1:34">
      <c r="A267" s="74" t="s">
        <v>538</v>
      </c>
      <c r="B267" s="74" t="s">
        <v>2031</v>
      </c>
      <c r="C267" s="74" t="s">
        <v>1936</v>
      </c>
      <c r="D267" s="74" t="s">
        <v>2382</v>
      </c>
      <c r="E267" s="74" t="s">
        <v>397</v>
      </c>
      <c r="F267" s="74">
        <v>2.5000000000000001E-2</v>
      </c>
      <c r="G267" s="74">
        <v>0</v>
      </c>
      <c r="H267" s="74">
        <v>3</v>
      </c>
      <c r="I267" s="13" t="s">
        <v>239</v>
      </c>
      <c r="J267" s="74" t="s">
        <v>240</v>
      </c>
      <c r="T267" s="292" t="s">
        <v>1756</v>
      </c>
      <c r="U267" s="283" t="s">
        <v>2355</v>
      </c>
      <c r="V267" s="285" t="s">
        <v>2394</v>
      </c>
      <c r="W267" s="293" t="str">
        <f t="shared" si="12"/>
        <v>H21</v>
      </c>
      <c r="X267" s="284" t="str">
        <f t="shared" si="12"/>
        <v>LAG</v>
      </c>
      <c r="Y267" s="271"/>
      <c r="Z267" s="283">
        <f t="shared" si="11"/>
        <v>2.5000000000000001E-2</v>
      </c>
      <c r="AA267" s="340">
        <f t="shared" si="11"/>
        <v>0</v>
      </c>
    </row>
    <row r="268" spans="1:34">
      <c r="A268" s="74" t="s">
        <v>539</v>
      </c>
      <c r="B268" s="74" t="s">
        <v>2031</v>
      </c>
      <c r="C268" s="74" t="s">
        <v>1936</v>
      </c>
      <c r="D268" s="74" t="s">
        <v>2382</v>
      </c>
      <c r="E268" s="74" t="s">
        <v>399</v>
      </c>
      <c r="F268" s="74">
        <v>2.5000000000000001E-2</v>
      </c>
      <c r="G268" s="74">
        <v>0</v>
      </c>
      <c r="H268" s="74">
        <v>3</v>
      </c>
      <c r="I268" s="13" t="s">
        <v>260</v>
      </c>
      <c r="J268" s="74" t="s">
        <v>2261</v>
      </c>
      <c r="T268" s="292" t="s">
        <v>1756</v>
      </c>
      <c r="U268" s="283" t="s">
        <v>2355</v>
      </c>
      <c r="V268" s="285" t="s">
        <v>2394</v>
      </c>
      <c r="W268" s="293" t="str">
        <f t="shared" si="12"/>
        <v>H21</v>
      </c>
      <c r="X268" s="284" t="str">
        <f t="shared" si="12"/>
        <v>MBG</v>
      </c>
      <c r="Y268" s="271" t="s">
        <v>2261</v>
      </c>
      <c r="Z268" s="283">
        <f t="shared" si="11"/>
        <v>2.5000000000000001E-2</v>
      </c>
      <c r="AA268" s="340">
        <f t="shared" si="11"/>
        <v>0</v>
      </c>
    </row>
    <row r="269" spans="1:34">
      <c r="A269" s="74" t="s">
        <v>540</v>
      </c>
      <c r="B269" s="74" t="s">
        <v>2031</v>
      </c>
      <c r="C269" s="74" t="s">
        <v>1936</v>
      </c>
      <c r="D269" s="74" t="s">
        <v>2382</v>
      </c>
      <c r="E269" s="74" t="s">
        <v>401</v>
      </c>
      <c r="F269" s="74">
        <v>2.5000000000000001E-2</v>
      </c>
      <c r="G269" s="74">
        <v>0</v>
      </c>
      <c r="H269" s="74">
        <v>3</v>
      </c>
      <c r="I269" s="13" t="s">
        <v>239</v>
      </c>
      <c r="J269" s="74" t="s">
        <v>2385</v>
      </c>
      <c r="T269" s="292" t="s">
        <v>1756</v>
      </c>
      <c r="U269" s="283" t="s">
        <v>2355</v>
      </c>
      <c r="V269" s="285" t="s">
        <v>2394</v>
      </c>
      <c r="W269" s="293" t="str">
        <f t="shared" si="12"/>
        <v>H21</v>
      </c>
      <c r="X269" s="284" t="str">
        <f t="shared" si="12"/>
        <v>MAG</v>
      </c>
      <c r="Y269" s="271" t="s">
        <v>2261</v>
      </c>
      <c r="Z269" s="283">
        <f t="shared" si="11"/>
        <v>2.5000000000000001E-2</v>
      </c>
      <c r="AA269" s="340">
        <f t="shared" si="11"/>
        <v>0</v>
      </c>
    </row>
    <row r="270" spans="1:34">
      <c r="A270" s="74" t="s">
        <v>541</v>
      </c>
      <c r="B270" s="74" t="s">
        <v>2031</v>
      </c>
      <c r="C270" s="74" t="s">
        <v>1936</v>
      </c>
      <c r="D270" s="74" t="s">
        <v>2382</v>
      </c>
      <c r="E270" s="74" t="s">
        <v>403</v>
      </c>
      <c r="F270" s="74">
        <v>1.2500000000000001E-2</v>
      </c>
      <c r="G270" s="74">
        <v>0</v>
      </c>
      <c r="H270" s="74">
        <v>3</v>
      </c>
      <c r="I270" s="13" t="s">
        <v>263</v>
      </c>
      <c r="J270" s="74" t="s">
        <v>2262</v>
      </c>
      <c r="T270" s="292" t="s">
        <v>1756</v>
      </c>
      <c r="U270" s="283" t="s">
        <v>2355</v>
      </c>
      <c r="V270" s="285" t="s">
        <v>2394</v>
      </c>
      <c r="W270" s="293" t="str">
        <f t="shared" si="12"/>
        <v>H21</v>
      </c>
      <c r="X270" s="284" t="str">
        <f t="shared" si="12"/>
        <v>RBG</v>
      </c>
      <c r="Y270" s="271" t="s">
        <v>2262</v>
      </c>
      <c r="Z270" s="283">
        <f t="shared" si="11"/>
        <v>1.2500000000000001E-2</v>
      </c>
      <c r="AA270" s="340">
        <f t="shared" si="11"/>
        <v>0</v>
      </c>
    </row>
    <row r="271" spans="1:34">
      <c r="A271" s="74" t="s">
        <v>542</v>
      </c>
      <c r="B271" s="74" t="s">
        <v>2031</v>
      </c>
      <c r="C271" s="74" t="s">
        <v>1936</v>
      </c>
      <c r="D271" s="74" t="s">
        <v>2382</v>
      </c>
      <c r="E271" s="74" t="s">
        <v>405</v>
      </c>
      <c r="F271" s="74">
        <v>1.2500000000000001E-2</v>
      </c>
      <c r="G271" s="74">
        <v>0</v>
      </c>
      <c r="H271" s="74">
        <v>3</v>
      </c>
      <c r="I271" s="13" t="s">
        <v>239</v>
      </c>
      <c r="J271" s="74" t="s">
        <v>2386</v>
      </c>
      <c r="T271" s="292" t="s">
        <v>1756</v>
      </c>
      <c r="U271" s="283" t="s">
        <v>2355</v>
      </c>
      <c r="V271" s="285" t="s">
        <v>2394</v>
      </c>
      <c r="W271" s="293" t="str">
        <f t="shared" si="12"/>
        <v>H21</v>
      </c>
      <c r="X271" s="284" t="str">
        <f t="shared" si="12"/>
        <v>RAG</v>
      </c>
      <c r="Y271" s="271" t="s">
        <v>2262</v>
      </c>
      <c r="Z271" s="283">
        <f t="shared" si="11"/>
        <v>1.2500000000000001E-2</v>
      </c>
      <c r="AA271" s="340">
        <f t="shared" si="11"/>
        <v>0</v>
      </c>
    </row>
    <row r="272" spans="1:34">
      <c r="A272" s="74" t="s">
        <v>543</v>
      </c>
      <c r="B272" s="74" t="s">
        <v>2031</v>
      </c>
      <c r="C272" s="74" t="s">
        <v>1936</v>
      </c>
      <c r="D272" s="74" t="s">
        <v>2382</v>
      </c>
      <c r="E272" s="74" t="s">
        <v>407</v>
      </c>
      <c r="F272" s="74">
        <v>4.4999999999999998E-2</v>
      </c>
      <c r="G272" s="74">
        <v>0</v>
      </c>
      <c r="H272" s="74">
        <v>3</v>
      </c>
      <c r="I272" s="13" t="s">
        <v>232</v>
      </c>
      <c r="J272" s="74" t="s">
        <v>244</v>
      </c>
      <c r="T272" s="292" t="s">
        <v>1760</v>
      </c>
      <c r="U272" s="283" t="s">
        <v>1051</v>
      </c>
      <c r="V272" s="285" t="s">
        <v>2394</v>
      </c>
      <c r="W272" s="293" t="s">
        <v>2382</v>
      </c>
      <c r="X272" s="284" t="s">
        <v>407</v>
      </c>
      <c r="Y272" s="271" t="s">
        <v>1762</v>
      </c>
      <c r="Z272" s="283">
        <v>4.4999999999999998E-2</v>
      </c>
      <c r="AA272" s="340">
        <v>0</v>
      </c>
    </row>
    <row r="273" spans="1:34">
      <c r="A273" s="74" t="s">
        <v>544</v>
      </c>
      <c r="B273" s="74" t="s">
        <v>2031</v>
      </c>
      <c r="C273" s="74" t="s">
        <v>1936</v>
      </c>
      <c r="D273" s="74" t="s">
        <v>2382</v>
      </c>
      <c r="E273" s="74" t="s">
        <v>409</v>
      </c>
      <c r="F273" s="74">
        <v>4.4999999999999998E-2</v>
      </c>
      <c r="G273" s="74">
        <v>0</v>
      </c>
      <c r="H273" s="74">
        <v>3</v>
      </c>
      <c r="I273" s="13" t="s">
        <v>239</v>
      </c>
      <c r="J273" s="74" t="s">
        <v>2134</v>
      </c>
      <c r="T273" s="292" t="s">
        <v>1760</v>
      </c>
      <c r="U273" s="283" t="s">
        <v>1051</v>
      </c>
      <c r="V273" s="285" t="s">
        <v>2394</v>
      </c>
      <c r="W273" s="293" t="s">
        <v>2382</v>
      </c>
      <c r="X273" s="284" t="s">
        <v>409</v>
      </c>
      <c r="Y273" s="271" t="s">
        <v>1762</v>
      </c>
      <c r="Z273" s="283">
        <v>4.4999999999999998E-2</v>
      </c>
      <c r="AA273" s="340">
        <v>0</v>
      </c>
      <c r="AC273" s="268"/>
      <c r="AD273" s="268"/>
      <c r="AE273" s="268"/>
      <c r="AF273" s="268"/>
      <c r="AG273" s="268"/>
      <c r="AH273" s="268"/>
    </row>
    <row r="274" spans="1:34">
      <c r="A274" s="74" t="s">
        <v>545</v>
      </c>
      <c r="B274" s="74" t="s">
        <v>2045</v>
      </c>
      <c r="C274" s="74" t="s">
        <v>2043</v>
      </c>
      <c r="D274" s="74" t="s">
        <v>2458</v>
      </c>
      <c r="E274" s="74" t="s">
        <v>2457</v>
      </c>
      <c r="F274" s="74">
        <v>1.7</v>
      </c>
      <c r="G274" s="74">
        <v>0.2</v>
      </c>
      <c r="H274" s="74">
        <v>2.58</v>
      </c>
      <c r="I274" s="13" t="s">
        <v>1973</v>
      </c>
      <c r="T274" s="292" t="s">
        <v>1756</v>
      </c>
      <c r="U274" s="283" t="s">
        <v>2454</v>
      </c>
      <c r="V274" s="285" t="s">
        <v>1764</v>
      </c>
      <c r="W274" s="293" t="str">
        <f t="shared" si="12"/>
        <v>S54前</v>
      </c>
      <c r="X274" s="284" t="str">
        <f t="shared" si="12"/>
        <v>-</v>
      </c>
      <c r="Y274" s="271"/>
      <c r="Z274" s="283">
        <f>F274</f>
        <v>1.7</v>
      </c>
      <c r="AA274" s="340">
        <f>G274</f>
        <v>0.2</v>
      </c>
    </row>
    <row r="275" spans="1:34" s="268" customFormat="1">
      <c r="A275" s="268" t="s">
        <v>546</v>
      </c>
      <c r="B275" s="268" t="s">
        <v>2045</v>
      </c>
      <c r="C275" s="268" t="s">
        <v>2043</v>
      </c>
      <c r="D275" s="269" t="s">
        <v>0</v>
      </c>
      <c r="E275" s="269" t="s">
        <v>6</v>
      </c>
      <c r="F275" s="268">
        <v>1.52</v>
      </c>
      <c r="G275" s="268">
        <v>0.2</v>
      </c>
      <c r="H275" s="268">
        <v>2.58</v>
      </c>
      <c r="I275" s="267" t="s">
        <v>1973</v>
      </c>
      <c r="T275" s="292" t="s">
        <v>1756</v>
      </c>
      <c r="U275" s="283" t="s">
        <v>2454</v>
      </c>
      <c r="V275" s="285" t="s">
        <v>1764</v>
      </c>
      <c r="W275" s="293" t="str">
        <f t="shared" si="12"/>
        <v>S54</v>
      </c>
      <c r="X275" s="284" t="str">
        <f t="shared" si="12"/>
        <v>K</v>
      </c>
      <c r="Y275" s="271"/>
      <c r="Z275" s="283">
        <f t="shared" ref="Z275:AA374" si="13">F275</f>
        <v>1.52</v>
      </c>
      <c r="AA275" s="340">
        <f t="shared" si="13"/>
        <v>0.2</v>
      </c>
    </row>
    <row r="276" spans="1:34">
      <c r="A276" s="74" t="s">
        <v>547</v>
      </c>
      <c r="B276" s="74" t="s">
        <v>2045</v>
      </c>
      <c r="C276" s="74" t="s">
        <v>2043</v>
      </c>
      <c r="D276" s="74" t="s">
        <v>8</v>
      </c>
      <c r="E276" s="74" t="s">
        <v>136</v>
      </c>
      <c r="F276" s="74">
        <v>1.3</v>
      </c>
      <c r="G276" s="74">
        <v>0.2</v>
      </c>
      <c r="H276" s="74">
        <v>2.58</v>
      </c>
      <c r="I276" s="13" t="s">
        <v>1973</v>
      </c>
      <c r="T276" s="292" t="s">
        <v>1756</v>
      </c>
      <c r="U276" s="283" t="s">
        <v>2454</v>
      </c>
      <c r="V276" s="285" t="s">
        <v>1764</v>
      </c>
      <c r="W276" s="293" t="str">
        <f t="shared" si="12"/>
        <v>S57,S58</v>
      </c>
      <c r="X276" s="284" t="str">
        <f t="shared" si="12"/>
        <v>N</v>
      </c>
      <c r="Y276" s="271"/>
      <c r="Z276" s="283">
        <f t="shared" si="13"/>
        <v>1.3</v>
      </c>
      <c r="AA276" s="340">
        <f t="shared" si="13"/>
        <v>0.2</v>
      </c>
    </row>
    <row r="277" spans="1:34" s="268" customFormat="1">
      <c r="A277" s="270" t="s">
        <v>548</v>
      </c>
      <c r="B277" s="268" t="s">
        <v>2045</v>
      </c>
      <c r="C277" s="268" t="s">
        <v>2043</v>
      </c>
      <c r="D277" s="269" t="s">
        <v>8</v>
      </c>
      <c r="E277" s="270" t="s">
        <v>137</v>
      </c>
      <c r="F277" s="268">
        <v>1.3</v>
      </c>
      <c r="G277" s="268">
        <v>0.2</v>
      </c>
      <c r="H277" s="268">
        <v>2.58</v>
      </c>
      <c r="I277" s="267" t="s">
        <v>1973</v>
      </c>
      <c r="J277" s="269"/>
      <c r="T277" s="292" t="s">
        <v>1756</v>
      </c>
      <c r="U277" s="283" t="s">
        <v>2454</v>
      </c>
      <c r="V277" s="285" t="s">
        <v>1764</v>
      </c>
      <c r="W277" s="293" t="str">
        <f t="shared" si="12"/>
        <v>S57,S58</v>
      </c>
      <c r="X277" s="284" t="str">
        <f t="shared" si="12"/>
        <v>P</v>
      </c>
      <c r="Y277" s="271"/>
      <c r="Z277" s="283">
        <f t="shared" si="13"/>
        <v>1.3</v>
      </c>
      <c r="AA277" s="340">
        <f t="shared" si="13"/>
        <v>0.2</v>
      </c>
    </row>
    <row r="278" spans="1:34">
      <c r="A278" s="74" t="s">
        <v>549</v>
      </c>
      <c r="B278" s="74" t="s">
        <v>2045</v>
      </c>
      <c r="C278" s="74" t="s">
        <v>2043</v>
      </c>
      <c r="D278" s="74" t="s">
        <v>11</v>
      </c>
      <c r="E278" s="74" t="s">
        <v>12</v>
      </c>
      <c r="F278" s="268">
        <v>0.9</v>
      </c>
      <c r="G278" s="74">
        <v>0.2</v>
      </c>
      <c r="H278" s="74">
        <v>2.58</v>
      </c>
      <c r="I278" s="13" t="s">
        <v>1973</v>
      </c>
      <c r="J278"/>
      <c r="T278" s="292" t="s">
        <v>1756</v>
      </c>
      <c r="U278" s="283" t="s">
        <v>2454</v>
      </c>
      <c r="V278" s="285" t="s">
        <v>1764</v>
      </c>
      <c r="W278" s="293" t="str">
        <f t="shared" si="12"/>
        <v>S63</v>
      </c>
      <c r="X278" s="284" t="str">
        <f t="shared" si="12"/>
        <v>S</v>
      </c>
      <c r="Y278" s="271"/>
      <c r="Z278" s="283">
        <f t="shared" si="13"/>
        <v>0.9</v>
      </c>
      <c r="AA278" s="340">
        <f t="shared" si="13"/>
        <v>0.2</v>
      </c>
    </row>
    <row r="279" spans="1:34" s="268" customFormat="1">
      <c r="A279" s="270" t="s">
        <v>550</v>
      </c>
      <c r="B279" s="268" t="s">
        <v>2045</v>
      </c>
      <c r="C279" s="268" t="s">
        <v>2043</v>
      </c>
      <c r="D279" s="269" t="s">
        <v>2032</v>
      </c>
      <c r="E279" s="269" t="s">
        <v>14</v>
      </c>
      <c r="F279" s="268">
        <v>0.6</v>
      </c>
      <c r="G279" s="268">
        <v>0.2</v>
      </c>
      <c r="H279" s="268">
        <v>2.58</v>
      </c>
      <c r="I279" s="267" t="s">
        <v>1973</v>
      </c>
      <c r="J279" s="269"/>
      <c r="T279" s="292" t="s">
        <v>1756</v>
      </c>
      <c r="U279" s="283" t="s">
        <v>2454</v>
      </c>
      <c r="V279" s="285" t="s">
        <v>1764</v>
      </c>
      <c r="W279" s="293" t="str">
        <f t="shared" si="12"/>
        <v>H5</v>
      </c>
      <c r="X279" s="284" t="str">
        <f t="shared" si="12"/>
        <v>KA</v>
      </c>
      <c r="Y279" s="271"/>
      <c r="Z279" s="283">
        <f t="shared" si="13"/>
        <v>0.6</v>
      </c>
      <c r="AA279" s="340">
        <f t="shared" si="13"/>
        <v>0.2</v>
      </c>
    </row>
    <row r="280" spans="1:34">
      <c r="A280" s="74" t="s">
        <v>551</v>
      </c>
      <c r="B280" s="74" t="s">
        <v>2045</v>
      </c>
      <c r="C280" s="74" t="s">
        <v>2043</v>
      </c>
      <c r="D280" s="74" t="s">
        <v>2033</v>
      </c>
      <c r="E280" s="74" t="s">
        <v>118</v>
      </c>
      <c r="F280" s="268">
        <v>0.4</v>
      </c>
      <c r="G280" s="74">
        <v>0.08</v>
      </c>
      <c r="H280" s="74">
        <v>2.58</v>
      </c>
      <c r="I280" s="13" t="s">
        <v>1973</v>
      </c>
      <c r="T280" s="292" t="s">
        <v>1756</v>
      </c>
      <c r="U280" s="283" t="s">
        <v>2454</v>
      </c>
      <c r="V280" s="285" t="s">
        <v>1764</v>
      </c>
      <c r="W280" s="293" t="str">
        <f t="shared" si="12"/>
        <v>H9</v>
      </c>
      <c r="X280" s="284" t="str">
        <f t="shared" si="12"/>
        <v>KE</v>
      </c>
      <c r="Y280" s="271"/>
      <c r="Z280" s="283">
        <f t="shared" si="13"/>
        <v>0.4</v>
      </c>
      <c r="AA280" s="340">
        <f t="shared" si="13"/>
        <v>0.08</v>
      </c>
    </row>
    <row r="281" spans="1:34" s="268" customFormat="1">
      <c r="A281" s="270" t="s">
        <v>552</v>
      </c>
      <c r="B281" s="268" t="s">
        <v>2045</v>
      </c>
      <c r="C281" s="268" t="s">
        <v>2043</v>
      </c>
      <c r="D281" s="269" t="s">
        <v>2033</v>
      </c>
      <c r="E281" s="269" t="s">
        <v>105</v>
      </c>
      <c r="F281" s="268">
        <v>0.2</v>
      </c>
      <c r="G281" s="268">
        <v>0.04</v>
      </c>
      <c r="H281" s="268">
        <v>2.58</v>
      </c>
      <c r="I281" s="267" t="s">
        <v>239</v>
      </c>
      <c r="J281" s="269" t="s">
        <v>240</v>
      </c>
      <c r="T281" s="292" t="s">
        <v>1756</v>
      </c>
      <c r="U281" s="283" t="s">
        <v>2454</v>
      </c>
      <c r="V281" s="285" t="s">
        <v>1764</v>
      </c>
      <c r="W281" s="293" t="str">
        <f t="shared" si="12"/>
        <v>H9</v>
      </c>
      <c r="X281" s="284" t="str">
        <f t="shared" si="12"/>
        <v>HA</v>
      </c>
      <c r="Y281" s="271"/>
      <c r="Z281" s="283">
        <f t="shared" si="13"/>
        <v>0.2</v>
      </c>
      <c r="AA281" s="340">
        <f t="shared" si="13"/>
        <v>0.04</v>
      </c>
    </row>
    <row r="282" spans="1:34">
      <c r="A282" s="74" t="s">
        <v>553</v>
      </c>
      <c r="B282" s="74" t="s">
        <v>2045</v>
      </c>
      <c r="C282" s="74" t="s">
        <v>2043</v>
      </c>
      <c r="D282" s="74" t="s">
        <v>16</v>
      </c>
      <c r="E282" s="74" t="s">
        <v>127</v>
      </c>
      <c r="F282" s="74">
        <v>0.28000000000000003</v>
      </c>
      <c r="G282" s="74">
        <v>5.1999999999999998E-2</v>
      </c>
      <c r="H282" s="74">
        <v>2.58</v>
      </c>
      <c r="I282" s="13" t="s">
        <v>1973</v>
      </c>
      <c r="J282"/>
      <c r="T282" s="292" t="s">
        <v>1756</v>
      </c>
      <c r="U282" s="283" t="s">
        <v>2454</v>
      </c>
      <c r="V282" s="285" t="s">
        <v>1764</v>
      </c>
      <c r="W282" s="293" t="str">
        <f t="shared" si="12"/>
        <v>H14</v>
      </c>
      <c r="X282" s="284" t="str">
        <f t="shared" si="12"/>
        <v>KP</v>
      </c>
      <c r="Y282" s="271"/>
      <c r="Z282" s="283">
        <f t="shared" si="13"/>
        <v>0.28000000000000003</v>
      </c>
      <c r="AA282" s="340">
        <f t="shared" si="13"/>
        <v>5.1999999999999998E-2</v>
      </c>
    </row>
    <row r="283" spans="1:34" s="268" customFormat="1">
      <c r="A283" s="270" t="s">
        <v>554</v>
      </c>
      <c r="B283" s="268" t="s">
        <v>2045</v>
      </c>
      <c r="C283" s="268" t="s">
        <v>2043</v>
      </c>
      <c r="D283" s="269" t="s">
        <v>16</v>
      </c>
      <c r="E283" s="269" t="s">
        <v>114</v>
      </c>
      <c r="F283" s="268">
        <v>0.14000000000000001</v>
      </c>
      <c r="G283" s="268">
        <v>2.5999999999999999E-2</v>
      </c>
      <c r="H283" s="268">
        <v>2.58</v>
      </c>
      <c r="I283" s="267" t="s">
        <v>239</v>
      </c>
      <c r="J283" s="269" t="s">
        <v>240</v>
      </c>
      <c r="T283" s="292" t="s">
        <v>1756</v>
      </c>
      <c r="U283" s="283" t="s">
        <v>2454</v>
      </c>
      <c r="V283" s="285" t="s">
        <v>1764</v>
      </c>
      <c r="W283" s="293" t="str">
        <f t="shared" si="12"/>
        <v>H14</v>
      </c>
      <c r="X283" s="284" t="str">
        <f t="shared" si="12"/>
        <v>HW</v>
      </c>
      <c r="Y283" s="271"/>
      <c r="Z283" s="283">
        <f t="shared" si="13"/>
        <v>0.14000000000000001</v>
      </c>
      <c r="AA283" s="340">
        <f t="shared" si="13"/>
        <v>2.5999999999999999E-2</v>
      </c>
    </row>
    <row r="284" spans="1:34">
      <c r="A284" s="74" t="s">
        <v>555</v>
      </c>
      <c r="B284" s="74" t="s">
        <v>2045</v>
      </c>
      <c r="C284" s="74" t="s">
        <v>2043</v>
      </c>
      <c r="D284" s="74" t="s">
        <v>16</v>
      </c>
      <c r="E284" s="74" t="s">
        <v>154</v>
      </c>
      <c r="F284" s="74">
        <v>0.21</v>
      </c>
      <c r="G284" s="74">
        <v>3.9E-2</v>
      </c>
      <c r="H284" s="74">
        <v>2.58</v>
      </c>
      <c r="I284" s="13" t="s">
        <v>1973</v>
      </c>
      <c r="J284" t="s">
        <v>244</v>
      </c>
      <c r="T284" s="292" t="s">
        <v>1756</v>
      </c>
      <c r="U284" s="283" t="s">
        <v>2454</v>
      </c>
      <c r="V284" s="285" t="s">
        <v>1764</v>
      </c>
      <c r="W284" s="293" t="str">
        <f t="shared" si="12"/>
        <v>H14</v>
      </c>
      <c r="X284" s="284" t="str">
        <f t="shared" si="12"/>
        <v>TH</v>
      </c>
      <c r="Y284" s="271" t="s">
        <v>1765</v>
      </c>
      <c r="Z284" s="283">
        <f t="shared" si="13"/>
        <v>0.21</v>
      </c>
      <c r="AA284" s="340">
        <f t="shared" si="13"/>
        <v>3.9E-2</v>
      </c>
    </row>
    <row r="285" spans="1:34" s="268" customFormat="1">
      <c r="A285" s="270" t="s">
        <v>556</v>
      </c>
      <c r="B285" s="268" t="s">
        <v>2045</v>
      </c>
      <c r="C285" s="268" t="s">
        <v>2043</v>
      </c>
      <c r="D285" s="269" t="s">
        <v>16</v>
      </c>
      <c r="E285" s="269" t="s">
        <v>183</v>
      </c>
      <c r="F285" s="268">
        <v>0.21</v>
      </c>
      <c r="G285" s="268">
        <v>3.9E-2</v>
      </c>
      <c r="H285" s="268">
        <v>2.58</v>
      </c>
      <c r="I285" s="267" t="s">
        <v>239</v>
      </c>
      <c r="J285" s="269" t="s">
        <v>2134</v>
      </c>
      <c r="T285" s="292" t="s">
        <v>1756</v>
      </c>
      <c r="U285" s="283" t="s">
        <v>2454</v>
      </c>
      <c r="V285" s="285" t="s">
        <v>1764</v>
      </c>
      <c r="W285" s="293" t="str">
        <f t="shared" si="12"/>
        <v>H14</v>
      </c>
      <c r="X285" s="284" t="str">
        <f t="shared" si="12"/>
        <v>XH</v>
      </c>
      <c r="Y285" s="271" t="s">
        <v>1765</v>
      </c>
      <c r="Z285" s="283">
        <f t="shared" si="13"/>
        <v>0.21</v>
      </c>
      <c r="AA285" s="340">
        <f t="shared" si="13"/>
        <v>3.9E-2</v>
      </c>
    </row>
    <row r="286" spans="1:34">
      <c r="A286" s="74" t="s">
        <v>557</v>
      </c>
      <c r="B286" s="74" t="s">
        <v>2045</v>
      </c>
      <c r="C286" s="74" t="s">
        <v>2043</v>
      </c>
      <c r="D286" s="74" t="s">
        <v>16</v>
      </c>
      <c r="E286" s="74" t="s">
        <v>131</v>
      </c>
      <c r="F286" s="74">
        <v>0.14000000000000001</v>
      </c>
      <c r="G286" s="74">
        <v>2.5999999999999999E-2</v>
      </c>
      <c r="H286" s="74">
        <v>2.58</v>
      </c>
      <c r="I286" s="13" t="s">
        <v>1973</v>
      </c>
      <c r="J286" t="s">
        <v>247</v>
      </c>
      <c r="T286" s="292" t="s">
        <v>1756</v>
      </c>
      <c r="U286" s="283" t="s">
        <v>2454</v>
      </c>
      <c r="V286" s="285" t="s">
        <v>1764</v>
      </c>
      <c r="W286" s="293" t="str">
        <f t="shared" si="12"/>
        <v>H14</v>
      </c>
      <c r="X286" s="284" t="str">
        <f t="shared" si="12"/>
        <v>LH</v>
      </c>
      <c r="Y286" s="271" t="s">
        <v>1766</v>
      </c>
      <c r="Z286" s="283">
        <f t="shared" si="13"/>
        <v>0.14000000000000001</v>
      </c>
      <c r="AA286" s="340">
        <f t="shared" si="13"/>
        <v>2.5999999999999999E-2</v>
      </c>
    </row>
    <row r="287" spans="1:34" s="268" customFormat="1">
      <c r="A287" s="270" t="s">
        <v>558</v>
      </c>
      <c r="B287" s="268" t="s">
        <v>2045</v>
      </c>
      <c r="C287" s="268" t="s">
        <v>2043</v>
      </c>
      <c r="D287" s="269" t="s">
        <v>16</v>
      </c>
      <c r="E287" s="269" t="s">
        <v>189</v>
      </c>
      <c r="F287" s="268">
        <v>0.14000000000000001</v>
      </c>
      <c r="G287" s="268">
        <v>2.5999999999999999E-2</v>
      </c>
      <c r="H287" s="268">
        <v>2.58</v>
      </c>
      <c r="I287" s="267" t="s">
        <v>239</v>
      </c>
      <c r="J287" s="269" t="s">
        <v>2135</v>
      </c>
      <c r="T287" s="292" t="s">
        <v>1756</v>
      </c>
      <c r="U287" s="283" t="s">
        <v>2454</v>
      </c>
      <c r="V287" s="285" t="s">
        <v>1764</v>
      </c>
      <c r="W287" s="293" t="str">
        <f t="shared" si="12"/>
        <v>H14</v>
      </c>
      <c r="X287" s="284" t="str">
        <f t="shared" si="12"/>
        <v>YH</v>
      </c>
      <c r="Y287" s="271" t="s">
        <v>1766</v>
      </c>
      <c r="Z287" s="283">
        <f t="shared" si="13"/>
        <v>0.14000000000000001</v>
      </c>
      <c r="AA287" s="340">
        <f t="shared" si="13"/>
        <v>2.5999999999999999E-2</v>
      </c>
    </row>
    <row r="288" spans="1:34">
      <c r="A288" s="74" t="s">
        <v>559</v>
      </c>
      <c r="B288" s="74" t="s">
        <v>2045</v>
      </c>
      <c r="C288" s="74" t="s">
        <v>2043</v>
      </c>
      <c r="D288" s="74" t="s">
        <v>16</v>
      </c>
      <c r="E288" s="74" t="s">
        <v>160</v>
      </c>
      <c r="F288" s="74">
        <v>7.0000000000000007E-2</v>
      </c>
      <c r="G288" s="74">
        <v>1.2999999999999999E-2</v>
      </c>
      <c r="H288" s="74">
        <v>2.58</v>
      </c>
      <c r="I288" s="13" t="s">
        <v>1973</v>
      </c>
      <c r="J288" t="s">
        <v>250</v>
      </c>
      <c r="T288" s="292" t="s">
        <v>1756</v>
      </c>
      <c r="U288" s="283" t="s">
        <v>2454</v>
      </c>
      <c r="V288" s="285" t="s">
        <v>1764</v>
      </c>
      <c r="W288" s="293" t="str">
        <f t="shared" si="12"/>
        <v>H14</v>
      </c>
      <c r="X288" s="284" t="str">
        <f t="shared" si="12"/>
        <v>UH</v>
      </c>
      <c r="Y288" s="271" t="s">
        <v>1767</v>
      </c>
      <c r="Z288" s="283">
        <f t="shared" si="13"/>
        <v>7.0000000000000007E-2</v>
      </c>
      <c r="AA288" s="340">
        <f t="shared" si="13"/>
        <v>1.2999999999999999E-2</v>
      </c>
      <c r="AC288" s="268"/>
      <c r="AD288" s="268"/>
      <c r="AE288" s="268"/>
      <c r="AF288" s="268"/>
      <c r="AG288" s="268"/>
      <c r="AH288" s="268"/>
    </row>
    <row r="289" spans="1:34" s="268" customFormat="1">
      <c r="A289" s="270" t="s">
        <v>560</v>
      </c>
      <c r="B289" s="268" t="s">
        <v>2045</v>
      </c>
      <c r="C289" s="268" t="s">
        <v>2043</v>
      </c>
      <c r="D289" s="269" t="s">
        <v>16</v>
      </c>
      <c r="E289" s="269" t="s">
        <v>194</v>
      </c>
      <c r="F289" s="268">
        <v>7.0000000000000007E-2</v>
      </c>
      <c r="G289" s="268">
        <v>1.2999999999999999E-2</v>
      </c>
      <c r="H289" s="268">
        <v>2.58</v>
      </c>
      <c r="I289" s="267" t="s">
        <v>239</v>
      </c>
      <c r="J289" s="269" t="s">
        <v>2136</v>
      </c>
      <c r="T289" s="292" t="s">
        <v>1756</v>
      </c>
      <c r="U289" s="283" t="s">
        <v>2454</v>
      </c>
      <c r="V289" s="285" t="s">
        <v>1764</v>
      </c>
      <c r="W289" s="293" t="str">
        <f t="shared" si="12"/>
        <v>H14</v>
      </c>
      <c r="X289" s="284" t="str">
        <f t="shared" si="12"/>
        <v>ZH</v>
      </c>
      <c r="Y289" s="271" t="s">
        <v>1767</v>
      </c>
      <c r="Z289" s="283">
        <f t="shared" si="13"/>
        <v>7.0000000000000007E-2</v>
      </c>
      <c r="AA289" s="340">
        <f t="shared" si="13"/>
        <v>1.2999999999999999E-2</v>
      </c>
    </row>
    <row r="290" spans="1:34" s="268" customFormat="1">
      <c r="A290" s="268" t="s">
        <v>561</v>
      </c>
      <c r="B290" s="268" t="s">
        <v>2045</v>
      </c>
      <c r="C290" s="268" t="s">
        <v>2043</v>
      </c>
      <c r="D290" s="268" t="s">
        <v>1979</v>
      </c>
      <c r="E290" s="269" t="s">
        <v>562</v>
      </c>
      <c r="F290" s="268">
        <v>0.14000000000000001</v>
      </c>
      <c r="G290" s="268">
        <v>1.2999999999999999E-2</v>
      </c>
      <c r="H290" s="268">
        <v>2.58</v>
      </c>
      <c r="I290" s="267" t="s">
        <v>2340</v>
      </c>
      <c r="J290" s="269"/>
      <c r="T290" s="292" t="s">
        <v>1756</v>
      </c>
      <c r="U290" s="283" t="s">
        <v>2454</v>
      </c>
      <c r="V290" s="285" t="s">
        <v>1764</v>
      </c>
      <c r="W290" s="293" t="str">
        <f t="shared" si="12"/>
        <v>H17</v>
      </c>
      <c r="X290" s="284" t="str">
        <f t="shared" si="12"/>
        <v>ADE</v>
      </c>
      <c r="Y290" s="271"/>
      <c r="Z290" s="283">
        <f t="shared" si="13"/>
        <v>0.14000000000000001</v>
      </c>
      <c r="AA290" s="340">
        <f t="shared" si="13"/>
        <v>1.2999999999999999E-2</v>
      </c>
    </row>
    <row r="291" spans="1:34" s="268" customFormat="1">
      <c r="A291" s="270" t="s">
        <v>563</v>
      </c>
      <c r="B291" s="268" t="s">
        <v>2045</v>
      </c>
      <c r="C291" s="268" t="s">
        <v>2043</v>
      </c>
      <c r="D291" s="269" t="s">
        <v>1979</v>
      </c>
      <c r="E291" s="269" t="s">
        <v>564</v>
      </c>
      <c r="F291" s="268">
        <v>0.14000000000000001</v>
      </c>
      <c r="G291" s="268">
        <v>1.2999999999999999E-2</v>
      </c>
      <c r="H291" s="268">
        <v>2.58</v>
      </c>
      <c r="I291" s="267" t="s">
        <v>2340</v>
      </c>
      <c r="J291" s="269"/>
      <c r="T291" s="292" t="s">
        <v>1756</v>
      </c>
      <c r="U291" s="283" t="s">
        <v>2454</v>
      </c>
      <c r="V291" s="285" t="s">
        <v>2397</v>
      </c>
      <c r="W291" s="293" t="str">
        <f t="shared" si="12"/>
        <v>H17</v>
      </c>
      <c r="X291" s="284" t="str">
        <f t="shared" si="12"/>
        <v>AKE</v>
      </c>
      <c r="Y291" s="271"/>
      <c r="Z291" s="283">
        <f t="shared" si="13"/>
        <v>0.14000000000000001</v>
      </c>
      <c r="AA291" s="340">
        <f t="shared" si="13"/>
        <v>1.2999999999999999E-2</v>
      </c>
    </row>
    <row r="292" spans="1:34" s="268" customFormat="1">
      <c r="A292" s="268" t="s">
        <v>565</v>
      </c>
      <c r="B292" s="268" t="s">
        <v>2045</v>
      </c>
      <c r="C292" s="268" t="s">
        <v>2043</v>
      </c>
      <c r="D292" s="268" t="s">
        <v>1979</v>
      </c>
      <c r="E292" s="269" t="s">
        <v>566</v>
      </c>
      <c r="F292" s="268">
        <v>7.0000000000000007E-2</v>
      </c>
      <c r="G292" s="268">
        <v>6.4999999999999997E-3</v>
      </c>
      <c r="H292" s="268">
        <v>2.58</v>
      </c>
      <c r="I292" s="267" t="s">
        <v>239</v>
      </c>
      <c r="J292" s="269" t="s">
        <v>240</v>
      </c>
      <c r="T292" s="292" t="s">
        <v>1756</v>
      </c>
      <c r="U292" s="283" t="s">
        <v>2454</v>
      </c>
      <c r="V292" s="285" t="s">
        <v>2397</v>
      </c>
      <c r="W292" s="293" t="str">
        <f t="shared" si="12"/>
        <v>H17</v>
      </c>
      <c r="X292" s="284" t="str">
        <f t="shared" si="12"/>
        <v>ACE</v>
      </c>
      <c r="Y292" s="271"/>
      <c r="Z292" s="283">
        <f t="shared" si="13"/>
        <v>7.0000000000000007E-2</v>
      </c>
      <c r="AA292" s="340">
        <f t="shared" si="13"/>
        <v>6.4999999999999997E-3</v>
      </c>
    </row>
    <row r="293" spans="1:34" s="268" customFormat="1">
      <c r="A293" s="270" t="s">
        <v>567</v>
      </c>
      <c r="B293" s="268" t="s">
        <v>2045</v>
      </c>
      <c r="C293" s="268" t="s">
        <v>2043</v>
      </c>
      <c r="D293" s="269" t="s">
        <v>1979</v>
      </c>
      <c r="E293" s="269" t="s">
        <v>568</v>
      </c>
      <c r="F293" s="268">
        <v>7.0000000000000007E-2</v>
      </c>
      <c r="G293" s="268">
        <v>6.4999999999999997E-3</v>
      </c>
      <c r="H293" s="268">
        <v>2.58</v>
      </c>
      <c r="I293" s="267" t="s">
        <v>239</v>
      </c>
      <c r="J293" s="269" t="s">
        <v>240</v>
      </c>
      <c r="T293" s="292" t="s">
        <v>1756</v>
      </c>
      <c r="U293" s="283" t="s">
        <v>2454</v>
      </c>
      <c r="V293" s="285" t="s">
        <v>2397</v>
      </c>
      <c r="W293" s="293" t="str">
        <f t="shared" si="12"/>
        <v>H17</v>
      </c>
      <c r="X293" s="284" t="str">
        <f t="shared" si="12"/>
        <v>AJE</v>
      </c>
      <c r="Y293" s="271"/>
      <c r="Z293" s="283">
        <f t="shared" si="13"/>
        <v>7.0000000000000007E-2</v>
      </c>
      <c r="AA293" s="340">
        <f t="shared" si="13"/>
        <v>6.4999999999999997E-3</v>
      </c>
    </row>
    <row r="294" spans="1:34" s="268" customFormat="1">
      <c r="A294" s="268" t="s">
        <v>569</v>
      </c>
      <c r="B294" s="268" t="s">
        <v>2045</v>
      </c>
      <c r="C294" s="268" t="s">
        <v>2043</v>
      </c>
      <c r="D294" s="268" t="s">
        <v>1979</v>
      </c>
      <c r="E294" s="269" t="s">
        <v>2034</v>
      </c>
      <c r="F294" s="268">
        <v>0.12600000000000003</v>
      </c>
      <c r="G294" s="268">
        <v>9.75E-3</v>
      </c>
      <c r="H294" s="268">
        <v>2.58</v>
      </c>
      <c r="I294" s="267" t="s">
        <v>239</v>
      </c>
      <c r="J294" s="269" t="s">
        <v>2134</v>
      </c>
      <c r="T294" s="292" t="s">
        <v>1756</v>
      </c>
      <c r="U294" s="283" t="s">
        <v>2454</v>
      </c>
      <c r="V294" s="285" t="s">
        <v>2397</v>
      </c>
      <c r="W294" s="293" t="str">
        <f t="shared" si="12"/>
        <v>H17</v>
      </c>
      <c r="X294" s="284" t="str">
        <f t="shared" si="12"/>
        <v>BCE</v>
      </c>
      <c r="Y294" s="271" t="s">
        <v>2398</v>
      </c>
      <c r="Z294" s="283">
        <f t="shared" si="13"/>
        <v>0.12600000000000003</v>
      </c>
      <c r="AA294" s="340">
        <f t="shared" si="13"/>
        <v>9.75E-3</v>
      </c>
    </row>
    <row r="295" spans="1:34" s="268" customFormat="1">
      <c r="A295" s="270" t="s">
        <v>570</v>
      </c>
      <c r="B295" s="268" t="s">
        <v>2045</v>
      </c>
      <c r="C295" s="268" t="s">
        <v>2043</v>
      </c>
      <c r="D295" s="269" t="s">
        <v>1979</v>
      </c>
      <c r="E295" s="269" t="s">
        <v>571</v>
      </c>
      <c r="F295" s="268">
        <v>0.12600000000000003</v>
      </c>
      <c r="G295" s="268">
        <v>9.75E-3</v>
      </c>
      <c r="H295" s="268">
        <v>2.58</v>
      </c>
      <c r="I295" s="267" t="s">
        <v>239</v>
      </c>
      <c r="J295" s="269" t="s">
        <v>2400</v>
      </c>
      <c r="T295" s="292" t="s">
        <v>1756</v>
      </c>
      <c r="U295" s="283" t="s">
        <v>2454</v>
      </c>
      <c r="V295" s="285" t="s">
        <v>2397</v>
      </c>
      <c r="W295" s="293" t="str">
        <f t="shared" si="12"/>
        <v>H17</v>
      </c>
      <c r="X295" s="284" t="str">
        <f t="shared" si="12"/>
        <v>BJE</v>
      </c>
      <c r="Y295" s="271" t="s">
        <v>2398</v>
      </c>
      <c r="Z295" s="283">
        <f t="shared" si="13"/>
        <v>0.12600000000000003</v>
      </c>
      <c r="AA295" s="340">
        <f t="shared" si="13"/>
        <v>9.75E-3</v>
      </c>
    </row>
    <row r="296" spans="1:34" s="268" customFormat="1">
      <c r="A296" s="268" t="s">
        <v>572</v>
      </c>
      <c r="B296" s="268" t="s">
        <v>2045</v>
      </c>
      <c r="C296" s="268" t="s">
        <v>2043</v>
      </c>
      <c r="D296" s="268" t="s">
        <v>1979</v>
      </c>
      <c r="E296" s="269" t="s">
        <v>2035</v>
      </c>
      <c r="F296" s="268">
        <v>0.12600000000000003</v>
      </c>
      <c r="G296" s="268">
        <v>9.75E-3</v>
      </c>
      <c r="H296" s="268">
        <v>2.58</v>
      </c>
      <c r="I296" s="267" t="s">
        <v>573</v>
      </c>
      <c r="J296" s="269" t="s">
        <v>244</v>
      </c>
      <c r="T296" s="292" t="s">
        <v>1756</v>
      </c>
      <c r="U296" s="283" t="s">
        <v>2454</v>
      </c>
      <c r="V296" s="285" t="s">
        <v>2397</v>
      </c>
      <c r="W296" s="293" t="str">
        <f t="shared" si="12"/>
        <v>H17</v>
      </c>
      <c r="X296" s="284" t="str">
        <f t="shared" si="12"/>
        <v>BDE</v>
      </c>
      <c r="Y296" s="271" t="s">
        <v>2398</v>
      </c>
      <c r="Z296" s="283">
        <f t="shared" si="13"/>
        <v>0.12600000000000003</v>
      </c>
      <c r="AA296" s="340">
        <f t="shared" si="13"/>
        <v>9.75E-3</v>
      </c>
      <c r="AC296" s="250"/>
      <c r="AD296" s="250"/>
      <c r="AE296" s="250"/>
      <c r="AF296" s="250"/>
      <c r="AG296" s="250"/>
      <c r="AH296" s="250"/>
    </row>
    <row r="297" spans="1:34" s="268" customFormat="1">
      <c r="A297" s="270" t="s">
        <v>574</v>
      </c>
      <c r="B297" s="268" t="s">
        <v>2045</v>
      </c>
      <c r="C297" s="268" t="s">
        <v>2043</v>
      </c>
      <c r="D297" s="269" t="s">
        <v>1979</v>
      </c>
      <c r="E297" s="269" t="s">
        <v>575</v>
      </c>
      <c r="F297" s="268">
        <v>0.12600000000000003</v>
      </c>
      <c r="G297" s="268">
        <v>9.75E-3</v>
      </c>
      <c r="H297" s="268">
        <v>2.58</v>
      </c>
      <c r="I297" s="267" t="s">
        <v>573</v>
      </c>
      <c r="J297" s="269" t="s">
        <v>244</v>
      </c>
      <c r="T297" s="292" t="s">
        <v>1756</v>
      </c>
      <c r="U297" s="283" t="s">
        <v>2454</v>
      </c>
      <c r="V297" s="285" t="s">
        <v>2397</v>
      </c>
      <c r="W297" s="293" t="str">
        <f t="shared" si="12"/>
        <v>H17</v>
      </c>
      <c r="X297" s="284" t="str">
        <f t="shared" si="12"/>
        <v>BKE</v>
      </c>
      <c r="Y297" s="271" t="s">
        <v>2398</v>
      </c>
      <c r="Z297" s="283">
        <f t="shared" si="13"/>
        <v>0.12600000000000003</v>
      </c>
      <c r="AA297" s="340">
        <f t="shared" si="13"/>
        <v>9.75E-3</v>
      </c>
      <c r="AC297" s="250"/>
      <c r="AD297" s="250"/>
      <c r="AE297" s="250"/>
      <c r="AF297" s="250"/>
      <c r="AG297" s="250"/>
      <c r="AH297" s="250"/>
    </row>
    <row r="298" spans="1:34" s="250" customFormat="1">
      <c r="A298" s="250" t="s">
        <v>576</v>
      </c>
      <c r="B298" s="250" t="s">
        <v>2045</v>
      </c>
      <c r="C298" s="250" t="s">
        <v>2043</v>
      </c>
      <c r="D298" s="251" t="s">
        <v>1979</v>
      </c>
      <c r="E298" s="251" t="s">
        <v>2039</v>
      </c>
      <c r="F298" s="250">
        <v>7.0000000000000007E-2</v>
      </c>
      <c r="G298" s="250">
        <v>6.4999999999999997E-3</v>
      </c>
      <c r="H298" s="250">
        <v>2.58</v>
      </c>
      <c r="I298" s="252" t="s">
        <v>239</v>
      </c>
      <c r="J298" s="250" t="s">
        <v>2136</v>
      </c>
      <c r="T298" s="292" t="s">
        <v>1756</v>
      </c>
      <c r="U298" s="283" t="s">
        <v>2454</v>
      </c>
      <c r="V298" s="285" t="s">
        <v>2397</v>
      </c>
      <c r="W298" s="293" t="str">
        <f t="shared" si="12"/>
        <v>H17</v>
      </c>
      <c r="X298" s="284" t="str">
        <f t="shared" si="12"/>
        <v>CCE</v>
      </c>
      <c r="Y298" s="271" t="s">
        <v>2261</v>
      </c>
      <c r="Z298" s="283">
        <f t="shared" si="13"/>
        <v>7.0000000000000007E-2</v>
      </c>
      <c r="AA298" s="340">
        <f t="shared" si="13"/>
        <v>6.4999999999999997E-3</v>
      </c>
    </row>
    <row r="299" spans="1:34" s="250" customFormat="1">
      <c r="A299" s="250" t="s">
        <v>577</v>
      </c>
      <c r="B299" s="250" t="s">
        <v>2045</v>
      </c>
      <c r="C299" s="250" t="s">
        <v>2043</v>
      </c>
      <c r="D299" s="251" t="s">
        <v>1979</v>
      </c>
      <c r="E299" s="251" t="s">
        <v>578</v>
      </c>
      <c r="F299" s="250">
        <v>7.0000000000000007E-2</v>
      </c>
      <c r="G299" s="250">
        <v>6.4999999999999997E-3</v>
      </c>
      <c r="H299" s="250">
        <v>2.58</v>
      </c>
      <c r="I299" s="252" t="s">
        <v>239</v>
      </c>
      <c r="J299" s="250" t="s">
        <v>2405</v>
      </c>
      <c r="T299" s="292" t="s">
        <v>1756</v>
      </c>
      <c r="U299" s="283" t="s">
        <v>2454</v>
      </c>
      <c r="V299" s="285" t="s">
        <v>2397</v>
      </c>
      <c r="W299" s="293" t="str">
        <f t="shared" si="12"/>
        <v>H17</v>
      </c>
      <c r="X299" s="284" t="str">
        <f t="shared" si="12"/>
        <v>CJE</v>
      </c>
      <c r="Y299" s="271" t="s">
        <v>2261</v>
      </c>
      <c r="Z299" s="283">
        <f t="shared" si="13"/>
        <v>7.0000000000000007E-2</v>
      </c>
      <c r="AA299" s="340">
        <f t="shared" si="13"/>
        <v>6.4999999999999997E-3</v>
      </c>
    </row>
    <row r="300" spans="1:34" s="250" customFormat="1">
      <c r="A300" s="250" t="s">
        <v>579</v>
      </c>
      <c r="B300" s="250" t="s">
        <v>2045</v>
      </c>
      <c r="C300" s="250" t="s">
        <v>2043</v>
      </c>
      <c r="D300" s="251" t="s">
        <v>1979</v>
      </c>
      <c r="E300" s="251" t="s">
        <v>2040</v>
      </c>
      <c r="F300" s="250">
        <v>7.0000000000000007E-2</v>
      </c>
      <c r="G300" s="250">
        <v>6.4999999999999997E-3</v>
      </c>
      <c r="H300" s="250">
        <v>2.58</v>
      </c>
      <c r="I300" s="252" t="s">
        <v>2340</v>
      </c>
      <c r="J300" s="251" t="s">
        <v>250</v>
      </c>
      <c r="T300" s="292" t="s">
        <v>1756</v>
      </c>
      <c r="U300" s="283" t="s">
        <v>2454</v>
      </c>
      <c r="V300" s="285" t="s">
        <v>2397</v>
      </c>
      <c r="W300" s="293" t="str">
        <f t="shared" si="12"/>
        <v>H17</v>
      </c>
      <c r="X300" s="284" t="str">
        <f t="shared" si="12"/>
        <v>CDE</v>
      </c>
      <c r="Y300" s="271" t="s">
        <v>2261</v>
      </c>
      <c r="Z300" s="283">
        <f t="shared" si="13"/>
        <v>7.0000000000000007E-2</v>
      </c>
      <c r="AA300" s="340">
        <f t="shared" si="13"/>
        <v>6.4999999999999997E-3</v>
      </c>
    </row>
    <row r="301" spans="1:34" s="250" customFormat="1">
      <c r="A301" s="250" t="s">
        <v>580</v>
      </c>
      <c r="B301" s="250" t="s">
        <v>2045</v>
      </c>
      <c r="C301" s="250" t="s">
        <v>2043</v>
      </c>
      <c r="D301" s="251" t="s">
        <v>1979</v>
      </c>
      <c r="E301" s="251" t="s">
        <v>581</v>
      </c>
      <c r="F301" s="250">
        <v>7.0000000000000007E-2</v>
      </c>
      <c r="G301" s="250">
        <v>6.4999999999999997E-3</v>
      </c>
      <c r="H301" s="250">
        <v>2.58</v>
      </c>
      <c r="I301" s="252" t="s">
        <v>2340</v>
      </c>
      <c r="J301" s="251" t="s">
        <v>250</v>
      </c>
      <c r="T301" s="292" t="s">
        <v>1756</v>
      </c>
      <c r="U301" s="283" t="s">
        <v>2454</v>
      </c>
      <c r="V301" s="285" t="s">
        <v>2397</v>
      </c>
      <c r="W301" s="293" t="str">
        <f t="shared" si="12"/>
        <v>H17</v>
      </c>
      <c r="X301" s="284" t="str">
        <f t="shared" si="12"/>
        <v>CKE</v>
      </c>
      <c r="Y301" s="271" t="s">
        <v>2261</v>
      </c>
      <c r="Z301" s="283">
        <f t="shared" si="13"/>
        <v>7.0000000000000007E-2</v>
      </c>
      <c r="AA301" s="340">
        <f t="shared" si="13"/>
        <v>6.4999999999999997E-3</v>
      </c>
    </row>
    <row r="302" spans="1:34" s="250" customFormat="1">
      <c r="A302" s="250" t="s">
        <v>582</v>
      </c>
      <c r="B302" s="250" t="s">
        <v>2045</v>
      </c>
      <c r="C302" s="250" t="s">
        <v>2043</v>
      </c>
      <c r="D302" s="251" t="s">
        <v>1979</v>
      </c>
      <c r="E302" s="251" t="s">
        <v>2041</v>
      </c>
      <c r="F302" s="250">
        <v>3.5000000000000003E-2</v>
      </c>
      <c r="G302" s="250">
        <v>3.2499999999999999E-3</v>
      </c>
      <c r="H302" s="250">
        <v>2.58</v>
      </c>
      <c r="I302" s="252" t="s">
        <v>239</v>
      </c>
      <c r="J302" s="251" t="s">
        <v>2406</v>
      </c>
      <c r="T302" s="292" t="s">
        <v>1756</v>
      </c>
      <c r="U302" s="283" t="s">
        <v>2454</v>
      </c>
      <c r="V302" s="285" t="s">
        <v>2397</v>
      </c>
      <c r="W302" s="293" t="str">
        <f t="shared" si="12"/>
        <v>H17</v>
      </c>
      <c r="X302" s="284" t="str">
        <f t="shared" si="12"/>
        <v>DCE</v>
      </c>
      <c r="Y302" s="271" t="s">
        <v>2262</v>
      </c>
      <c r="Z302" s="283">
        <f t="shared" si="13"/>
        <v>3.5000000000000003E-2</v>
      </c>
      <c r="AA302" s="340">
        <f t="shared" si="13"/>
        <v>3.2499999999999999E-3</v>
      </c>
    </row>
    <row r="303" spans="1:34" s="250" customFormat="1">
      <c r="A303" s="250" t="s">
        <v>583</v>
      </c>
      <c r="B303" s="250" t="s">
        <v>2045</v>
      </c>
      <c r="C303" s="250" t="s">
        <v>2043</v>
      </c>
      <c r="D303" s="251" t="s">
        <v>1979</v>
      </c>
      <c r="E303" s="251" t="s">
        <v>584</v>
      </c>
      <c r="F303" s="250">
        <v>3.5000000000000003E-2</v>
      </c>
      <c r="G303" s="250">
        <v>3.2499999999999999E-3</v>
      </c>
      <c r="H303" s="250">
        <v>2.58</v>
      </c>
      <c r="I303" s="252" t="s">
        <v>239</v>
      </c>
      <c r="J303" s="251" t="s">
        <v>2406</v>
      </c>
      <c r="T303" s="292" t="s">
        <v>1756</v>
      </c>
      <c r="U303" s="283" t="s">
        <v>2454</v>
      </c>
      <c r="V303" s="285" t="s">
        <v>2397</v>
      </c>
      <c r="W303" s="293" t="str">
        <f t="shared" si="12"/>
        <v>H17</v>
      </c>
      <c r="X303" s="284" t="str">
        <f t="shared" si="12"/>
        <v>DJE</v>
      </c>
      <c r="Y303" s="271" t="s">
        <v>2262</v>
      </c>
      <c r="Z303" s="283">
        <f t="shared" si="13"/>
        <v>3.5000000000000003E-2</v>
      </c>
      <c r="AA303" s="340">
        <f t="shared" si="13"/>
        <v>3.2499999999999999E-3</v>
      </c>
    </row>
    <row r="304" spans="1:34" s="250" customFormat="1">
      <c r="A304" s="250" t="s">
        <v>585</v>
      </c>
      <c r="B304" s="250" t="s">
        <v>2045</v>
      </c>
      <c r="C304" s="250" t="s">
        <v>2043</v>
      </c>
      <c r="D304" s="251" t="s">
        <v>1979</v>
      </c>
      <c r="E304" s="251" t="s">
        <v>2042</v>
      </c>
      <c r="F304" s="250">
        <v>3.5000000000000003E-2</v>
      </c>
      <c r="G304" s="250">
        <v>3.2499999999999999E-3</v>
      </c>
      <c r="H304" s="250">
        <v>2.58</v>
      </c>
      <c r="I304" s="252" t="s">
        <v>2340</v>
      </c>
      <c r="J304" s="251" t="s">
        <v>586</v>
      </c>
      <c r="T304" s="292" t="s">
        <v>1756</v>
      </c>
      <c r="U304" s="283" t="s">
        <v>2454</v>
      </c>
      <c r="V304" s="285" t="s">
        <v>2397</v>
      </c>
      <c r="W304" s="293" t="str">
        <f t="shared" si="12"/>
        <v>H17</v>
      </c>
      <c r="X304" s="284" t="str">
        <f t="shared" si="12"/>
        <v>DDE</v>
      </c>
      <c r="Y304" s="271" t="s">
        <v>2262</v>
      </c>
      <c r="Z304" s="283">
        <f t="shared" si="13"/>
        <v>3.5000000000000003E-2</v>
      </c>
      <c r="AA304" s="340">
        <f t="shared" si="13"/>
        <v>3.2499999999999999E-3</v>
      </c>
    </row>
    <row r="305" spans="1:34" s="250" customFormat="1">
      <c r="A305" s="250" t="s">
        <v>587</v>
      </c>
      <c r="B305" s="250" t="s">
        <v>2045</v>
      </c>
      <c r="C305" s="250" t="s">
        <v>2043</v>
      </c>
      <c r="D305" s="251" t="s">
        <v>1979</v>
      </c>
      <c r="E305" s="251" t="s">
        <v>588</v>
      </c>
      <c r="F305" s="250">
        <v>3.5000000000000003E-2</v>
      </c>
      <c r="G305" s="250">
        <v>3.2499999999999999E-3</v>
      </c>
      <c r="H305" s="250">
        <v>2.58</v>
      </c>
      <c r="I305" s="252" t="s">
        <v>2340</v>
      </c>
      <c r="J305" s="251" t="s">
        <v>586</v>
      </c>
      <c r="T305" s="292" t="s">
        <v>1756</v>
      </c>
      <c r="U305" s="283" t="s">
        <v>2454</v>
      </c>
      <c r="V305" s="285" t="s">
        <v>2397</v>
      </c>
      <c r="W305" s="293" t="str">
        <f t="shared" si="12"/>
        <v>H17</v>
      </c>
      <c r="X305" s="284" t="str">
        <f t="shared" si="12"/>
        <v>DKE</v>
      </c>
      <c r="Y305" s="271" t="s">
        <v>2262</v>
      </c>
      <c r="Z305" s="283">
        <f t="shared" si="13"/>
        <v>3.5000000000000003E-2</v>
      </c>
      <c r="AA305" s="340">
        <f t="shared" si="13"/>
        <v>3.2499999999999999E-3</v>
      </c>
    </row>
    <row r="306" spans="1:34" s="250" customFormat="1">
      <c r="A306" s="250" t="s">
        <v>589</v>
      </c>
      <c r="B306" s="250" t="s">
        <v>2045</v>
      </c>
      <c r="C306" s="250" t="s">
        <v>2043</v>
      </c>
      <c r="D306" s="251" t="s">
        <v>1979</v>
      </c>
      <c r="E306" s="251" t="s">
        <v>590</v>
      </c>
      <c r="F306" s="250">
        <v>0.12600000000000003</v>
      </c>
      <c r="G306" s="250">
        <v>1.2999999999999999E-2</v>
      </c>
      <c r="H306" s="250">
        <v>2.58</v>
      </c>
      <c r="I306" s="252" t="s">
        <v>239</v>
      </c>
      <c r="J306" s="251" t="s">
        <v>2402</v>
      </c>
      <c r="T306" s="292" t="s">
        <v>1756</v>
      </c>
      <c r="U306" s="283" t="s">
        <v>2454</v>
      </c>
      <c r="V306" s="285" t="s">
        <v>2397</v>
      </c>
      <c r="W306" s="293" t="str">
        <f t="shared" si="12"/>
        <v>H17</v>
      </c>
      <c r="X306" s="284" t="str">
        <f t="shared" si="12"/>
        <v>NCE</v>
      </c>
      <c r="Y306" s="271" t="s">
        <v>2398</v>
      </c>
      <c r="Z306" s="283">
        <f t="shared" si="13"/>
        <v>0.12600000000000003</v>
      </c>
      <c r="AA306" s="340">
        <f t="shared" si="13"/>
        <v>1.2999999999999999E-2</v>
      </c>
    </row>
    <row r="307" spans="1:34" s="250" customFormat="1">
      <c r="A307" s="250" t="s">
        <v>591</v>
      </c>
      <c r="B307" s="250" t="s">
        <v>2045</v>
      </c>
      <c r="C307" s="250" t="s">
        <v>2043</v>
      </c>
      <c r="D307" s="251" t="s">
        <v>1979</v>
      </c>
      <c r="E307" s="251" t="s">
        <v>592</v>
      </c>
      <c r="F307" s="250">
        <v>0.12600000000000003</v>
      </c>
      <c r="G307" s="250">
        <v>1.2999999999999999E-2</v>
      </c>
      <c r="H307" s="250">
        <v>2.58</v>
      </c>
      <c r="I307" s="252" t="s">
        <v>239</v>
      </c>
      <c r="J307" s="251" t="s">
        <v>2402</v>
      </c>
      <c r="T307" s="292" t="s">
        <v>1756</v>
      </c>
      <c r="U307" s="283" t="s">
        <v>2454</v>
      </c>
      <c r="V307" s="285" t="s">
        <v>2397</v>
      </c>
      <c r="W307" s="293" t="str">
        <f t="shared" si="12"/>
        <v>H17</v>
      </c>
      <c r="X307" s="284" t="str">
        <f t="shared" si="12"/>
        <v>NJE</v>
      </c>
      <c r="Y307" s="271" t="s">
        <v>2398</v>
      </c>
      <c r="Z307" s="283">
        <f t="shared" si="13"/>
        <v>0.12600000000000003</v>
      </c>
      <c r="AA307" s="340">
        <f t="shared" si="13"/>
        <v>1.2999999999999999E-2</v>
      </c>
    </row>
    <row r="308" spans="1:34" s="250" customFormat="1">
      <c r="A308" s="250" t="s">
        <v>593</v>
      </c>
      <c r="B308" s="250" t="s">
        <v>2045</v>
      </c>
      <c r="C308" s="250" t="s">
        <v>2043</v>
      </c>
      <c r="D308" s="251" t="s">
        <v>1979</v>
      </c>
      <c r="E308" s="251" t="s">
        <v>594</v>
      </c>
      <c r="F308" s="250">
        <v>0.12600000000000003</v>
      </c>
      <c r="G308" s="250">
        <v>1.2999999999999999E-2</v>
      </c>
      <c r="H308" s="250">
        <v>2.58</v>
      </c>
      <c r="I308" s="252" t="s">
        <v>573</v>
      </c>
      <c r="J308" s="251" t="s">
        <v>2398</v>
      </c>
      <c r="T308" s="292" t="s">
        <v>1756</v>
      </c>
      <c r="U308" s="283" t="s">
        <v>2454</v>
      </c>
      <c r="V308" s="285" t="s">
        <v>2397</v>
      </c>
      <c r="W308" s="293" t="str">
        <f t="shared" ref="W308:X405" si="14">D308</f>
        <v>H17</v>
      </c>
      <c r="X308" s="284" t="str">
        <f t="shared" si="14"/>
        <v>NDE</v>
      </c>
      <c r="Y308" s="271" t="s">
        <v>2398</v>
      </c>
      <c r="Z308" s="283">
        <f t="shared" si="13"/>
        <v>0.12600000000000003</v>
      </c>
      <c r="AA308" s="340">
        <f t="shared" si="13"/>
        <v>1.2999999999999999E-2</v>
      </c>
      <c r="AC308" s="74"/>
      <c r="AD308" s="74"/>
      <c r="AE308" s="74"/>
      <c r="AF308" s="74"/>
      <c r="AG308" s="74"/>
      <c r="AH308" s="74"/>
    </row>
    <row r="309" spans="1:34" s="250" customFormat="1">
      <c r="A309" s="250" t="s">
        <v>595</v>
      </c>
      <c r="B309" s="250" t="s">
        <v>2045</v>
      </c>
      <c r="C309" s="250" t="s">
        <v>2043</v>
      </c>
      <c r="D309" s="251" t="s">
        <v>1979</v>
      </c>
      <c r="E309" s="251" t="s">
        <v>596</v>
      </c>
      <c r="F309" s="250">
        <v>0.12600000000000003</v>
      </c>
      <c r="G309" s="250">
        <v>1.2999999999999999E-2</v>
      </c>
      <c r="H309" s="250">
        <v>2.58</v>
      </c>
      <c r="I309" s="252" t="s">
        <v>573</v>
      </c>
      <c r="J309" s="251" t="s">
        <v>2398</v>
      </c>
      <c r="T309" s="292" t="s">
        <v>1756</v>
      </c>
      <c r="U309" s="283" t="s">
        <v>2454</v>
      </c>
      <c r="V309" s="285" t="s">
        <v>2397</v>
      </c>
      <c r="W309" s="293" t="str">
        <f t="shared" si="14"/>
        <v>H17</v>
      </c>
      <c r="X309" s="284" t="str">
        <f t="shared" si="14"/>
        <v>NKE</v>
      </c>
      <c r="Y309" s="271" t="s">
        <v>2398</v>
      </c>
      <c r="Z309" s="283">
        <f t="shared" si="13"/>
        <v>0.12600000000000003</v>
      </c>
      <c r="AA309" s="340">
        <f t="shared" si="13"/>
        <v>1.2999999999999999E-2</v>
      </c>
      <c r="AC309" s="74"/>
      <c r="AD309" s="74"/>
      <c r="AE309" s="74"/>
      <c r="AF309" s="74"/>
      <c r="AG309" s="74"/>
      <c r="AH309" s="74"/>
    </row>
    <row r="310" spans="1:34">
      <c r="A310" s="74" t="s">
        <v>597</v>
      </c>
      <c r="B310" s="74" t="s">
        <v>2045</v>
      </c>
      <c r="C310" s="74" t="s">
        <v>2043</v>
      </c>
      <c r="D310" s="74" t="s">
        <v>1979</v>
      </c>
      <c r="E310" s="74" t="s">
        <v>598</v>
      </c>
      <c r="F310" s="74">
        <v>0.14000000000000001</v>
      </c>
      <c r="G310" s="74">
        <v>1.17E-2</v>
      </c>
      <c r="H310" s="74">
        <v>2.58</v>
      </c>
      <c r="I310" s="13" t="s">
        <v>239</v>
      </c>
      <c r="J310" s="74" t="s">
        <v>2403</v>
      </c>
      <c r="T310" s="292" t="s">
        <v>1756</v>
      </c>
      <c r="U310" s="283" t="s">
        <v>2454</v>
      </c>
      <c r="V310" s="285" t="s">
        <v>2397</v>
      </c>
      <c r="W310" s="293" t="str">
        <f t="shared" si="14"/>
        <v>H17</v>
      </c>
      <c r="X310" s="284" t="str">
        <f t="shared" si="14"/>
        <v>PCE</v>
      </c>
      <c r="Y310" s="271" t="s">
        <v>2401</v>
      </c>
      <c r="Z310" s="283">
        <f t="shared" si="13"/>
        <v>0.14000000000000001</v>
      </c>
      <c r="AA310" s="340">
        <f t="shared" si="13"/>
        <v>1.17E-2</v>
      </c>
    </row>
    <row r="311" spans="1:34">
      <c r="A311" s="74" t="s">
        <v>599</v>
      </c>
      <c r="B311" s="74" t="s">
        <v>2045</v>
      </c>
      <c r="C311" s="74" t="s">
        <v>2043</v>
      </c>
      <c r="D311" s="74" t="s">
        <v>1979</v>
      </c>
      <c r="E311" s="74" t="s">
        <v>600</v>
      </c>
      <c r="F311" s="74">
        <v>0.14000000000000001</v>
      </c>
      <c r="G311" s="74">
        <v>1.17E-2</v>
      </c>
      <c r="H311" s="74">
        <v>2.58</v>
      </c>
      <c r="I311" s="13" t="s">
        <v>239</v>
      </c>
      <c r="J311" s="74" t="s">
        <v>2403</v>
      </c>
      <c r="T311" s="292" t="s">
        <v>1756</v>
      </c>
      <c r="U311" s="283" t="s">
        <v>2454</v>
      </c>
      <c r="V311" s="285" t="s">
        <v>2397</v>
      </c>
      <c r="W311" s="293" t="str">
        <f t="shared" si="14"/>
        <v>H17</v>
      </c>
      <c r="X311" s="284" t="str">
        <f t="shared" si="14"/>
        <v>PJE</v>
      </c>
      <c r="Y311" s="271" t="s">
        <v>2401</v>
      </c>
      <c r="Z311" s="283">
        <f t="shared" si="13"/>
        <v>0.14000000000000001</v>
      </c>
      <c r="AA311" s="340">
        <f t="shared" si="13"/>
        <v>1.17E-2</v>
      </c>
    </row>
    <row r="312" spans="1:34">
      <c r="A312" s="74" t="s">
        <v>601</v>
      </c>
      <c r="B312" s="74" t="s">
        <v>2045</v>
      </c>
      <c r="C312" s="74" t="s">
        <v>2043</v>
      </c>
      <c r="D312" s="74" t="s">
        <v>1979</v>
      </c>
      <c r="E312" s="74" t="s">
        <v>602</v>
      </c>
      <c r="F312" s="74">
        <v>0.14000000000000001</v>
      </c>
      <c r="G312" s="74">
        <v>1.17E-2</v>
      </c>
      <c r="H312" s="74">
        <v>2.58</v>
      </c>
      <c r="I312" s="13" t="s">
        <v>573</v>
      </c>
      <c r="J312" s="74" t="s">
        <v>2401</v>
      </c>
      <c r="T312" s="292" t="s">
        <v>1756</v>
      </c>
      <c r="U312" s="283" t="s">
        <v>2454</v>
      </c>
      <c r="V312" s="285" t="s">
        <v>2397</v>
      </c>
      <c r="W312" s="293" t="str">
        <f t="shared" si="14"/>
        <v>H17</v>
      </c>
      <c r="X312" s="284" t="str">
        <f t="shared" si="14"/>
        <v>PDE</v>
      </c>
      <c r="Y312" s="271" t="s">
        <v>2401</v>
      </c>
      <c r="Z312" s="283">
        <f t="shared" si="13"/>
        <v>0.14000000000000001</v>
      </c>
      <c r="AA312" s="340">
        <f t="shared" si="13"/>
        <v>1.17E-2</v>
      </c>
    </row>
    <row r="313" spans="1:34">
      <c r="A313" s="74" t="s">
        <v>603</v>
      </c>
      <c r="B313" s="74" t="s">
        <v>2045</v>
      </c>
      <c r="C313" s="74" t="s">
        <v>2043</v>
      </c>
      <c r="D313" s="74" t="s">
        <v>1979</v>
      </c>
      <c r="E313" s="74" t="s">
        <v>604</v>
      </c>
      <c r="F313" s="74">
        <v>0.14000000000000001</v>
      </c>
      <c r="G313" s="74">
        <v>1.17E-2</v>
      </c>
      <c r="H313" s="74">
        <v>2.58</v>
      </c>
      <c r="I313" s="13" t="s">
        <v>573</v>
      </c>
      <c r="J313" s="74" t="s">
        <v>2401</v>
      </c>
      <c r="T313" s="292" t="s">
        <v>1756</v>
      </c>
      <c r="U313" s="283" t="s">
        <v>2454</v>
      </c>
      <c r="V313" s="285" t="s">
        <v>2397</v>
      </c>
      <c r="W313" s="293" t="str">
        <f t="shared" si="14"/>
        <v>H17</v>
      </c>
      <c r="X313" s="284" t="str">
        <f t="shared" si="14"/>
        <v>PKE</v>
      </c>
      <c r="Y313" s="271" t="s">
        <v>2401</v>
      </c>
      <c r="Z313" s="283">
        <f t="shared" si="13"/>
        <v>0.14000000000000001</v>
      </c>
      <c r="AA313" s="340">
        <f t="shared" si="13"/>
        <v>1.17E-2</v>
      </c>
    </row>
    <row r="314" spans="1:34">
      <c r="A314" s="74" t="s">
        <v>605</v>
      </c>
      <c r="B314" s="74" t="s">
        <v>2045</v>
      </c>
      <c r="C314" s="74" t="s">
        <v>2043</v>
      </c>
      <c r="D314" s="74" t="s">
        <v>2382</v>
      </c>
      <c r="E314" s="74" t="s">
        <v>606</v>
      </c>
      <c r="F314" s="74">
        <v>0.08</v>
      </c>
      <c r="G314" s="74">
        <v>5.0000000000000001E-3</v>
      </c>
      <c r="H314" s="74">
        <v>2.58</v>
      </c>
      <c r="I314" s="13" t="s">
        <v>607</v>
      </c>
      <c r="T314" s="292" t="s">
        <v>1756</v>
      </c>
      <c r="U314" s="283" t="s">
        <v>2454</v>
      </c>
      <c r="V314" s="285" t="s">
        <v>2397</v>
      </c>
      <c r="W314" s="293" t="str">
        <f t="shared" si="14"/>
        <v>H21</v>
      </c>
      <c r="X314" s="284" t="str">
        <f t="shared" si="14"/>
        <v>LDE</v>
      </c>
      <c r="Y314" s="271"/>
      <c r="Z314" s="283">
        <f t="shared" si="13"/>
        <v>0.08</v>
      </c>
      <c r="AA314" s="340">
        <f t="shared" si="13"/>
        <v>5.0000000000000001E-3</v>
      </c>
    </row>
    <row r="315" spans="1:34">
      <c r="A315" s="74" t="s">
        <v>608</v>
      </c>
      <c r="B315" s="74" t="s">
        <v>2045</v>
      </c>
      <c r="C315" s="74" t="s">
        <v>2043</v>
      </c>
      <c r="D315" s="74" t="s">
        <v>2382</v>
      </c>
      <c r="E315" s="74" t="s">
        <v>609</v>
      </c>
      <c r="F315" s="74">
        <v>0.08</v>
      </c>
      <c r="G315" s="74">
        <v>5.0000000000000001E-3</v>
      </c>
      <c r="H315" s="74">
        <v>2.58</v>
      </c>
      <c r="I315" s="13" t="s">
        <v>607</v>
      </c>
      <c r="T315" s="292" t="s">
        <v>1756</v>
      </c>
      <c r="U315" s="283" t="s">
        <v>2454</v>
      </c>
      <c r="V315" s="285" t="s">
        <v>2397</v>
      </c>
      <c r="W315" s="293" t="str">
        <f t="shared" si="14"/>
        <v>H21</v>
      </c>
      <c r="X315" s="284" t="str">
        <f t="shared" si="14"/>
        <v>LKE</v>
      </c>
      <c r="Y315" s="271"/>
      <c r="Z315" s="283">
        <f t="shared" si="13"/>
        <v>0.08</v>
      </c>
      <c r="AA315" s="340">
        <f t="shared" si="13"/>
        <v>5.0000000000000001E-3</v>
      </c>
    </row>
    <row r="316" spans="1:34">
      <c r="A316" s="74" t="s">
        <v>610</v>
      </c>
      <c r="B316" s="74" t="s">
        <v>2045</v>
      </c>
      <c r="C316" s="74" t="s">
        <v>2043</v>
      </c>
      <c r="D316" s="74" t="s">
        <v>2382</v>
      </c>
      <c r="E316" s="74" t="s">
        <v>611</v>
      </c>
      <c r="F316" s="74">
        <v>0.08</v>
      </c>
      <c r="G316" s="74">
        <v>5.0000000000000001E-3</v>
      </c>
      <c r="H316" s="74">
        <v>2.58</v>
      </c>
      <c r="I316" s="13" t="s">
        <v>607</v>
      </c>
      <c r="T316" s="292" t="s">
        <v>1760</v>
      </c>
      <c r="U316" s="283" t="s">
        <v>1768</v>
      </c>
      <c r="V316" s="285" t="s">
        <v>2397</v>
      </c>
      <c r="W316" s="293" t="s">
        <v>2382</v>
      </c>
      <c r="X316" s="284" t="s">
        <v>611</v>
      </c>
      <c r="Y316" s="271"/>
      <c r="Z316" s="283">
        <v>0.08</v>
      </c>
      <c r="AA316" s="340">
        <v>5.0000000000000001E-3</v>
      </c>
    </row>
    <row r="317" spans="1:34">
      <c r="A317" s="74" t="s">
        <v>612</v>
      </c>
      <c r="B317" s="74" t="s">
        <v>2045</v>
      </c>
      <c r="C317" s="74" t="s">
        <v>2043</v>
      </c>
      <c r="D317" s="74" t="s">
        <v>2382</v>
      </c>
      <c r="E317" s="74" t="s">
        <v>613</v>
      </c>
      <c r="F317" s="74">
        <v>0.08</v>
      </c>
      <c r="G317" s="74">
        <v>5.0000000000000001E-3</v>
      </c>
      <c r="H317" s="74">
        <v>2.58</v>
      </c>
      <c r="I317" s="13" t="s">
        <v>607</v>
      </c>
      <c r="T317" s="292" t="s">
        <v>1760</v>
      </c>
      <c r="U317" s="283" t="s">
        <v>1768</v>
      </c>
      <c r="V317" s="285" t="s">
        <v>2397</v>
      </c>
      <c r="W317" s="293" t="s">
        <v>2382</v>
      </c>
      <c r="X317" s="284" t="s">
        <v>613</v>
      </c>
      <c r="Y317" s="271"/>
      <c r="Z317" s="283">
        <v>0.08</v>
      </c>
      <c r="AA317" s="340">
        <v>5.0000000000000001E-3</v>
      </c>
    </row>
    <row r="318" spans="1:34">
      <c r="A318" s="74" t="s">
        <v>614</v>
      </c>
      <c r="B318" s="74" t="s">
        <v>2045</v>
      </c>
      <c r="C318" s="74" t="s">
        <v>2043</v>
      </c>
      <c r="D318" s="74" t="s">
        <v>2382</v>
      </c>
      <c r="E318" s="74" t="s">
        <v>615</v>
      </c>
      <c r="F318" s="74">
        <v>0.04</v>
      </c>
      <c r="G318" s="74">
        <v>2.5000000000000001E-3</v>
      </c>
      <c r="H318" s="74">
        <v>2.58</v>
      </c>
      <c r="I318" s="13" t="s">
        <v>239</v>
      </c>
      <c r="J318" s="74" t="s">
        <v>240</v>
      </c>
      <c r="T318" s="292" t="s">
        <v>1756</v>
      </c>
      <c r="U318" s="283" t="s">
        <v>2454</v>
      </c>
      <c r="V318" s="285" t="s">
        <v>2397</v>
      </c>
      <c r="W318" s="293" t="str">
        <f t="shared" si="14"/>
        <v>H21</v>
      </c>
      <c r="X318" s="284" t="str">
        <f t="shared" si="14"/>
        <v>LCE</v>
      </c>
      <c r="Y318" s="271"/>
      <c r="Z318" s="283">
        <f t="shared" si="13"/>
        <v>0.04</v>
      </c>
      <c r="AA318" s="340">
        <f t="shared" si="13"/>
        <v>2.5000000000000001E-3</v>
      </c>
    </row>
    <row r="319" spans="1:34">
      <c r="A319" s="74" t="s">
        <v>616</v>
      </c>
      <c r="B319" s="74" t="s">
        <v>2045</v>
      </c>
      <c r="C319" s="74" t="s">
        <v>2043</v>
      </c>
      <c r="D319" s="74" t="s">
        <v>2382</v>
      </c>
      <c r="E319" s="74" t="s">
        <v>617</v>
      </c>
      <c r="F319" s="74">
        <v>0.04</v>
      </c>
      <c r="G319" s="74">
        <v>2.5000000000000001E-3</v>
      </c>
      <c r="H319" s="74">
        <v>2.58</v>
      </c>
      <c r="I319" s="13" t="s">
        <v>239</v>
      </c>
      <c r="J319" s="74" t="s">
        <v>240</v>
      </c>
      <c r="T319" s="292" t="s">
        <v>1756</v>
      </c>
      <c r="U319" s="283" t="s">
        <v>2454</v>
      </c>
      <c r="V319" s="285" t="s">
        <v>2397</v>
      </c>
      <c r="W319" s="293" t="str">
        <f t="shared" si="14"/>
        <v>H21</v>
      </c>
      <c r="X319" s="284" t="str">
        <f t="shared" si="14"/>
        <v>LJE</v>
      </c>
      <c r="Y319" s="271"/>
      <c r="Z319" s="283">
        <f t="shared" si="13"/>
        <v>0.04</v>
      </c>
      <c r="AA319" s="340">
        <f t="shared" si="13"/>
        <v>2.5000000000000001E-3</v>
      </c>
    </row>
    <row r="320" spans="1:34">
      <c r="A320" s="74" t="s">
        <v>618</v>
      </c>
      <c r="B320" s="74" t="s">
        <v>2045</v>
      </c>
      <c r="C320" s="74" t="s">
        <v>2043</v>
      </c>
      <c r="D320" s="74" t="s">
        <v>2382</v>
      </c>
      <c r="E320" s="74" t="s">
        <v>619</v>
      </c>
      <c r="F320" s="74">
        <v>0.04</v>
      </c>
      <c r="G320" s="74">
        <v>2.5000000000000001E-3</v>
      </c>
      <c r="H320" s="74">
        <v>2.58</v>
      </c>
      <c r="I320" s="13" t="s">
        <v>239</v>
      </c>
      <c r="J320" s="74" t="s">
        <v>240</v>
      </c>
      <c r="T320" s="292" t="s">
        <v>1760</v>
      </c>
      <c r="U320" s="283" t="s">
        <v>1768</v>
      </c>
      <c r="V320" s="285" t="s">
        <v>2397</v>
      </c>
      <c r="W320" s="293" t="s">
        <v>2382</v>
      </c>
      <c r="X320" s="284" t="s">
        <v>619</v>
      </c>
      <c r="Y320" s="271"/>
      <c r="Z320" s="283">
        <v>0.04</v>
      </c>
      <c r="AA320" s="340">
        <v>2.5000000000000001E-3</v>
      </c>
    </row>
    <row r="321" spans="1:27">
      <c r="A321" s="74" t="s">
        <v>620</v>
      </c>
      <c r="B321" s="74" t="s">
        <v>2045</v>
      </c>
      <c r="C321" s="74" t="s">
        <v>2043</v>
      </c>
      <c r="D321" s="74" t="s">
        <v>2382</v>
      </c>
      <c r="E321" s="74" t="s">
        <v>621</v>
      </c>
      <c r="F321" s="74">
        <v>0.04</v>
      </c>
      <c r="G321" s="74">
        <v>2.5000000000000001E-3</v>
      </c>
      <c r="H321" s="74">
        <v>2.58</v>
      </c>
      <c r="I321" s="13" t="s">
        <v>239</v>
      </c>
      <c r="J321" s="74" t="s">
        <v>240</v>
      </c>
      <c r="T321" s="292" t="s">
        <v>1760</v>
      </c>
      <c r="U321" s="283" t="s">
        <v>1768</v>
      </c>
      <c r="V321" s="285" t="s">
        <v>2397</v>
      </c>
      <c r="W321" s="293" t="s">
        <v>2382</v>
      </c>
      <c r="X321" s="284" t="s">
        <v>621</v>
      </c>
      <c r="Y321" s="271"/>
      <c r="Z321" s="283">
        <v>0.04</v>
      </c>
      <c r="AA321" s="340">
        <v>2.5000000000000001E-3</v>
      </c>
    </row>
    <row r="322" spans="1:27">
      <c r="A322" s="74" t="s">
        <v>622</v>
      </c>
      <c r="B322" s="74" t="s">
        <v>2045</v>
      </c>
      <c r="C322" s="74" t="s">
        <v>2043</v>
      </c>
      <c r="D322" s="74" t="s">
        <v>2382</v>
      </c>
      <c r="E322" s="74" t="s">
        <v>623</v>
      </c>
      <c r="F322" s="74">
        <v>0.04</v>
      </c>
      <c r="G322" s="74">
        <v>2.5000000000000001E-3</v>
      </c>
      <c r="H322" s="74">
        <v>2.58</v>
      </c>
      <c r="I322" s="13" t="s">
        <v>607</v>
      </c>
      <c r="J322" s="74" t="s">
        <v>2261</v>
      </c>
      <c r="T322" s="292" t="s">
        <v>1756</v>
      </c>
      <c r="U322" s="283" t="s">
        <v>2454</v>
      </c>
      <c r="V322" s="285" t="s">
        <v>2397</v>
      </c>
      <c r="W322" s="293" t="str">
        <f t="shared" si="14"/>
        <v>H21</v>
      </c>
      <c r="X322" s="284" t="str">
        <f t="shared" si="14"/>
        <v>MDE</v>
      </c>
      <c r="Y322" s="271" t="s">
        <v>2261</v>
      </c>
      <c r="Z322" s="283">
        <f t="shared" si="13"/>
        <v>0.04</v>
      </c>
      <c r="AA322" s="340">
        <f t="shared" si="13"/>
        <v>2.5000000000000001E-3</v>
      </c>
    </row>
    <row r="323" spans="1:27">
      <c r="A323" s="74" t="s">
        <v>624</v>
      </c>
      <c r="B323" s="74" t="s">
        <v>2045</v>
      </c>
      <c r="C323" s="74" t="s">
        <v>2043</v>
      </c>
      <c r="D323" s="74" t="s">
        <v>2382</v>
      </c>
      <c r="E323" s="74" t="s">
        <v>625</v>
      </c>
      <c r="F323" s="74">
        <v>0.04</v>
      </c>
      <c r="G323" s="74">
        <v>2.5000000000000001E-3</v>
      </c>
      <c r="H323" s="74">
        <v>2.58</v>
      </c>
      <c r="I323" s="13" t="s">
        <v>607</v>
      </c>
      <c r="J323" s="74" t="s">
        <v>2261</v>
      </c>
      <c r="T323" s="292" t="s">
        <v>1756</v>
      </c>
      <c r="U323" s="283" t="s">
        <v>2454</v>
      </c>
      <c r="V323" s="285" t="s">
        <v>2397</v>
      </c>
      <c r="W323" s="293" t="str">
        <f t="shared" si="14"/>
        <v>H21</v>
      </c>
      <c r="X323" s="284" t="str">
        <f t="shared" si="14"/>
        <v>MKE</v>
      </c>
      <c r="Y323" s="271" t="s">
        <v>2261</v>
      </c>
      <c r="Z323" s="283">
        <f t="shared" si="13"/>
        <v>0.04</v>
      </c>
      <c r="AA323" s="340">
        <f t="shared" si="13"/>
        <v>2.5000000000000001E-3</v>
      </c>
    </row>
    <row r="324" spans="1:27">
      <c r="A324" s="74" t="s">
        <v>626</v>
      </c>
      <c r="B324" s="74" t="s">
        <v>2045</v>
      </c>
      <c r="C324" s="74" t="s">
        <v>2043</v>
      </c>
      <c r="D324" s="74" t="s">
        <v>2382</v>
      </c>
      <c r="E324" s="74" t="s">
        <v>627</v>
      </c>
      <c r="F324" s="74">
        <v>0.04</v>
      </c>
      <c r="G324" s="74">
        <v>2.5000000000000001E-3</v>
      </c>
      <c r="H324" s="74">
        <v>2.58</v>
      </c>
      <c r="I324" s="13" t="s">
        <v>607</v>
      </c>
      <c r="J324" s="74" t="s">
        <v>2261</v>
      </c>
      <c r="T324" s="292" t="s">
        <v>1760</v>
      </c>
      <c r="U324" s="283" t="s">
        <v>1768</v>
      </c>
      <c r="V324" s="285" t="s">
        <v>2397</v>
      </c>
      <c r="W324" s="293" t="s">
        <v>2382</v>
      </c>
      <c r="X324" s="284" t="s">
        <v>627</v>
      </c>
      <c r="Y324" s="271" t="s">
        <v>1769</v>
      </c>
      <c r="Z324" s="283">
        <v>0.04</v>
      </c>
      <c r="AA324" s="340">
        <v>2.5000000000000001E-3</v>
      </c>
    </row>
    <row r="325" spans="1:27">
      <c r="A325" s="74" t="s">
        <v>628</v>
      </c>
      <c r="B325" s="74" t="s">
        <v>2045</v>
      </c>
      <c r="C325" s="74" t="s">
        <v>2043</v>
      </c>
      <c r="D325" s="74" t="s">
        <v>2382</v>
      </c>
      <c r="E325" s="74" t="s">
        <v>629</v>
      </c>
      <c r="F325" s="74">
        <v>0.04</v>
      </c>
      <c r="G325" s="74">
        <v>2.5000000000000001E-3</v>
      </c>
      <c r="H325" s="74">
        <v>2.58</v>
      </c>
      <c r="I325" s="13" t="s">
        <v>607</v>
      </c>
      <c r="J325" s="74" t="s">
        <v>2261</v>
      </c>
      <c r="T325" s="292" t="s">
        <v>1760</v>
      </c>
      <c r="U325" s="283" t="s">
        <v>1768</v>
      </c>
      <c r="V325" s="285" t="s">
        <v>2397</v>
      </c>
      <c r="W325" s="293" t="s">
        <v>2382</v>
      </c>
      <c r="X325" s="284" t="s">
        <v>629</v>
      </c>
      <c r="Y325" s="271" t="s">
        <v>1769</v>
      </c>
      <c r="Z325" s="283">
        <v>0.04</v>
      </c>
      <c r="AA325" s="340">
        <v>2.5000000000000001E-3</v>
      </c>
    </row>
    <row r="326" spans="1:27">
      <c r="A326" s="74" t="s">
        <v>630</v>
      </c>
      <c r="B326" s="74" t="s">
        <v>2045</v>
      </c>
      <c r="C326" s="74" t="s">
        <v>2043</v>
      </c>
      <c r="D326" s="74" t="s">
        <v>2382</v>
      </c>
      <c r="E326" s="74" t="s">
        <v>631</v>
      </c>
      <c r="F326" s="74">
        <v>0.04</v>
      </c>
      <c r="G326" s="74">
        <v>2.5000000000000001E-3</v>
      </c>
      <c r="H326" s="74">
        <v>2.58</v>
      </c>
      <c r="I326" s="13" t="s">
        <v>239</v>
      </c>
      <c r="J326" s="74" t="s">
        <v>2385</v>
      </c>
      <c r="T326" s="292" t="s">
        <v>1756</v>
      </c>
      <c r="U326" s="283" t="s">
        <v>2454</v>
      </c>
      <c r="V326" s="285" t="s">
        <v>2397</v>
      </c>
      <c r="W326" s="293" t="str">
        <f t="shared" si="14"/>
        <v>H21</v>
      </c>
      <c r="X326" s="284" t="str">
        <f t="shared" si="14"/>
        <v>MCE</v>
      </c>
      <c r="Y326" s="271" t="s">
        <v>2261</v>
      </c>
      <c r="Z326" s="283">
        <f t="shared" si="13"/>
        <v>0.04</v>
      </c>
      <c r="AA326" s="340">
        <f t="shared" si="13"/>
        <v>2.5000000000000001E-3</v>
      </c>
    </row>
    <row r="327" spans="1:27">
      <c r="A327" s="74" t="s">
        <v>632</v>
      </c>
      <c r="B327" s="74" t="s">
        <v>2045</v>
      </c>
      <c r="C327" s="74" t="s">
        <v>2043</v>
      </c>
      <c r="D327" s="74" t="s">
        <v>2382</v>
      </c>
      <c r="E327" s="74" t="s">
        <v>633</v>
      </c>
      <c r="F327" s="74">
        <v>0.04</v>
      </c>
      <c r="G327" s="74">
        <v>2.5000000000000001E-3</v>
      </c>
      <c r="H327" s="74">
        <v>2.58</v>
      </c>
      <c r="I327" s="13" t="s">
        <v>239</v>
      </c>
      <c r="J327" s="74" t="s">
        <v>2385</v>
      </c>
      <c r="T327" s="292" t="s">
        <v>1756</v>
      </c>
      <c r="U327" s="283" t="s">
        <v>2454</v>
      </c>
      <c r="V327" s="285" t="s">
        <v>2397</v>
      </c>
      <c r="W327" s="293" t="str">
        <f t="shared" si="14"/>
        <v>H21</v>
      </c>
      <c r="X327" s="284" t="str">
        <f t="shared" si="14"/>
        <v>MJE</v>
      </c>
      <c r="Y327" s="271" t="s">
        <v>2261</v>
      </c>
      <c r="Z327" s="283">
        <f t="shared" si="13"/>
        <v>0.04</v>
      </c>
      <c r="AA327" s="340">
        <f t="shared" si="13"/>
        <v>2.5000000000000001E-3</v>
      </c>
    </row>
    <row r="328" spans="1:27">
      <c r="A328" s="74" t="s">
        <v>634</v>
      </c>
      <c r="B328" s="74" t="s">
        <v>2045</v>
      </c>
      <c r="C328" s="74" t="s">
        <v>2043</v>
      </c>
      <c r="D328" s="74" t="s">
        <v>2382</v>
      </c>
      <c r="E328" s="74" t="s">
        <v>635</v>
      </c>
      <c r="F328" s="74">
        <v>0.04</v>
      </c>
      <c r="G328" s="74">
        <v>2.5000000000000001E-3</v>
      </c>
      <c r="H328" s="74">
        <v>2.58</v>
      </c>
      <c r="I328" s="13" t="s">
        <v>239</v>
      </c>
      <c r="J328" s="74" t="s">
        <v>2385</v>
      </c>
      <c r="T328" s="292" t="s">
        <v>1760</v>
      </c>
      <c r="U328" s="283" t="s">
        <v>1768</v>
      </c>
      <c r="V328" s="285" t="s">
        <v>2397</v>
      </c>
      <c r="W328" s="293" t="s">
        <v>2382</v>
      </c>
      <c r="X328" s="284" t="s">
        <v>635</v>
      </c>
      <c r="Y328" s="271" t="s">
        <v>1769</v>
      </c>
      <c r="Z328" s="283">
        <v>0.04</v>
      </c>
      <c r="AA328" s="340">
        <v>2.5000000000000001E-3</v>
      </c>
    </row>
    <row r="329" spans="1:27">
      <c r="A329" s="74" t="s">
        <v>636</v>
      </c>
      <c r="B329" s="74" t="s">
        <v>2045</v>
      </c>
      <c r="C329" s="74" t="s">
        <v>2043</v>
      </c>
      <c r="D329" s="74" t="s">
        <v>2382</v>
      </c>
      <c r="E329" s="74" t="s">
        <v>637</v>
      </c>
      <c r="F329" s="74">
        <v>0.04</v>
      </c>
      <c r="G329" s="74">
        <v>2.5000000000000001E-3</v>
      </c>
      <c r="H329" s="74">
        <v>2.58</v>
      </c>
      <c r="I329" s="13" t="s">
        <v>239</v>
      </c>
      <c r="J329" s="74" t="s">
        <v>2385</v>
      </c>
      <c r="T329" s="292" t="s">
        <v>1760</v>
      </c>
      <c r="U329" s="283" t="s">
        <v>1768</v>
      </c>
      <c r="V329" s="285" t="s">
        <v>2397</v>
      </c>
      <c r="W329" s="293" t="s">
        <v>2382</v>
      </c>
      <c r="X329" s="284" t="s">
        <v>637</v>
      </c>
      <c r="Y329" s="271" t="s">
        <v>1769</v>
      </c>
      <c r="Z329" s="283">
        <v>0.04</v>
      </c>
      <c r="AA329" s="340">
        <v>2.5000000000000001E-3</v>
      </c>
    </row>
    <row r="330" spans="1:27">
      <c r="A330" s="74" t="s">
        <v>638</v>
      </c>
      <c r="B330" s="74" t="s">
        <v>2045</v>
      </c>
      <c r="C330" s="74" t="s">
        <v>2043</v>
      </c>
      <c r="D330" s="74" t="s">
        <v>2382</v>
      </c>
      <c r="E330" s="74" t="s">
        <v>639</v>
      </c>
      <c r="F330" s="74">
        <v>0.02</v>
      </c>
      <c r="G330" s="74">
        <v>1.25E-3</v>
      </c>
      <c r="H330" s="74">
        <v>2.58</v>
      </c>
      <c r="I330" s="13" t="s">
        <v>607</v>
      </c>
      <c r="J330" s="74" t="s">
        <v>2262</v>
      </c>
      <c r="T330" s="292" t="s">
        <v>1756</v>
      </c>
      <c r="U330" s="283" t="s">
        <v>2454</v>
      </c>
      <c r="V330" s="285" t="s">
        <v>2397</v>
      </c>
      <c r="W330" s="293" t="str">
        <f t="shared" si="14"/>
        <v>H21</v>
      </c>
      <c r="X330" s="284" t="str">
        <f t="shared" si="14"/>
        <v>RDE</v>
      </c>
      <c r="Y330" s="271" t="s">
        <v>2262</v>
      </c>
      <c r="Z330" s="283">
        <f t="shared" si="13"/>
        <v>0.02</v>
      </c>
      <c r="AA330" s="340">
        <f t="shared" si="13"/>
        <v>1.25E-3</v>
      </c>
    </row>
    <row r="331" spans="1:27">
      <c r="A331" s="74" t="s">
        <v>640</v>
      </c>
      <c r="B331" s="74" t="s">
        <v>2045</v>
      </c>
      <c r="C331" s="74" t="s">
        <v>2043</v>
      </c>
      <c r="D331" s="74" t="s">
        <v>2382</v>
      </c>
      <c r="E331" s="74" t="s">
        <v>641</v>
      </c>
      <c r="F331" s="74">
        <v>0.02</v>
      </c>
      <c r="G331" s="74">
        <v>1.25E-3</v>
      </c>
      <c r="H331" s="74">
        <v>2.58</v>
      </c>
      <c r="I331" s="13" t="s">
        <v>607</v>
      </c>
      <c r="J331" s="74" t="s">
        <v>2262</v>
      </c>
      <c r="T331" s="292" t="s">
        <v>1756</v>
      </c>
      <c r="U331" s="283" t="s">
        <v>2454</v>
      </c>
      <c r="V331" s="285" t="s">
        <v>2397</v>
      </c>
      <c r="W331" s="293" t="str">
        <f t="shared" si="14"/>
        <v>H21</v>
      </c>
      <c r="X331" s="284" t="str">
        <f t="shared" si="14"/>
        <v>RKE</v>
      </c>
      <c r="Y331" s="271" t="s">
        <v>2262</v>
      </c>
      <c r="Z331" s="283">
        <f t="shared" si="13"/>
        <v>0.02</v>
      </c>
      <c r="AA331" s="340">
        <f t="shared" si="13"/>
        <v>1.25E-3</v>
      </c>
    </row>
    <row r="332" spans="1:27">
      <c r="A332" s="74" t="s">
        <v>642</v>
      </c>
      <c r="B332" s="74" t="s">
        <v>2045</v>
      </c>
      <c r="C332" s="74" t="s">
        <v>2043</v>
      </c>
      <c r="D332" s="74" t="s">
        <v>2382</v>
      </c>
      <c r="E332" s="74" t="s">
        <v>643</v>
      </c>
      <c r="F332" s="74">
        <v>0.02</v>
      </c>
      <c r="G332" s="74">
        <v>1.25E-3</v>
      </c>
      <c r="H332" s="74">
        <v>2.58</v>
      </c>
      <c r="I332" s="13" t="s">
        <v>607</v>
      </c>
      <c r="J332" s="74" t="s">
        <v>2262</v>
      </c>
      <c r="T332" s="292" t="s">
        <v>1760</v>
      </c>
      <c r="U332" s="283" t="s">
        <v>1768</v>
      </c>
      <c r="V332" s="285" t="s">
        <v>2397</v>
      </c>
      <c r="W332" s="293" t="s">
        <v>2382</v>
      </c>
      <c r="X332" s="284" t="s">
        <v>643</v>
      </c>
      <c r="Y332" s="271" t="s">
        <v>1770</v>
      </c>
      <c r="Z332" s="283">
        <v>0.02</v>
      </c>
      <c r="AA332" s="340">
        <v>1.25E-3</v>
      </c>
    </row>
    <row r="333" spans="1:27">
      <c r="A333" s="74" t="s">
        <v>644</v>
      </c>
      <c r="B333" s="74" t="s">
        <v>2045</v>
      </c>
      <c r="C333" s="74" t="s">
        <v>2043</v>
      </c>
      <c r="D333" s="74" t="s">
        <v>2382</v>
      </c>
      <c r="E333" s="74" t="s">
        <v>645</v>
      </c>
      <c r="F333" s="74">
        <v>0.02</v>
      </c>
      <c r="G333" s="74">
        <v>1.25E-3</v>
      </c>
      <c r="H333" s="74">
        <v>2.58</v>
      </c>
      <c r="I333" s="13" t="s">
        <v>607</v>
      </c>
      <c r="J333" s="74" t="s">
        <v>2262</v>
      </c>
      <c r="T333" s="292" t="s">
        <v>1760</v>
      </c>
      <c r="U333" s="283" t="s">
        <v>1768</v>
      </c>
      <c r="V333" s="285" t="s">
        <v>2397</v>
      </c>
      <c r="W333" s="293" t="s">
        <v>2382</v>
      </c>
      <c r="X333" s="284" t="s">
        <v>645</v>
      </c>
      <c r="Y333" s="271" t="s">
        <v>1770</v>
      </c>
      <c r="Z333" s="283">
        <v>0.02</v>
      </c>
      <c r="AA333" s="340">
        <v>1.25E-3</v>
      </c>
    </row>
    <row r="334" spans="1:27">
      <c r="A334" s="74" t="s">
        <v>646</v>
      </c>
      <c r="B334" s="74" t="s">
        <v>2045</v>
      </c>
      <c r="C334" s="74" t="s">
        <v>2043</v>
      </c>
      <c r="D334" s="74" t="s">
        <v>2382</v>
      </c>
      <c r="E334" s="74" t="s">
        <v>647</v>
      </c>
      <c r="F334" s="74">
        <v>0.02</v>
      </c>
      <c r="G334" s="74">
        <v>1.25E-3</v>
      </c>
      <c r="H334" s="74">
        <v>2.58</v>
      </c>
      <c r="I334" s="13" t="s">
        <v>239</v>
      </c>
      <c r="J334" s="74" t="s">
        <v>2389</v>
      </c>
      <c r="T334" s="292" t="s">
        <v>1756</v>
      </c>
      <c r="U334" s="283" t="s">
        <v>2454</v>
      </c>
      <c r="V334" s="285" t="s">
        <v>2397</v>
      </c>
      <c r="W334" s="293" t="str">
        <f t="shared" si="14"/>
        <v>H21</v>
      </c>
      <c r="X334" s="284" t="str">
        <f t="shared" si="14"/>
        <v>RCE</v>
      </c>
      <c r="Y334" s="271" t="s">
        <v>2262</v>
      </c>
      <c r="Z334" s="283">
        <f t="shared" si="13"/>
        <v>0.02</v>
      </c>
      <c r="AA334" s="340">
        <f t="shared" si="13"/>
        <v>1.25E-3</v>
      </c>
    </row>
    <row r="335" spans="1:27">
      <c r="A335" s="74" t="s">
        <v>648</v>
      </c>
      <c r="B335" s="74" t="s">
        <v>2045</v>
      </c>
      <c r="C335" s="74" t="s">
        <v>2043</v>
      </c>
      <c r="D335" s="74" t="s">
        <v>2382</v>
      </c>
      <c r="E335" s="74" t="s">
        <v>649</v>
      </c>
      <c r="F335" s="74">
        <v>0.02</v>
      </c>
      <c r="G335" s="74">
        <v>1.25E-3</v>
      </c>
      <c r="H335" s="74">
        <v>2.58</v>
      </c>
      <c r="I335" s="13" t="s">
        <v>239</v>
      </c>
      <c r="J335" s="74" t="s">
        <v>2386</v>
      </c>
      <c r="T335" s="292" t="s">
        <v>1756</v>
      </c>
      <c r="U335" s="283" t="s">
        <v>2454</v>
      </c>
      <c r="V335" s="285" t="s">
        <v>2397</v>
      </c>
      <c r="W335" s="293" t="str">
        <f t="shared" si="14"/>
        <v>H21</v>
      </c>
      <c r="X335" s="284" t="str">
        <f t="shared" si="14"/>
        <v>RJE</v>
      </c>
      <c r="Y335" s="271" t="s">
        <v>2262</v>
      </c>
      <c r="Z335" s="283">
        <f t="shared" si="13"/>
        <v>0.02</v>
      </c>
      <c r="AA335" s="340">
        <f t="shared" si="13"/>
        <v>1.25E-3</v>
      </c>
    </row>
    <row r="336" spans="1:27">
      <c r="A336" s="74" t="s">
        <v>650</v>
      </c>
      <c r="B336" s="74" t="s">
        <v>2045</v>
      </c>
      <c r="C336" s="74" t="s">
        <v>2043</v>
      </c>
      <c r="D336" s="74" t="s">
        <v>2382</v>
      </c>
      <c r="E336" s="74" t="s">
        <v>651</v>
      </c>
      <c r="F336" s="74">
        <v>0.02</v>
      </c>
      <c r="G336" s="74">
        <v>1.25E-3</v>
      </c>
      <c r="H336" s="74">
        <v>2.58</v>
      </c>
      <c r="I336" s="13" t="s">
        <v>239</v>
      </c>
      <c r="J336" s="74" t="s">
        <v>2389</v>
      </c>
      <c r="T336" s="292" t="s">
        <v>1760</v>
      </c>
      <c r="U336" s="283" t="s">
        <v>1768</v>
      </c>
      <c r="V336" s="285" t="s">
        <v>2397</v>
      </c>
      <c r="W336" s="293" t="s">
        <v>2382</v>
      </c>
      <c r="X336" s="284" t="s">
        <v>651</v>
      </c>
      <c r="Y336" s="271" t="s">
        <v>1770</v>
      </c>
      <c r="Z336" s="283">
        <v>0.02</v>
      </c>
      <c r="AA336" s="340">
        <v>1.25E-3</v>
      </c>
    </row>
    <row r="337" spans="1:34">
      <c r="A337" s="74" t="s">
        <v>652</v>
      </c>
      <c r="B337" s="74" t="s">
        <v>2045</v>
      </c>
      <c r="C337" s="74" t="s">
        <v>2043</v>
      </c>
      <c r="D337" s="74" t="s">
        <v>2382</v>
      </c>
      <c r="E337" s="74" t="s">
        <v>653</v>
      </c>
      <c r="F337" s="74">
        <v>0.02</v>
      </c>
      <c r="G337" s="74">
        <v>1.25E-3</v>
      </c>
      <c r="H337" s="74">
        <v>2.58</v>
      </c>
      <c r="I337" s="13" t="s">
        <v>239</v>
      </c>
      <c r="J337" s="74" t="s">
        <v>2386</v>
      </c>
      <c r="T337" s="292" t="s">
        <v>1760</v>
      </c>
      <c r="U337" s="283" t="s">
        <v>1768</v>
      </c>
      <c r="V337" s="285" t="s">
        <v>2397</v>
      </c>
      <c r="W337" s="293" t="s">
        <v>2382</v>
      </c>
      <c r="X337" s="284" t="s">
        <v>653</v>
      </c>
      <c r="Y337" s="271" t="s">
        <v>1770</v>
      </c>
      <c r="Z337" s="283">
        <v>0.02</v>
      </c>
      <c r="AA337" s="340">
        <v>1.25E-3</v>
      </c>
    </row>
    <row r="338" spans="1:34">
      <c r="A338" s="74" t="s">
        <v>654</v>
      </c>
      <c r="B338" s="74" t="s">
        <v>2045</v>
      </c>
      <c r="C338" s="74" t="s">
        <v>2043</v>
      </c>
      <c r="D338" s="74" t="s">
        <v>2382</v>
      </c>
      <c r="E338" s="74" t="s">
        <v>655</v>
      </c>
      <c r="F338" s="74">
        <v>7.2000000000000008E-2</v>
      </c>
      <c r="G338" s="74">
        <v>4.5000000000000005E-3</v>
      </c>
      <c r="H338" s="74">
        <v>2.58</v>
      </c>
      <c r="I338" s="13" t="s">
        <v>607</v>
      </c>
      <c r="J338" s="74" t="s">
        <v>2398</v>
      </c>
      <c r="T338" s="292" t="s">
        <v>1760</v>
      </c>
      <c r="U338" s="283" t="s">
        <v>1768</v>
      </c>
      <c r="V338" s="285" t="s">
        <v>2397</v>
      </c>
      <c r="W338" s="293" t="s">
        <v>2382</v>
      </c>
      <c r="X338" s="284" t="s">
        <v>655</v>
      </c>
      <c r="Y338" s="271" t="s">
        <v>1762</v>
      </c>
      <c r="Z338" s="283">
        <v>7.2000000000000008E-2</v>
      </c>
      <c r="AA338" s="340">
        <v>4.5000000000000005E-3</v>
      </c>
    </row>
    <row r="339" spans="1:34">
      <c r="A339" s="74" t="s">
        <v>656</v>
      </c>
      <c r="B339" s="74" t="s">
        <v>2045</v>
      </c>
      <c r="C339" s="74" t="s">
        <v>2043</v>
      </c>
      <c r="D339" s="74" t="s">
        <v>2382</v>
      </c>
      <c r="E339" s="74" t="s">
        <v>657</v>
      </c>
      <c r="F339" s="74">
        <v>7.2000000000000008E-2</v>
      </c>
      <c r="G339" s="74">
        <v>4.5000000000000005E-3</v>
      </c>
      <c r="H339" s="74">
        <v>2.58</v>
      </c>
      <c r="I339" s="13" t="s">
        <v>607</v>
      </c>
      <c r="J339" s="74" t="s">
        <v>2398</v>
      </c>
      <c r="T339" s="292" t="s">
        <v>1760</v>
      </c>
      <c r="U339" s="283" t="s">
        <v>1768</v>
      </c>
      <c r="V339" s="285" t="s">
        <v>2397</v>
      </c>
      <c r="W339" s="293" t="s">
        <v>2382</v>
      </c>
      <c r="X339" s="284" t="s">
        <v>657</v>
      </c>
      <c r="Y339" s="271" t="s">
        <v>1762</v>
      </c>
      <c r="Z339" s="283">
        <v>7.2000000000000008E-2</v>
      </c>
      <c r="AA339" s="340">
        <v>4.5000000000000005E-3</v>
      </c>
      <c r="AC339" s="268"/>
      <c r="AD339" s="268"/>
      <c r="AE339" s="268"/>
      <c r="AF339" s="268"/>
      <c r="AG339" s="268"/>
      <c r="AH339" s="268"/>
    </row>
    <row r="340" spans="1:34">
      <c r="A340" s="74" t="s">
        <v>658</v>
      </c>
      <c r="B340" s="74" t="s">
        <v>2045</v>
      </c>
      <c r="C340" s="74" t="s">
        <v>2043</v>
      </c>
      <c r="D340" s="74" t="s">
        <v>2382</v>
      </c>
      <c r="E340" s="74" t="s">
        <v>659</v>
      </c>
      <c r="F340" s="74">
        <v>7.2000000000000008E-2</v>
      </c>
      <c r="G340" s="74">
        <v>4.5000000000000005E-3</v>
      </c>
      <c r="H340" s="74">
        <v>2.58</v>
      </c>
      <c r="I340" s="13" t="s">
        <v>607</v>
      </c>
      <c r="J340" s="74" t="s">
        <v>2398</v>
      </c>
      <c r="T340" s="292" t="s">
        <v>1760</v>
      </c>
      <c r="U340" s="283" t="s">
        <v>1768</v>
      </c>
      <c r="V340" s="285" t="s">
        <v>2397</v>
      </c>
      <c r="W340" s="293" t="s">
        <v>2382</v>
      </c>
      <c r="X340" s="284" t="s">
        <v>659</v>
      </c>
      <c r="Y340" s="271" t="s">
        <v>1762</v>
      </c>
      <c r="Z340" s="283">
        <v>7.2000000000000008E-2</v>
      </c>
      <c r="AA340" s="340">
        <v>4.5000000000000005E-3</v>
      </c>
    </row>
    <row r="341" spans="1:34" s="268" customFormat="1">
      <c r="A341" s="268" t="s">
        <v>660</v>
      </c>
      <c r="B341" s="268" t="s">
        <v>2045</v>
      </c>
      <c r="C341" s="268" t="s">
        <v>2043</v>
      </c>
      <c r="D341" s="270" t="s">
        <v>2382</v>
      </c>
      <c r="E341" s="270" t="s">
        <v>661</v>
      </c>
      <c r="F341" s="268">
        <v>7.2000000000000008E-2</v>
      </c>
      <c r="G341" s="268">
        <v>4.5000000000000005E-3</v>
      </c>
      <c r="H341" s="268">
        <v>2.58</v>
      </c>
      <c r="I341" s="267" t="s">
        <v>607</v>
      </c>
      <c r="J341" s="268" t="s">
        <v>2398</v>
      </c>
      <c r="T341" s="292" t="s">
        <v>1760</v>
      </c>
      <c r="U341" s="283" t="s">
        <v>1768</v>
      </c>
      <c r="V341" s="285" t="s">
        <v>2397</v>
      </c>
      <c r="W341" s="293" t="s">
        <v>2382</v>
      </c>
      <c r="X341" s="284" t="s">
        <v>661</v>
      </c>
      <c r="Y341" s="271" t="s">
        <v>1762</v>
      </c>
      <c r="Z341" s="283">
        <v>7.2000000000000008E-2</v>
      </c>
      <c r="AA341" s="340">
        <v>4.5000000000000005E-3</v>
      </c>
    </row>
    <row r="342" spans="1:34">
      <c r="A342" s="74" t="s">
        <v>662</v>
      </c>
      <c r="B342" s="74" t="s">
        <v>2045</v>
      </c>
      <c r="C342" s="74" t="s">
        <v>2043</v>
      </c>
      <c r="D342" s="74" t="s">
        <v>2382</v>
      </c>
      <c r="E342" s="74" t="s">
        <v>663</v>
      </c>
      <c r="F342" s="74">
        <v>7.2000000000000008E-2</v>
      </c>
      <c r="G342" s="74">
        <v>4.5000000000000005E-3</v>
      </c>
      <c r="H342" s="74">
        <v>2.58</v>
      </c>
      <c r="I342" s="13" t="s">
        <v>239</v>
      </c>
      <c r="J342" s="74" t="s">
        <v>2402</v>
      </c>
      <c r="T342" s="292" t="s">
        <v>1760</v>
      </c>
      <c r="U342" s="283" t="s">
        <v>1768</v>
      </c>
      <c r="V342" s="285" t="s">
        <v>2397</v>
      </c>
      <c r="W342" s="293" t="s">
        <v>2382</v>
      </c>
      <c r="X342" s="284" t="s">
        <v>663</v>
      </c>
      <c r="Y342" s="271" t="s">
        <v>1762</v>
      </c>
      <c r="Z342" s="283">
        <v>7.2000000000000008E-2</v>
      </c>
      <c r="AA342" s="340">
        <v>4.5000000000000005E-3</v>
      </c>
    </row>
    <row r="343" spans="1:34" s="268" customFormat="1">
      <c r="A343" s="268" t="s">
        <v>664</v>
      </c>
      <c r="B343" s="268" t="s">
        <v>2045</v>
      </c>
      <c r="C343" s="268" t="s">
        <v>2043</v>
      </c>
      <c r="D343" s="270" t="s">
        <v>2382</v>
      </c>
      <c r="E343" s="270" t="s">
        <v>665</v>
      </c>
      <c r="F343" s="268">
        <v>7.2000000000000008E-2</v>
      </c>
      <c r="G343" s="268">
        <v>4.5000000000000005E-3</v>
      </c>
      <c r="H343" s="268">
        <v>2.58</v>
      </c>
      <c r="I343" s="267" t="s">
        <v>239</v>
      </c>
      <c r="J343" s="269" t="s">
        <v>2402</v>
      </c>
      <c r="T343" s="292" t="s">
        <v>1760</v>
      </c>
      <c r="U343" s="283" t="s">
        <v>1768</v>
      </c>
      <c r="V343" s="285" t="s">
        <v>2397</v>
      </c>
      <c r="W343" s="293" t="s">
        <v>2382</v>
      </c>
      <c r="X343" s="284" t="s">
        <v>665</v>
      </c>
      <c r="Y343" s="271" t="s">
        <v>1762</v>
      </c>
      <c r="Z343" s="283">
        <v>7.2000000000000008E-2</v>
      </c>
      <c r="AA343" s="340">
        <v>4.5000000000000005E-3</v>
      </c>
    </row>
    <row r="344" spans="1:34">
      <c r="A344" s="74" t="s">
        <v>666</v>
      </c>
      <c r="B344" s="74" t="s">
        <v>2045</v>
      </c>
      <c r="C344" s="74" t="s">
        <v>2043</v>
      </c>
      <c r="D344" s="74" t="s">
        <v>2382</v>
      </c>
      <c r="E344" s="74" t="s">
        <v>667</v>
      </c>
      <c r="F344" s="268">
        <v>7.2000000000000008E-2</v>
      </c>
      <c r="G344" s="74">
        <v>4.5000000000000005E-3</v>
      </c>
      <c r="H344" s="74">
        <v>2.58</v>
      </c>
      <c r="I344" s="13" t="s">
        <v>239</v>
      </c>
      <c r="J344" s="74" t="s">
        <v>2402</v>
      </c>
      <c r="T344" s="292" t="s">
        <v>1760</v>
      </c>
      <c r="U344" s="283" t="s">
        <v>1768</v>
      </c>
      <c r="V344" s="285" t="s">
        <v>2397</v>
      </c>
      <c r="W344" s="293" t="s">
        <v>2382</v>
      </c>
      <c r="X344" s="284" t="s">
        <v>667</v>
      </c>
      <c r="Y344" s="271" t="s">
        <v>1762</v>
      </c>
      <c r="Z344" s="283">
        <v>7.2000000000000008E-2</v>
      </c>
      <c r="AA344" s="340">
        <v>4.5000000000000005E-3</v>
      </c>
    </row>
    <row r="345" spans="1:34" s="268" customFormat="1" ht="13.75" customHeight="1">
      <c r="A345" s="268" t="s">
        <v>668</v>
      </c>
      <c r="B345" s="268" t="s">
        <v>2045</v>
      </c>
      <c r="C345" s="268" t="s">
        <v>2043</v>
      </c>
      <c r="D345" s="270" t="s">
        <v>2382</v>
      </c>
      <c r="E345" s="269" t="s">
        <v>669</v>
      </c>
      <c r="F345" s="268">
        <v>7.2000000000000008E-2</v>
      </c>
      <c r="G345" s="268">
        <v>4.5000000000000005E-3</v>
      </c>
      <c r="H345" s="268">
        <v>2.58</v>
      </c>
      <c r="I345" s="267" t="s">
        <v>239</v>
      </c>
      <c r="J345" s="269" t="s">
        <v>2402</v>
      </c>
      <c r="T345" s="292" t="s">
        <v>1760</v>
      </c>
      <c r="U345" s="283" t="s">
        <v>1768</v>
      </c>
      <c r="V345" s="285" t="s">
        <v>2397</v>
      </c>
      <c r="W345" s="293" t="s">
        <v>2382</v>
      </c>
      <c r="X345" s="284" t="s">
        <v>669</v>
      </c>
      <c r="Y345" s="271" t="s">
        <v>1762</v>
      </c>
      <c r="Z345" s="283">
        <v>7.2000000000000008E-2</v>
      </c>
      <c r="AA345" s="340">
        <v>4.5000000000000005E-3</v>
      </c>
    </row>
    <row r="346" spans="1:34">
      <c r="A346" s="74" t="s">
        <v>670</v>
      </c>
      <c r="B346" s="74" t="s">
        <v>2054</v>
      </c>
      <c r="C346" s="74" t="s">
        <v>2053</v>
      </c>
      <c r="D346" s="74" t="s">
        <v>2458</v>
      </c>
      <c r="E346" s="74" t="s">
        <v>2457</v>
      </c>
      <c r="F346" s="268">
        <v>2.83</v>
      </c>
      <c r="G346" s="74">
        <v>0.25</v>
      </c>
      <c r="H346" s="74">
        <v>2.58</v>
      </c>
      <c r="I346" s="13" t="s">
        <v>1973</v>
      </c>
      <c r="T346" s="292" t="s">
        <v>1756</v>
      </c>
      <c r="U346" s="283" t="s">
        <v>2454</v>
      </c>
      <c r="V346" s="285" t="s">
        <v>2356</v>
      </c>
      <c r="W346" s="293" t="str">
        <f t="shared" si="14"/>
        <v>S54前</v>
      </c>
      <c r="X346" s="284" t="str">
        <f t="shared" si="14"/>
        <v>-</v>
      </c>
      <c r="Y346" s="271"/>
      <c r="Z346" s="283">
        <f t="shared" si="13"/>
        <v>2.83</v>
      </c>
      <c r="AA346" s="340">
        <f t="shared" si="13"/>
        <v>0.25</v>
      </c>
    </row>
    <row r="347" spans="1:34" s="268" customFormat="1">
      <c r="A347" s="268" t="s">
        <v>671</v>
      </c>
      <c r="B347" s="268" t="s">
        <v>2054</v>
      </c>
      <c r="C347" s="268" t="s">
        <v>2053</v>
      </c>
      <c r="D347" s="270" t="s">
        <v>0</v>
      </c>
      <c r="E347" s="269" t="s">
        <v>6</v>
      </c>
      <c r="F347" s="268">
        <v>2.5299999999999998</v>
      </c>
      <c r="G347" s="268">
        <v>0.25</v>
      </c>
      <c r="H347" s="268">
        <v>2.58</v>
      </c>
      <c r="I347" s="267" t="s">
        <v>1973</v>
      </c>
      <c r="J347" s="269"/>
      <c r="T347" s="292" t="s">
        <v>1756</v>
      </c>
      <c r="U347" s="283" t="s">
        <v>2454</v>
      </c>
      <c r="V347" s="285" t="s">
        <v>2356</v>
      </c>
      <c r="W347" s="293" t="str">
        <f t="shared" si="14"/>
        <v>S54</v>
      </c>
      <c r="X347" s="284" t="str">
        <f t="shared" si="14"/>
        <v>K</v>
      </c>
      <c r="Y347" s="271"/>
      <c r="Z347" s="283">
        <f t="shared" si="13"/>
        <v>2.5299999999999998</v>
      </c>
      <c r="AA347" s="340">
        <f t="shared" si="13"/>
        <v>0.25</v>
      </c>
    </row>
    <row r="348" spans="1:34">
      <c r="A348" s="74" t="s">
        <v>672</v>
      </c>
      <c r="B348" s="74" t="s">
        <v>2054</v>
      </c>
      <c r="C348" s="74" t="s">
        <v>2053</v>
      </c>
      <c r="D348" s="74" t="s">
        <v>8</v>
      </c>
      <c r="E348" s="74" t="s">
        <v>136</v>
      </c>
      <c r="F348" s="74">
        <v>2.16</v>
      </c>
      <c r="G348" s="74">
        <v>0.25</v>
      </c>
      <c r="H348" s="74">
        <v>2.58</v>
      </c>
      <c r="I348" s="13" t="s">
        <v>1973</v>
      </c>
      <c r="J348"/>
      <c r="T348" s="292" t="s">
        <v>1756</v>
      </c>
      <c r="U348" s="283" t="s">
        <v>2454</v>
      </c>
      <c r="V348" s="285" t="s">
        <v>2356</v>
      </c>
      <c r="W348" s="293" t="str">
        <f t="shared" si="14"/>
        <v>S57,S58</v>
      </c>
      <c r="X348" s="284" t="str">
        <f t="shared" si="14"/>
        <v>N</v>
      </c>
      <c r="Y348" s="271"/>
      <c r="Z348" s="283">
        <f t="shared" si="13"/>
        <v>2.16</v>
      </c>
      <c r="AA348" s="340">
        <f t="shared" si="13"/>
        <v>0.25</v>
      </c>
    </row>
    <row r="349" spans="1:34" s="268" customFormat="1">
      <c r="A349" s="268" t="s">
        <v>673</v>
      </c>
      <c r="B349" s="268" t="s">
        <v>2054</v>
      </c>
      <c r="C349" s="268" t="s">
        <v>2053</v>
      </c>
      <c r="D349" s="270" t="s">
        <v>8</v>
      </c>
      <c r="E349" s="269" t="s">
        <v>137</v>
      </c>
      <c r="F349" s="268">
        <v>2.16</v>
      </c>
      <c r="G349" s="268">
        <v>0.25</v>
      </c>
      <c r="H349" s="268">
        <v>2.58</v>
      </c>
      <c r="I349" s="267" t="s">
        <v>1973</v>
      </c>
      <c r="J349" s="269"/>
      <c r="T349" s="292" t="s">
        <v>1756</v>
      </c>
      <c r="U349" s="283" t="s">
        <v>2454</v>
      </c>
      <c r="V349" s="285" t="s">
        <v>2356</v>
      </c>
      <c r="W349" s="293" t="str">
        <f t="shared" si="14"/>
        <v>S57,S58</v>
      </c>
      <c r="X349" s="284" t="str">
        <f t="shared" si="14"/>
        <v>P</v>
      </c>
      <c r="Y349" s="271"/>
      <c r="Z349" s="283">
        <f t="shared" si="13"/>
        <v>2.16</v>
      </c>
      <c r="AA349" s="340">
        <f t="shared" si="13"/>
        <v>0.25</v>
      </c>
    </row>
    <row r="350" spans="1:34">
      <c r="A350" s="74" t="s">
        <v>674</v>
      </c>
      <c r="B350" s="74" t="s">
        <v>2054</v>
      </c>
      <c r="C350" s="74" t="s">
        <v>2053</v>
      </c>
      <c r="D350" s="74" t="s">
        <v>11</v>
      </c>
      <c r="E350" s="74" t="s">
        <v>12</v>
      </c>
      <c r="F350" s="74">
        <v>1.93</v>
      </c>
      <c r="G350" s="74">
        <v>0.25</v>
      </c>
      <c r="H350" s="74">
        <v>2.58</v>
      </c>
      <c r="I350" s="13" t="s">
        <v>1973</v>
      </c>
      <c r="J350"/>
      <c r="T350" s="292" t="s">
        <v>1756</v>
      </c>
      <c r="U350" s="283" t="s">
        <v>2454</v>
      </c>
      <c r="V350" s="285" t="s">
        <v>2356</v>
      </c>
      <c r="W350" s="293" t="str">
        <f t="shared" si="14"/>
        <v>S63</v>
      </c>
      <c r="X350" s="284" t="str">
        <f t="shared" si="14"/>
        <v>S</v>
      </c>
      <c r="Y350" s="271"/>
      <c r="Z350" s="283">
        <f t="shared" si="13"/>
        <v>1.93</v>
      </c>
      <c r="AA350" s="340">
        <f t="shared" si="13"/>
        <v>0.25</v>
      </c>
    </row>
    <row r="351" spans="1:34" s="268" customFormat="1">
      <c r="A351" s="268" t="s">
        <v>675</v>
      </c>
      <c r="B351" s="268" t="s">
        <v>2054</v>
      </c>
      <c r="C351" s="268" t="s">
        <v>2053</v>
      </c>
      <c r="D351" s="270" t="s">
        <v>2032</v>
      </c>
      <c r="E351" s="269" t="s">
        <v>17</v>
      </c>
      <c r="F351" s="268">
        <v>1.3</v>
      </c>
      <c r="G351" s="268">
        <v>0.25</v>
      </c>
      <c r="H351" s="268">
        <v>2.58</v>
      </c>
      <c r="I351" s="267" t="s">
        <v>1973</v>
      </c>
      <c r="J351" s="269"/>
      <c r="T351" s="292" t="s">
        <v>1756</v>
      </c>
      <c r="U351" s="283" t="s">
        <v>2454</v>
      </c>
      <c r="V351" s="285" t="s">
        <v>2356</v>
      </c>
      <c r="W351" s="293" t="str">
        <f t="shared" si="14"/>
        <v>H5</v>
      </c>
      <c r="X351" s="284" t="str">
        <f t="shared" si="14"/>
        <v>KB</v>
      </c>
      <c r="Y351" s="271"/>
      <c r="Z351" s="283">
        <f t="shared" si="13"/>
        <v>1.3</v>
      </c>
      <c r="AA351" s="340">
        <f t="shared" si="13"/>
        <v>0.25</v>
      </c>
    </row>
    <row r="352" spans="1:34">
      <c r="A352" s="74" t="s">
        <v>676</v>
      </c>
      <c r="B352" s="74" t="s">
        <v>2054</v>
      </c>
      <c r="C352" s="74" t="s">
        <v>2053</v>
      </c>
      <c r="D352" s="74" t="s">
        <v>2046</v>
      </c>
      <c r="E352" s="74" t="s">
        <v>119</v>
      </c>
      <c r="F352" s="74">
        <v>0.7</v>
      </c>
      <c r="G352" s="74">
        <v>0.09</v>
      </c>
      <c r="H352" s="74">
        <v>2.58</v>
      </c>
      <c r="I352" s="13" t="s">
        <v>1973</v>
      </c>
      <c r="J352"/>
      <c r="T352" s="292" t="s">
        <v>1756</v>
      </c>
      <c r="U352" s="283" t="s">
        <v>2454</v>
      </c>
      <c r="V352" s="285" t="s">
        <v>2356</v>
      </c>
      <c r="W352" s="293" t="str">
        <f t="shared" si="14"/>
        <v>H9・H10</v>
      </c>
      <c r="X352" s="284" t="str">
        <f t="shared" si="14"/>
        <v>KF</v>
      </c>
      <c r="Y352" s="271"/>
      <c r="Z352" s="283">
        <f t="shared" si="13"/>
        <v>0.7</v>
      </c>
      <c r="AA352" s="340">
        <f t="shared" si="13"/>
        <v>0.09</v>
      </c>
    </row>
    <row r="353" spans="1:34" s="268" customFormat="1">
      <c r="A353" s="268" t="s">
        <v>677</v>
      </c>
      <c r="B353" s="268" t="s">
        <v>2054</v>
      </c>
      <c r="C353" s="268" t="s">
        <v>2053</v>
      </c>
      <c r="D353" s="270" t="s">
        <v>2046</v>
      </c>
      <c r="E353" s="269" t="s">
        <v>106</v>
      </c>
      <c r="F353" s="268">
        <v>0.35</v>
      </c>
      <c r="G353" s="268">
        <v>4.4999999999999998E-2</v>
      </c>
      <c r="H353" s="268">
        <v>2.58</v>
      </c>
      <c r="I353" s="267" t="s">
        <v>239</v>
      </c>
      <c r="J353" s="269" t="s">
        <v>240</v>
      </c>
      <c r="T353" s="292" t="s">
        <v>1756</v>
      </c>
      <c r="U353" s="283" t="s">
        <v>2454</v>
      </c>
      <c r="V353" s="285" t="s">
        <v>2356</v>
      </c>
      <c r="W353" s="293" t="str">
        <f t="shared" si="14"/>
        <v>H9・H10</v>
      </c>
      <c r="X353" s="284" t="str">
        <f t="shared" si="14"/>
        <v>HB</v>
      </c>
      <c r="Y353" s="271"/>
      <c r="Z353" s="283">
        <f t="shared" si="13"/>
        <v>0.35</v>
      </c>
      <c r="AA353" s="340">
        <f t="shared" si="13"/>
        <v>4.4999999999999998E-2</v>
      </c>
    </row>
    <row r="354" spans="1:34">
      <c r="A354" s="74" t="s">
        <v>678</v>
      </c>
      <c r="B354" s="74" t="s">
        <v>2054</v>
      </c>
      <c r="C354" s="74" t="s">
        <v>2053</v>
      </c>
      <c r="D354" s="74" t="s">
        <v>2046</v>
      </c>
      <c r="E354" s="74" t="s">
        <v>122</v>
      </c>
      <c r="F354" s="74">
        <v>0.7</v>
      </c>
      <c r="G354" s="74">
        <v>0.09</v>
      </c>
      <c r="H354" s="74">
        <v>2.58</v>
      </c>
      <c r="I354" s="13" t="s">
        <v>1973</v>
      </c>
      <c r="J354"/>
      <c r="T354" s="292" t="s">
        <v>1756</v>
      </c>
      <c r="U354" s="283" t="s">
        <v>2454</v>
      </c>
      <c r="V354" s="285" t="s">
        <v>2356</v>
      </c>
      <c r="W354" s="293" t="str">
        <f t="shared" si="14"/>
        <v>H9・H10</v>
      </c>
      <c r="X354" s="284" t="str">
        <f t="shared" si="14"/>
        <v>KJ</v>
      </c>
      <c r="Y354" s="271"/>
      <c r="Z354" s="283">
        <f t="shared" si="13"/>
        <v>0.7</v>
      </c>
      <c r="AA354" s="340">
        <f t="shared" si="13"/>
        <v>0.09</v>
      </c>
      <c r="AC354" s="268"/>
      <c r="AD354" s="268"/>
      <c r="AE354" s="268"/>
      <c r="AF354" s="268"/>
      <c r="AG354" s="268"/>
      <c r="AH354" s="268"/>
    </row>
    <row r="355" spans="1:34" s="268" customFormat="1">
      <c r="A355" s="268" t="s">
        <v>679</v>
      </c>
      <c r="B355" s="268" t="s">
        <v>2054</v>
      </c>
      <c r="C355" s="268" t="s">
        <v>2053</v>
      </c>
      <c r="D355" s="270" t="s">
        <v>2046</v>
      </c>
      <c r="E355" s="269" t="s">
        <v>109</v>
      </c>
      <c r="F355" s="268">
        <v>0.35</v>
      </c>
      <c r="G355" s="268">
        <v>4.4999999999999998E-2</v>
      </c>
      <c r="H355" s="268">
        <v>2.58</v>
      </c>
      <c r="I355" s="267" t="s">
        <v>239</v>
      </c>
      <c r="J355" s="269" t="s">
        <v>240</v>
      </c>
      <c r="T355" s="292" t="s">
        <v>1756</v>
      </c>
      <c r="U355" s="283" t="s">
        <v>2454</v>
      </c>
      <c r="V355" s="285" t="s">
        <v>2356</v>
      </c>
      <c r="W355" s="293" t="str">
        <f t="shared" si="14"/>
        <v>H9・H10</v>
      </c>
      <c r="X355" s="284" t="str">
        <f t="shared" si="14"/>
        <v>HE</v>
      </c>
      <c r="Y355" s="271"/>
      <c r="Z355" s="283">
        <f t="shared" si="13"/>
        <v>0.35</v>
      </c>
      <c r="AA355" s="340">
        <f t="shared" si="13"/>
        <v>4.4999999999999998E-2</v>
      </c>
    </row>
    <row r="356" spans="1:34" s="268" customFormat="1">
      <c r="A356" s="268" t="s">
        <v>680</v>
      </c>
      <c r="B356" s="268" t="s">
        <v>2054</v>
      </c>
      <c r="C356" s="268" t="s">
        <v>2053</v>
      </c>
      <c r="D356" s="268" t="s">
        <v>2046</v>
      </c>
      <c r="E356" s="270" t="s">
        <v>681</v>
      </c>
      <c r="F356" s="269">
        <v>0.52500000000000002</v>
      </c>
      <c r="G356" s="268">
        <v>6.7500000000000004E-2</v>
      </c>
      <c r="H356" s="268">
        <v>2.58</v>
      </c>
      <c r="I356" s="267" t="s">
        <v>1973</v>
      </c>
      <c r="J356" s="269" t="s">
        <v>244</v>
      </c>
      <c r="T356" s="292" t="s">
        <v>1756</v>
      </c>
      <c r="U356" s="283" t="s">
        <v>2454</v>
      </c>
      <c r="V356" s="285" t="s">
        <v>2356</v>
      </c>
      <c r="W356" s="293" t="str">
        <f t="shared" si="14"/>
        <v>H9・H10</v>
      </c>
      <c r="X356" s="284" t="str">
        <f t="shared" si="14"/>
        <v>DD</v>
      </c>
      <c r="Y356" s="271" t="s">
        <v>1765</v>
      </c>
      <c r="Z356" s="283">
        <f t="shared" si="13"/>
        <v>0.52500000000000002</v>
      </c>
      <c r="AA356" s="340">
        <f t="shared" si="13"/>
        <v>6.7500000000000004E-2</v>
      </c>
    </row>
    <row r="357" spans="1:34" s="268" customFormat="1">
      <c r="A357" s="268" t="s">
        <v>682</v>
      </c>
      <c r="B357" s="268" t="s">
        <v>2054</v>
      </c>
      <c r="C357" s="268" t="s">
        <v>2053</v>
      </c>
      <c r="D357" s="270" t="s">
        <v>2046</v>
      </c>
      <c r="E357" s="269" t="s">
        <v>683</v>
      </c>
      <c r="F357" s="269">
        <v>0.52500000000000002</v>
      </c>
      <c r="G357" s="268">
        <v>6.7500000000000004E-2</v>
      </c>
      <c r="H357" s="268">
        <v>2.58</v>
      </c>
      <c r="I357" s="267" t="s">
        <v>239</v>
      </c>
      <c r="J357" s="269" t="s">
        <v>2134</v>
      </c>
      <c r="T357" s="292" t="s">
        <v>1756</v>
      </c>
      <c r="U357" s="283" t="s">
        <v>2454</v>
      </c>
      <c r="V357" s="285" t="s">
        <v>2356</v>
      </c>
      <c r="W357" s="293" t="str">
        <f t="shared" si="14"/>
        <v>H9・H10</v>
      </c>
      <c r="X357" s="284" t="str">
        <f t="shared" si="14"/>
        <v>WD</v>
      </c>
      <c r="Y357" s="271" t="s">
        <v>1765</v>
      </c>
      <c r="Z357" s="283">
        <f t="shared" si="13"/>
        <v>0.52500000000000002</v>
      </c>
      <c r="AA357" s="340">
        <f t="shared" si="13"/>
        <v>6.7500000000000004E-2</v>
      </c>
    </row>
    <row r="358" spans="1:34" s="268" customFormat="1">
      <c r="A358" s="268" t="s">
        <v>684</v>
      </c>
      <c r="B358" s="268" t="s">
        <v>2054</v>
      </c>
      <c r="C358" s="268" t="s">
        <v>2053</v>
      </c>
      <c r="D358" s="268" t="s">
        <v>2046</v>
      </c>
      <c r="E358" s="270" t="s">
        <v>685</v>
      </c>
      <c r="F358" s="269">
        <v>0.35</v>
      </c>
      <c r="G358" s="268">
        <v>4.4999999999999998E-2</v>
      </c>
      <c r="H358" s="268">
        <v>2.58</v>
      </c>
      <c r="I358" s="267" t="s">
        <v>1973</v>
      </c>
      <c r="J358" s="269" t="s">
        <v>247</v>
      </c>
      <c r="T358" s="292" t="s">
        <v>1756</v>
      </c>
      <c r="U358" s="283" t="s">
        <v>2454</v>
      </c>
      <c r="V358" s="285" t="s">
        <v>2356</v>
      </c>
      <c r="W358" s="293" t="str">
        <f t="shared" si="14"/>
        <v>H9・H10</v>
      </c>
      <c r="X358" s="284" t="str">
        <f t="shared" si="14"/>
        <v>DE</v>
      </c>
      <c r="Y358" s="271" t="s">
        <v>1766</v>
      </c>
      <c r="Z358" s="283">
        <f t="shared" si="13"/>
        <v>0.35</v>
      </c>
      <c r="AA358" s="340">
        <f t="shared" si="13"/>
        <v>4.4999999999999998E-2</v>
      </c>
    </row>
    <row r="359" spans="1:34" s="268" customFormat="1">
      <c r="A359" s="268" t="s">
        <v>686</v>
      </c>
      <c r="B359" s="268" t="s">
        <v>2054</v>
      </c>
      <c r="C359" s="268" t="s">
        <v>2053</v>
      </c>
      <c r="D359" s="270" t="s">
        <v>2046</v>
      </c>
      <c r="E359" s="269" t="s">
        <v>687</v>
      </c>
      <c r="F359" s="269">
        <v>0.35</v>
      </c>
      <c r="G359" s="268">
        <v>4.4999999999999998E-2</v>
      </c>
      <c r="H359" s="268">
        <v>2.58</v>
      </c>
      <c r="I359" s="267" t="s">
        <v>239</v>
      </c>
      <c r="J359" s="269" t="s">
        <v>2135</v>
      </c>
      <c r="T359" s="292" t="s">
        <v>1756</v>
      </c>
      <c r="U359" s="283" t="s">
        <v>2454</v>
      </c>
      <c r="V359" s="285" t="s">
        <v>2356</v>
      </c>
      <c r="W359" s="293" t="str">
        <f t="shared" si="14"/>
        <v>H9・H10</v>
      </c>
      <c r="X359" s="284" t="str">
        <f t="shared" si="14"/>
        <v>WE</v>
      </c>
      <c r="Y359" s="271" t="s">
        <v>1766</v>
      </c>
      <c r="Z359" s="283">
        <f t="shared" si="13"/>
        <v>0.35</v>
      </c>
      <c r="AA359" s="340">
        <f t="shared" si="13"/>
        <v>4.4999999999999998E-2</v>
      </c>
    </row>
    <row r="360" spans="1:34" s="268" customFormat="1">
      <c r="A360" s="268" t="s">
        <v>688</v>
      </c>
      <c r="B360" s="268" t="s">
        <v>2054</v>
      </c>
      <c r="C360" s="268" t="s">
        <v>2053</v>
      </c>
      <c r="D360" s="268" t="s">
        <v>2046</v>
      </c>
      <c r="E360" s="270" t="s">
        <v>689</v>
      </c>
      <c r="F360" s="268">
        <v>0.17499999999999999</v>
      </c>
      <c r="G360" s="268">
        <v>2.2499999999999999E-2</v>
      </c>
      <c r="H360" s="268">
        <v>2.58</v>
      </c>
      <c r="I360" s="267" t="s">
        <v>1973</v>
      </c>
      <c r="J360" s="269" t="s">
        <v>250</v>
      </c>
      <c r="T360" s="292" t="s">
        <v>1756</v>
      </c>
      <c r="U360" s="283" t="s">
        <v>2454</v>
      </c>
      <c r="V360" s="285" t="s">
        <v>2356</v>
      </c>
      <c r="W360" s="293" t="str">
        <f t="shared" si="14"/>
        <v>H9・H10</v>
      </c>
      <c r="X360" s="284" t="str">
        <f t="shared" si="14"/>
        <v>DF</v>
      </c>
      <c r="Y360" s="271" t="s">
        <v>1767</v>
      </c>
      <c r="Z360" s="283">
        <f t="shared" si="13"/>
        <v>0.17499999999999999</v>
      </c>
      <c r="AA360" s="340">
        <f t="shared" si="13"/>
        <v>2.2499999999999999E-2</v>
      </c>
    </row>
    <row r="361" spans="1:34" s="268" customFormat="1">
      <c r="A361" s="268" t="s">
        <v>690</v>
      </c>
      <c r="B361" s="268" t="s">
        <v>2054</v>
      </c>
      <c r="C361" s="268" t="s">
        <v>2053</v>
      </c>
      <c r="D361" s="270" t="s">
        <v>2046</v>
      </c>
      <c r="E361" s="269" t="s">
        <v>691</v>
      </c>
      <c r="F361" s="268">
        <v>0.17499999999999999</v>
      </c>
      <c r="G361" s="268">
        <v>2.2499999999999999E-2</v>
      </c>
      <c r="H361" s="268">
        <v>2.58</v>
      </c>
      <c r="I361" s="267" t="s">
        <v>239</v>
      </c>
      <c r="J361" s="269" t="s">
        <v>2136</v>
      </c>
      <c r="T361" s="292" t="s">
        <v>1756</v>
      </c>
      <c r="U361" s="283" t="s">
        <v>2454</v>
      </c>
      <c r="V361" s="285" t="s">
        <v>2356</v>
      </c>
      <c r="W361" s="293" t="str">
        <f t="shared" si="14"/>
        <v>H9・H10</v>
      </c>
      <c r="X361" s="284" t="str">
        <f t="shared" si="14"/>
        <v>WF</v>
      </c>
      <c r="Y361" s="271" t="s">
        <v>1767</v>
      </c>
      <c r="Z361" s="283">
        <f t="shared" si="13"/>
        <v>0.17499999999999999</v>
      </c>
      <c r="AA361" s="340">
        <f t="shared" si="13"/>
        <v>2.2499999999999999E-2</v>
      </c>
    </row>
    <row r="362" spans="1:34" s="268" customFormat="1">
      <c r="A362" s="268" t="s">
        <v>692</v>
      </c>
      <c r="B362" s="268" t="s">
        <v>2054</v>
      </c>
      <c r="C362" s="268" t="s">
        <v>2053</v>
      </c>
      <c r="D362" s="268" t="s">
        <v>2046</v>
      </c>
      <c r="E362" s="270" t="s">
        <v>693</v>
      </c>
      <c r="F362" s="268">
        <v>0.52500000000000002</v>
      </c>
      <c r="G362" s="268">
        <v>6.7500000000000004E-2</v>
      </c>
      <c r="H362" s="268">
        <v>2.58</v>
      </c>
      <c r="I362" s="267" t="s">
        <v>1973</v>
      </c>
      <c r="J362" s="269" t="s">
        <v>244</v>
      </c>
      <c r="T362" s="292" t="s">
        <v>1756</v>
      </c>
      <c r="U362" s="283" t="s">
        <v>2454</v>
      </c>
      <c r="V362" s="285" t="s">
        <v>2356</v>
      </c>
      <c r="W362" s="293" t="str">
        <f t="shared" si="14"/>
        <v>H9・H10</v>
      </c>
      <c r="X362" s="284" t="str">
        <f t="shared" si="14"/>
        <v>DN</v>
      </c>
      <c r="Y362" s="271" t="s">
        <v>1765</v>
      </c>
      <c r="Z362" s="283">
        <f t="shared" si="13"/>
        <v>0.52500000000000002</v>
      </c>
      <c r="AA362" s="340">
        <f t="shared" si="13"/>
        <v>6.7500000000000004E-2</v>
      </c>
      <c r="AC362" s="253"/>
      <c r="AD362" s="253"/>
      <c r="AE362" s="253"/>
      <c r="AF362" s="253"/>
      <c r="AG362" s="253"/>
      <c r="AH362" s="253"/>
    </row>
    <row r="363" spans="1:34" s="268" customFormat="1">
      <c r="A363" s="268" t="s">
        <v>694</v>
      </c>
      <c r="B363" s="268" t="s">
        <v>2054</v>
      </c>
      <c r="C363" s="268" t="s">
        <v>2053</v>
      </c>
      <c r="D363" s="270" t="s">
        <v>2046</v>
      </c>
      <c r="E363" s="269" t="s">
        <v>695</v>
      </c>
      <c r="F363" s="268">
        <v>0.52500000000000002</v>
      </c>
      <c r="G363" s="268">
        <v>6.7500000000000004E-2</v>
      </c>
      <c r="H363" s="268">
        <v>2.58</v>
      </c>
      <c r="I363" s="267" t="s">
        <v>239</v>
      </c>
      <c r="J363" s="269" t="s">
        <v>2134</v>
      </c>
      <c r="T363" s="292" t="s">
        <v>1756</v>
      </c>
      <c r="U363" s="283" t="s">
        <v>2454</v>
      </c>
      <c r="V363" s="285" t="s">
        <v>2356</v>
      </c>
      <c r="W363" s="293" t="str">
        <f t="shared" si="14"/>
        <v>H9・H10</v>
      </c>
      <c r="X363" s="284" t="str">
        <f t="shared" si="14"/>
        <v>WN</v>
      </c>
      <c r="Y363" s="271" t="s">
        <v>1765</v>
      </c>
      <c r="Z363" s="283">
        <f t="shared" si="13"/>
        <v>0.52500000000000002</v>
      </c>
      <c r="AA363" s="340">
        <f t="shared" si="13"/>
        <v>6.7500000000000004E-2</v>
      </c>
      <c r="AC363" s="253"/>
      <c r="AD363" s="253"/>
      <c r="AE363" s="253"/>
      <c r="AF363" s="253"/>
      <c r="AG363" s="253"/>
      <c r="AH363" s="253"/>
    </row>
    <row r="364" spans="1:34" s="253" customFormat="1">
      <c r="A364" s="253" t="s">
        <v>696</v>
      </c>
      <c r="B364" s="253" t="s">
        <v>2054</v>
      </c>
      <c r="C364" s="253" t="s">
        <v>2053</v>
      </c>
      <c r="D364" s="254" t="s">
        <v>2046</v>
      </c>
      <c r="E364" s="254" t="s">
        <v>697</v>
      </c>
      <c r="F364" s="253">
        <v>0.35</v>
      </c>
      <c r="G364" s="253">
        <v>4.4999999999999998E-2</v>
      </c>
      <c r="H364" s="253">
        <v>2.58</v>
      </c>
      <c r="I364" s="255" t="s">
        <v>1973</v>
      </c>
      <c r="J364" s="253" t="s">
        <v>247</v>
      </c>
      <c r="T364" s="292" t="s">
        <v>1756</v>
      </c>
      <c r="U364" s="283" t="s">
        <v>2454</v>
      </c>
      <c r="V364" s="285" t="s">
        <v>2356</v>
      </c>
      <c r="W364" s="293" t="str">
        <f t="shared" si="14"/>
        <v>H9・H10</v>
      </c>
      <c r="X364" s="284" t="str">
        <f t="shared" si="14"/>
        <v>DP</v>
      </c>
      <c r="Y364" s="271" t="s">
        <v>1766</v>
      </c>
      <c r="Z364" s="283">
        <f t="shared" si="13"/>
        <v>0.35</v>
      </c>
      <c r="AA364" s="340">
        <f t="shared" si="13"/>
        <v>4.4999999999999998E-2</v>
      </c>
    </row>
    <row r="365" spans="1:34" s="253" customFormat="1">
      <c r="A365" s="253" t="s">
        <v>698</v>
      </c>
      <c r="B365" s="253" t="s">
        <v>2054</v>
      </c>
      <c r="C365" s="253" t="s">
        <v>2053</v>
      </c>
      <c r="D365" s="254" t="s">
        <v>2046</v>
      </c>
      <c r="E365" s="254" t="s">
        <v>699</v>
      </c>
      <c r="F365" s="253">
        <v>0.35</v>
      </c>
      <c r="G365" s="253">
        <v>4.4999999999999998E-2</v>
      </c>
      <c r="H365" s="253">
        <v>2.58</v>
      </c>
      <c r="I365" s="255" t="s">
        <v>239</v>
      </c>
      <c r="J365" s="253" t="s">
        <v>2135</v>
      </c>
      <c r="T365" s="292" t="s">
        <v>1756</v>
      </c>
      <c r="U365" s="283" t="s">
        <v>2454</v>
      </c>
      <c r="V365" s="285" t="s">
        <v>2356</v>
      </c>
      <c r="W365" s="293" t="str">
        <f t="shared" si="14"/>
        <v>H9・H10</v>
      </c>
      <c r="X365" s="284" t="str">
        <f t="shared" si="14"/>
        <v>WP</v>
      </c>
      <c r="Y365" s="271" t="s">
        <v>1766</v>
      </c>
      <c r="Z365" s="283">
        <f t="shared" si="13"/>
        <v>0.35</v>
      </c>
      <c r="AA365" s="340">
        <f t="shared" si="13"/>
        <v>4.4999999999999998E-2</v>
      </c>
    </row>
    <row r="366" spans="1:34" s="253" customFormat="1">
      <c r="A366" s="253" t="s">
        <v>700</v>
      </c>
      <c r="B366" s="253" t="s">
        <v>2054</v>
      </c>
      <c r="C366" s="253" t="s">
        <v>2053</v>
      </c>
      <c r="D366" s="254" t="s">
        <v>2046</v>
      </c>
      <c r="E366" s="254" t="s">
        <v>701</v>
      </c>
      <c r="F366" s="253">
        <v>0.17499999999999999</v>
      </c>
      <c r="G366" s="253">
        <v>2.2499999999999999E-2</v>
      </c>
      <c r="H366" s="253">
        <v>2.58</v>
      </c>
      <c r="I366" s="255" t="s">
        <v>1973</v>
      </c>
      <c r="J366" s="254" t="s">
        <v>250</v>
      </c>
      <c r="T366" s="292" t="s">
        <v>1756</v>
      </c>
      <c r="U366" s="283" t="s">
        <v>2454</v>
      </c>
      <c r="V366" s="285" t="s">
        <v>2356</v>
      </c>
      <c r="W366" s="293" t="str">
        <f t="shared" si="14"/>
        <v>H9・H10</v>
      </c>
      <c r="X366" s="284" t="str">
        <f t="shared" si="14"/>
        <v>DQ</v>
      </c>
      <c r="Y366" s="271" t="s">
        <v>1767</v>
      </c>
      <c r="Z366" s="283">
        <f t="shared" si="13"/>
        <v>0.17499999999999999</v>
      </c>
      <c r="AA366" s="340">
        <f t="shared" si="13"/>
        <v>2.2499999999999999E-2</v>
      </c>
      <c r="AC366" s="74"/>
      <c r="AD366" s="74"/>
      <c r="AE366" s="74"/>
      <c r="AF366" s="74"/>
      <c r="AG366" s="74"/>
      <c r="AH366" s="74"/>
    </row>
    <row r="367" spans="1:34" s="253" customFormat="1">
      <c r="A367" s="253" t="s">
        <v>702</v>
      </c>
      <c r="B367" s="253" t="s">
        <v>2054</v>
      </c>
      <c r="C367" s="253" t="s">
        <v>2053</v>
      </c>
      <c r="D367" s="254" t="s">
        <v>2046</v>
      </c>
      <c r="E367" s="254" t="s">
        <v>703</v>
      </c>
      <c r="F367" s="253">
        <v>0.17499999999999999</v>
      </c>
      <c r="G367" s="253">
        <v>2.2499999999999999E-2</v>
      </c>
      <c r="H367" s="253">
        <v>2.58</v>
      </c>
      <c r="I367" s="255" t="s">
        <v>239</v>
      </c>
      <c r="J367" s="254" t="s">
        <v>2136</v>
      </c>
      <c r="T367" s="292" t="s">
        <v>1756</v>
      </c>
      <c r="U367" s="283" t="s">
        <v>2454</v>
      </c>
      <c r="V367" s="285" t="s">
        <v>2356</v>
      </c>
      <c r="W367" s="293" t="str">
        <f t="shared" si="14"/>
        <v>H9・H10</v>
      </c>
      <c r="X367" s="284" t="str">
        <f t="shared" si="14"/>
        <v>WQ</v>
      </c>
      <c r="Y367" s="271" t="s">
        <v>1767</v>
      </c>
      <c r="Z367" s="283">
        <f t="shared" si="13"/>
        <v>0.17499999999999999</v>
      </c>
      <c r="AA367" s="340">
        <f t="shared" si="13"/>
        <v>2.2499999999999999E-2</v>
      </c>
      <c r="AC367" s="74"/>
      <c r="AD367" s="74"/>
      <c r="AE367" s="74"/>
      <c r="AF367" s="74"/>
      <c r="AG367" s="74"/>
      <c r="AH367" s="74"/>
    </row>
    <row r="368" spans="1:34">
      <c r="A368" s="74" t="s">
        <v>704</v>
      </c>
      <c r="B368" s="74" t="s">
        <v>2054</v>
      </c>
      <c r="C368" s="74" t="s">
        <v>2053</v>
      </c>
      <c r="D368" s="74" t="s">
        <v>20</v>
      </c>
      <c r="E368" s="74" t="s">
        <v>128</v>
      </c>
      <c r="F368" s="74">
        <v>0.49</v>
      </c>
      <c r="G368" s="74">
        <v>0.06</v>
      </c>
      <c r="H368" s="74">
        <v>2.58</v>
      </c>
      <c r="I368" s="13" t="s">
        <v>1973</v>
      </c>
      <c r="T368" s="292" t="s">
        <v>1756</v>
      </c>
      <c r="U368" s="283" t="s">
        <v>2454</v>
      </c>
      <c r="V368" s="285" t="s">
        <v>2356</v>
      </c>
      <c r="W368" s="293" t="str">
        <f t="shared" si="14"/>
        <v>H15</v>
      </c>
      <c r="X368" s="284" t="str">
        <f t="shared" si="14"/>
        <v>KQ</v>
      </c>
      <c r="Y368" s="271"/>
      <c r="Z368" s="283">
        <f t="shared" si="13"/>
        <v>0.49</v>
      </c>
      <c r="AA368" s="340">
        <f t="shared" si="13"/>
        <v>0.06</v>
      </c>
    </row>
    <row r="369" spans="1:27">
      <c r="A369" s="74" t="s">
        <v>705</v>
      </c>
      <c r="B369" s="74" t="s">
        <v>2054</v>
      </c>
      <c r="C369" s="74" t="s">
        <v>2053</v>
      </c>
      <c r="D369" s="74" t="s">
        <v>20</v>
      </c>
      <c r="E369" s="74" t="s">
        <v>115</v>
      </c>
      <c r="F369" s="74">
        <v>0.245</v>
      </c>
      <c r="G369" s="74">
        <v>0.03</v>
      </c>
      <c r="H369" s="74">
        <v>2.58</v>
      </c>
      <c r="I369" s="13" t="s">
        <v>239</v>
      </c>
      <c r="J369" s="74" t="s">
        <v>240</v>
      </c>
      <c r="T369" s="292" t="s">
        <v>1756</v>
      </c>
      <c r="U369" s="283" t="s">
        <v>2454</v>
      </c>
      <c r="V369" s="285" t="s">
        <v>2356</v>
      </c>
      <c r="W369" s="293" t="str">
        <f t="shared" si="14"/>
        <v>H15</v>
      </c>
      <c r="X369" s="284" t="str">
        <f t="shared" si="14"/>
        <v>HX</v>
      </c>
      <c r="Y369" s="271"/>
      <c r="Z369" s="283">
        <f t="shared" si="13"/>
        <v>0.245</v>
      </c>
      <c r="AA369" s="340">
        <f t="shared" si="13"/>
        <v>0.03</v>
      </c>
    </row>
    <row r="370" spans="1:27">
      <c r="A370" s="74" t="s">
        <v>706</v>
      </c>
      <c r="B370" s="74" t="s">
        <v>2054</v>
      </c>
      <c r="C370" s="74" t="s">
        <v>2053</v>
      </c>
      <c r="D370" s="74" t="s">
        <v>20</v>
      </c>
      <c r="E370" s="74" t="s">
        <v>155</v>
      </c>
      <c r="F370" s="74">
        <v>0.36749999999999999</v>
      </c>
      <c r="G370" s="74">
        <v>4.4999999999999998E-2</v>
      </c>
      <c r="H370" s="74">
        <v>2.58</v>
      </c>
      <c r="I370" s="13" t="s">
        <v>1973</v>
      </c>
      <c r="J370" s="74" t="s">
        <v>244</v>
      </c>
      <c r="T370" s="292" t="s">
        <v>1756</v>
      </c>
      <c r="U370" s="283" t="s">
        <v>2454</v>
      </c>
      <c r="V370" s="285" t="s">
        <v>2356</v>
      </c>
      <c r="W370" s="293" t="str">
        <f t="shared" si="14"/>
        <v>H15</v>
      </c>
      <c r="X370" s="284" t="str">
        <f t="shared" si="14"/>
        <v>TJ</v>
      </c>
      <c r="Y370" s="271" t="s">
        <v>1765</v>
      </c>
      <c r="Z370" s="283">
        <f t="shared" si="13"/>
        <v>0.36749999999999999</v>
      </c>
      <c r="AA370" s="340">
        <f t="shared" si="13"/>
        <v>4.4999999999999998E-2</v>
      </c>
    </row>
    <row r="371" spans="1:27">
      <c r="A371" s="74" t="s">
        <v>707</v>
      </c>
      <c r="B371" s="74" t="s">
        <v>2054</v>
      </c>
      <c r="C371" s="74" t="s">
        <v>2053</v>
      </c>
      <c r="D371" s="74" t="s">
        <v>20</v>
      </c>
      <c r="E371" s="74" t="s">
        <v>184</v>
      </c>
      <c r="F371" s="74">
        <v>0.36749999999999999</v>
      </c>
      <c r="G371" s="74">
        <v>4.4999999999999998E-2</v>
      </c>
      <c r="H371" s="74">
        <v>2.58</v>
      </c>
      <c r="I371" s="13" t="s">
        <v>239</v>
      </c>
      <c r="J371" s="74" t="s">
        <v>2134</v>
      </c>
      <c r="T371" s="292" t="s">
        <v>1756</v>
      </c>
      <c r="U371" s="283" t="s">
        <v>2454</v>
      </c>
      <c r="V371" s="285" t="s">
        <v>2356</v>
      </c>
      <c r="W371" s="293" t="str">
        <f t="shared" si="14"/>
        <v>H15</v>
      </c>
      <c r="X371" s="284" t="str">
        <f t="shared" si="14"/>
        <v>XJ</v>
      </c>
      <c r="Y371" s="271" t="s">
        <v>1765</v>
      </c>
      <c r="Z371" s="283">
        <f t="shared" si="13"/>
        <v>0.36749999999999999</v>
      </c>
      <c r="AA371" s="340">
        <f t="shared" si="13"/>
        <v>4.4999999999999998E-2</v>
      </c>
    </row>
    <row r="372" spans="1:27">
      <c r="A372" s="74" t="s">
        <v>708</v>
      </c>
      <c r="B372" s="74" t="s">
        <v>2054</v>
      </c>
      <c r="C372" s="74" t="s">
        <v>2053</v>
      </c>
      <c r="D372" s="74" t="s">
        <v>20</v>
      </c>
      <c r="E372" s="74" t="s">
        <v>132</v>
      </c>
      <c r="F372" s="74">
        <v>0.245</v>
      </c>
      <c r="G372" s="74">
        <v>0.03</v>
      </c>
      <c r="H372" s="74">
        <v>2.58</v>
      </c>
      <c r="I372" s="13" t="s">
        <v>1973</v>
      </c>
      <c r="J372" s="74" t="s">
        <v>247</v>
      </c>
      <c r="T372" s="292" t="s">
        <v>1756</v>
      </c>
      <c r="U372" s="283" t="s">
        <v>2454</v>
      </c>
      <c r="V372" s="285" t="s">
        <v>2356</v>
      </c>
      <c r="W372" s="293" t="str">
        <f t="shared" si="14"/>
        <v>H15</v>
      </c>
      <c r="X372" s="284" t="str">
        <f t="shared" si="14"/>
        <v>LJ</v>
      </c>
      <c r="Y372" s="271" t="s">
        <v>1766</v>
      </c>
      <c r="Z372" s="283">
        <f t="shared" si="13"/>
        <v>0.245</v>
      </c>
      <c r="AA372" s="340">
        <f t="shared" si="13"/>
        <v>0.03</v>
      </c>
    </row>
    <row r="373" spans="1:27">
      <c r="A373" s="74" t="s">
        <v>709</v>
      </c>
      <c r="B373" s="74" t="s">
        <v>2054</v>
      </c>
      <c r="C373" s="74" t="s">
        <v>2053</v>
      </c>
      <c r="D373" s="74" t="s">
        <v>20</v>
      </c>
      <c r="E373" s="74" t="s">
        <v>190</v>
      </c>
      <c r="F373" s="74">
        <v>0.245</v>
      </c>
      <c r="G373" s="74">
        <v>0.03</v>
      </c>
      <c r="H373" s="74">
        <v>2.58</v>
      </c>
      <c r="I373" s="13" t="s">
        <v>239</v>
      </c>
      <c r="J373" s="74" t="s">
        <v>2135</v>
      </c>
      <c r="T373" s="292" t="s">
        <v>1756</v>
      </c>
      <c r="U373" s="283" t="s">
        <v>2454</v>
      </c>
      <c r="V373" s="285" t="s">
        <v>2356</v>
      </c>
      <c r="W373" s="293" t="str">
        <f t="shared" si="14"/>
        <v>H15</v>
      </c>
      <c r="X373" s="284" t="str">
        <f t="shared" si="14"/>
        <v>YJ</v>
      </c>
      <c r="Y373" s="271" t="s">
        <v>1766</v>
      </c>
      <c r="Z373" s="283">
        <f t="shared" si="13"/>
        <v>0.245</v>
      </c>
      <c r="AA373" s="340">
        <f t="shared" si="13"/>
        <v>0.03</v>
      </c>
    </row>
    <row r="374" spans="1:27">
      <c r="A374" s="74" t="s">
        <v>710</v>
      </c>
      <c r="B374" s="74" t="s">
        <v>2054</v>
      </c>
      <c r="C374" s="74" t="s">
        <v>2053</v>
      </c>
      <c r="D374" s="74" t="s">
        <v>20</v>
      </c>
      <c r="E374" s="74" t="s">
        <v>161</v>
      </c>
      <c r="F374" s="74">
        <v>0.1225</v>
      </c>
      <c r="G374" s="74">
        <v>1.4999999999999999E-2</v>
      </c>
      <c r="H374" s="74">
        <v>2.58</v>
      </c>
      <c r="I374" s="13" t="s">
        <v>1973</v>
      </c>
      <c r="J374" s="74" t="s">
        <v>250</v>
      </c>
      <c r="T374" s="292" t="s">
        <v>1756</v>
      </c>
      <c r="U374" s="283" t="s">
        <v>2454</v>
      </c>
      <c r="V374" s="285" t="s">
        <v>2356</v>
      </c>
      <c r="W374" s="293" t="str">
        <f t="shared" si="14"/>
        <v>H15</v>
      </c>
      <c r="X374" s="284" t="str">
        <f t="shared" si="14"/>
        <v>UJ</v>
      </c>
      <c r="Y374" s="271" t="s">
        <v>1767</v>
      </c>
      <c r="Z374" s="283">
        <f t="shared" si="13"/>
        <v>0.1225</v>
      </c>
      <c r="AA374" s="340">
        <f t="shared" si="13"/>
        <v>1.4999999999999999E-2</v>
      </c>
    </row>
    <row r="375" spans="1:27">
      <c r="A375" s="74" t="s">
        <v>711</v>
      </c>
      <c r="B375" s="74" t="s">
        <v>2054</v>
      </c>
      <c r="C375" s="74" t="s">
        <v>2053</v>
      </c>
      <c r="D375" s="74" t="s">
        <v>20</v>
      </c>
      <c r="E375" s="74" t="s">
        <v>195</v>
      </c>
      <c r="F375" s="74">
        <v>0.1225</v>
      </c>
      <c r="G375" s="74">
        <v>1.4999999999999999E-2</v>
      </c>
      <c r="H375" s="74">
        <v>2.58</v>
      </c>
      <c r="I375" s="13" t="s">
        <v>239</v>
      </c>
      <c r="J375" s="74" t="s">
        <v>2136</v>
      </c>
      <c r="T375" s="292" t="s">
        <v>1756</v>
      </c>
      <c r="U375" s="283" t="s">
        <v>2454</v>
      </c>
      <c r="V375" s="285" t="s">
        <v>2356</v>
      </c>
      <c r="W375" s="293" t="str">
        <f t="shared" si="14"/>
        <v>H15</v>
      </c>
      <c r="X375" s="284" t="str">
        <f t="shared" si="14"/>
        <v>ZJ</v>
      </c>
      <c r="Y375" s="271" t="s">
        <v>1767</v>
      </c>
      <c r="Z375" s="283">
        <f t="shared" ref="Z375:AA502" si="15">F375</f>
        <v>0.1225</v>
      </c>
      <c r="AA375" s="340">
        <f t="shared" si="15"/>
        <v>1.4999999999999999E-2</v>
      </c>
    </row>
    <row r="376" spans="1:27">
      <c r="A376" s="74" t="s">
        <v>712</v>
      </c>
      <c r="B376" s="74" t="s">
        <v>2054</v>
      </c>
      <c r="C376" s="74" t="s">
        <v>2053</v>
      </c>
      <c r="D376" s="74" t="s">
        <v>1979</v>
      </c>
      <c r="E376" s="74" t="s">
        <v>713</v>
      </c>
      <c r="F376" s="74">
        <v>0.25</v>
      </c>
      <c r="G376" s="74">
        <v>1.4999999999999999E-2</v>
      </c>
      <c r="H376" s="74">
        <v>2.58</v>
      </c>
      <c r="I376" s="13" t="s">
        <v>2340</v>
      </c>
      <c r="T376" s="292" t="s">
        <v>1756</v>
      </c>
      <c r="U376" s="283" t="s">
        <v>2454</v>
      </c>
      <c r="V376" s="285" t="s">
        <v>2356</v>
      </c>
      <c r="W376" s="293" t="str">
        <f t="shared" si="14"/>
        <v>H17</v>
      </c>
      <c r="X376" s="284" t="str">
        <f t="shared" si="14"/>
        <v>ADF</v>
      </c>
      <c r="Y376" s="271"/>
      <c r="Z376" s="283">
        <f t="shared" si="15"/>
        <v>0.25</v>
      </c>
      <c r="AA376" s="340">
        <f t="shared" si="15"/>
        <v>1.4999999999999999E-2</v>
      </c>
    </row>
    <row r="377" spans="1:27">
      <c r="A377" s="74" t="s">
        <v>714</v>
      </c>
      <c r="B377" s="74" t="s">
        <v>2054</v>
      </c>
      <c r="C377" s="74" t="s">
        <v>2053</v>
      </c>
      <c r="D377" s="74" t="s">
        <v>1979</v>
      </c>
      <c r="E377" s="74" t="s">
        <v>715</v>
      </c>
      <c r="F377" s="74">
        <v>0.25</v>
      </c>
      <c r="G377" s="74">
        <v>1.4999999999999999E-2</v>
      </c>
      <c r="H377" s="74">
        <v>2.58</v>
      </c>
      <c r="I377" s="13" t="s">
        <v>2340</v>
      </c>
      <c r="T377" s="292" t="s">
        <v>1756</v>
      </c>
      <c r="U377" s="283" t="s">
        <v>2454</v>
      </c>
      <c r="V377" s="285" t="s">
        <v>2396</v>
      </c>
      <c r="W377" s="293" t="str">
        <f t="shared" si="14"/>
        <v>H17</v>
      </c>
      <c r="X377" s="284" t="str">
        <f t="shared" si="14"/>
        <v>AKF</v>
      </c>
      <c r="Y377" s="271"/>
      <c r="Z377" s="283">
        <f t="shared" si="15"/>
        <v>0.25</v>
      </c>
      <c r="AA377" s="340">
        <f t="shared" si="15"/>
        <v>1.4999999999999999E-2</v>
      </c>
    </row>
    <row r="378" spans="1:27">
      <c r="A378" s="74" t="s">
        <v>716</v>
      </c>
      <c r="B378" s="74" t="s">
        <v>2054</v>
      </c>
      <c r="C378" s="74" t="s">
        <v>2053</v>
      </c>
      <c r="D378" s="74" t="s">
        <v>1979</v>
      </c>
      <c r="E378" s="74" t="s">
        <v>717</v>
      </c>
      <c r="F378" s="74">
        <v>0.125</v>
      </c>
      <c r="G378" s="74">
        <v>7.4999999999999997E-3</v>
      </c>
      <c r="H378" s="74">
        <v>2.58</v>
      </c>
      <c r="I378" s="13" t="s">
        <v>239</v>
      </c>
      <c r="J378" s="74" t="s">
        <v>240</v>
      </c>
      <c r="T378" s="292" t="s">
        <v>1756</v>
      </c>
      <c r="U378" s="283" t="s">
        <v>2454</v>
      </c>
      <c r="V378" s="285" t="s">
        <v>2396</v>
      </c>
      <c r="W378" s="293" t="str">
        <f t="shared" si="14"/>
        <v>H17</v>
      </c>
      <c r="X378" s="284" t="str">
        <f t="shared" si="14"/>
        <v>ACF</v>
      </c>
      <c r="Y378" s="271"/>
      <c r="Z378" s="283">
        <f t="shared" si="15"/>
        <v>0.125</v>
      </c>
      <c r="AA378" s="340">
        <f t="shared" si="15"/>
        <v>7.4999999999999997E-3</v>
      </c>
    </row>
    <row r="379" spans="1:27">
      <c r="A379" s="74" t="s">
        <v>718</v>
      </c>
      <c r="B379" s="74" t="s">
        <v>2054</v>
      </c>
      <c r="C379" s="74" t="s">
        <v>2053</v>
      </c>
      <c r="D379" s="74" t="s">
        <v>1979</v>
      </c>
      <c r="E379" s="74" t="s">
        <v>719</v>
      </c>
      <c r="F379" s="74">
        <v>0.125</v>
      </c>
      <c r="G379" s="74">
        <v>7.4999999999999997E-3</v>
      </c>
      <c r="H379" s="74">
        <v>2.58</v>
      </c>
      <c r="I379" s="13" t="s">
        <v>239</v>
      </c>
      <c r="J379" s="74" t="s">
        <v>240</v>
      </c>
      <c r="T379" s="292" t="s">
        <v>1756</v>
      </c>
      <c r="U379" s="283" t="s">
        <v>2454</v>
      </c>
      <c r="V379" s="285" t="s">
        <v>2396</v>
      </c>
      <c r="W379" s="293" t="str">
        <f t="shared" si="14"/>
        <v>H17</v>
      </c>
      <c r="X379" s="284" t="str">
        <f t="shared" si="14"/>
        <v>AJF</v>
      </c>
      <c r="Y379" s="271"/>
      <c r="Z379" s="283">
        <f t="shared" si="15"/>
        <v>0.125</v>
      </c>
      <c r="AA379" s="340">
        <f t="shared" si="15"/>
        <v>7.4999999999999997E-3</v>
      </c>
    </row>
    <row r="380" spans="1:27">
      <c r="A380" s="74" t="s">
        <v>720</v>
      </c>
      <c r="B380" s="74" t="s">
        <v>2054</v>
      </c>
      <c r="C380" s="74" t="s">
        <v>2053</v>
      </c>
      <c r="D380" s="74" t="s">
        <v>1979</v>
      </c>
      <c r="E380" s="74" t="s">
        <v>2047</v>
      </c>
      <c r="F380" s="74">
        <v>0.22500000000000001</v>
      </c>
      <c r="G380" s="74">
        <v>1.35E-2</v>
      </c>
      <c r="H380" s="74">
        <v>2.58</v>
      </c>
      <c r="I380" s="13" t="s">
        <v>239</v>
      </c>
      <c r="J380" s="74" t="s">
        <v>2134</v>
      </c>
      <c r="T380" s="292" t="s">
        <v>1756</v>
      </c>
      <c r="U380" s="283" t="s">
        <v>2454</v>
      </c>
      <c r="V380" s="285" t="s">
        <v>2396</v>
      </c>
      <c r="W380" s="293" t="str">
        <f t="shared" si="14"/>
        <v>H17</v>
      </c>
      <c r="X380" s="284" t="str">
        <f t="shared" si="14"/>
        <v>BCF</v>
      </c>
      <c r="Y380" s="271" t="s">
        <v>2398</v>
      </c>
      <c r="Z380" s="283">
        <f t="shared" si="15"/>
        <v>0.22500000000000001</v>
      </c>
      <c r="AA380" s="340">
        <f t="shared" si="15"/>
        <v>1.35E-2</v>
      </c>
    </row>
    <row r="381" spans="1:27">
      <c r="A381" s="74" t="s">
        <v>721</v>
      </c>
      <c r="B381" s="74" t="s">
        <v>2054</v>
      </c>
      <c r="C381" s="74" t="s">
        <v>2053</v>
      </c>
      <c r="D381" s="74" t="s">
        <v>1979</v>
      </c>
      <c r="E381" s="74" t="s">
        <v>722</v>
      </c>
      <c r="F381" s="74">
        <v>0.22500000000000001</v>
      </c>
      <c r="G381" s="74">
        <v>1.35E-2</v>
      </c>
      <c r="H381" s="74">
        <v>2.58</v>
      </c>
      <c r="I381" s="13" t="s">
        <v>239</v>
      </c>
      <c r="J381" s="74" t="s">
        <v>2400</v>
      </c>
      <c r="T381" s="292" t="s">
        <v>1756</v>
      </c>
      <c r="U381" s="283" t="s">
        <v>2454</v>
      </c>
      <c r="V381" s="285" t="s">
        <v>2396</v>
      </c>
      <c r="W381" s="293" t="str">
        <f t="shared" si="14"/>
        <v>H17</v>
      </c>
      <c r="X381" s="284" t="str">
        <f t="shared" si="14"/>
        <v>BJF</v>
      </c>
      <c r="Y381" s="271" t="s">
        <v>2398</v>
      </c>
      <c r="Z381" s="283">
        <f t="shared" si="15"/>
        <v>0.22500000000000001</v>
      </c>
      <c r="AA381" s="340">
        <f t="shared" si="15"/>
        <v>1.35E-2</v>
      </c>
    </row>
    <row r="382" spans="1:27">
      <c r="A382" s="74" t="s">
        <v>723</v>
      </c>
      <c r="B382" s="74" t="s">
        <v>2054</v>
      </c>
      <c r="C382" s="74" t="s">
        <v>2053</v>
      </c>
      <c r="D382" s="74" t="s">
        <v>1979</v>
      </c>
      <c r="E382" s="74" t="s">
        <v>2048</v>
      </c>
      <c r="F382" s="74">
        <v>0.22500000000000001</v>
      </c>
      <c r="G382" s="74">
        <v>1.35E-2</v>
      </c>
      <c r="H382" s="74">
        <v>2.58</v>
      </c>
      <c r="I382" s="13" t="s">
        <v>573</v>
      </c>
      <c r="J382" s="74" t="s">
        <v>244</v>
      </c>
      <c r="T382" s="292" t="s">
        <v>1756</v>
      </c>
      <c r="U382" s="283" t="s">
        <v>2454</v>
      </c>
      <c r="V382" s="285" t="s">
        <v>2396</v>
      </c>
      <c r="W382" s="293" t="str">
        <f t="shared" si="14"/>
        <v>H17</v>
      </c>
      <c r="X382" s="284" t="str">
        <f t="shared" si="14"/>
        <v>BDF</v>
      </c>
      <c r="Y382" s="271" t="s">
        <v>2398</v>
      </c>
      <c r="Z382" s="283">
        <f t="shared" si="15"/>
        <v>0.22500000000000001</v>
      </c>
      <c r="AA382" s="340">
        <f t="shared" si="15"/>
        <v>1.35E-2</v>
      </c>
    </row>
    <row r="383" spans="1:27">
      <c r="A383" s="74" t="s">
        <v>724</v>
      </c>
      <c r="B383" s="74" t="s">
        <v>2054</v>
      </c>
      <c r="C383" s="74" t="s">
        <v>2053</v>
      </c>
      <c r="D383" s="74" t="s">
        <v>1979</v>
      </c>
      <c r="E383" s="74" t="s">
        <v>725</v>
      </c>
      <c r="F383" s="74">
        <v>0.22500000000000001</v>
      </c>
      <c r="G383" s="74">
        <v>1.35E-2</v>
      </c>
      <c r="H383" s="74">
        <v>2.58</v>
      </c>
      <c r="I383" s="13" t="s">
        <v>573</v>
      </c>
      <c r="J383" s="74" t="s">
        <v>244</v>
      </c>
      <c r="T383" s="292" t="s">
        <v>1756</v>
      </c>
      <c r="U383" s="283" t="s">
        <v>2454</v>
      </c>
      <c r="V383" s="285" t="s">
        <v>2396</v>
      </c>
      <c r="W383" s="293" t="str">
        <f t="shared" si="14"/>
        <v>H17</v>
      </c>
      <c r="X383" s="284" t="str">
        <f t="shared" si="14"/>
        <v>BKF</v>
      </c>
      <c r="Y383" s="271" t="s">
        <v>2398</v>
      </c>
      <c r="Z383" s="283">
        <f t="shared" si="15"/>
        <v>0.22500000000000001</v>
      </c>
      <c r="AA383" s="340">
        <f t="shared" si="15"/>
        <v>1.35E-2</v>
      </c>
    </row>
    <row r="384" spans="1:27">
      <c r="A384" s="74" t="s">
        <v>726</v>
      </c>
      <c r="B384" s="74" t="s">
        <v>2054</v>
      </c>
      <c r="C384" s="74" t="s">
        <v>2053</v>
      </c>
      <c r="D384" s="74" t="s">
        <v>1979</v>
      </c>
      <c r="E384" s="74" t="s">
        <v>2049</v>
      </c>
      <c r="F384" s="74">
        <v>0.125</v>
      </c>
      <c r="G384" s="74">
        <v>7.4999999999999997E-3</v>
      </c>
      <c r="H384" s="74">
        <v>2.58</v>
      </c>
      <c r="I384" s="13" t="s">
        <v>239</v>
      </c>
      <c r="J384" s="74" t="s">
        <v>2136</v>
      </c>
      <c r="T384" s="292" t="s">
        <v>1756</v>
      </c>
      <c r="U384" s="283" t="s">
        <v>2454</v>
      </c>
      <c r="V384" s="285" t="s">
        <v>2356</v>
      </c>
      <c r="W384" s="293" t="str">
        <f t="shared" si="14"/>
        <v>H17</v>
      </c>
      <c r="X384" s="284" t="str">
        <f t="shared" si="14"/>
        <v>CCF</v>
      </c>
      <c r="Y384" s="271" t="s">
        <v>2261</v>
      </c>
      <c r="Z384" s="283">
        <f t="shared" si="15"/>
        <v>0.125</v>
      </c>
      <c r="AA384" s="340">
        <f t="shared" si="15"/>
        <v>7.4999999999999997E-3</v>
      </c>
    </row>
    <row r="385" spans="1:34">
      <c r="A385" s="74" t="s">
        <v>727</v>
      </c>
      <c r="B385" s="74" t="s">
        <v>2054</v>
      </c>
      <c r="C385" s="74" t="s">
        <v>2053</v>
      </c>
      <c r="D385" s="74" t="s">
        <v>1979</v>
      </c>
      <c r="E385" s="74" t="s">
        <v>728</v>
      </c>
      <c r="F385" s="74">
        <v>0.125</v>
      </c>
      <c r="G385" s="74">
        <v>7.4999999999999997E-3</v>
      </c>
      <c r="H385" s="74">
        <v>2.58</v>
      </c>
      <c r="I385" s="13" t="s">
        <v>239</v>
      </c>
      <c r="J385" s="74" t="s">
        <v>2405</v>
      </c>
      <c r="T385" s="292" t="s">
        <v>1756</v>
      </c>
      <c r="U385" s="283" t="s">
        <v>2454</v>
      </c>
      <c r="V385" s="285" t="s">
        <v>2396</v>
      </c>
      <c r="W385" s="293" t="str">
        <f t="shared" si="14"/>
        <v>H17</v>
      </c>
      <c r="X385" s="284" t="str">
        <f t="shared" si="14"/>
        <v>CJF</v>
      </c>
      <c r="Y385" s="271" t="s">
        <v>2261</v>
      </c>
      <c r="Z385" s="283">
        <f t="shared" si="15"/>
        <v>0.125</v>
      </c>
      <c r="AA385" s="340">
        <f t="shared" si="15"/>
        <v>7.4999999999999997E-3</v>
      </c>
    </row>
    <row r="386" spans="1:34">
      <c r="A386" s="74" t="s">
        <v>729</v>
      </c>
      <c r="B386" s="74" t="s">
        <v>2054</v>
      </c>
      <c r="C386" s="74" t="s">
        <v>2053</v>
      </c>
      <c r="D386" s="74" t="s">
        <v>1979</v>
      </c>
      <c r="E386" s="74" t="s">
        <v>2050</v>
      </c>
      <c r="F386" s="74">
        <v>0.125</v>
      </c>
      <c r="G386" s="74">
        <v>7.4999999999999997E-3</v>
      </c>
      <c r="H386" s="74">
        <v>2.58</v>
      </c>
      <c r="I386" s="13" t="s">
        <v>2340</v>
      </c>
      <c r="J386" s="74" t="s">
        <v>250</v>
      </c>
      <c r="T386" s="292" t="s">
        <v>1756</v>
      </c>
      <c r="U386" s="283" t="s">
        <v>2454</v>
      </c>
      <c r="V386" s="285" t="s">
        <v>2396</v>
      </c>
      <c r="W386" s="293" t="str">
        <f t="shared" si="14"/>
        <v>H17</v>
      </c>
      <c r="X386" s="284" t="str">
        <f t="shared" si="14"/>
        <v>CDF</v>
      </c>
      <c r="Y386" s="271" t="s">
        <v>2261</v>
      </c>
      <c r="Z386" s="283">
        <f t="shared" si="15"/>
        <v>0.125</v>
      </c>
      <c r="AA386" s="340">
        <f t="shared" si="15"/>
        <v>7.4999999999999997E-3</v>
      </c>
    </row>
    <row r="387" spans="1:34">
      <c r="A387" s="74" t="s">
        <v>730</v>
      </c>
      <c r="B387" s="74" t="s">
        <v>2054</v>
      </c>
      <c r="C387" s="74" t="s">
        <v>2053</v>
      </c>
      <c r="D387" s="74" t="s">
        <v>1979</v>
      </c>
      <c r="E387" s="74" t="s">
        <v>731</v>
      </c>
      <c r="F387" s="74">
        <v>0.125</v>
      </c>
      <c r="G387" s="74">
        <v>7.4999999999999997E-3</v>
      </c>
      <c r="H387" s="74">
        <v>2.58</v>
      </c>
      <c r="I387" s="13" t="s">
        <v>2340</v>
      </c>
      <c r="J387" s="74" t="s">
        <v>250</v>
      </c>
      <c r="T387" s="292" t="s">
        <v>1756</v>
      </c>
      <c r="U387" s="283" t="s">
        <v>2454</v>
      </c>
      <c r="V387" s="285" t="s">
        <v>2396</v>
      </c>
      <c r="W387" s="293" t="str">
        <f t="shared" si="14"/>
        <v>H17</v>
      </c>
      <c r="X387" s="284" t="str">
        <f t="shared" si="14"/>
        <v>CKF</v>
      </c>
      <c r="Y387" s="271" t="s">
        <v>2261</v>
      </c>
      <c r="Z387" s="283">
        <f t="shared" si="15"/>
        <v>0.125</v>
      </c>
      <c r="AA387" s="340">
        <f t="shared" si="15"/>
        <v>7.4999999999999997E-3</v>
      </c>
    </row>
    <row r="388" spans="1:34">
      <c r="A388" s="74" t="s">
        <v>732</v>
      </c>
      <c r="B388" s="74" t="s">
        <v>2054</v>
      </c>
      <c r="C388" s="74" t="s">
        <v>2053</v>
      </c>
      <c r="D388" s="74" t="s">
        <v>1979</v>
      </c>
      <c r="E388" s="74" t="s">
        <v>2051</v>
      </c>
      <c r="F388" s="74">
        <v>6.25E-2</v>
      </c>
      <c r="G388" s="74">
        <v>3.7499999999999999E-3</v>
      </c>
      <c r="H388" s="74">
        <v>2.58</v>
      </c>
      <c r="I388" s="13" t="s">
        <v>239</v>
      </c>
      <c r="J388" s="74" t="s">
        <v>2406</v>
      </c>
      <c r="T388" s="292" t="s">
        <v>1756</v>
      </c>
      <c r="U388" s="283" t="s">
        <v>2454</v>
      </c>
      <c r="V388" s="285" t="s">
        <v>2396</v>
      </c>
      <c r="W388" s="293" t="str">
        <f t="shared" si="14"/>
        <v>H17</v>
      </c>
      <c r="X388" s="284" t="str">
        <f t="shared" si="14"/>
        <v>DCF</v>
      </c>
      <c r="Y388" s="271" t="s">
        <v>2262</v>
      </c>
      <c r="Z388" s="283">
        <f t="shared" si="15"/>
        <v>6.25E-2</v>
      </c>
      <c r="AA388" s="340">
        <f t="shared" si="15"/>
        <v>3.7499999999999999E-3</v>
      </c>
    </row>
    <row r="389" spans="1:34">
      <c r="A389" s="74" t="s">
        <v>733</v>
      </c>
      <c r="B389" s="74" t="s">
        <v>2054</v>
      </c>
      <c r="C389" s="74" t="s">
        <v>2053</v>
      </c>
      <c r="D389" s="74" t="s">
        <v>1979</v>
      </c>
      <c r="E389" s="74" t="s">
        <v>734</v>
      </c>
      <c r="F389" s="74">
        <v>6.25E-2</v>
      </c>
      <c r="G389" s="74">
        <v>3.7499999999999999E-3</v>
      </c>
      <c r="H389" s="74">
        <v>2.58</v>
      </c>
      <c r="I389" s="13" t="s">
        <v>239</v>
      </c>
      <c r="J389" s="74" t="s">
        <v>2406</v>
      </c>
      <c r="T389" s="292" t="s">
        <v>1756</v>
      </c>
      <c r="U389" s="283" t="s">
        <v>2454</v>
      </c>
      <c r="V389" s="285" t="s">
        <v>2396</v>
      </c>
      <c r="W389" s="293" t="str">
        <f t="shared" si="14"/>
        <v>H17</v>
      </c>
      <c r="X389" s="284" t="str">
        <f t="shared" si="14"/>
        <v>DJF</v>
      </c>
      <c r="Y389" s="271" t="s">
        <v>2262</v>
      </c>
      <c r="Z389" s="283">
        <f t="shared" si="15"/>
        <v>6.25E-2</v>
      </c>
      <c r="AA389" s="340">
        <f t="shared" si="15"/>
        <v>3.7499999999999999E-3</v>
      </c>
    </row>
    <row r="390" spans="1:34">
      <c r="A390" s="74" t="s">
        <v>735</v>
      </c>
      <c r="B390" s="74" t="s">
        <v>2054</v>
      </c>
      <c r="C390" s="74" t="s">
        <v>2053</v>
      </c>
      <c r="D390" s="74" t="s">
        <v>1979</v>
      </c>
      <c r="E390" s="74" t="s">
        <v>2052</v>
      </c>
      <c r="F390" s="74">
        <v>6.25E-2</v>
      </c>
      <c r="G390" s="74">
        <v>3.7499999999999999E-3</v>
      </c>
      <c r="H390" s="74">
        <v>2.58</v>
      </c>
      <c r="I390" s="13" t="s">
        <v>2340</v>
      </c>
      <c r="J390" s="74" t="s">
        <v>586</v>
      </c>
      <c r="T390" s="292" t="s">
        <v>1756</v>
      </c>
      <c r="U390" s="283" t="s">
        <v>2454</v>
      </c>
      <c r="V390" s="285" t="s">
        <v>2396</v>
      </c>
      <c r="W390" s="293" t="str">
        <f t="shared" si="14"/>
        <v>H17</v>
      </c>
      <c r="X390" s="284" t="str">
        <f t="shared" si="14"/>
        <v>DDF</v>
      </c>
      <c r="Y390" s="271" t="s">
        <v>2262</v>
      </c>
      <c r="Z390" s="283">
        <f t="shared" si="15"/>
        <v>6.25E-2</v>
      </c>
      <c r="AA390" s="340">
        <f t="shared" si="15"/>
        <v>3.7499999999999999E-3</v>
      </c>
      <c r="AC390" s="268"/>
      <c r="AD390" s="268"/>
      <c r="AE390" s="268"/>
      <c r="AF390" s="268"/>
      <c r="AG390" s="268"/>
      <c r="AH390" s="268"/>
    </row>
    <row r="391" spans="1:34">
      <c r="A391" s="74" t="s">
        <v>736</v>
      </c>
      <c r="B391" s="74" t="s">
        <v>2054</v>
      </c>
      <c r="C391" s="74" t="s">
        <v>2053</v>
      </c>
      <c r="D391" s="74" t="s">
        <v>1979</v>
      </c>
      <c r="E391" s="74" t="s">
        <v>737</v>
      </c>
      <c r="F391" s="74">
        <v>6.25E-2</v>
      </c>
      <c r="G391" s="74">
        <v>3.7499999999999999E-3</v>
      </c>
      <c r="H391" s="74">
        <v>2.58</v>
      </c>
      <c r="I391" s="13" t="s">
        <v>2340</v>
      </c>
      <c r="J391" s="74" t="s">
        <v>586</v>
      </c>
      <c r="T391" s="292" t="s">
        <v>1756</v>
      </c>
      <c r="U391" s="283" t="s">
        <v>2454</v>
      </c>
      <c r="V391" s="285" t="s">
        <v>2396</v>
      </c>
      <c r="W391" s="293" t="str">
        <f t="shared" si="14"/>
        <v>H17</v>
      </c>
      <c r="X391" s="284" t="str">
        <f t="shared" si="14"/>
        <v>DKF</v>
      </c>
      <c r="Y391" s="271" t="s">
        <v>2262</v>
      </c>
      <c r="Z391" s="283">
        <f t="shared" si="15"/>
        <v>6.25E-2</v>
      </c>
      <c r="AA391" s="340">
        <f t="shared" si="15"/>
        <v>3.7499999999999999E-3</v>
      </c>
    </row>
    <row r="392" spans="1:34" s="268" customFormat="1">
      <c r="A392" s="268" t="s">
        <v>738</v>
      </c>
      <c r="B392" s="268" t="s">
        <v>2054</v>
      </c>
      <c r="C392" s="268" t="s">
        <v>2053</v>
      </c>
      <c r="D392" s="270" t="s">
        <v>1979</v>
      </c>
      <c r="E392" s="269" t="s">
        <v>739</v>
      </c>
      <c r="F392" s="268">
        <v>0.22500000000000001</v>
      </c>
      <c r="G392" s="268">
        <v>1.4999999999999999E-2</v>
      </c>
      <c r="H392" s="268">
        <v>2.58</v>
      </c>
      <c r="I392" s="267" t="s">
        <v>239</v>
      </c>
      <c r="J392" s="268" t="s">
        <v>2402</v>
      </c>
      <c r="T392" s="292" t="s">
        <v>1756</v>
      </c>
      <c r="U392" s="283" t="s">
        <v>2454</v>
      </c>
      <c r="V392" s="285" t="s">
        <v>2396</v>
      </c>
      <c r="W392" s="293" t="str">
        <f t="shared" si="14"/>
        <v>H17</v>
      </c>
      <c r="X392" s="284" t="str">
        <f t="shared" si="14"/>
        <v>NCF</v>
      </c>
      <c r="Y392" s="271" t="s">
        <v>2398</v>
      </c>
      <c r="Z392" s="283">
        <f t="shared" si="15"/>
        <v>0.22500000000000001</v>
      </c>
      <c r="AA392" s="340">
        <f t="shared" si="15"/>
        <v>1.4999999999999999E-2</v>
      </c>
    </row>
    <row r="393" spans="1:34">
      <c r="A393" s="74" t="s">
        <v>740</v>
      </c>
      <c r="B393" s="74" t="s">
        <v>2054</v>
      </c>
      <c r="C393" s="74" t="s">
        <v>2053</v>
      </c>
      <c r="D393" s="74" t="s">
        <v>1979</v>
      </c>
      <c r="E393" s="74" t="s">
        <v>741</v>
      </c>
      <c r="F393" s="74">
        <v>0.22500000000000001</v>
      </c>
      <c r="G393" s="74">
        <v>1.4999999999999999E-2</v>
      </c>
      <c r="H393" s="74">
        <v>2.58</v>
      </c>
      <c r="I393" s="13" t="s">
        <v>239</v>
      </c>
      <c r="J393" s="74" t="s">
        <v>2402</v>
      </c>
      <c r="T393" s="292" t="s">
        <v>1756</v>
      </c>
      <c r="U393" s="283" t="s">
        <v>2454</v>
      </c>
      <c r="V393" s="285" t="s">
        <v>2396</v>
      </c>
      <c r="W393" s="293" t="str">
        <f t="shared" si="14"/>
        <v>H17</v>
      </c>
      <c r="X393" s="284" t="str">
        <f t="shared" si="14"/>
        <v>NJF</v>
      </c>
      <c r="Y393" s="271" t="s">
        <v>2398</v>
      </c>
      <c r="Z393" s="283">
        <f t="shared" si="15"/>
        <v>0.22500000000000001</v>
      </c>
      <c r="AA393" s="340">
        <f t="shared" si="15"/>
        <v>1.4999999999999999E-2</v>
      </c>
    </row>
    <row r="394" spans="1:34" s="268" customFormat="1">
      <c r="A394" s="268" t="s">
        <v>742</v>
      </c>
      <c r="B394" s="268" t="s">
        <v>2054</v>
      </c>
      <c r="C394" s="268" t="s">
        <v>2053</v>
      </c>
      <c r="D394" s="270" t="s">
        <v>1979</v>
      </c>
      <c r="E394" s="269" t="s">
        <v>743</v>
      </c>
      <c r="F394" s="268">
        <v>0.22500000000000001</v>
      </c>
      <c r="G394" s="268">
        <v>1.4999999999999999E-2</v>
      </c>
      <c r="H394" s="268">
        <v>2.58</v>
      </c>
      <c r="I394" s="267" t="s">
        <v>573</v>
      </c>
      <c r="J394" s="269" t="s">
        <v>2398</v>
      </c>
      <c r="T394" s="292" t="s">
        <v>1756</v>
      </c>
      <c r="U394" s="283" t="s">
        <v>2454</v>
      </c>
      <c r="V394" s="285" t="s">
        <v>2396</v>
      </c>
      <c r="W394" s="293" t="str">
        <f t="shared" si="14"/>
        <v>H17</v>
      </c>
      <c r="X394" s="284" t="str">
        <f t="shared" si="14"/>
        <v>NDF</v>
      </c>
      <c r="Y394" s="271" t="s">
        <v>2398</v>
      </c>
      <c r="Z394" s="283">
        <f t="shared" si="15"/>
        <v>0.22500000000000001</v>
      </c>
      <c r="AA394" s="340">
        <f t="shared" si="15"/>
        <v>1.4999999999999999E-2</v>
      </c>
    </row>
    <row r="395" spans="1:34">
      <c r="A395" s="74" t="s">
        <v>744</v>
      </c>
      <c r="B395" s="74" t="s">
        <v>2054</v>
      </c>
      <c r="C395" s="74" t="s">
        <v>2053</v>
      </c>
      <c r="D395" s="74" t="s">
        <v>1979</v>
      </c>
      <c r="E395" s="74" t="s">
        <v>745</v>
      </c>
      <c r="F395" s="268">
        <v>0.22500000000000001</v>
      </c>
      <c r="G395" s="268">
        <v>1.4999999999999999E-2</v>
      </c>
      <c r="H395" s="74">
        <v>2.58</v>
      </c>
      <c r="I395" s="13" t="s">
        <v>573</v>
      </c>
      <c r="J395" s="74" t="s">
        <v>2398</v>
      </c>
      <c r="T395" s="292" t="s">
        <v>1756</v>
      </c>
      <c r="U395" s="283" t="s">
        <v>2454</v>
      </c>
      <c r="V395" s="285" t="s">
        <v>2396</v>
      </c>
      <c r="W395" s="293" t="str">
        <f t="shared" si="14"/>
        <v>H17</v>
      </c>
      <c r="X395" s="284" t="str">
        <f t="shared" si="14"/>
        <v>NKF</v>
      </c>
      <c r="Y395" s="271" t="s">
        <v>2398</v>
      </c>
      <c r="Z395" s="283">
        <f t="shared" si="15"/>
        <v>0.22500000000000001</v>
      </c>
      <c r="AA395" s="340">
        <f t="shared" si="15"/>
        <v>1.4999999999999999E-2</v>
      </c>
    </row>
    <row r="396" spans="1:34" s="268" customFormat="1">
      <c r="A396" s="268" t="s">
        <v>746</v>
      </c>
      <c r="B396" s="268" t="s">
        <v>2054</v>
      </c>
      <c r="C396" s="268" t="s">
        <v>2053</v>
      </c>
      <c r="D396" s="270" t="s">
        <v>1979</v>
      </c>
      <c r="E396" s="269" t="s">
        <v>747</v>
      </c>
      <c r="F396" s="268">
        <v>0.25</v>
      </c>
      <c r="G396" s="268">
        <v>1.35E-2</v>
      </c>
      <c r="H396" s="268">
        <v>2.58</v>
      </c>
      <c r="I396" s="267" t="s">
        <v>239</v>
      </c>
      <c r="J396" s="269" t="s">
        <v>2403</v>
      </c>
      <c r="T396" s="292" t="s">
        <v>1756</v>
      </c>
      <c r="U396" s="283" t="s">
        <v>2454</v>
      </c>
      <c r="V396" s="285" t="s">
        <v>2396</v>
      </c>
      <c r="W396" s="293" t="str">
        <f t="shared" si="14"/>
        <v>H17</v>
      </c>
      <c r="X396" s="284" t="str">
        <f t="shared" si="14"/>
        <v>PCF</v>
      </c>
      <c r="Y396" s="271" t="s">
        <v>2401</v>
      </c>
      <c r="Z396" s="283">
        <f t="shared" si="15"/>
        <v>0.25</v>
      </c>
      <c r="AA396" s="340">
        <f t="shared" si="15"/>
        <v>1.35E-2</v>
      </c>
    </row>
    <row r="397" spans="1:34">
      <c r="A397" s="74" t="s">
        <v>748</v>
      </c>
      <c r="B397" s="74" t="s">
        <v>2054</v>
      </c>
      <c r="C397" s="74" t="s">
        <v>2053</v>
      </c>
      <c r="D397" s="74" t="s">
        <v>1979</v>
      </c>
      <c r="E397" s="74" t="s">
        <v>749</v>
      </c>
      <c r="F397" s="268">
        <v>0.25</v>
      </c>
      <c r="G397" s="268">
        <v>1.35E-2</v>
      </c>
      <c r="H397" s="74">
        <v>2.58</v>
      </c>
      <c r="I397" s="13" t="s">
        <v>239</v>
      </c>
      <c r="J397" s="74" t="s">
        <v>2403</v>
      </c>
      <c r="T397" s="292" t="s">
        <v>1756</v>
      </c>
      <c r="U397" s="283" t="s">
        <v>2454</v>
      </c>
      <c r="V397" s="285" t="s">
        <v>2396</v>
      </c>
      <c r="W397" s="293" t="str">
        <f t="shared" si="14"/>
        <v>H17</v>
      </c>
      <c r="X397" s="284" t="str">
        <f t="shared" si="14"/>
        <v>PJF</v>
      </c>
      <c r="Y397" s="271" t="s">
        <v>2401</v>
      </c>
      <c r="Z397" s="283">
        <f t="shared" si="15"/>
        <v>0.25</v>
      </c>
      <c r="AA397" s="340">
        <f t="shared" si="15"/>
        <v>1.35E-2</v>
      </c>
    </row>
    <row r="398" spans="1:34" s="268" customFormat="1">
      <c r="A398" s="268" t="s">
        <v>750</v>
      </c>
      <c r="B398" s="268" t="s">
        <v>2054</v>
      </c>
      <c r="C398" s="268" t="s">
        <v>2053</v>
      </c>
      <c r="D398" s="270" t="s">
        <v>1979</v>
      </c>
      <c r="E398" s="269" t="s">
        <v>751</v>
      </c>
      <c r="F398" s="268">
        <v>0.25</v>
      </c>
      <c r="G398" s="268">
        <v>1.35E-2</v>
      </c>
      <c r="H398" s="268">
        <v>2.58</v>
      </c>
      <c r="I398" s="267" t="s">
        <v>573</v>
      </c>
      <c r="J398" s="269" t="s">
        <v>2401</v>
      </c>
      <c r="T398" s="292" t="s">
        <v>1756</v>
      </c>
      <c r="U398" s="283" t="s">
        <v>2454</v>
      </c>
      <c r="V398" s="285" t="s">
        <v>2396</v>
      </c>
      <c r="W398" s="293" t="str">
        <f t="shared" si="14"/>
        <v>H17</v>
      </c>
      <c r="X398" s="284" t="str">
        <f t="shared" si="14"/>
        <v>PDF</v>
      </c>
      <c r="Y398" s="271" t="s">
        <v>2401</v>
      </c>
      <c r="Z398" s="283">
        <f t="shared" si="15"/>
        <v>0.25</v>
      </c>
      <c r="AA398" s="340">
        <f t="shared" si="15"/>
        <v>1.35E-2</v>
      </c>
    </row>
    <row r="399" spans="1:34">
      <c r="A399" s="74" t="s">
        <v>752</v>
      </c>
      <c r="B399" s="74" t="s">
        <v>2054</v>
      </c>
      <c r="C399" s="74" t="s">
        <v>2053</v>
      </c>
      <c r="D399" s="74" t="s">
        <v>1979</v>
      </c>
      <c r="E399" s="74" t="s">
        <v>753</v>
      </c>
      <c r="F399" s="74">
        <v>0.25</v>
      </c>
      <c r="G399" s="74">
        <v>1.35E-2</v>
      </c>
      <c r="H399" s="74">
        <v>2.58</v>
      </c>
      <c r="I399" s="13" t="s">
        <v>573</v>
      </c>
      <c r="J399" t="s">
        <v>2401</v>
      </c>
      <c r="T399" s="292" t="s">
        <v>1756</v>
      </c>
      <c r="U399" s="283" t="s">
        <v>2454</v>
      </c>
      <c r="V399" s="285" t="s">
        <v>2396</v>
      </c>
      <c r="W399" s="293" t="str">
        <f t="shared" si="14"/>
        <v>H17</v>
      </c>
      <c r="X399" s="284" t="str">
        <f t="shared" si="14"/>
        <v>PKF</v>
      </c>
      <c r="Y399" s="271" t="s">
        <v>2401</v>
      </c>
      <c r="Z399" s="283">
        <f t="shared" si="15"/>
        <v>0.25</v>
      </c>
      <c r="AA399" s="340">
        <f t="shared" si="15"/>
        <v>1.35E-2</v>
      </c>
    </row>
    <row r="400" spans="1:34" s="268" customFormat="1">
      <c r="A400" s="268" t="s">
        <v>754</v>
      </c>
      <c r="B400" s="268" t="s">
        <v>2054</v>
      </c>
      <c r="C400" s="268" t="s">
        <v>2053</v>
      </c>
      <c r="D400" s="270" t="s">
        <v>2390</v>
      </c>
      <c r="E400" s="269" t="s">
        <v>755</v>
      </c>
      <c r="F400" s="268">
        <v>0.15</v>
      </c>
      <c r="G400" s="268">
        <v>7.0000000000000001E-3</v>
      </c>
      <c r="H400" s="268">
        <v>2.58</v>
      </c>
      <c r="I400" s="267" t="s">
        <v>607</v>
      </c>
      <c r="J400" s="269"/>
      <c r="T400" s="292" t="s">
        <v>1756</v>
      </c>
      <c r="U400" s="283" t="s">
        <v>2454</v>
      </c>
      <c r="V400" s="285" t="s">
        <v>2396</v>
      </c>
      <c r="W400" s="293" t="str">
        <f t="shared" si="14"/>
        <v>H22</v>
      </c>
      <c r="X400" s="284" t="str">
        <f t="shared" si="14"/>
        <v>SDF</v>
      </c>
      <c r="Y400" s="271"/>
      <c r="Z400" s="283">
        <f t="shared" si="15"/>
        <v>0.15</v>
      </c>
      <c r="AA400" s="340">
        <f t="shared" si="15"/>
        <v>7.0000000000000001E-3</v>
      </c>
    </row>
    <row r="401" spans="1:34">
      <c r="A401" s="74" t="s">
        <v>756</v>
      </c>
      <c r="B401" s="74" t="s">
        <v>2054</v>
      </c>
      <c r="C401" s="74" t="s">
        <v>2053</v>
      </c>
      <c r="D401" s="74" t="s">
        <v>2390</v>
      </c>
      <c r="E401" s="74" t="s">
        <v>757</v>
      </c>
      <c r="F401" s="74">
        <v>0.15</v>
      </c>
      <c r="G401" s="74">
        <v>7.0000000000000001E-3</v>
      </c>
      <c r="H401" s="74">
        <v>2.58</v>
      </c>
      <c r="I401" s="13" t="s">
        <v>607</v>
      </c>
      <c r="J401"/>
      <c r="T401" s="292" t="s">
        <v>1756</v>
      </c>
      <c r="U401" s="283" t="s">
        <v>2454</v>
      </c>
      <c r="V401" s="285" t="s">
        <v>2396</v>
      </c>
      <c r="W401" s="293" t="str">
        <f t="shared" si="14"/>
        <v>H22</v>
      </c>
      <c r="X401" s="284" t="str">
        <f t="shared" si="14"/>
        <v>SKF</v>
      </c>
      <c r="Y401" s="271"/>
      <c r="Z401" s="283">
        <f t="shared" si="15"/>
        <v>0.15</v>
      </c>
      <c r="AA401" s="340">
        <f t="shared" si="15"/>
        <v>7.0000000000000001E-3</v>
      </c>
    </row>
    <row r="402" spans="1:34" s="268" customFormat="1">
      <c r="A402" s="268" t="s">
        <v>758</v>
      </c>
      <c r="B402" s="268" t="s">
        <v>2054</v>
      </c>
      <c r="C402" s="268" t="s">
        <v>2053</v>
      </c>
      <c r="D402" s="270" t="s">
        <v>2390</v>
      </c>
      <c r="E402" s="269" t="s">
        <v>759</v>
      </c>
      <c r="F402" s="268">
        <v>0.15</v>
      </c>
      <c r="G402" s="268">
        <v>7.0000000000000001E-3</v>
      </c>
      <c r="H402" s="268">
        <v>2.58</v>
      </c>
      <c r="I402" s="267" t="s">
        <v>607</v>
      </c>
      <c r="J402" s="269"/>
      <c r="T402" s="292" t="s">
        <v>1760</v>
      </c>
      <c r="U402" s="283" t="s">
        <v>1768</v>
      </c>
      <c r="V402" s="285" t="s">
        <v>2396</v>
      </c>
      <c r="W402" s="293" t="s">
        <v>2390</v>
      </c>
      <c r="X402" s="284" t="s">
        <v>759</v>
      </c>
      <c r="Y402" s="271"/>
      <c r="Z402" s="283">
        <v>0.15</v>
      </c>
      <c r="AA402" s="340">
        <v>7.0000000000000001E-3</v>
      </c>
    </row>
    <row r="403" spans="1:34">
      <c r="A403" s="74" t="s">
        <v>760</v>
      </c>
      <c r="B403" s="74" t="s">
        <v>2054</v>
      </c>
      <c r="C403" s="74" t="s">
        <v>2053</v>
      </c>
      <c r="D403" s="74" t="s">
        <v>2390</v>
      </c>
      <c r="E403" s="74" t="s">
        <v>761</v>
      </c>
      <c r="F403" s="74">
        <v>0.15</v>
      </c>
      <c r="G403" s="74">
        <v>7.0000000000000001E-3</v>
      </c>
      <c r="H403" s="74">
        <v>2.58</v>
      </c>
      <c r="I403" s="13" t="s">
        <v>607</v>
      </c>
      <c r="J403"/>
      <c r="T403" s="292" t="s">
        <v>1760</v>
      </c>
      <c r="U403" s="283" t="s">
        <v>1768</v>
      </c>
      <c r="V403" s="285" t="s">
        <v>2396</v>
      </c>
      <c r="W403" s="293" t="s">
        <v>2390</v>
      </c>
      <c r="X403" s="284" t="s">
        <v>761</v>
      </c>
      <c r="Y403" s="271"/>
      <c r="Z403" s="283">
        <v>0.15</v>
      </c>
      <c r="AA403" s="340">
        <v>7.0000000000000001E-3</v>
      </c>
    </row>
    <row r="404" spans="1:34" s="268" customFormat="1">
      <c r="A404" s="268" t="s">
        <v>762</v>
      </c>
      <c r="B404" s="268" t="s">
        <v>2054</v>
      </c>
      <c r="C404" s="268" t="s">
        <v>2053</v>
      </c>
      <c r="D404" s="270" t="s">
        <v>2390</v>
      </c>
      <c r="E404" s="269" t="s">
        <v>763</v>
      </c>
      <c r="F404" s="268">
        <v>7.4999999999999997E-2</v>
      </c>
      <c r="G404" s="268">
        <v>3.5000000000000001E-3</v>
      </c>
      <c r="H404" s="268">
        <v>2.58</v>
      </c>
      <c r="I404" s="267" t="s">
        <v>239</v>
      </c>
      <c r="J404" s="269" t="s">
        <v>240</v>
      </c>
      <c r="T404" s="292" t="s">
        <v>1756</v>
      </c>
      <c r="U404" s="283" t="s">
        <v>2454</v>
      </c>
      <c r="V404" s="285" t="s">
        <v>2396</v>
      </c>
      <c r="W404" s="293" t="str">
        <f t="shared" si="14"/>
        <v>H22</v>
      </c>
      <c r="X404" s="284" t="str">
        <f t="shared" si="14"/>
        <v>SCF</v>
      </c>
      <c r="Y404" s="271"/>
      <c r="Z404" s="283">
        <f t="shared" si="15"/>
        <v>7.4999999999999997E-2</v>
      </c>
      <c r="AA404" s="340">
        <f t="shared" si="15"/>
        <v>3.5000000000000001E-3</v>
      </c>
    </row>
    <row r="405" spans="1:34">
      <c r="A405" s="74" t="s">
        <v>764</v>
      </c>
      <c r="B405" s="74" t="s">
        <v>2054</v>
      </c>
      <c r="C405" s="74" t="s">
        <v>2053</v>
      </c>
      <c r="D405" s="74" t="s">
        <v>2390</v>
      </c>
      <c r="E405" s="74" t="s">
        <v>765</v>
      </c>
      <c r="F405" s="74">
        <v>7.4999999999999997E-2</v>
      </c>
      <c r="G405" s="74">
        <v>3.5000000000000001E-3</v>
      </c>
      <c r="H405" s="74">
        <v>2.58</v>
      </c>
      <c r="I405" s="13" t="s">
        <v>239</v>
      </c>
      <c r="J405" t="s">
        <v>240</v>
      </c>
      <c r="T405" s="292" t="s">
        <v>1756</v>
      </c>
      <c r="U405" s="283" t="s">
        <v>2454</v>
      </c>
      <c r="V405" s="285" t="s">
        <v>2396</v>
      </c>
      <c r="W405" s="293" t="str">
        <f t="shared" si="14"/>
        <v>H22</v>
      </c>
      <c r="X405" s="284" t="str">
        <f t="shared" si="14"/>
        <v>SJF</v>
      </c>
      <c r="Y405" s="271"/>
      <c r="Z405" s="283">
        <f t="shared" si="15"/>
        <v>7.4999999999999997E-2</v>
      </c>
      <c r="AA405" s="340">
        <f t="shared" si="15"/>
        <v>3.5000000000000001E-3</v>
      </c>
      <c r="AC405" s="268"/>
      <c r="AD405" s="268"/>
      <c r="AE405" s="268"/>
      <c r="AF405" s="268"/>
      <c r="AG405" s="268"/>
      <c r="AH405" s="268"/>
    </row>
    <row r="406" spans="1:34" s="268" customFormat="1">
      <c r="A406" s="268" t="s">
        <v>766</v>
      </c>
      <c r="B406" s="268" t="s">
        <v>2054</v>
      </c>
      <c r="C406" s="268" t="s">
        <v>2053</v>
      </c>
      <c r="D406" s="270" t="s">
        <v>2390</v>
      </c>
      <c r="E406" s="269" t="s">
        <v>767</v>
      </c>
      <c r="F406" s="268">
        <v>7.4999999999999997E-2</v>
      </c>
      <c r="G406" s="268">
        <v>3.5000000000000001E-3</v>
      </c>
      <c r="H406" s="268">
        <v>2.58</v>
      </c>
      <c r="I406" s="267" t="s">
        <v>239</v>
      </c>
      <c r="J406" s="269" t="s">
        <v>240</v>
      </c>
      <c r="T406" s="292" t="s">
        <v>1760</v>
      </c>
      <c r="U406" s="283" t="s">
        <v>1768</v>
      </c>
      <c r="V406" s="285" t="s">
        <v>2396</v>
      </c>
      <c r="W406" s="293" t="s">
        <v>2390</v>
      </c>
      <c r="X406" s="284" t="s">
        <v>767</v>
      </c>
      <c r="Y406" s="271"/>
      <c r="Z406" s="283">
        <v>7.4999999999999997E-2</v>
      </c>
      <c r="AA406" s="340">
        <v>3.5000000000000001E-3</v>
      </c>
    </row>
    <row r="407" spans="1:34" s="268" customFormat="1">
      <c r="A407" s="268" t="s">
        <v>768</v>
      </c>
      <c r="B407" s="268" t="s">
        <v>2054</v>
      </c>
      <c r="C407" s="268" t="s">
        <v>2053</v>
      </c>
      <c r="D407" s="268" t="s">
        <v>2390</v>
      </c>
      <c r="E407" s="269" t="s">
        <v>769</v>
      </c>
      <c r="F407" s="268">
        <v>7.4999999999999997E-2</v>
      </c>
      <c r="G407" s="268">
        <v>3.5000000000000001E-3</v>
      </c>
      <c r="H407" s="268">
        <v>2.58</v>
      </c>
      <c r="I407" s="267" t="s">
        <v>239</v>
      </c>
      <c r="J407" s="269" t="s">
        <v>240</v>
      </c>
      <c r="T407" s="292" t="s">
        <v>1760</v>
      </c>
      <c r="U407" s="283" t="s">
        <v>1768</v>
      </c>
      <c r="V407" s="285" t="s">
        <v>2396</v>
      </c>
      <c r="W407" s="293" t="s">
        <v>2390</v>
      </c>
      <c r="X407" s="284" t="s">
        <v>769</v>
      </c>
      <c r="Y407" s="271"/>
      <c r="Z407" s="283">
        <v>7.4999999999999997E-2</v>
      </c>
      <c r="AA407" s="340">
        <v>3.5000000000000001E-3</v>
      </c>
    </row>
    <row r="408" spans="1:34" s="268" customFormat="1">
      <c r="A408" s="268" t="s">
        <v>770</v>
      </c>
      <c r="B408" s="268" t="s">
        <v>2054</v>
      </c>
      <c r="C408" s="268" t="s">
        <v>2053</v>
      </c>
      <c r="D408" s="270" t="s">
        <v>2390</v>
      </c>
      <c r="E408" s="269" t="s">
        <v>771</v>
      </c>
      <c r="F408" s="268">
        <v>0.13500000000000001</v>
      </c>
      <c r="G408" s="268">
        <v>6.3E-3</v>
      </c>
      <c r="H408" s="268">
        <v>2.58</v>
      </c>
      <c r="I408" s="267" t="s">
        <v>607</v>
      </c>
      <c r="J408" s="269" t="s">
        <v>2398</v>
      </c>
      <c r="T408" s="292" t="s">
        <v>1760</v>
      </c>
      <c r="U408" s="283" t="s">
        <v>1768</v>
      </c>
      <c r="V408" s="285" t="s">
        <v>2396</v>
      </c>
      <c r="W408" s="293" t="s">
        <v>2390</v>
      </c>
      <c r="X408" s="284" t="s">
        <v>771</v>
      </c>
      <c r="Y408" s="271" t="s">
        <v>1762</v>
      </c>
      <c r="Z408" s="283">
        <v>0.13500000000000001</v>
      </c>
      <c r="AA408" s="340">
        <v>6.3E-3</v>
      </c>
    </row>
    <row r="409" spans="1:34" s="268" customFormat="1">
      <c r="A409" s="268" t="s">
        <v>772</v>
      </c>
      <c r="B409" s="268" t="s">
        <v>2054</v>
      </c>
      <c r="C409" s="268" t="s">
        <v>2053</v>
      </c>
      <c r="D409" s="268" t="s">
        <v>2390</v>
      </c>
      <c r="E409" s="269" t="s">
        <v>773</v>
      </c>
      <c r="F409" s="268">
        <v>0.13500000000000001</v>
      </c>
      <c r="G409" s="268">
        <v>6.3E-3</v>
      </c>
      <c r="H409" s="268">
        <v>2.58</v>
      </c>
      <c r="I409" s="267" t="s">
        <v>607</v>
      </c>
      <c r="J409" s="269" t="s">
        <v>2398</v>
      </c>
      <c r="T409" s="292" t="s">
        <v>1760</v>
      </c>
      <c r="U409" s="283" t="s">
        <v>1768</v>
      </c>
      <c r="V409" s="285" t="s">
        <v>2396</v>
      </c>
      <c r="W409" s="293" t="s">
        <v>2390</v>
      </c>
      <c r="X409" s="284" t="s">
        <v>773</v>
      </c>
      <c r="Y409" s="271" t="s">
        <v>1762</v>
      </c>
      <c r="Z409" s="283">
        <v>0.13500000000000001</v>
      </c>
      <c r="AA409" s="340">
        <v>6.3E-3</v>
      </c>
    </row>
    <row r="410" spans="1:34" s="268" customFormat="1">
      <c r="A410" s="268" t="s">
        <v>774</v>
      </c>
      <c r="B410" s="268" t="s">
        <v>2054</v>
      </c>
      <c r="C410" s="268" t="s">
        <v>2053</v>
      </c>
      <c r="D410" s="270" t="s">
        <v>2390</v>
      </c>
      <c r="E410" s="269" t="s">
        <v>775</v>
      </c>
      <c r="F410" s="268">
        <v>0.13500000000000001</v>
      </c>
      <c r="G410" s="268">
        <v>6.3E-3</v>
      </c>
      <c r="H410" s="268">
        <v>2.58</v>
      </c>
      <c r="I410" s="267" t="s">
        <v>607</v>
      </c>
      <c r="J410" s="269" t="s">
        <v>2398</v>
      </c>
      <c r="T410" s="292" t="s">
        <v>1760</v>
      </c>
      <c r="U410" s="283" t="s">
        <v>1768</v>
      </c>
      <c r="V410" s="285" t="s">
        <v>2396</v>
      </c>
      <c r="W410" s="293" t="s">
        <v>2390</v>
      </c>
      <c r="X410" s="284" t="s">
        <v>775</v>
      </c>
      <c r="Y410" s="271" t="s">
        <v>1762</v>
      </c>
      <c r="Z410" s="283">
        <v>0.13500000000000001</v>
      </c>
      <c r="AA410" s="340">
        <v>6.3E-3</v>
      </c>
    </row>
    <row r="411" spans="1:34" s="268" customFormat="1">
      <c r="A411" s="268" t="s">
        <v>776</v>
      </c>
      <c r="B411" s="268" t="s">
        <v>2054</v>
      </c>
      <c r="C411" s="268" t="s">
        <v>2053</v>
      </c>
      <c r="D411" s="268" t="s">
        <v>2390</v>
      </c>
      <c r="E411" s="269" t="s">
        <v>777</v>
      </c>
      <c r="F411" s="268">
        <v>0.13500000000000001</v>
      </c>
      <c r="G411" s="268">
        <v>6.3E-3</v>
      </c>
      <c r="H411" s="268">
        <v>2.58</v>
      </c>
      <c r="I411" s="267" t="s">
        <v>607</v>
      </c>
      <c r="J411" s="269" t="s">
        <v>2398</v>
      </c>
      <c r="T411" s="292" t="s">
        <v>1760</v>
      </c>
      <c r="U411" s="283" t="s">
        <v>1768</v>
      </c>
      <c r="V411" s="285" t="s">
        <v>2396</v>
      </c>
      <c r="W411" s="293" t="s">
        <v>2390</v>
      </c>
      <c r="X411" s="284" t="s">
        <v>777</v>
      </c>
      <c r="Y411" s="271" t="s">
        <v>1762</v>
      </c>
      <c r="Z411" s="283">
        <v>0.13500000000000001</v>
      </c>
      <c r="AA411" s="340">
        <v>6.3E-3</v>
      </c>
    </row>
    <row r="412" spans="1:34" s="268" customFormat="1">
      <c r="A412" s="268" t="s">
        <v>778</v>
      </c>
      <c r="B412" s="268" t="s">
        <v>2054</v>
      </c>
      <c r="C412" s="268" t="s">
        <v>2053</v>
      </c>
      <c r="D412" s="270" t="s">
        <v>2390</v>
      </c>
      <c r="E412" s="269" t="s">
        <v>779</v>
      </c>
      <c r="F412" s="268">
        <v>0.13500000000000001</v>
      </c>
      <c r="G412" s="268">
        <v>6.3E-3</v>
      </c>
      <c r="H412" s="268">
        <v>2.58</v>
      </c>
      <c r="I412" s="267" t="s">
        <v>239</v>
      </c>
      <c r="J412" s="269" t="s">
        <v>2402</v>
      </c>
      <c r="T412" s="292" t="s">
        <v>1760</v>
      </c>
      <c r="U412" s="283" t="s">
        <v>1768</v>
      </c>
      <c r="V412" s="285" t="s">
        <v>2396</v>
      </c>
      <c r="W412" s="293" t="s">
        <v>2390</v>
      </c>
      <c r="X412" s="284" t="s">
        <v>779</v>
      </c>
      <c r="Y412" s="271" t="s">
        <v>1762</v>
      </c>
      <c r="Z412" s="283">
        <v>0.13500000000000001</v>
      </c>
      <c r="AA412" s="340">
        <v>6.3E-3</v>
      </c>
    </row>
    <row r="413" spans="1:34" s="268" customFormat="1">
      <c r="A413" s="268" t="s">
        <v>780</v>
      </c>
      <c r="B413" s="268" t="s">
        <v>2054</v>
      </c>
      <c r="C413" s="268" t="s">
        <v>2053</v>
      </c>
      <c r="D413" s="268" t="s">
        <v>2390</v>
      </c>
      <c r="E413" s="269" t="s">
        <v>781</v>
      </c>
      <c r="F413" s="268">
        <v>0.13500000000000001</v>
      </c>
      <c r="G413" s="268">
        <v>6.3E-3</v>
      </c>
      <c r="H413" s="268">
        <v>2.58</v>
      </c>
      <c r="I413" s="267" t="s">
        <v>239</v>
      </c>
      <c r="J413" s="269" t="s">
        <v>2402</v>
      </c>
      <c r="T413" s="292" t="s">
        <v>1760</v>
      </c>
      <c r="U413" s="283" t="s">
        <v>1768</v>
      </c>
      <c r="V413" s="285" t="s">
        <v>2396</v>
      </c>
      <c r="W413" s="293" t="s">
        <v>2390</v>
      </c>
      <c r="X413" s="284" t="s">
        <v>781</v>
      </c>
      <c r="Y413" s="271" t="s">
        <v>1762</v>
      </c>
      <c r="Z413" s="283">
        <v>0.13500000000000001</v>
      </c>
      <c r="AA413" s="340">
        <v>6.3E-3</v>
      </c>
      <c r="AC413" s="250"/>
      <c r="AD413" s="250"/>
      <c r="AE413" s="250"/>
      <c r="AF413" s="250"/>
      <c r="AG413" s="250"/>
      <c r="AH413" s="250"/>
    </row>
    <row r="414" spans="1:34" s="268" customFormat="1">
      <c r="A414" s="268" t="s">
        <v>782</v>
      </c>
      <c r="B414" s="268" t="s">
        <v>2054</v>
      </c>
      <c r="C414" s="268" t="s">
        <v>2053</v>
      </c>
      <c r="D414" s="270" t="s">
        <v>2390</v>
      </c>
      <c r="E414" s="269" t="s">
        <v>783</v>
      </c>
      <c r="F414" s="268">
        <v>0.13500000000000001</v>
      </c>
      <c r="G414" s="268">
        <v>6.3E-3</v>
      </c>
      <c r="H414" s="268">
        <v>2.58</v>
      </c>
      <c r="I414" s="267" t="s">
        <v>239</v>
      </c>
      <c r="J414" s="269" t="s">
        <v>2402</v>
      </c>
      <c r="T414" s="292" t="s">
        <v>1760</v>
      </c>
      <c r="U414" s="283" t="s">
        <v>1768</v>
      </c>
      <c r="V414" s="285" t="s">
        <v>2396</v>
      </c>
      <c r="W414" s="293" t="s">
        <v>2390</v>
      </c>
      <c r="X414" s="284" t="s">
        <v>783</v>
      </c>
      <c r="Y414" s="271" t="s">
        <v>1762</v>
      </c>
      <c r="Z414" s="283">
        <v>0.13500000000000001</v>
      </c>
      <c r="AA414" s="340">
        <v>6.3E-3</v>
      </c>
      <c r="AC414" s="250"/>
      <c r="AD414" s="250"/>
      <c r="AE414" s="250"/>
      <c r="AF414" s="250"/>
      <c r="AG414" s="250"/>
      <c r="AH414" s="250"/>
    </row>
    <row r="415" spans="1:34" s="250" customFormat="1">
      <c r="A415" s="250" t="s">
        <v>784</v>
      </c>
      <c r="B415" s="250" t="s">
        <v>2054</v>
      </c>
      <c r="C415" s="250" t="s">
        <v>2053</v>
      </c>
      <c r="D415" s="251" t="s">
        <v>2390</v>
      </c>
      <c r="E415" s="251" t="s">
        <v>785</v>
      </c>
      <c r="F415" s="250">
        <v>0.13500000000000001</v>
      </c>
      <c r="G415" s="250">
        <v>6.3E-3</v>
      </c>
      <c r="H415" s="250">
        <v>2.58</v>
      </c>
      <c r="I415" s="252" t="s">
        <v>239</v>
      </c>
      <c r="J415" s="250" t="s">
        <v>2402</v>
      </c>
      <c r="T415" s="292" t="s">
        <v>1760</v>
      </c>
      <c r="U415" s="283" t="s">
        <v>1768</v>
      </c>
      <c r="V415" s="285" t="s">
        <v>2396</v>
      </c>
      <c r="W415" s="293" t="s">
        <v>2390</v>
      </c>
      <c r="X415" s="284" t="s">
        <v>785</v>
      </c>
      <c r="Y415" s="271" t="s">
        <v>1762</v>
      </c>
      <c r="Z415" s="283">
        <v>0.13500000000000001</v>
      </c>
      <c r="AA415" s="340">
        <v>6.3E-3</v>
      </c>
    </row>
    <row r="416" spans="1:34" s="250" customFormat="1">
      <c r="A416" s="250" t="s">
        <v>786</v>
      </c>
      <c r="B416" s="250" t="s">
        <v>2067</v>
      </c>
      <c r="C416" s="250" t="s">
        <v>2066</v>
      </c>
      <c r="D416" s="251" t="s">
        <v>2458</v>
      </c>
      <c r="E416" s="251" t="s">
        <v>2457</v>
      </c>
      <c r="F416" s="250">
        <v>2.83</v>
      </c>
      <c r="G416" s="250">
        <v>0.25</v>
      </c>
      <c r="H416" s="250">
        <v>2.58</v>
      </c>
      <c r="I416" s="252" t="s">
        <v>1973</v>
      </c>
      <c r="T416" s="292" t="s">
        <v>1756</v>
      </c>
      <c r="U416" s="283" t="s">
        <v>2454</v>
      </c>
      <c r="V416" s="285" t="s">
        <v>1771</v>
      </c>
      <c r="W416" s="293" t="str">
        <f t="shared" ref="W416:X464" si="16">D416</f>
        <v>S54前</v>
      </c>
      <c r="X416" s="284" t="str">
        <f t="shared" si="16"/>
        <v>-</v>
      </c>
      <c r="Y416" s="271"/>
      <c r="Z416" s="283">
        <f t="shared" si="15"/>
        <v>2.83</v>
      </c>
      <c r="AA416" s="340">
        <f t="shared" si="15"/>
        <v>0.25</v>
      </c>
    </row>
    <row r="417" spans="1:34" s="250" customFormat="1">
      <c r="A417" s="250" t="s">
        <v>787</v>
      </c>
      <c r="B417" s="250" t="s">
        <v>2067</v>
      </c>
      <c r="C417" s="250" t="s">
        <v>2066</v>
      </c>
      <c r="D417" s="251" t="s">
        <v>0</v>
      </c>
      <c r="E417" s="251" t="s">
        <v>6</v>
      </c>
      <c r="F417" s="250">
        <v>2.5299999999999998</v>
      </c>
      <c r="G417" s="250">
        <v>0.25</v>
      </c>
      <c r="H417" s="250">
        <v>2.58</v>
      </c>
      <c r="I417" s="252" t="s">
        <v>1973</v>
      </c>
      <c r="J417" s="251"/>
      <c r="T417" s="292" t="s">
        <v>1756</v>
      </c>
      <c r="U417" s="283" t="s">
        <v>2454</v>
      </c>
      <c r="V417" s="285" t="s">
        <v>1771</v>
      </c>
      <c r="W417" s="293" t="str">
        <f t="shared" si="16"/>
        <v>S54</v>
      </c>
      <c r="X417" s="284" t="str">
        <f t="shared" si="16"/>
        <v>K</v>
      </c>
      <c r="Y417" s="271"/>
      <c r="Z417" s="283">
        <f t="shared" si="15"/>
        <v>2.5299999999999998</v>
      </c>
      <c r="AA417" s="340">
        <f t="shared" si="15"/>
        <v>0.25</v>
      </c>
    </row>
    <row r="418" spans="1:34" s="250" customFormat="1">
      <c r="A418" s="250" t="s">
        <v>788</v>
      </c>
      <c r="B418" s="250" t="s">
        <v>2067</v>
      </c>
      <c r="C418" s="250" t="s">
        <v>2066</v>
      </c>
      <c r="D418" s="251" t="s">
        <v>8</v>
      </c>
      <c r="E418" s="251" t="s">
        <v>136</v>
      </c>
      <c r="F418" s="250">
        <v>2.16</v>
      </c>
      <c r="G418" s="250">
        <v>0.25</v>
      </c>
      <c r="H418" s="250">
        <v>2.58</v>
      </c>
      <c r="I418" s="252" t="s">
        <v>1973</v>
      </c>
      <c r="J418" s="251"/>
      <c r="T418" s="292" t="s">
        <v>1756</v>
      </c>
      <c r="U418" s="283" t="s">
        <v>2454</v>
      </c>
      <c r="V418" s="285" t="s">
        <v>1771</v>
      </c>
      <c r="W418" s="293" t="str">
        <f t="shared" si="16"/>
        <v>S57,S58</v>
      </c>
      <c r="X418" s="284" t="str">
        <f t="shared" si="16"/>
        <v>N</v>
      </c>
      <c r="Y418" s="271"/>
      <c r="Z418" s="283">
        <f t="shared" si="15"/>
        <v>2.16</v>
      </c>
      <c r="AA418" s="340">
        <f t="shared" si="15"/>
        <v>0.25</v>
      </c>
    </row>
    <row r="419" spans="1:34" s="250" customFormat="1">
      <c r="A419" s="250" t="s">
        <v>789</v>
      </c>
      <c r="B419" s="250" t="s">
        <v>2067</v>
      </c>
      <c r="C419" s="250" t="s">
        <v>2066</v>
      </c>
      <c r="D419" s="251" t="s">
        <v>8</v>
      </c>
      <c r="E419" s="251" t="s">
        <v>137</v>
      </c>
      <c r="F419" s="250">
        <v>2.16</v>
      </c>
      <c r="G419" s="250">
        <v>0.25</v>
      </c>
      <c r="H419" s="250">
        <v>2.58</v>
      </c>
      <c r="I419" s="252" t="s">
        <v>1973</v>
      </c>
      <c r="J419" s="251"/>
      <c r="T419" s="292" t="s">
        <v>1756</v>
      </c>
      <c r="U419" s="283" t="s">
        <v>2454</v>
      </c>
      <c r="V419" s="285" t="s">
        <v>1771</v>
      </c>
      <c r="W419" s="293" t="str">
        <f t="shared" si="16"/>
        <v>S57,S58</v>
      </c>
      <c r="X419" s="284" t="str">
        <f t="shared" si="16"/>
        <v>P</v>
      </c>
      <c r="Y419" s="271"/>
      <c r="Z419" s="283">
        <f t="shared" si="15"/>
        <v>2.16</v>
      </c>
      <c r="AA419" s="340">
        <f t="shared" si="15"/>
        <v>0.25</v>
      </c>
    </row>
    <row r="420" spans="1:34" s="250" customFormat="1">
      <c r="A420" s="250" t="s">
        <v>790</v>
      </c>
      <c r="B420" s="250" t="s">
        <v>2067</v>
      </c>
      <c r="C420" s="250" t="s">
        <v>2066</v>
      </c>
      <c r="D420" s="251" t="s">
        <v>22</v>
      </c>
      <c r="E420" s="251" t="s">
        <v>12</v>
      </c>
      <c r="F420" s="250">
        <v>1.93</v>
      </c>
      <c r="G420" s="250">
        <v>0.25</v>
      </c>
      <c r="H420" s="250">
        <v>2.58</v>
      </c>
      <c r="I420" s="252" t="s">
        <v>1973</v>
      </c>
      <c r="J420" s="251"/>
      <c r="T420" s="292" t="s">
        <v>1756</v>
      </c>
      <c r="U420" s="283" t="s">
        <v>2454</v>
      </c>
      <c r="V420" s="285" t="s">
        <v>1771</v>
      </c>
      <c r="W420" s="293" t="str">
        <f t="shared" si="16"/>
        <v>S63,H元</v>
      </c>
      <c r="X420" s="284" t="str">
        <f t="shared" si="16"/>
        <v>S</v>
      </c>
      <c r="Y420" s="271"/>
      <c r="Z420" s="283">
        <f t="shared" si="15"/>
        <v>1.93</v>
      </c>
      <c r="AA420" s="340">
        <f t="shared" si="15"/>
        <v>0.25</v>
      </c>
    </row>
    <row r="421" spans="1:34" s="250" customFormat="1">
      <c r="A421" s="250" t="s">
        <v>791</v>
      </c>
      <c r="B421" s="250" t="s">
        <v>2067</v>
      </c>
      <c r="C421" s="250" t="s">
        <v>2066</v>
      </c>
      <c r="D421" s="251" t="s">
        <v>22</v>
      </c>
      <c r="E421" s="251" t="s">
        <v>159</v>
      </c>
      <c r="F421" s="250">
        <v>1.93</v>
      </c>
      <c r="G421" s="250">
        <v>0.25</v>
      </c>
      <c r="H421" s="250">
        <v>2.58</v>
      </c>
      <c r="I421" s="252" t="s">
        <v>1973</v>
      </c>
      <c r="J421" s="251"/>
      <c r="T421" s="292" t="s">
        <v>1756</v>
      </c>
      <c r="U421" s="283" t="s">
        <v>2454</v>
      </c>
      <c r="V421" s="285" t="s">
        <v>1771</v>
      </c>
      <c r="W421" s="293" t="str">
        <f t="shared" si="16"/>
        <v>S63,H元</v>
      </c>
      <c r="X421" s="284" t="str">
        <f t="shared" si="16"/>
        <v>U</v>
      </c>
      <c r="Y421" s="271"/>
      <c r="Z421" s="283">
        <f t="shared" si="15"/>
        <v>1.93</v>
      </c>
      <c r="AA421" s="340">
        <f t="shared" si="15"/>
        <v>0.25</v>
      </c>
    </row>
    <row r="422" spans="1:34" s="250" customFormat="1">
      <c r="A422" s="250" t="s">
        <v>792</v>
      </c>
      <c r="B422" s="250" t="s">
        <v>2067</v>
      </c>
      <c r="C422" s="250" t="s">
        <v>2066</v>
      </c>
      <c r="D422" s="251" t="s">
        <v>33</v>
      </c>
      <c r="E422" s="251" t="s">
        <v>23</v>
      </c>
      <c r="F422" s="250">
        <v>1.3</v>
      </c>
      <c r="G422" s="250">
        <v>0.25</v>
      </c>
      <c r="H422" s="250">
        <v>2.58</v>
      </c>
      <c r="I422" s="252" t="s">
        <v>1973</v>
      </c>
      <c r="J422" s="251"/>
      <c r="T422" s="292" t="s">
        <v>1756</v>
      </c>
      <c r="U422" s="283" t="s">
        <v>2454</v>
      </c>
      <c r="V422" s="285" t="s">
        <v>1771</v>
      </c>
      <c r="W422" s="293" t="str">
        <f t="shared" si="16"/>
        <v>H6</v>
      </c>
      <c r="X422" s="284" t="str">
        <f t="shared" si="16"/>
        <v>KC</v>
      </c>
      <c r="Y422" s="271"/>
      <c r="Z422" s="283">
        <f t="shared" si="15"/>
        <v>1.3</v>
      </c>
      <c r="AA422" s="340">
        <f t="shared" si="15"/>
        <v>0.25</v>
      </c>
    </row>
    <row r="423" spans="1:34" s="250" customFormat="1">
      <c r="A423" s="250" t="s">
        <v>793</v>
      </c>
      <c r="B423" s="250" t="s">
        <v>2067</v>
      </c>
      <c r="C423" s="250" t="s">
        <v>2066</v>
      </c>
      <c r="D423" s="251" t="s">
        <v>2033</v>
      </c>
      <c r="E423" s="251" t="s">
        <v>120</v>
      </c>
      <c r="F423" s="250">
        <v>0.7</v>
      </c>
      <c r="G423" s="250">
        <v>0.09</v>
      </c>
      <c r="H423" s="250">
        <v>2.58</v>
      </c>
      <c r="I423" s="252" t="s">
        <v>1973</v>
      </c>
      <c r="J423" s="251"/>
      <c r="T423" s="292" t="s">
        <v>1756</v>
      </c>
      <c r="U423" s="283" t="s">
        <v>2454</v>
      </c>
      <c r="V423" s="285" t="s">
        <v>1771</v>
      </c>
      <c r="W423" s="293" t="str">
        <f t="shared" si="16"/>
        <v>H9</v>
      </c>
      <c r="X423" s="284" t="str">
        <f t="shared" si="16"/>
        <v>KG</v>
      </c>
      <c r="Y423" s="271"/>
      <c r="Z423" s="283">
        <f t="shared" si="15"/>
        <v>0.7</v>
      </c>
      <c r="AA423" s="340">
        <f t="shared" si="15"/>
        <v>0.09</v>
      </c>
    </row>
    <row r="424" spans="1:34" s="250" customFormat="1">
      <c r="A424" s="250" t="s">
        <v>794</v>
      </c>
      <c r="B424" s="250" t="s">
        <v>2067</v>
      </c>
      <c r="C424" s="250" t="s">
        <v>2066</v>
      </c>
      <c r="D424" s="251" t="s">
        <v>2033</v>
      </c>
      <c r="E424" s="251" t="s">
        <v>107</v>
      </c>
      <c r="F424" s="250">
        <v>0.35</v>
      </c>
      <c r="G424" s="250">
        <v>4.4999999999999998E-2</v>
      </c>
      <c r="H424" s="250">
        <v>2.58</v>
      </c>
      <c r="I424" s="252" t="s">
        <v>239</v>
      </c>
      <c r="J424" s="251" t="s">
        <v>240</v>
      </c>
      <c r="T424" s="292" t="s">
        <v>1756</v>
      </c>
      <c r="U424" s="283" t="s">
        <v>2454</v>
      </c>
      <c r="V424" s="285" t="s">
        <v>1771</v>
      </c>
      <c r="W424" s="293" t="str">
        <f t="shared" si="16"/>
        <v>H9</v>
      </c>
      <c r="X424" s="284" t="str">
        <f t="shared" si="16"/>
        <v>HC</v>
      </c>
      <c r="Y424" s="271"/>
      <c r="Z424" s="283">
        <f t="shared" si="15"/>
        <v>0.35</v>
      </c>
      <c r="AA424" s="340">
        <f t="shared" si="15"/>
        <v>4.4999999999999998E-2</v>
      </c>
    </row>
    <row r="425" spans="1:34" s="250" customFormat="1">
      <c r="A425" s="250" t="s">
        <v>795</v>
      </c>
      <c r="B425" s="250" t="s">
        <v>2054</v>
      </c>
      <c r="C425" s="250" t="s">
        <v>2066</v>
      </c>
      <c r="D425" s="251" t="s">
        <v>2033</v>
      </c>
      <c r="E425" s="251" t="s">
        <v>796</v>
      </c>
      <c r="F425" s="250">
        <v>0.52500000000000002</v>
      </c>
      <c r="G425" s="250">
        <v>6.7500000000000004E-2</v>
      </c>
      <c r="H425" s="250">
        <v>2.58</v>
      </c>
      <c r="I425" s="252" t="s">
        <v>1973</v>
      </c>
      <c r="J425" s="251" t="s">
        <v>244</v>
      </c>
      <c r="T425" s="292" t="s">
        <v>1756</v>
      </c>
      <c r="U425" s="283" t="s">
        <v>2454</v>
      </c>
      <c r="V425" s="285" t="s">
        <v>1771</v>
      </c>
      <c r="W425" s="293" t="str">
        <f t="shared" si="16"/>
        <v>H9</v>
      </c>
      <c r="X425" s="284" t="str">
        <f t="shared" si="16"/>
        <v>DG</v>
      </c>
      <c r="Y425" s="271" t="s">
        <v>1765</v>
      </c>
      <c r="Z425" s="283">
        <f t="shared" si="15"/>
        <v>0.52500000000000002</v>
      </c>
      <c r="AA425" s="340">
        <f t="shared" si="15"/>
        <v>6.7500000000000004E-2</v>
      </c>
      <c r="AC425" s="74"/>
      <c r="AD425" s="74"/>
      <c r="AE425" s="74"/>
      <c r="AF425" s="74"/>
      <c r="AG425" s="74"/>
      <c r="AH425" s="74"/>
    </row>
    <row r="426" spans="1:34" s="250" customFormat="1">
      <c r="A426" s="250" t="s">
        <v>797</v>
      </c>
      <c r="B426" s="250" t="s">
        <v>2054</v>
      </c>
      <c r="C426" s="250" t="s">
        <v>2066</v>
      </c>
      <c r="D426" s="251" t="s">
        <v>2033</v>
      </c>
      <c r="E426" s="251" t="s">
        <v>798</v>
      </c>
      <c r="F426" s="250">
        <v>0.52500000000000002</v>
      </c>
      <c r="G426" s="250">
        <v>6.7500000000000004E-2</v>
      </c>
      <c r="H426" s="250">
        <v>2.58</v>
      </c>
      <c r="I426" s="252" t="s">
        <v>239</v>
      </c>
      <c r="J426" s="251" t="s">
        <v>2134</v>
      </c>
      <c r="T426" s="292" t="s">
        <v>1756</v>
      </c>
      <c r="U426" s="283" t="s">
        <v>2454</v>
      </c>
      <c r="V426" s="285" t="s">
        <v>1771</v>
      </c>
      <c r="W426" s="293" t="str">
        <f t="shared" si="16"/>
        <v>H9</v>
      </c>
      <c r="X426" s="284" t="str">
        <f t="shared" si="16"/>
        <v>WG</v>
      </c>
      <c r="Y426" s="271" t="s">
        <v>1765</v>
      </c>
      <c r="Z426" s="283">
        <f t="shared" si="15"/>
        <v>0.52500000000000002</v>
      </c>
      <c r="AA426" s="340">
        <f t="shared" si="15"/>
        <v>6.7500000000000004E-2</v>
      </c>
      <c r="AC426" s="74"/>
      <c r="AD426" s="74"/>
      <c r="AE426" s="74"/>
      <c r="AF426" s="74"/>
      <c r="AG426" s="74"/>
      <c r="AH426" s="74"/>
    </row>
    <row r="427" spans="1:34">
      <c r="A427" s="74" t="s">
        <v>799</v>
      </c>
      <c r="B427" s="74" t="s">
        <v>2054</v>
      </c>
      <c r="C427" s="74" t="s">
        <v>2066</v>
      </c>
      <c r="D427" s="74" t="s">
        <v>2033</v>
      </c>
      <c r="E427" s="74" t="s">
        <v>800</v>
      </c>
      <c r="F427" s="74">
        <v>0.35</v>
      </c>
      <c r="G427" s="74">
        <v>4.4999999999999998E-2</v>
      </c>
      <c r="H427" s="74">
        <v>2.58</v>
      </c>
      <c r="I427" s="13" t="s">
        <v>1973</v>
      </c>
      <c r="J427" s="74" t="s">
        <v>247</v>
      </c>
      <c r="T427" s="292" t="s">
        <v>1756</v>
      </c>
      <c r="U427" s="283" t="s">
        <v>2454</v>
      </c>
      <c r="V427" s="285" t="s">
        <v>1771</v>
      </c>
      <c r="W427" s="293" t="str">
        <f t="shared" si="16"/>
        <v>H9</v>
      </c>
      <c r="X427" s="284" t="str">
        <f t="shared" si="16"/>
        <v>DH</v>
      </c>
      <c r="Y427" s="271" t="s">
        <v>1766</v>
      </c>
      <c r="Z427" s="283">
        <f t="shared" si="15"/>
        <v>0.35</v>
      </c>
      <c r="AA427" s="340">
        <f t="shared" si="15"/>
        <v>4.4999999999999998E-2</v>
      </c>
    </row>
    <row r="428" spans="1:34">
      <c r="A428" s="74" t="s">
        <v>801</v>
      </c>
      <c r="B428" s="74" t="s">
        <v>2054</v>
      </c>
      <c r="C428" s="74" t="s">
        <v>2066</v>
      </c>
      <c r="D428" s="74" t="s">
        <v>2033</v>
      </c>
      <c r="E428" s="74" t="s">
        <v>802</v>
      </c>
      <c r="F428" s="74">
        <v>0.35</v>
      </c>
      <c r="G428" s="74">
        <v>4.4999999999999998E-2</v>
      </c>
      <c r="H428" s="74">
        <v>2.58</v>
      </c>
      <c r="I428" s="13" t="s">
        <v>239</v>
      </c>
      <c r="J428" s="74" t="s">
        <v>2135</v>
      </c>
      <c r="T428" s="292" t="s">
        <v>1756</v>
      </c>
      <c r="U428" s="283" t="s">
        <v>2454</v>
      </c>
      <c r="V428" s="285" t="s">
        <v>1771</v>
      </c>
      <c r="W428" s="293" t="str">
        <f t="shared" si="16"/>
        <v>H9</v>
      </c>
      <c r="X428" s="284" t="str">
        <f t="shared" si="16"/>
        <v>WH</v>
      </c>
      <c r="Y428" s="271" t="s">
        <v>1766</v>
      </c>
      <c r="Z428" s="283">
        <f t="shared" si="15"/>
        <v>0.35</v>
      </c>
      <c r="AA428" s="340">
        <f t="shared" si="15"/>
        <v>4.4999999999999998E-2</v>
      </c>
    </row>
    <row r="429" spans="1:34">
      <c r="A429" s="74" t="s">
        <v>803</v>
      </c>
      <c r="B429" s="74" t="s">
        <v>2054</v>
      </c>
      <c r="C429" s="74" t="s">
        <v>2066</v>
      </c>
      <c r="D429" s="74" t="s">
        <v>2033</v>
      </c>
      <c r="E429" s="74" t="s">
        <v>804</v>
      </c>
      <c r="F429" s="74">
        <v>0.17499999999999999</v>
      </c>
      <c r="G429" s="74">
        <v>2.2499999999999999E-2</v>
      </c>
      <c r="H429" s="74">
        <v>2.58</v>
      </c>
      <c r="I429" s="13" t="s">
        <v>1973</v>
      </c>
      <c r="J429" s="74" t="s">
        <v>250</v>
      </c>
      <c r="T429" s="292" t="s">
        <v>1756</v>
      </c>
      <c r="U429" s="283" t="s">
        <v>2454</v>
      </c>
      <c r="V429" s="285" t="s">
        <v>1771</v>
      </c>
      <c r="W429" s="293" t="str">
        <f t="shared" si="16"/>
        <v>H9</v>
      </c>
      <c r="X429" s="284" t="str">
        <f t="shared" si="16"/>
        <v>DJ</v>
      </c>
      <c r="Y429" s="271" t="s">
        <v>1767</v>
      </c>
      <c r="Z429" s="283">
        <f t="shared" si="15"/>
        <v>0.17499999999999999</v>
      </c>
      <c r="AA429" s="340">
        <f t="shared" si="15"/>
        <v>2.2499999999999999E-2</v>
      </c>
    </row>
    <row r="430" spans="1:34">
      <c r="A430" s="74" t="s">
        <v>805</v>
      </c>
      <c r="B430" s="74" t="s">
        <v>2054</v>
      </c>
      <c r="C430" s="74" t="s">
        <v>2066</v>
      </c>
      <c r="D430" s="74" t="s">
        <v>2033</v>
      </c>
      <c r="E430" s="74" t="s">
        <v>806</v>
      </c>
      <c r="F430" s="74">
        <v>0.17499999999999999</v>
      </c>
      <c r="G430" s="74">
        <v>2.2499999999999999E-2</v>
      </c>
      <c r="H430" s="74">
        <v>2.58</v>
      </c>
      <c r="I430" s="13" t="s">
        <v>239</v>
      </c>
      <c r="J430" s="74" t="s">
        <v>2136</v>
      </c>
      <c r="T430" s="292" t="s">
        <v>1756</v>
      </c>
      <c r="U430" s="283" t="s">
        <v>2454</v>
      </c>
      <c r="V430" s="285" t="s">
        <v>1771</v>
      </c>
      <c r="W430" s="293" t="str">
        <f t="shared" si="16"/>
        <v>H9</v>
      </c>
      <c r="X430" s="284" t="str">
        <f t="shared" si="16"/>
        <v>WJ</v>
      </c>
      <c r="Y430" s="271" t="s">
        <v>1767</v>
      </c>
      <c r="Z430" s="283">
        <f t="shared" si="15"/>
        <v>0.17499999999999999</v>
      </c>
      <c r="AA430" s="340">
        <f t="shared" si="15"/>
        <v>2.2499999999999999E-2</v>
      </c>
    </row>
    <row r="431" spans="1:34">
      <c r="A431" s="74" t="s">
        <v>807</v>
      </c>
      <c r="B431" s="74" t="s">
        <v>2067</v>
      </c>
      <c r="C431" s="74" t="s">
        <v>2066</v>
      </c>
      <c r="D431" s="74" t="s">
        <v>20</v>
      </c>
      <c r="E431" s="74" t="s">
        <v>129</v>
      </c>
      <c r="F431" s="74">
        <v>0.49</v>
      </c>
      <c r="G431" s="74">
        <v>0.06</v>
      </c>
      <c r="H431" s="74">
        <v>2.58</v>
      </c>
      <c r="I431" s="13" t="s">
        <v>1973</v>
      </c>
      <c r="T431" s="292" t="s">
        <v>1756</v>
      </c>
      <c r="U431" s="283" t="s">
        <v>2454</v>
      </c>
      <c r="V431" s="285" t="s">
        <v>1771</v>
      </c>
      <c r="W431" s="293" t="str">
        <f t="shared" si="16"/>
        <v>H15</v>
      </c>
      <c r="X431" s="284" t="str">
        <f t="shared" si="16"/>
        <v>KR</v>
      </c>
      <c r="Y431" s="271"/>
      <c r="Z431" s="283">
        <f t="shared" si="15"/>
        <v>0.49</v>
      </c>
      <c r="AA431" s="340">
        <f t="shared" si="15"/>
        <v>0.06</v>
      </c>
    </row>
    <row r="432" spans="1:34">
      <c r="A432" s="74" t="s">
        <v>808</v>
      </c>
      <c r="B432" s="74" t="s">
        <v>2067</v>
      </c>
      <c r="C432" s="74" t="s">
        <v>2066</v>
      </c>
      <c r="D432" s="74" t="s">
        <v>20</v>
      </c>
      <c r="E432" s="74" t="s">
        <v>116</v>
      </c>
      <c r="F432" s="74">
        <v>0.245</v>
      </c>
      <c r="G432" s="74">
        <v>0.03</v>
      </c>
      <c r="H432" s="74">
        <v>2.58</v>
      </c>
      <c r="I432" s="13" t="s">
        <v>239</v>
      </c>
      <c r="J432" s="74" t="s">
        <v>240</v>
      </c>
      <c r="T432" s="292" t="s">
        <v>1756</v>
      </c>
      <c r="U432" s="283" t="s">
        <v>2454</v>
      </c>
      <c r="V432" s="285" t="s">
        <v>1771</v>
      </c>
      <c r="W432" s="293" t="str">
        <f t="shared" si="16"/>
        <v>H15</v>
      </c>
      <c r="X432" s="284" t="str">
        <f t="shared" si="16"/>
        <v>HY</v>
      </c>
      <c r="Y432" s="271"/>
      <c r="Z432" s="283">
        <f t="shared" si="15"/>
        <v>0.245</v>
      </c>
      <c r="AA432" s="340">
        <f t="shared" si="15"/>
        <v>0.03</v>
      </c>
    </row>
    <row r="433" spans="1:27">
      <c r="A433" s="74" t="s">
        <v>809</v>
      </c>
      <c r="B433" s="74" t="s">
        <v>2067</v>
      </c>
      <c r="C433" s="74" t="s">
        <v>2066</v>
      </c>
      <c r="D433" s="74" t="s">
        <v>20</v>
      </c>
      <c r="E433" s="74" t="s">
        <v>156</v>
      </c>
      <c r="F433" s="74">
        <v>0.36749999999999999</v>
      </c>
      <c r="G433" s="74">
        <v>4.4999999999999998E-2</v>
      </c>
      <c r="H433" s="74">
        <v>2.58</v>
      </c>
      <c r="I433" s="13" t="s">
        <v>1973</v>
      </c>
      <c r="J433" s="74" t="s">
        <v>244</v>
      </c>
      <c r="T433" s="292" t="s">
        <v>1756</v>
      </c>
      <c r="U433" s="283" t="s">
        <v>2454</v>
      </c>
      <c r="V433" s="285" t="s">
        <v>1771</v>
      </c>
      <c r="W433" s="293" t="str">
        <f t="shared" si="16"/>
        <v>H15</v>
      </c>
      <c r="X433" s="284" t="str">
        <f t="shared" si="16"/>
        <v>TK</v>
      </c>
      <c r="Y433" s="271" t="s">
        <v>1765</v>
      </c>
      <c r="Z433" s="283">
        <f t="shared" si="15"/>
        <v>0.36749999999999999</v>
      </c>
      <c r="AA433" s="340">
        <f t="shared" si="15"/>
        <v>4.4999999999999998E-2</v>
      </c>
    </row>
    <row r="434" spans="1:27">
      <c r="A434" s="74" t="s">
        <v>810</v>
      </c>
      <c r="B434" s="74" t="s">
        <v>2067</v>
      </c>
      <c r="C434" s="74" t="s">
        <v>2066</v>
      </c>
      <c r="D434" s="74" t="s">
        <v>20</v>
      </c>
      <c r="E434" s="74" t="s">
        <v>185</v>
      </c>
      <c r="F434" s="74">
        <v>0.36749999999999999</v>
      </c>
      <c r="G434" s="74">
        <v>4.4999999999999998E-2</v>
      </c>
      <c r="H434" s="74">
        <v>2.58</v>
      </c>
      <c r="I434" s="13" t="s">
        <v>239</v>
      </c>
      <c r="J434" s="74" t="s">
        <v>2134</v>
      </c>
      <c r="T434" s="292" t="s">
        <v>1756</v>
      </c>
      <c r="U434" s="283" t="s">
        <v>2454</v>
      </c>
      <c r="V434" s="285" t="s">
        <v>1771</v>
      </c>
      <c r="W434" s="293" t="str">
        <f t="shared" si="16"/>
        <v>H15</v>
      </c>
      <c r="X434" s="284" t="str">
        <f t="shared" si="16"/>
        <v>XK</v>
      </c>
      <c r="Y434" s="271" t="s">
        <v>1765</v>
      </c>
      <c r="Z434" s="283">
        <f t="shared" si="15"/>
        <v>0.36749999999999999</v>
      </c>
      <c r="AA434" s="340">
        <f t="shared" si="15"/>
        <v>4.4999999999999998E-2</v>
      </c>
    </row>
    <row r="435" spans="1:27">
      <c r="A435" s="74" t="s">
        <v>811</v>
      </c>
      <c r="B435" s="74" t="s">
        <v>2067</v>
      </c>
      <c r="C435" s="74" t="s">
        <v>2066</v>
      </c>
      <c r="D435" s="74" t="s">
        <v>20</v>
      </c>
      <c r="E435" s="74" t="s">
        <v>133</v>
      </c>
      <c r="F435" s="74">
        <v>0.245</v>
      </c>
      <c r="G435" s="74">
        <v>0.03</v>
      </c>
      <c r="H435" s="74">
        <v>2.58</v>
      </c>
      <c r="I435" s="13" t="s">
        <v>1973</v>
      </c>
      <c r="J435" s="74" t="s">
        <v>247</v>
      </c>
      <c r="T435" s="292" t="s">
        <v>1756</v>
      </c>
      <c r="U435" s="283" t="s">
        <v>2454</v>
      </c>
      <c r="V435" s="285" t="s">
        <v>1771</v>
      </c>
      <c r="W435" s="293" t="str">
        <f t="shared" si="16"/>
        <v>H15</v>
      </c>
      <c r="X435" s="284" t="str">
        <f t="shared" si="16"/>
        <v>LK</v>
      </c>
      <c r="Y435" s="271" t="s">
        <v>1766</v>
      </c>
      <c r="Z435" s="283">
        <f t="shared" si="15"/>
        <v>0.245</v>
      </c>
      <c r="AA435" s="340">
        <f t="shared" si="15"/>
        <v>0.03</v>
      </c>
    </row>
    <row r="436" spans="1:27">
      <c r="A436" s="74" t="s">
        <v>812</v>
      </c>
      <c r="B436" s="74" t="s">
        <v>2067</v>
      </c>
      <c r="C436" s="74" t="s">
        <v>2066</v>
      </c>
      <c r="D436" s="74" t="s">
        <v>20</v>
      </c>
      <c r="E436" s="74" t="s">
        <v>191</v>
      </c>
      <c r="F436" s="74">
        <v>0.245</v>
      </c>
      <c r="G436" s="74">
        <v>0.03</v>
      </c>
      <c r="H436" s="74">
        <v>2.58</v>
      </c>
      <c r="I436" s="13" t="s">
        <v>239</v>
      </c>
      <c r="J436" s="74" t="s">
        <v>2135</v>
      </c>
      <c r="T436" s="292" t="s">
        <v>1756</v>
      </c>
      <c r="U436" s="283" t="s">
        <v>2454</v>
      </c>
      <c r="V436" s="285" t="s">
        <v>1771</v>
      </c>
      <c r="W436" s="293" t="str">
        <f t="shared" si="16"/>
        <v>H15</v>
      </c>
      <c r="X436" s="284" t="str">
        <f t="shared" si="16"/>
        <v>YK</v>
      </c>
      <c r="Y436" s="271" t="s">
        <v>1766</v>
      </c>
      <c r="Z436" s="283">
        <f t="shared" si="15"/>
        <v>0.245</v>
      </c>
      <c r="AA436" s="340">
        <f t="shared" si="15"/>
        <v>0.03</v>
      </c>
    </row>
    <row r="437" spans="1:27">
      <c r="A437" s="74" t="s">
        <v>813</v>
      </c>
      <c r="B437" s="74" t="s">
        <v>2067</v>
      </c>
      <c r="C437" s="74" t="s">
        <v>2066</v>
      </c>
      <c r="D437" s="74" t="s">
        <v>20</v>
      </c>
      <c r="E437" s="74" t="s">
        <v>162</v>
      </c>
      <c r="F437" s="74">
        <v>0.1225</v>
      </c>
      <c r="G437" s="74">
        <v>1.4999999999999999E-2</v>
      </c>
      <c r="H437" s="74">
        <v>2.58</v>
      </c>
      <c r="I437" s="13" t="s">
        <v>1973</v>
      </c>
      <c r="J437" s="74" t="s">
        <v>250</v>
      </c>
      <c r="T437" s="292" t="s">
        <v>1756</v>
      </c>
      <c r="U437" s="283" t="s">
        <v>2454</v>
      </c>
      <c r="V437" s="285" t="s">
        <v>1771</v>
      </c>
      <c r="W437" s="293" t="str">
        <f t="shared" si="16"/>
        <v>H15</v>
      </c>
      <c r="X437" s="284" t="str">
        <f t="shared" si="16"/>
        <v>UK</v>
      </c>
      <c r="Y437" s="271" t="s">
        <v>1767</v>
      </c>
      <c r="Z437" s="283">
        <f t="shared" si="15"/>
        <v>0.1225</v>
      </c>
      <c r="AA437" s="340">
        <f t="shared" si="15"/>
        <v>1.4999999999999999E-2</v>
      </c>
    </row>
    <row r="438" spans="1:27">
      <c r="A438" s="74" t="s">
        <v>814</v>
      </c>
      <c r="B438" s="74" t="s">
        <v>2067</v>
      </c>
      <c r="C438" s="74" t="s">
        <v>2066</v>
      </c>
      <c r="D438" s="74" t="s">
        <v>20</v>
      </c>
      <c r="E438" s="74" t="s">
        <v>196</v>
      </c>
      <c r="F438" s="74">
        <v>0.1225</v>
      </c>
      <c r="G438" s="74">
        <v>1.4999999999999999E-2</v>
      </c>
      <c r="H438" s="74">
        <v>2.58</v>
      </c>
      <c r="I438" s="13" t="s">
        <v>239</v>
      </c>
      <c r="J438" s="74" t="s">
        <v>2136</v>
      </c>
      <c r="T438" s="292" t="s">
        <v>1756</v>
      </c>
      <c r="U438" s="283" t="s">
        <v>2454</v>
      </c>
      <c r="V438" s="285" t="s">
        <v>1771</v>
      </c>
      <c r="W438" s="293" t="str">
        <f t="shared" si="16"/>
        <v>H15</v>
      </c>
      <c r="X438" s="284" t="str">
        <f t="shared" si="16"/>
        <v>ZK</v>
      </c>
      <c r="Y438" s="271" t="s">
        <v>1767</v>
      </c>
      <c r="Z438" s="283">
        <f t="shared" si="15"/>
        <v>0.1225</v>
      </c>
      <c r="AA438" s="340">
        <f t="shared" si="15"/>
        <v>1.4999999999999999E-2</v>
      </c>
    </row>
    <row r="439" spans="1:27">
      <c r="A439" s="74" t="s">
        <v>815</v>
      </c>
      <c r="B439" s="74" t="s">
        <v>2067</v>
      </c>
      <c r="C439" s="74" t="s">
        <v>2066</v>
      </c>
      <c r="D439" s="74" t="s">
        <v>1979</v>
      </c>
      <c r="E439" s="74" t="s">
        <v>713</v>
      </c>
      <c r="F439" s="74">
        <v>0.25</v>
      </c>
      <c r="G439" s="74">
        <v>1.4999999999999999E-2</v>
      </c>
      <c r="H439" s="74">
        <v>2.58</v>
      </c>
      <c r="I439" s="13" t="s">
        <v>2340</v>
      </c>
      <c r="T439" s="292" t="s">
        <v>1756</v>
      </c>
      <c r="U439" s="283" t="s">
        <v>2454</v>
      </c>
      <c r="V439" s="285" t="s">
        <v>1771</v>
      </c>
      <c r="W439" s="293" t="str">
        <f t="shared" si="16"/>
        <v>H17</v>
      </c>
      <c r="X439" s="284" t="str">
        <f t="shared" si="16"/>
        <v>ADF</v>
      </c>
      <c r="Y439" s="271"/>
      <c r="Z439" s="283">
        <f t="shared" si="15"/>
        <v>0.25</v>
      </c>
      <c r="AA439" s="340">
        <f t="shared" si="15"/>
        <v>1.4999999999999999E-2</v>
      </c>
    </row>
    <row r="440" spans="1:27">
      <c r="A440" s="74" t="s">
        <v>816</v>
      </c>
      <c r="B440" s="74" t="s">
        <v>2067</v>
      </c>
      <c r="C440" s="74" t="s">
        <v>2066</v>
      </c>
      <c r="D440" s="74" t="s">
        <v>1979</v>
      </c>
      <c r="E440" s="74" t="s">
        <v>715</v>
      </c>
      <c r="F440" s="74">
        <v>0.25</v>
      </c>
      <c r="G440" s="74">
        <v>1.4999999999999999E-2</v>
      </c>
      <c r="H440" s="74">
        <v>2.58</v>
      </c>
      <c r="I440" s="13" t="s">
        <v>2340</v>
      </c>
      <c r="T440" s="292" t="s">
        <v>1756</v>
      </c>
      <c r="U440" s="283" t="s">
        <v>2454</v>
      </c>
      <c r="V440" s="285" t="s">
        <v>2395</v>
      </c>
      <c r="W440" s="293" t="str">
        <f t="shared" si="16"/>
        <v>H17</v>
      </c>
      <c r="X440" s="284" t="str">
        <f t="shared" si="16"/>
        <v>AKF</v>
      </c>
      <c r="Y440" s="271"/>
      <c r="Z440" s="283">
        <f t="shared" si="15"/>
        <v>0.25</v>
      </c>
      <c r="AA440" s="340">
        <f t="shared" si="15"/>
        <v>1.4999999999999999E-2</v>
      </c>
    </row>
    <row r="441" spans="1:27">
      <c r="A441" s="74" t="s">
        <v>817</v>
      </c>
      <c r="B441" s="74" t="s">
        <v>2067</v>
      </c>
      <c r="C441" s="74" t="s">
        <v>2066</v>
      </c>
      <c r="D441" s="74" t="s">
        <v>1979</v>
      </c>
      <c r="E441" s="74" t="s">
        <v>717</v>
      </c>
      <c r="F441" s="74">
        <v>0.125</v>
      </c>
      <c r="G441" s="74">
        <v>7.4999999999999997E-3</v>
      </c>
      <c r="H441" s="74">
        <v>2.58</v>
      </c>
      <c r="I441" s="13" t="s">
        <v>239</v>
      </c>
      <c r="J441" s="74" t="s">
        <v>240</v>
      </c>
      <c r="T441" s="292" t="s">
        <v>1756</v>
      </c>
      <c r="U441" s="283" t="s">
        <v>2454</v>
      </c>
      <c r="V441" s="285" t="s">
        <v>2395</v>
      </c>
      <c r="W441" s="293" t="str">
        <f t="shared" si="16"/>
        <v>H17</v>
      </c>
      <c r="X441" s="284" t="str">
        <f t="shared" si="16"/>
        <v>ACF</v>
      </c>
      <c r="Y441" s="271"/>
      <c r="Z441" s="283">
        <f t="shared" si="15"/>
        <v>0.125</v>
      </c>
      <c r="AA441" s="340">
        <f t="shared" si="15"/>
        <v>7.4999999999999997E-3</v>
      </c>
    </row>
    <row r="442" spans="1:27">
      <c r="A442" s="74" t="s">
        <v>818</v>
      </c>
      <c r="B442" s="74" t="s">
        <v>2067</v>
      </c>
      <c r="C442" s="74" t="s">
        <v>2066</v>
      </c>
      <c r="D442" s="74" t="s">
        <v>1979</v>
      </c>
      <c r="E442" s="74" t="s">
        <v>719</v>
      </c>
      <c r="F442" s="74">
        <v>0.125</v>
      </c>
      <c r="G442" s="74">
        <v>7.4999999999999997E-3</v>
      </c>
      <c r="H442" s="74">
        <v>2.58</v>
      </c>
      <c r="I442" s="13" t="s">
        <v>239</v>
      </c>
      <c r="J442" s="74" t="s">
        <v>240</v>
      </c>
      <c r="T442" s="292" t="s">
        <v>1756</v>
      </c>
      <c r="U442" s="283" t="s">
        <v>2454</v>
      </c>
      <c r="V442" s="285" t="s">
        <v>2395</v>
      </c>
      <c r="W442" s="293" t="str">
        <f t="shared" si="16"/>
        <v>H17</v>
      </c>
      <c r="X442" s="284" t="str">
        <f t="shared" si="16"/>
        <v>AJF</v>
      </c>
      <c r="Y442" s="271"/>
      <c r="Z442" s="283">
        <f t="shared" si="15"/>
        <v>0.125</v>
      </c>
      <c r="AA442" s="340">
        <f t="shared" si="15"/>
        <v>7.4999999999999997E-3</v>
      </c>
    </row>
    <row r="443" spans="1:27">
      <c r="A443" s="74" t="s">
        <v>819</v>
      </c>
      <c r="B443" s="74" t="s">
        <v>2067</v>
      </c>
      <c r="C443" s="74" t="s">
        <v>2066</v>
      </c>
      <c r="D443" s="74" t="s">
        <v>1979</v>
      </c>
      <c r="E443" s="74" t="s">
        <v>2047</v>
      </c>
      <c r="F443" s="74">
        <v>0.22500000000000001</v>
      </c>
      <c r="G443" s="74">
        <v>1.35E-2</v>
      </c>
      <c r="H443" s="74">
        <v>2.58</v>
      </c>
      <c r="I443" s="13" t="s">
        <v>239</v>
      </c>
      <c r="J443" s="74" t="s">
        <v>2134</v>
      </c>
      <c r="T443" s="292" t="s">
        <v>1756</v>
      </c>
      <c r="U443" s="283" t="s">
        <v>2454</v>
      </c>
      <c r="V443" s="285" t="s">
        <v>2395</v>
      </c>
      <c r="W443" s="293" t="str">
        <f t="shared" si="16"/>
        <v>H17</v>
      </c>
      <c r="X443" s="284" t="str">
        <f t="shared" si="16"/>
        <v>BCF</v>
      </c>
      <c r="Y443" s="271" t="s">
        <v>2398</v>
      </c>
      <c r="Z443" s="283">
        <f t="shared" si="15"/>
        <v>0.22500000000000001</v>
      </c>
      <c r="AA443" s="340">
        <f t="shared" si="15"/>
        <v>1.35E-2</v>
      </c>
    </row>
    <row r="444" spans="1:27">
      <c r="A444" s="74" t="s">
        <v>820</v>
      </c>
      <c r="B444" s="74" t="s">
        <v>2067</v>
      </c>
      <c r="C444" s="74" t="s">
        <v>2066</v>
      </c>
      <c r="D444" s="74" t="s">
        <v>1979</v>
      </c>
      <c r="E444" s="74" t="s">
        <v>722</v>
      </c>
      <c r="F444" s="74">
        <v>0.22500000000000001</v>
      </c>
      <c r="G444" s="74">
        <v>1.35E-2</v>
      </c>
      <c r="H444" s="74">
        <v>2.58</v>
      </c>
      <c r="I444" s="13" t="s">
        <v>239</v>
      </c>
      <c r="J444" s="74" t="s">
        <v>2400</v>
      </c>
      <c r="T444" s="292" t="s">
        <v>1756</v>
      </c>
      <c r="U444" s="283" t="s">
        <v>2454</v>
      </c>
      <c r="V444" s="285" t="s">
        <v>2395</v>
      </c>
      <c r="W444" s="293" t="str">
        <f t="shared" si="16"/>
        <v>H17</v>
      </c>
      <c r="X444" s="284" t="str">
        <f t="shared" si="16"/>
        <v>BJF</v>
      </c>
      <c r="Y444" s="271" t="s">
        <v>2398</v>
      </c>
      <c r="Z444" s="283">
        <f t="shared" si="15"/>
        <v>0.22500000000000001</v>
      </c>
      <c r="AA444" s="340">
        <f t="shared" si="15"/>
        <v>1.35E-2</v>
      </c>
    </row>
    <row r="445" spans="1:27">
      <c r="A445" s="74" t="s">
        <v>821</v>
      </c>
      <c r="B445" s="74" t="s">
        <v>2067</v>
      </c>
      <c r="C445" s="74" t="s">
        <v>2066</v>
      </c>
      <c r="D445" s="74" t="s">
        <v>1979</v>
      </c>
      <c r="E445" s="74" t="s">
        <v>2048</v>
      </c>
      <c r="F445" s="74">
        <v>0.22500000000000001</v>
      </c>
      <c r="G445" s="74">
        <v>1.35E-2</v>
      </c>
      <c r="H445" s="74">
        <v>2.58</v>
      </c>
      <c r="I445" s="13" t="s">
        <v>573</v>
      </c>
      <c r="J445" s="74" t="s">
        <v>244</v>
      </c>
      <c r="T445" s="292" t="s">
        <v>1756</v>
      </c>
      <c r="U445" s="283" t="s">
        <v>2454</v>
      </c>
      <c r="V445" s="285" t="s">
        <v>2395</v>
      </c>
      <c r="W445" s="293" t="str">
        <f t="shared" si="16"/>
        <v>H17</v>
      </c>
      <c r="X445" s="284" t="str">
        <f t="shared" si="16"/>
        <v>BDF</v>
      </c>
      <c r="Y445" s="271" t="s">
        <v>2398</v>
      </c>
      <c r="Z445" s="283">
        <f t="shared" si="15"/>
        <v>0.22500000000000001</v>
      </c>
      <c r="AA445" s="340">
        <f t="shared" si="15"/>
        <v>1.35E-2</v>
      </c>
    </row>
    <row r="446" spans="1:27">
      <c r="A446" s="74" t="s">
        <v>822</v>
      </c>
      <c r="B446" s="74" t="s">
        <v>2067</v>
      </c>
      <c r="C446" s="74" t="s">
        <v>2066</v>
      </c>
      <c r="D446" s="74" t="s">
        <v>1979</v>
      </c>
      <c r="E446" s="74" t="s">
        <v>725</v>
      </c>
      <c r="F446" s="74">
        <v>0.22500000000000001</v>
      </c>
      <c r="G446" s="74">
        <v>1.35E-2</v>
      </c>
      <c r="H446" s="74">
        <v>2.58</v>
      </c>
      <c r="I446" s="13" t="s">
        <v>573</v>
      </c>
      <c r="J446" s="74" t="s">
        <v>244</v>
      </c>
      <c r="T446" s="292" t="s">
        <v>1756</v>
      </c>
      <c r="U446" s="283" t="s">
        <v>2454</v>
      </c>
      <c r="V446" s="285" t="s">
        <v>2395</v>
      </c>
      <c r="W446" s="293" t="str">
        <f t="shared" si="16"/>
        <v>H17</v>
      </c>
      <c r="X446" s="284" t="str">
        <f t="shared" si="16"/>
        <v>BKF</v>
      </c>
      <c r="Y446" s="271" t="s">
        <v>2398</v>
      </c>
      <c r="Z446" s="283">
        <f t="shared" si="15"/>
        <v>0.22500000000000001</v>
      </c>
      <c r="AA446" s="340">
        <f t="shared" si="15"/>
        <v>1.35E-2</v>
      </c>
    </row>
    <row r="447" spans="1:27">
      <c r="A447" s="74" t="s">
        <v>823</v>
      </c>
      <c r="B447" s="74" t="s">
        <v>2067</v>
      </c>
      <c r="C447" s="74" t="s">
        <v>2066</v>
      </c>
      <c r="D447" s="74" t="s">
        <v>1979</v>
      </c>
      <c r="E447" s="74" t="s">
        <v>2049</v>
      </c>
      <c r="F447" s="74">
        <v>0.125</v>
      </c>
      <c r="G447" s="74">
        <v>7.4999999999999997E-3</v>
      </c>
      <c r="H447" s="74">
        <v>2.58</v>
      </c>
      <c r="I447" s="13" t="s">
        <v>239</v>
      </c>
      <c r="J447" s="74" t="s">
        <v>2136</v>
      </c>
      <c r="T447" s="292" t="s">
        <v>1756</v>
      </c>
      <c r="U447" s="283" t="s">
        <v>2454</v>
      </c>
      <c r="V447" s="285" t="s">
        <v>2395</v>
      </c>
      <c r="W447" s="293" t="str">
        <f t="shared" si="16"/>
        <v>H17</v>
      </c>
      <c r="X447" s="284" t="str">
        <f t="shared" si="16"/>
        <v>CCF</v>
      </c>
      <c r="Y447" s="271" t="s">
        <v>2261</v>
      </c>
      <c r="Z447" s="283">
        <f t="shared" si="15"/>
        <v>0.125</v>
      </c>
      <c r="AA447" s="340">
        <f t="shared" si="15"/>
        <v>7.4999999999999997E-3</v>
      </c>
    </row>
    <row r="448" spans="1:27">
      <c r="A448" s="74" t="s">
        <v>824</v>
      </c>
      <c r="B448" s="74" t="s">
        <v>2067</v>
      </c>
      <c r="C448" s="74" t="s">
        <v>2066</v>
      </c>
      <c r="D448" s="74" t="s">
        <v>1979</v>
      </c>
      <c r="E448" s="74" t="s">
        <v>728</v>
      </c>
      <c r="F448" s="74">
        <v>0.125</v>
      </c>
      <c r="G448" s="74">
        <v>7.4999999999999997E-3</v>
      </c>
      <c r="H448" s="74">
        <v>2.58</v>
      </c>
      <c r="I448" s="13" t="s">
        <v>239</v>
      </c>
      <c r="J448" s="74" t="s">
        <v>2405</v>
      </c>
      <c r="T448" s="292" t="s">
        <v>1756</v>
      </c>
      <c r="U448" s="283" t="s">
        <v>2454</v>
      </c>
      <c r="V448" s="285" t="s">
        <v>2395</v>
      </c>
      <c r="W448" s="293" t="str">
        <f t="shared" si="16"/>
        <v>H17</v>
      </c>
      <c r="X448" s="284" t="str">
        <f t="shared" si="16"/>
        <v>CJF</v>
      </c>
      <c r="Y448" s="271" t="s">
        <v>2261</v>
      </c>
      <c r="Z448" s="283">
        <f t="shared" si="15"/>
        <v>0.125</v>
      </c>
      <c r="AA448" s="340">
        <f t="shared" si="15"/>
        <v>7.4999999999999997E-3</v>
      </c>
    </row>
    <row r="449" spans="1:27">
      <c r="A449" s="74" t="s">
        <v>825</v>
      </c>
      <c r="B449" s="74" t="s">
        <v>2067</v>
      </c>
      <c r="C449" s="74" t="s">
        <v>2066</v>
      </c>
      <c r="D449" s="74" t="s">
        <v>1979</v>
      </c>
      <c r="E449" s="74" t="s">
        <v>2050</v>
      </c>
      <c r="F449" s="74">
        <v>0.125</v>
      </c>
      <c r="G449" s="74">
        <v>7.4999999999999997E-3</v>
      </c>
      <c r="H449" s="74">
        <v>2.58</v>
      </c>
      <c r="I449" s="13" t="s">
        <v>2340</v>
      </c>
      <c r="J449" s="74" t="s">
        <v>250</v>
      </c>
      <c r="T449" s="292" t="s">
        <v>1756</v>
      </c>
      <c r="U449" s="283" t="s">
        <v>2454</v>
      </c>
      <c r="V449" s="285" t="s">
        <v>2395</v>
      </c>
      <c r="W449" s="293" t="str">
        <f t="shared" si="16"/>
        <v>H17</v>
      </c>
      <c r="X449" s="284" t="str">
        <f t="shared" si="16"/>
        <v>CDF</v>
      </c>
      <c r="Y449" s="271" t="s">
        <v>2261</v>
      </c>
      <c r="Z449" s="283">
        <f t="shared" si="15"/>
        <v>0.125</v>
      </c>
      <c r="AA449" s="340">
        <f t="shared" si="15"/>
        <v>7.4999999999999997E-3</v>
      </c>
    </row>
    <row r="450" spans="1:27">
      <c r="A450" s="74" t="s">
        <v>826</v>
      </c>
      <c r="B450" s="74" t="s">
        <v>2067</v>
      </c>
      <c r="C450" s="74" t="s">
        <v>2066</v>
      </c>
      <c r="D450" s="74" t="s">
        <v>1979</v>
      </c>
      <c r="E450" s="74" t="s">
        <v>731</v>
      </c>
      <c r="F450" s="74">
        <v>0.125</v>
      </c>
      <c r="G450" s="74">
        <v>7.4999999999999997E-3</v>
      </c>
      <c r="H450" s="74">
        <v>2.58</v>
      </c>
      <c r="I450" s="13" t="s">
        <v>2340</v>
      </c>
      <c r="J450" s="74" t="s">
        <v>250</v>
      </c>
      <c r="T450" s="292" t="s">
        <v>1756</v>
      </c>
      <c r="U450" s="283" t="s">
        <v>2454</v>
      </c>
      <c r="V450" s="285" t="s">
        <v>2395</v>
      </c>
      <c r="W450" s="293" t="str">
        <f t="shared" si="16"/>
        <v>H17</v>
      </c>
      <c r="X450" s="284" t="str">
        <f t="shared" si="16"/>
        <v>CKF</v>
      </c>
      <c r="Y450" s="271" t="s">
        <v>2261</v>
      </c>
      <c r="Z450" s="283">
        <f t="shared" si="15"/>
        <v>0.125</v>
      </c>
      <c r="AA450" s="340">
        <f t="shared" si="15"/>
        <v>7.4999999999999997E-3</v>
      </c>
    </row>
    <row r="451" spans="1:27">
      <c r="A451" s="74" t="s">
        <v>827</v>
      </c>
      <c r="B451" s="74" t="s">
        <v>2067</v>
      </c>
      <c r="C451" s="74" t="s">
        <v>2066</v>
      </c>
      <c r="D451" s="74" t="s">
        <v>1979</v>
      </c>
      <c r="E451" s="74" t="s">
        <v>2051</v>
      </c>
      <c r="F451" s="74">
        <v>6.25E-2</v>
      </c>
      <c r="G451" s="74">
        <v>3.7499999999999999E-3</v>
      </c>
      <c r="H451" s="74">
        <v>2.58</v>
      </c>
      <c r="I451" s="13" t="s">
        <v>239</v>
      </c>
      <c r="J451" s="74" t="s">
        <v>2406</v>
      </c>
      <c r="T451" s="292" t="s">
        <v>1756</v>
      </c>
      <c r="U451" s="283" t="s">
        <v>2454</v>
      </c>
      <c r="V451" s="285" t="s">
        <v>2395</v>
      </c>
      <c r="W451" s="293" t="str">
        <f t="shared" si="16"/>
        <v>H17</v>
      </c>
      <c r="X451" s="284" t="str">
        <f t="shared" si="16"/>
        <v>DCF</v>
      </c>
      <c r="Y451" s="271" t="s">
        <v>2262</v>
      </c>
      <c r="Z451" s="283">
        <f t="shared" si="15"/>
        <v>6.25E-2</v>
      </c>
      <c r="AA451" s="340">
        <f t="shared" si="15"/>
        <v>3.7499999999999999E-3</v>
      </c>
    </row>
    <row r="452" spans="1:27">
      <c r="A452" s="74" t="s">
        <v>828</v>
      </c>
      <c r="B452" s="74" t="s">
        <v>2067</v>
      </c>
      <c r="C452" s="74" t="s">
        <v>2066</v>
      </c>
      <c r="D452" s="74" t="s">
        <v>1979</v>
      </c>
      <c r="E452" s="74" t="s">
        <v>734</v>
      </c>
      <c r="F452" s="74">
        <v>6.25E-2</v>
      </c>
      <c r="G452" s="74">
        <v>3.7499999999999999E-3</v>
      </c>
      <c r="H452" s="74">
        <v>2.58</v>
      </c>
      <c r="I452" s="13" t="s">
        <v>239</v>
      </c>
      <c r="J452" s="74" t="s">
        <v>2407</v>
      </c>
      <c r="T452" s="292" t="s">
        <v>1756</v>
      </c>
      <c r="U452" s="283" t="s">
        <v>2454</v>
      </c>
      <c r="V452" s="285" t="s">
        <v>2395</v>
      </c>
      <c r="W452" s="293" t="str">
        <f t="shared" si="16"/>
        <v>H17</v>
      </c>
      <c r="X452" s="284" t="str">
        <f t="shared" si="16"/>
        <v>DJF</v>
      </c>
      <c r="Y452" s="271" t="s">
        <v>2262</v>
      </c>
      <c r="Z452" s="283">
        <f t="shared" si="15"/>
        <v>6.25E-2</v>
      </c>
      <c r="AA452" s="340">
        <f t="shared" si="15"/>
        <v>3.7499999999999999E-3</v>
      </c>
    </row>
    <row r="453" spans="1:27">
      <c r="A453" s="74" t="s">
        <v>829</v>
      </c>
      <c r="B453" s="74" t="s">
        <v>2067</v>
      </c>
      <c r="C453" s="74" t="s">
        <v>2066</v>
      </c>
      <c r="D453" s="74" t="s">
        <v>1979</v>
      </c>
      <c r="E453" s="74" t="s">
        <v>2052</v>
      </c>
      <c r="F453" s="74">
        <v>6.25E-2</v>
      </c>
      <c r="G453" s="74">
        <v>3.7499999999999999E-3</v>
      </c>
      <c r="H453" s="74">
        <v>2.58</v>
      </c>
      <c r="I453" s="13" t="s">
        <v>2340</v>
      </c>
      <c r="J453" s="74" t="s">
        <v>586</v>
      </c>
      <c r="T453" s="292" t="s">
        <v>1756</v>
      </c>
      <c r="U453" s="283" t="s">
        <v>2454</v>
      </c>
      <c r="V453" s="285" t="s">
        <v>2395</v>
      </c>
      <c r="W453" s="293" t="str">
        <f t="shared" si="16"/>
        <v>H17</v>
      </c>
      <c r="X453" s="284" t="str">
        <f t="shared" si="16"/>
        <v>DDF</v>
      </c>
      <c r="Y453" s="271" t="s">
        <v>2262</v>
      </c>
      <c r="Z453" s="283">
        <f t="shared" si="15"/>
        <v>6.25E-2</v>
      </c>
      <c r="AA453" s="340">
        <f t="shared" si="15"/>
        <v>3.7499999999999999E-3</v>
      </c>
    </row>
    <row r="454" spans="1:27">
      <c r="A454" s="74" t="s">
        <v>830</v>
      </c>
      <c r="B454" s="74" t="s">
        <v>2067</v>
      </c>
      <c r="C454" s="74" t="s">
        <v>2066</v>
      </c>
      <c r="D454" s="74" t="s">
        <v>1979</v>
      </c>
      <c r="E454" s="74" t="s">
        <v>737</v>
      </c>
      <c r="F454" s="74">
        <v>6.25E-2</v>
      </c>
      <c r="G454" s="74">
        <v>3.7499999999999999E-3</v>
      </c>
      <c r="H454" s="74">
        <v>2.58</v>
      </c>
      <c r="I454" s="13" t="s">
        <v>2340</v>
      </c>
      <c r="J454" s="74" t="s">
        <v>586</v>
      </c>
      <c r="T454" s="292" t="s">
        <v>1756</v>
      </c>
      <c r="U454" s="283" t="s">
        <v>2454</v>
      </c>
      <c r="V454" s="285" t="s">
        <v>2395</v>
      </c>
      <c r="W454" s="293" t="str">
        <f t="shared" si="16"/>
        <v>H17</v>
      </c>
      <c r="X454" s="284" t="str">
        <f t="shared" si="16"/>
        <v>DKF</v>
      </c>
      <c r="Y454" s="271" t="s">
        <v>2262</v>
      </c>
      <c r="Z454" s="283">
        <f t="shared" si="15"/>
        <v>6.25E-2</v>
      </c>
      <c r="AA454" s="340">
        <f t="shared" si="15"/>
        <v>3.7499999999999999E-3</v>
      </c>
    </row>
    <row r="455" spans="1:27">
      <c r="A455" s="74" t="s">
        <v>831</v>
      </c>
      <c r="B455" s="74" t="s">
        <v>2067</v>
      </c>
      <c r="C455" s="74" t="s">
        <v>2066</v>
      </c>
      <c r="D455" s="74" t="s">
        <v>1979</v>
      </c>
      <c r="E455" s="74" t="s">
        <v>739</v>
      </c>
      <c r="F455" s="74">
        <v>0.22500000000000001</v>
      </c>
      <c r="G455" s="74">
        <v>1.4999999999999999E-2</v>
      </c>
      <c r="H455" s="74">
        <v>2.58</v>
      </c>
      <c r="I455" s="13" t="s">
        <v>239</v>
      </c>
      <c r="J455" s="74" t="s">
        <v>2402</v>
      </c>
      <c r="T455" s="292" t="s">
        <v>1756</v>
      </c>
      <c r="U455" s="283" t="s">
        <v>2454</v>
      </c>
      <c r="V455" s="285" t="s">
        <v>2395</v>
      </c>
      <c r="W455" s="293" t="str">
        <f t="shared" si="16"/>
        <v>H17</v>
      </c>
      <c r="X455" s="284" t="str">
        <f t="shared" si="16"/>
        <v>NCF</v>
      </c>
      <c r="Y455" s="271" t="s">
        <v>2398</v>
      </c>
      <c r="Z455" s="283">
        <f t="shared" si="15"/>
        <v>0.22500000000000001</v>
      </c>
      <c r="AA455" s="340">
        <f t="shared" si="15"/>
        <v>1.4999999999999999E-2</v>
      </c>
    </row>
    <row r="456" spans="1:27">
      <c r="A456" s="74" t="s">
        <v>832</v>
      </c>
      <c r="B456" s="74" t="s">
        <v>2067</v>
      </c>
      <c r="C456" s="74" t="s">
        <v>2066</v>
      </c>
      <c r="D456" s="74" t="s">
        <v>1979</v>
      </c>
      <c r="E456" s="74" t="s">
        <v>741</v>
      </c>
      <c r="F456" s="74">
        <v>0.22500000000000001</v>
      </c>
      <c r="G456" s="74">
        <v>1.4999999999999999E-2</v>
      </c>
      <c r="H456" s="74">
        <v>2.58</v>
      </c>
      <c r="I456" s="13" t="s">
        <v>239</v>
      </c>
      <c r="J456" s="74" t="s">
        <v>2402</v>
      </c>
      <c r="T456" s="292" t="s">
        <v>1756</v>
      </c>
      <c r="U456" s="283" t="s">
        <v>2454</v>
      </c>
      <c r="V456" s="285" t="s">
        <v>2395</v>
      </c>
      <c r="W456" s="293" t="str">
        <f t="shared" si="16"/>
        <v>H17</v>
      </c>
      <c r="X456" s="284" t="str">
        <f t="shared" si="16"/>
        <v>NJF</v>
      </c>
      <c r="Y456" s="271" t="s">
        <v>2398</v>
      </c>
      <c r="Z456" s="283">
        <f t="shared" si="15"/>
        <v>0.22500000000000001</v>
      </c>
      <c r="AA456" s="340">
        <f t="shared" si="15"/>
        <v>1.4999999999999999E-2</v>
      </c>
    </row>
    <row r="457" spans="1:27">
      <c r="A457" s="74" t="s">
        <v>833</v>
      </c>
      <c r="B457" s="74" t="s">
        <v>2067</v>
      </c>
      <c r="C457" s="74" t="s">
        <v>2066</v>
      </c>
      <c r="D457" s="74" t="s">
        <v>1979</v>
      </c>
      <c r="E457" s="74" t="s">
        <v>743</v>
      </c>
      <c r="F457" s="74">
        <v>0.22500000000000001</v>
      </c>
      <c r="G457" s="74">
        <v>1.4999999999999999E-2</v>
      </c>
      <c r="H457" s="74">
        <v>2.58</v>
      </c>
      <c r="I457" s="13" t="s">
        <v>573</v>
      </c>
      <c r="J457" s="74" t="s">
        <v>2398</v>
      </c>
      <c r="T457" s="292" t="s">
        <v>1756</v>
      </c>
      <c r="U457" s="283" t="s">
        <v>2454</v>
      </c>
      <c r="V457" s="285" t="s">
        <v>2395</v>
      </c>
      <c r="W457" s="293" t="str">
        <f t="shared" si="16"/>
        <v>H17</v>
      </c>
      <c r="X457" s="284" t="str">
        <f t="shared" si="16"/>
        <v>NDF</v>
      </c>
      <c r="Y457" s="271" t="s">
        <v>2398</v>
      </c>
      <c r="Z457" s="283">
        <f t="shared" si="15"/>
        <v>0.22500000000000001</v>
      </c>
      <c r="AA457" s="340">
        <f t="shared" si="15"/>
        <v>1.4999999999999999E-2</v>
      </c>
    </row>
    <row r="458" spans="1:27">
      <c r="A458" s="74" t="s">
        <v>834</v>
      </c>
      <c r="B458" s="74" t="s">
        <v>2067</v>
      </c>
      <c r="C458" s="74" t="s">
        <v>2066</v>
      </c>
      <c r="D458" s="74" t="s">
        <v>1979</v>
      </c>
      <c r="E458" s="74" t="s">
        <v>745</v>
      </c>
      <c r="F458" s="74">
        <v>0.22500000000000001</v>
      </c>
      <c r="G458" s="74">
        <v>1.4999999999999999E-2</v>
      </c>
      <c r="H458" s="74">
        <v>2.58</v>
      </c>
      <c r="I458" s="13" t="s">
        <v>573</v>
      </c>
      <c r="J458" s="74" t="s">
        <v>2398</v>
      </c>
      <c r="T458" s="292" t="s">
        <v>1756</v>
      </c>
      <c r="U458" s="283" t="s">
        <v>2454</v>
      </c>
      <c r="V458" s="285" t="s">
        <v>2395</v>
      </c>
      <c r="W458" s="293" t="str">
        <f t="shared" si="16"/>
        <v>H17</v>
      </c>
      <c r="X458" s="284" t="str">
        <f t="shared" si="16"/>
        <v>NKF</v>
      </c>
      <c r="Y458" s="271" t="s">
        <v>2398</v>
      </c>
      <c r="Z458" s="283">
        <f t="shared" si="15"/>
        <v>0.22500000000000001</v>
      </c>
      <c r="AA458" s="340">
        <f t="shared" si="15"/>
        <v>1.4999999999999999E-2</v>
      </c>
    </row>
    <row r="459" spans="1:27">
      <c r="A459" s="74" t="s">
        <v>835</v>
      </c>
      <c r="B459" s="74" t="s">
        <v>2067</v>
      </c>
      <c r="C459" s="74" t="s">
        <v>2066</v>
      </c>
      <c r="D459" s="74" t="s">
        <v>1979</v>
      </c>
      <c r="E459" s="74" t="s">
        <v>747</v>
      </c>
      <c r="F459" s="74">
        <v>0.25</v>
      </c>
      <c r="G459" s="74">
        <v>1.35E-2</v>
      </c>
      <c r="H459" s="74">
        <v>2.58</v>
      </c>
      <c r="I459" s="13" t="s">
        <v>239</v>
      </c>
      <c r="J459" s="74" t="s">
        <v>2403</v>
      </c>
      <c r="T459" s="292" t="s">
        <v>1756</v>
      </c>
      <c r="U459" s="283" t="s">
        <v>2454</v>
      </c>
      <c r="V459" s="285" t="s">
        <v>2395</v>
      </c>
      <c r="W459" s="293" t="str">
        <f t="shared" si="16"/>
        <v>H17</v>
      </c>
      <c r="X459" s="284" t="str">
        <f t="shared" si="16"/>
        <v>PCF</v>
      </c>
      <c r="Y459" s="271" t="s">
        <v>2401</v>
      </c>
      <c r="Z459" s="283">
        <f t="shared" si="15"/>
        <v>0.25</v>
      </c>
      <c r="AA459" s="340">
        <f t="shared" si="15"/>
        <v>1.35E-2</v>
      </c>
    </row>
    <row r="460" spans="1:27">
      <c r="A460" s="74" t="s">
        <v>836</v>
      </c>
      <c r="B460" s="74" t="s">
        <v>2067</v>
      </c>
      <c r="C460" s="74" t="s">
        <v>2066</v>
      </c>
      <c r="D460" s="74" t="s">
        <v>1979</v>
      </c>
      <c r="E460" s="74" t="s">
        <v>749</v>
      </c>
      <c r="F460" s="74">
        <v>0.25</v>
      </c>
      <c r="G460" s="74">
        <v>1.35E-2</v>
      </c>
      <c r="H460" s="74">
        <v>2.58</v>
      </c>
      <c r="I460" s="13" t="s">
        <v>239</v>
      </c>
      <c r="J460" s="74" t="s">
        <v>2403</v>
      </c>
      <c r="T460" s="292" t="s">
        <v>1756</v>
      </c>
      <c r="U460" s="283" t="s">
        <v>2454</v>
      </c>
      <c r="V460" s="285" t="s">
        <v>2395</v>
      </c>
      <c r="W460" s="293" t="str">
        <f t="shared" si="16"/>
        <v>H17</v>
      </c>
      <c r="X460" s="284" t="str">
        <f t="shared" si="16"/>
        <v>PJF</v>
      </c>
      <c r="Y460" s="271" t="s">
        <v>2401</v>
      </c>
      <c r="Z460" s="283">
        <f t="shared" si="15"/>
        <v>0.25</v>
      </c>
      <c r="AA460" s="340">
        <f t="shared" si="15"/>
        <v>1.35E-2</v>
      </c>
    </row>
    <row r="461" spans="1:27">
      <c r="A461" s="74" t="s">
        <v>837</v>
      </c>
      <c r="B461" s="74" t="s">
        <v>2067</v>
      </c>
      <c r="C461" s="74" t="s">
        <v>2066</v>
      </c>
      <c r="D461" s="74" t="s">
        <v>1979</v>
      </c>
      <c r="E461" s="74" t="s">
        <v>751</v>
      </c>
      <c r="F461" s="74">
        <v>0.25</v>
      </c>
      <c r="G461" s="74">
        <v>1.35E-2</v>
      </c>
      <c r="H461" s="74">
        <v>2.58</v>
      </c>
      <c r="I461" s="13" t="s">
        <v>573</v>
      </c>
      <c r="J461" s="74" t="s">
        <v>2401</v>
      </c>
      <c r="T461" s="292" t="s">
        <v>1756</v>
      </c>
      <c r="U461" s="283" t="s">
        <v>2454</v>
      </c>
      <c r="V461" s="285" t="s">
        <v>2395</v>
      </c>
      <c r="W461" s="293" t="str">
        <f t="shared" si="16"/>
        <v>H17</v>
      </c>
      <c r="X461" s="284" t="str">
        <f t="shared" si="16"/>
        <v>PDF</v>
      </c>
      <c r="Y461" s="271" t="s">
        <v>2401</v>
      </c>
      <c r="Z461" s="283">
        <f t="shared" si="15"/>
        <v>0.25</v>
      </c>
      <c r="AA461" s="340">
        <f t="shared" si="15"/>
        <v>1.35E-2</v>
      </c>
    </row>
    <row r="462" spans="1:27">
      <c r="A462" s="74" t="s">
        <v>838</v>
      </c>
      <c r="B462" s="74" t="s">
        <v>2067</v>
      </c>
      <c r="C462" s="74" t="s">
        <v>2066</v>
      </c>
      <c r="D462" s="74" t="s">
        <v>1979</v>
      </c>
      <c r="E462" s="74" t="s">
        <v>753</v>
      </c>
      <c r="F462" s="74">
        <v>0.25</v>
      </c>
      <c r="G462" s="74">
        <v>1.35E-2</v>
      </c>
      <c r="H462" s="74">
        <v>2.58</v>
      </c>
      <c r="I462" s="13" t="s">
        <v>573</v>
      </c>
      <c r="J462" s="74" t="s">
        <v>2401</v>
      </c>
      <c r="T462" s="292" t="s">
        <v>1756</v>
      </c>
      <c r="U462" s="283" t="s">
        <v>2454</v>
      </c>
      <c r="V462" s="285" t="s">
        <v>2395</v>
      </c>
      <c r="W462" s="293" t="str">
        <f t="shared" si="16"/>
        <v>H17</v>
      </c>
      <c r="X462" s="284" t="str">
        <f t="shared" si="16"/>
        <v>PKF</v>
      </c>
      <c r="Y462" s="271" t="s">
        <v>2401</v>
      </c>
      <c r="Z462" s="283">
        <f t="shared" si="15"/>
        <v>0.25</v>
      </c>
      <c r="AA462" s="340">
        <f t="shared" si="15"/>
        <v>1.35E-2</v>
      </c>
    </row>
    <row r="463" spans="1:27">
      <c r="A463" s="74" t="s">
        <v>839</v>
      </c>
      <c r="B463" s="74" t="s">
        <v>2067</v>
      </c>
      <c r="C463" s="74" t="s">
        <v>2066</v>
      </c>
      <c r="D463" s="74" t="s">
        <v>2382</v>
      </c>
      <c r="E463" s="74" t="s">
        <v>840</v>
      </c>
      <c r="F463" s="74">
        <v>0.15</v>
      </c>
      <c r="G463" s="74">
        <v>7.0000000000000001E-3</v>
      </c>
      <c r="H463" s="74">
        <v>2.58</v>
      </c>
      <c r="I463" s="13" t="s">
        <v>607</v>
      </c>
      <c r="T463" s="292" t="s">
        <v>1756</v>
      </c>
      <c r="U463" s="283" t="s">
        <v>2454</v>
      </c>
      <c r="V463" s="285" t="s">
        <v>2395</v>
      </c>
      <c r="W463" s="293" t="str">
        <f t="shared" si="16"/>
        <v>H21</v>
      </c>
      <c r="X463" s="284" t="str">
        <f t="shared" si="16"/>
        <v>LDF</v>
      </c>
      <c r="Y463" s="271"/>
      <c r="Z463" s="283">
        <f t="shared" si="15"/>
        <v>0.15</v>
      </c>
      <c r="AA463" s="340">
        <f t="shared" si="15"/>
        <v>7.0000000000000001E-3</v>
      </c>
    </row>
    <row r="464" spans="1:27" ht="13.75" customHeight="1">
      <c r="A464" s="74" t="s">
        <v>841</v>
      </c>
      <c r="B464" s="74" t="s">
        <v>2067</v>
      </c>
      <c r="C464" s="74" t="s">
        <v>2066</v>
      </c>
      <c r="D464" s="74" t="s">
        <v>2382</v>
      </c>
      <c r="E464" s="74" t="s">
        <v>842</v>
      </c>
      <c r="F464" s="74">
        <v>0.15</v>
      </c>
      <c r="G464" s="74">
        <v>7.0000000000000001E-3</v>
      </c>
      <c r="H464" s="74">
        <v>2.58</v>
      </c>
      <c r="I464" s="13" t="s">
        <v>607</v>
      </c>
      <c r="T464" s="292" t="s">
        <v>1756</v>
      </c>
      <c r="U464" s="283" t="s">
        <v>2454</v>
      </c>
      <c r="V464" s="285" t="s">
        <v>2395</v>
      </c>
      <c r="W464" s="293" t="str">
        <f t="shared" si="16"/>
        <v>H21</v>
      </c>
      <c r="X464" s="284" t="str">
        <f t="shared" si="16"/>
        <v>LKF</v>
      </c>
      <c r="Y464" s="271"/>
      <c r="Z464" s="283">
        <f t="shared" si="15"/>
        <v>0.15</v>
      </c>
      <c r="AA464" s="340">
        <f t="shared" si="15"/>
        <v>7.0000000000000001E-3</v>
      </c>
    </row>
    <row r="465" spans="1:27">
      <c r="A465" s="74" t="s">
        <v>843</v>
      </c>
      <c r="B465" s="74" t="s">
        <v>2067</v>
      </c>
      <c r="C465" s="74" t="s">
        <v>2066</v>
      </c>
      <c r="D465" s="74" t="s">
        <v>2382</v>
      </c>
      <c r="E465" s="74" t="s">
        <v>844</v>
      </c>
      <c r="F465" s="74">
        <v>0.15</v>
      </c>
      <c r="G465" s="74">
        <v>7.0000000000000001E-3</v>
      </c>
      <c r="H465" s="74">
        <v>2.58</v>
      </c>
      <c r="I465" s="13" t="s">
        <v>607</v>
      </c>
      <c r="T465" s="292" t="s">
        <v>1760</v>
      </c>
      <c r="U465" s="283" t="s">
        <v>1768</v>
      </c>
      <c r="V465" s="285" t="s">
        <v>2395</v>
      </c>
      <c r="W465" s="293" t="s">
        <v>2382</v>
      </c>
      <c r="X465" s="284" t="s">
        <v>844</v>
      </c>
      <c r="Y465" s="271"/>
      <c r="Z465" s="283">
        <v>0.15</v>
      </c>
      <c r="AA465" s="340">
        <v>7.0000000000000001E-3</v>
      </c>
    </row>
    <row r="466" spans="1:27" ht="13.75" customHeight="1">
      <c r="A466" s="74" t="s">
        <v>845</v>
      </c>
      <c r="B466" s="74" t="s">
        <v>2067</v>
      </c>
      <c r="C466" s="74" t="s">
        <v>2066</v>
      </c>
      <c r="D466" s="74" t="s">
        <v>2382</v>
      </c>
      <c r="E466" s="74" t="s">
        <v>846</v>
      </c>
      <c r="F466" s="74">
        <v>0.15</v>
      </c>
      <c r="G466" s="74">
        <v>7.0000000000000001E-3</v>
      </c>
      <c r="H466" s="74">
        <v>2.58</v>
      </c>
      <c r="I466" s="13" t="s">
        <v>607</v>
      </c>
      <c r="T466" s="292" t="s">
        <v>1760</v>
      </c>
      <c r="U466" s="283" t="s">
        <v>1768</v>
      </c>
      <c r="V466" s="285" t="s">
        <v>2395</v>
      </c>
      <c r="W466" s="293" t="s">
        <v>2382</v>
      </c>
      <c r="X466" s="284" t="s">
        <v>846</v>
      </c>
      <c r="Y466" s="271"/>
      <c r="Z466" s="283">
        <v>0.15</v>
      </c>
      <c r="AA466" s="340">
        <v>7.0000000000000001E-3</v>
      </c>
    </row>
    <row r="467" spans="1:27">
      <c r="A467" s="74" t="s">
        <v>847</v>
      </c>
      <c r="B467" s="74" t="s">
        <v>2067</v>
      </c>
      <c r="C467" s="74" t="s">
        <v>2066</v>
      </c>
      <c r="D467" s="74" t="s">
        <v>2382</v>
      </c>
      <c r="E467" s="74" t="s">
        <v>848</v>
      </c>
      <c r="F467" s="74">
        <v>7.4999999999999997E-2</v>
      </c>
      <c r="G467" s="74">
        <v>3.5000000000000001E-3</v>
      </c>
      <c r="H467" s="74">
        <v>2.58</v>
      </c>
      <c r="I467" s="13" t="s">
        <v>239</v>
      </c>
      <c r="J467" s="74" t="s">
        <v>240</v>
      </c>
      <c r="T467" s="292" t="s">
        <v>1756</v>
      </c>
      <c r="U467" s="283" t="s">
        <v>2454</v>
      </c>
      <c r="V467" s="285" t="s">
        <v>2395</v>
      </c>
      <c r="W467" s="293" t="str">
        <f t="shared" ref="W467:X566" si="17">D467</f>
        <v>H21</v>
      </c>
      <c r="X467" s="284" t="str">
        <f t="shared" si="17"/>
        <v>LCF</v>
      </c>
      <c r="Y467" s="271"/>
      <c r="Z467" s="283">
        <f t="shared" si="15"/>
        <v>7.4999999999999997E-2</v>
      </c>
      <c r="AA467" s="340">
        <f t="shared" si="15"/>
        <v>3.5000000000000001E-3</v>
      </c>
    </row>
    <row r="468" spans="1:27" ht="13.75" customHeight="1">
      <c r="A468" s="74" t="s">
        <v>849</v>
      </c>
      <c r="B468" s="74" t="s">
        <v>2067</v>
      </c>
      <c r="C468" s="74" t="s">
        <v>2066</v>
      </c>
      <c r="D468" s="74" t="s">
        <v>2382</v>
      </c>
      <c r="E468" s="74" t="s">
        <v>850</v>
      </c>
      <c r="F468" s="74">
        <v>7.4999999999999997E-2</v>
      </c>
      <c r="G468" s="74">
        <v>3.5000000000000001E-3</v>
      </c>
      <c r="H468" s="74">
        <v>2.58</v>
      </c>
      <c r="I468" s="13" t="s">
        <v>239</v>
      </c>
      <c r="J468" s="74" t="s">
        <v>240</v>
      </c>
      <c r="T468" s="292" t="s">
        <v>1756</v>
      </c>
      <c r="U468" s="283" t="s">
        <v>2454</v>
      </c>
      <c r="V468" s="285" t="s">
        <v>2395</v>
      </c>
      <c r="W468" s="293" t="str">
        <f t="shared" si="17"/>
        <v>H21</v>
      </c>
      <c r="X468" s="284" t="str">
        <f t="shared" si="17"/>
        <v>LJF</v>
      </c>
      <c r="Y468" s="271"/>
      <c r="Z468" s="283">
        <f t="shared" si="15"/>
        <v>7.4999999999999997E-2</v>
      </c>
      <c r="AA468" s="340">
        <f t="shared" si="15"/>
        <v>3.5000000000000001E-3</v>
      </c>
    </row>
    <row r="469" spans="1:27">
      <c r="A469" s="74" t="s">
        <v>851</v>
      </c>
      <c r="B469" s="74" t="s">
        <v>2067</v>
      </c>
      <c r="C469" s="74" t="s">
        <v>2066</v>
      </c>
      <c r="D469" s="74" t="s">
        <v>2382</v>
      </c>
      <c r="E469" s="74" t="s">
        <v>852</v>
      </c>
      <c r="F469" s="74">
        <v>7.4999999999999997E-2</v>
      </c>
      <c r="G469" s="74">
        <v>3.5000000000000001E-3</v>
      </c>
      <c r="H469" s="74">
        <v>2.58</v>
      </c>
      <c r="I469" s="13" t="s">
        <v>239</v>
      </c>
      <c r="J469" s="74" t="s">
        <v>240</v>
      </c>
      <c r="T469" s="292" t="s">
        <v>1760</v>
      </c>
      <c r="U469" s="283" t="s">
        <v>1768</v>
      </c>
      <c r="V469" s="285" t="s">
        <v>2395</v>
      </c>
      <c r="W469" s="293" t="s">
        <v>2382</v>
      </c>
      <c r="X469" s="284" t="s">
        <v>852</v>
      </c>
      <c r="Y469" s="271"/>
      <c r="Z469" s="283">
        <v>7.4999999999999997E-2</v>
      </c>
      <c r="AA469" s="340">
        <v>3.5000000000000001E-3</v>
      </c>
    </row>
    <row r="470" spans="1:27" ht="13.75" customHeight="1">
      <c r="A470" s="74" t="s">
        <v>853</v>
      </c>
      <c r="B470" s="74" t="s">
        <v>2067</v>
      </c>
      <c r="C470" s="74" t="s">
        <v>2066</v>
      </c>
      <c r="D470" s="74" t="s">
        <v>2382</v>
      </c>
      <c r="E470" s="74" t="s">
        <v>854</v>
      </c>
      <c r="F470" s="74">
        <v>7.4999999999999997E-2</v>
      </c>
      <c r="G470" s="74">
        <v>3.5000000000000001E-3</v>
      </c>
      <c r="H470" s="74">
        <v>2.58</v>
      </c>
      <c r="I470" s="13" t="s">
        <v>239</v>
      </c>
      <c r="J470" s="74" t="s">
        <v>240</v>
      </c>
      <c r="T470" s="292" t="s">
        <v>1760</v>
      </c>
      <c r="U470" s="283" t="s">
        <v>1768</v>
      </c>
      <c r="V470" s="285" t="s">
        <v>2395</v>
      </c>
      <c r="W470" s="293" t="s">
        <v>2382</v>
      </c>
      <c r="X470" s="284" t="s">
        <v>854</v>
      </c>
      <c r="Y470" s="271"/>
      <c r="Z470" s="283">
        <v>7.4999999999999997E-2</v>
      </c>
      <c r="AA470" s="340">
        <v>3.5000000000000001E-3</v>
      </c>
    </row>
    <row r="471" spans="1:27">
      <c r="A471" s="74" t="s">
        <v>855</v>
      </c>
      <c r="B471" s="74" t="s">
        <v>2067</v>
      </c>
      <c r="C471" s="74" t="s">
        <v>2066</v>
      </c>
      <c r="D471" s="74" t="s">
        <v>2382</v>
      </c>
      <c r="E471" s="74" t="s">
        <v>856</v>
      </c>
      <c r="F471" s="74">
        <v>7.4999999999999997E-2</v>
      </c>
      <c r="G471" s="74">
        <v>3.5000000000000001E-3</v>
      </c>
      <c r="H471" s="74">
        <v>2.58</v>
      </c>
      <c r="I471" s="13" t="s">
        <v>607</v>
      </c>
      <c r="J471" s="74" t="s">
        <v>2261</v>
      </c>
      <c r="T471" s="292" t="s">
        <v>1756</v>
      </c>
      <c r="U471" s="283" t="s">
        <v>2454</v>
      </c>
      <c r="V471" s="285" t="s">
        <v>2395</v>
      </c>
      <c r="W471" s="293" t="str">
        <f t="shared" si="17"/>
        <v>H21</v>
      </c>
      <c r="X471" s="284" t="str">
        <f t="shared" si="17"/>
        <v>MDF</v>
      </c>
      <c r="Y471" s="271" t="s">
        <v>2261</v>
      </c>
      <c r="Z471" s="283">
        <f t="shared" si="15"/>
        <v>7.4999999999999997E-2</v>
      </c>
      <c r="AA471" s="340">
        <f t="shared" si="15"/>
        <v>3.5000000000000001E-3</v>
      </c>
    </row>
    <row r="472" spans="1:27" ht="13.75" customHeight="1">
      <c r="A472" s="74" t="s">
        <v>857</v>
      </c>
      <c r="B472" s="74" t="s">
        <v>2067</v>
      </c>
      <c r="C472" s="74" t="s">
        <v>2066</v>
      </c>
      <c r="D472" s="74" t="s">
        <v>2382</v>
      </c>
      <c r="E472" s="74" t="s">
        <v>858</v>
      </c>
      <c r="F472" s="74">
        <v>7.4999999999999997E-2</v>
      </c>
      <c r="G472" s="74">
        <v>3.5000000000000001E-3</v>
      </c>
      <c r="H472" s="74">
        <v>2.58</v>
      </c>
      <c r="I472" s="13" t="s">
        <v>607</v>
      </c>
      <c r="J472" s="74" t="s">
        <v>2261</v>
      </c>
      <c r="T472" s="292" t="s">
        <v>1756</v>
      </c>
      <c r="U472" s="283" t="s">
        <v>2454</v>
      </c>
      <c r="V472" s="285" t="s">
        <v>2395</v>
      </c>
      <c r="W472" s="293" t="str">
        <f t="shared" si="17"/>
        <v>H21</v>
      </c>
      <c r="X472" s="284" t="str">
        <f t="shared" si="17"/>
        <v>MKF</v>
      </c>
      <c r="Y472" s="271" t="s">
        <v>2261</v>
      </c>
      <c r="Z472" s="283">
        <f t="shared" si="15"/>
        <v>7.4999999999999997E-2</v>
      </c>
      <c r="AA472" s="340">
        <f t="shared" si="15"/>
        <v>3.5000000000000001E-3</v>
      </c>
    </row>
    <row r="473" spans="1:27">
      <c r="A473" s="74" t="s">
        <v>859</v>
      </c>
      <c r="B473" s="74" t="s">
        <v>2067</v>
      </c>
      <c r="C473" s="74" t="s">
        <v>2066</v>
      </c>
      <c r="D473" s="74" t="s">
        <v>2382</v>
      </c>
      <c r="E473" s="74" t="s">
        <v>860</v>
      </c>
      <c r="F473" s="74">
        <v>7.4999999999999997E-2</v>
      </c>
      <c r="G473" s="74">
        <v>3.5000000000000001E-3</v>
      </c>
      <c r="H473" s="74">
        <v>2.58</v>
      </c>
      <c r="I473" s="13" t="s">
        <v>607</v>
      </c>
      <c r="J473" s="74" t="s">
        <v>2261</v>
      </c>
      <c r="T473" s="292" t="s">
        <v>1760</v>
      </c>
      <c r="U473" s="283" t="s">
        <v>1768</v>
      </c>
      <c r="V473" s="285" t="s">
        <v>2395</v>
      </c>
      <c r="W473" s="293" t="s">
        <v>2382</v>
      </c>
      <c r="X473" s="284" t="s">
        <v>860</v>
      </c>
      <c r="Y473" s="271" t="s">
        <v>1769</v>
      </c>
      <c r="Z473" s="283">
        <v>7.4999999999999997E-2</v>
      </c>
      <c r="AA473" s="340">
        <v>3.5000000000000001E-3</v>
      </c>
    </row>
    <row r="474" spans="1:27" ht="13.75" customHeight="1">
      <c r="A474" s="74" t="s">
        <v>861</v>
      </c>
      <c r="B474" s="74" t="s">
        <v>2067</v>
      </c>
      <c r="C474" s="74" t="s">
        <v>2066</v>
      </c>
      <c r="D474" s="74" t="s">
        <v>2382</v>
      </c>
      <c r="E474" s="74" t="s">
        <v>862</v>
      </c>
      <c r="F474" s="74">
        <v>7.4999999999999997E-2</v>
      </c>
      <c r="G474" s="74">
        <v>3.5000000000000001E-3</v>
      </c>
      <c r="H474" s="74">
        <v>2.58</v>
      </c>
      <c r="I474" s="13" t="s">
        <v>607</v>
      </c>
      <c r="J474" s="74" t="s">
        <v>2261</v>
      </c>
      <c r="T474" s="292" t="s">
        <v>1760</v>
      </c>
      <c r="U474" s="283" t="s">
        <v>1768</v>
      </c>
      <c r="V474" s="285" t="s">
        <v>2395</v>
      </c>
      <c r="W474" s="293" t="s">
        <v>2382</v>
      </c>
      <c r="X474" s="284" t="s">
        <v>862</v>
      </c>
      <c r="Y474" s="271" t="s">
        <v>1769</v>
      </c>
      <c r="Z474" s="283">
        <v>7.4999999999999997E-2</v>
      </c>
      <c r="AA474" s="340">
        <v>3.5000000000000001E-3</v>
      </c>
    </row>
    <row r="475" spans="1:27">
      <c r="A475" s="74" t="s">
        <v>863</v>
      </c>
      <c r="B475" s="74" t="s">
        <v>2067</v>
      </c>
      <c r="C475" s="74" t="s">
        <v>2066</v>
      </c>
      <c r="D475" s="74" t="s">
        <v>2382</v>
      </c>
      <c r="E475" s="74" t="s">
        <v>864</v>
      </c>
      <c r="F475" s="74">
        <v>7.4999999999999997E-2</v>
      </c>
      <c r="G475" s="74">
        <v>3.5000000000000001E-3</v>
      </c>
      <c r="H475" s="74">
        <v>2.58</v>
      </c>
      <c r="I475" s="13" t="s">
        <v>239</v>
      </c>
      <c r="J475" s="74" t="s">
        <v>2385</v>
      </c>
      <c r="T475" s="292" t="s">
        <v>1756</v>
      </c>
      <c r="U475" s="283" t="s">
        <v>2454</v>
      </c>
      <c r="V475" s="285" t="s">
        <v>2395</v>
      </c>
      <c r="W475" s="293" t="str">
        <f t="shared" si="17"/>
        <v>H21</v>
      </c>
      <c r="X475" s="284" t="str">
        <f t="shared" si="17"/>
        <v>MCF</v>
      </c>
      <c r="Y475" s="271" t="s">
        <v>2261</v>
      </c>
      <c r="Z475" s="283">
        <f t="shared" si="15"/>
        <v>7.4999999999999997E-2</v>
      </c>
      <c r="AA475" s="340">
        <f t="shared" si="15"/>
        <v>3.5000000000000001E-3</v>
      </c>
    </row>
    <row r="476" spans="1:27">
      <c r="A476" s="74" t="s">
        <v>865</v>
      </c>
      <c r="B476" s="74" t="s">
        <v>2067</v>
      </c>
      <c r="C476" s="74" t="s">
        <v>2066</v>
      </c>
      <c r="D476" s="74" t="s">
        <v>2382</v>
      </c>
      <c r="E476" s="74" t="s">
        <v>866</v>
      </c>
      <c r="F476" s="74">
        <v>7.4999999999999997E-2</v>
      </c>
      <c r="G476" s="74">
        <v>3.5000000000000001E-3</v>
      </c>
      <c r="H476" s="74">
        <v>2.58</v>
      </c>
      <c r="I476" s="13" t="s">
        <v>239</v>
      </c>
      <c r="J476" s="74" t="s">
        <v>2385</v>
      </c>
      <c r="T476" s="292" t="s">
        <v>1756</v>
      </c>
      <c r="U476" s="283" t="s">
        <v>2454</v>
      </c>
      <c r="V476" s="285" t="s">
        <v>2395</v>
      </c>
      <c r="W476" s="293" t="str">
        <f t="shared" si="17"/>
        <v>H21</v>
      </c>
      <c r="X476" s="284" t="str">
        <f t="shared" si="17"/>
        <v>MJF</v>
      </c>
      <c r="Y476" s="271" t="s">
        <v>2261</v>
      </c>
      <c r="Z476" s="283">
        <f t="shared" si="15"/>
        <v>7.4999999999999997E-2</v>
      </c>
      <c r="AA476" s="340">
        <f t="shared" si="15"/>
        <v>3.5000000000000001E-3</v>
      </c>
    </row>
    <row r="477" spans="1:27">
      <c r="A477" s="74" t="s">
        <v>867</v>
      </c>
      <c r="B477" s="74" t="s">
        <v>2067</v>
      </c>
      <c r="C477" s="74" t="s">
        <v>2066</v>
      </c>
      <c r="D477" s="74" t="s">
        <v>2382</v>
      </c>
      <c r="E477" s="74" t="s">
        <v>868</v>
      </c>
      <c r="F477" s="74">
        <v>7.4999999999999997E-2</v>
      </c>
      <c r="G477" s="74">
        <v>3.5000000000000001E-3</v>
      </c>
      <c r="H477" s="74">
        <v>2.58</v>
      </c>
      <c r="I477" s="13" t="s">
        <v>239</v>
      </c>
      <c r="J477" s="74" t="s">
        <v>2385</v>
      </c>
      <c r="T477" s="292" t="s">
        <v>1760</v>
      </c>
      <c r="U477" s="283" t="s">
        <v>1768</v>
      </c>
      <c r="V477" s="285" t="s">
        <v>2395</v>
      </c>
      <c r="W477" s="293" t="s">
        <v>2382</v>
      </c>
      <c r="X477" s="284" t="s">
        <v>868</v>
      </c>
      <c r="Y477" s="271" t="s">
        <v>1769</v>
      </c>
      <c r="Z477" s="283">
        <v>7.4999999999999997E-2</v>
      </c>
      <c r="AA477" s="340">
        <v>3.5000000000000001E-3</v>
      </c>
    </row>
    <row r="478" spans="1:27">
      <c r="A478" s="74" t="s">
        <v>869</v>
      </c>
      <c r="B478" s="74" t="s">
        <v>2067</v>
      </c>
      <c r="C478" s="74" t="s">
        <v>2066</v>
      </c>
      <c r="D478" s="74" t="s">
        <v>2382</v>
      </c>
      <c r="E478" s="74" t="s">
        <v>870</v>
      </c>
      <c r="F478" s="74">
        <v>7.4999999999999997E-2</v>
      </c>
      <c r="G478" s="74">
        <v>3.5000000000000001E-3</v>
      </c>
      <c r="H478" s="74">
        <v>2.58</v>
      </c>
      <c r="I478" s="13" t="s">
        <v>239</v>
      </c>
      <c r="J478" s="74" t="s">
        <v>2385</v>
      </c>
      <c r="T478" s="292" t="s">
        <v>1760</v>
      </c>
      <c r="U478" s="283" t="s">
        <v>1768</v>
      </c>
      <c r="V478" s="285" t="s">
        <v>2395</v>
      </c>
      <c r="W478" s="293" t="s">
        <v>2382</v>
      </c>
      <c r="X478" s="284" t="s">
        <v>870</v>
      </c>
      <c r="Y478" s="271" t="s">
        <v>1769</v>
      </c>
      <c r="Z478" s="283">
        <v>7.4999999999999997E-2</v>
      </c>
      <c r="AA478" s="340">
        <v>3.5000000000000001E-3</v>
      </c>
    </row>
    <row r="479" spans="1:27">
      <c r="A479" s="74" t="s">
        <v>871</v>
      </c>
      <c r="B479" s="74" t="s">
        <v>2067</v>
      </c>
      <c r="C479" s="74" t="s">
        <v>2066</v>
      </c>
      <c r="D479" s="74" t="s">
        <v>2382</v>
      </c>
      <c r="E479" s="74" t="s">
        <v>872</v>
      </c>
      <c r="F479" s="74">
        <v>3.7499999999999999E-2</v>
      </c>
      <c r="G479" s="74">
        <v>1.75E-3</v>
      </c>
      <c r="H479" s="74">
        <v>2.58</v>
      </c>
      <c r="I479" s="13" t="s">
        <v>607</v>
      </c>
      <c r="J479" s="74" t="s">
        <v>2262</v>
      </c>
      <c r="T479" s="292" t="s">
        <v>1756</v>
      </c>
      <c r="U479" s="283" t="s">
        <v>2454</v>
      </c>
      <c r="V479" s="285" t="s">
        <v>2395</v>
      </c>
      <c r="W479" s="293" t="str">
        <f t="shared" si="17"/>
        <v>H21</v>
      </c>
      <c r="X479" s="284" t="str">
        <f t="shared" si="17"/>
        <v>RDF</v>
      </c>
      <c r="Y479" s="271" t="s">
        <v>2262</v>
      </c>
      <c r="Z479" s="283">
        <f t="shared" si="15"/>
        <v>3.7499999999999999E-2</v>
      </c>
      <c r="AA479" s="340">
        <f t="shared" si="15"/>
        <v>1.75E-3</v>
      </c>
    </row>
    <row r="480" spans="1:27">
      <c r="A480" s="74" t="s">
        <v>873</v>
      </c>
      <c r="B480" s="74" t="s">
        <v>2067</v>
      </c>
      <c r="C480" s="74" t="s">
        <v>2066</v>
      </c>
      <c r="D480" s="74" t="s">
        <v>2382</v>
      </c>
      <c r="E480" s="74" t="s">
        <v>874</v>
      </c>
      <c r="F480" s="74">
        <v>3.7499999999999999E-2</v>
      </c>
      <c r="G480" s="74">
        <v>1.75E-3</v>
      </c>
      <c r="H480" s="74">
        <v>2.58</v>
      </c>
      <c r="I480" s="13" t="s">
        <v>607</v>
      </c>
      <c r="J480" s="74" t="s">
        <v>2262</v>
      </c>
      <c r="T480" s="292" t="s">
        <v>1756</v>
      </c>
      <c r="U480" s="283" t="s">
        <v>2454</v>
      </c>
      <c r="V480" s="285" t="s">
        <v>2395</v>
      </c>
      <c r="W480" s="293" t="str">
        <f t="shared" si="17"/>
        <v>H21</v>
      </c>
      <c r="X480" s="284" t="str">
        <f t="shared" si="17"/>
        <v>RKF</v>
      </c>
      <c r="Y480" s="271" t="s">
        <v>2262</v>
      </c>
      <c r="Z480" s="283">
        <f t="shared" si="15"/>
        <v>3.7499999999999999E-2</v>
      </c>
      <c r="AA480" s="340">
        <f t="shared" si="15"/>
        <v>1.75E-3</v>
      </c>
    </row>
    <row r="481" spans="1:27">
      <c r="A481" s="74" t="s">
        <v>875</v>
      </c>
      <c r="B481" s="74" t="s">
        <v>2067</v>
      </c>
      <c r="C481" s="74" t="s">
        <v>2066</v>
      </c>
      <c r="D481" s="74" t="s">
        <v>2382</v>
      </c>
      <c r="E481" s="74" t="s">
        <v>876</v>
      </c>
      <c r="F481" s="74">
        <v>3.7499999999999999E-2</v>
      </c>
      <c r="G481" s="74">
        <v>1.75E-3</v>
      </c>
      <c r="H481" s="74">
        <v>2.58</v>
      </c>
      <c r="I481" s="13" t="s">
        <v>607</v>
      </c>
      <c r="J481" s="74" t="s">
        <v>2262</v>
      </c>
      <c r="T481" s="292" t="s">
        <v>1760</v>
      </c>
      <c r="U481" s="283" t="s">
        <v>1768</v>
      </c>
      <c r="V481" s="285" t="s">
        <v>2395</v>
      </c>
      <c r="W481" s="293" t="s">
        <v>2382</v>
      </c>
      <c r="X481" s="284" t="s">
        <v>876</v>
      </c>
      <c r="Y481" s="271" t="s">
        <v>1770</v>
      </c>
      <c r="Z481" s="283">
        <v>3.7499999999999999E-2</v>
      </c>
      <c r="AA481" s="340">
        <v>1.75E-3</v>
      </c>
    </row>
    <row r="482" spans="1:27">
      <c r="A482" s="74" t="s">
        <v>877</v>
      </c>
      <c r="B482" s="74" t="s">
        <v>2067</v>
      </c>
      <c r="C482" s="74" t="s">
        <v>2066</v>
      </c>
      <c r="D482" s="74" t="s">
        <v>2382</v>
      </c>
      <c r="E482" s="74" t="s">
        <v>878</v>
      </c>
      <c r="F482" s="74">
        <v>3.7499999999999999E-2</v>
      </c>
      <c r="G482" s="74">
        <v>1.75E-3</v>
      </c>
      <c r="H482" s="74">
        <v>2.58</v>
      </c>
      <c r="I482" s="13" t="s">
        <v>607</v>
      </c>
      <c r="J482" s="74" t="s">
        <v>2262</v>
      </c>
      <c r="T482" s="292" t="s">
        <v>1760</v>
      </c>
      <c r="U482" s="283" t="s">
        <v>1768</v>
      </c>
      <c r="V482" s="285" t="s">
        <v>2395</v>
      </c>
      <c r="W482" s="293" t="s">
        <v>2382</v>
      </c>
      <c r="X482" s="284" t="s">
        <v>878</v>
      </c>
      <c r="Y482" s="271" t="s">
        <v>1770</v>
      </c>
      <c r="Z482" s="283">
        <v>3.7499999999999999E-2</v>
      </c>
      <c r="AA482" s="340">
        <v>1.75E-3</v>
      </c>
    </row>
    <row r="483" spans="1:27">
      <c r="A483" s="74" t="s">
        <v>879</v>
      </c>
      <c r="B483" s="74" t="s">
        <v>2067</v>
      </c>
      <c r="C483" s="74" t="s">
        <v>2066</v>
      </c>
      <c r="D483" s="74" t="s">
        <v>2382</v>
      </c>
      <c r="E483" s="74" t="s">
        <v>880</v>
      </c>
      <c r="F483" s="74">
        <v>3.7499999999999999E-2</v>
      </c>
      <c r="G483" s="74">
        <v>1.75E-3</v>
      </c>
      <c r="H483" s="74">
        <v>2.58</v>
      </c>
      <c r="I483" s="13" t="s">
        <v>239</v>
      </c>
      <c r="J483" s="74" t="s">
        <v>2389</v>
      </c>
      <c r="T483" s="292" t="s">
        <v>1756</v>
      </c>
      <c r="U483" s="283" t="s">
        <v>2454</v>
      </c>
      <c r="V483" s="285" t="s">
        <v>2395</v>
      </c>
      <c r="W483" s="293" t="str">
        <f t="shared" si="17"/>
        <v>H21</v>
      </c>
      <c r="X483" s="284" t="str">
        <f t="shared" si="17"/>
        <v>RCF</v>
      </c>
      <c r="Y483" s="271" t="s">
        <v>2262</v>
      </c>
      <c r="Z483" s="283">
        <f t="shared" si="15"/>
        <v>3.7499999999999999E-2</v>
      </c>
      <c r="AA483" s="340">
        <f t="shared" si="15"/>
        <v>1.75E-3</v>
      </c>
    </row>
    <row r="484" spans="1:27">
      <c r="A484" s="74" t="s">
        <v>881</v>
      </c>
      <c r="B484" s="74" t="s">
        <v>2067</v>
      </c>
      <c r="C484" s="74" t="s">
        <v>2066</v>
      </c>
      <c r="D484" s="74" t="s">
        <v>2382</v>
      </c>
      <c r="E484" s="74" t="s">
        <v>882</v>
      </c>
      <c r="F484" s="74">
        <v>3.7499999999999999E-2</v>
      </c>
      <c r="G484" s="74">
        <v>1.75E-3</v>
      </c>
      <c r="H484" s="74">
        <v>2.58</v>
      </c>
      <c r="I484" s="13" t="s">
        <v>239</v>
      </c>
      <c r="J484" s="74" t="s">
        <v>2386</v>
      </c>
      <c r="T484" s="292" t="s">
        <v>1756</v>
      </c>
      <c r="U484" s="283" t="s">
        <v>2454</v>
      </c>
      <c r="V484" s="285" t="s">
        <v>2395</v>
      </c>
      <c r="W484" s="293" t="str">
        <f t="shared" si="17"/>
        <v>H21</v>
      </c>
      <c r="X484" s="284" t="str">
        <f t="shared" si="17"/>
        <v>RJF</v>
      </c>
      <c r="Y484" s="271" t="s">
        <v>2262</v>
      </c>
      <c r="Z484" s="283">
        <f t="shared" si="15"/>
        <v>3.7499999999999999E-2</v>
      </c>
      <c r="AA484" s="340">
        <f t="shared" si="15"/>
        <v>1.75E-3</v>
      </c>
    </row>
    <row r="485" spans="1:27">
      <c r="A485" s="74" t="s">
        <v>883</v>
      </c>
      <c r="B485" s="74" t="s">
        <v>2067</v>
      </c>
      <c r="C485" s="74" t="s">
        <v>2066</v>
      </c>
      <c r="D485" s="74" t="s">
        <v>2382</v>
      </c>
      <c r="E485" s="74" t="s">
        <v>884</v>
      </c>
      <c r="F485" s="74">
        <v>3.7499999999999999E-2</v>
      </c>
      <c r="G485" s="74">
        <v>1.75E-3</v>
      </c>
      <c r="H485" s="74">
        <v>2.58</v>
      </c>
      <c r="I485" s="13" t="s">
        <v>239</v>
      </c>
      <c r="J485" s="74" t="s">
        <v>2389</v>
      </c>
      <c r="T485" s="292" t="s">
        <v>1760</v>
      </c>
      <c r="U485" s="283" t="s">
        <v>1768</v>
      </c>
      <c r="V485" s="285" t="s">
        <v>2395</v>
      </c>
      <c r="W485" s="293" t="s">
        <v>2382</v>
      </c>
      <c r="X485" s="284" t="s">
        <v>884</v>
      </c>
      <c r="Y485" s="271" t="s">
        <v>1770</v>
      </c>
      <c r="Z485" s="283">
        <v>3.7499999999999999E-2</v>
      </c>
      <c r="AA485" s="340">
        <v>1.75E-3</v>
      </c>
    </row>
    <row r="486" spans="1:27" ht="13.75" customHeight="1">
      <c r="A486" s="74" t="s">
        <v>885</v>
      </c>
      <c r="B486" s="74" t="s">
        <v>2067</v>
      </c>
      <c r="C486" s="74" t="s">
        <v>2066</v>
      </c>
      <c r="D486" s="74" t="s">
        <v>2382</v>
      </c>
      <c r="E486" s="74" t="s">
        <v>886</v>
      </c>
      <c r="F486" s="74">
        <v>3.7499999999999999E-2</v>
      </c>
      <c r="G486" s="74">
        <v>1.75E-3</v>
      </c>
      <c r="H486" s="74">
        <v>2.58</v>
      </c>
      <c r="I486" s="13" t="s">
        <v>239</v>
      </c>
      <c r="J486" s="74" t="s">
        <v>2386</v>
      </c>
      <c r="T486" s="292" t="s">
        <v>1760</v>
      </c>
      <c r="U486" s="283" t="s">
        <v>1768</v>
      </c>
      <c r="V486" s="285" t="s">
        <v>2395</v>
      </c>
      <c r="W486" s="293" t="s">
        <v>2382</v>
      </c>
      <c r="X486" s="284" t="s">
        <v>886</v>
      </c>
      <c r="Y486" s="271" t="s">
        <v>1770</v>
      </c>
      <c r="Z486" s="283">
        <v>3.7499999999999999E-2</v>
      </c>
      <c r="AA486" s="340">
        <v>1.75E-3</v>
      </c>
    </row>
    <row r="487" spans="1:27">
      <c r="A487" s="74" t="s">
        <v>887</v>
      </c>
      <c r="B487" s="74" t="s">
        <v>2067</v>
      </c>
      <c r="C487" s="74" t="s">
        <v>2066</v>
      </c>
      <c r="D487" s="74" t="s">
        <v>2382</v>
      </c>
      <c r="E487" s="74" t="s">
        <v>888</v>
      </c>
      <c r="F487" s="74">
        <v>0.13500000000000001</v>
      </c>
      <c r="G487" s="74">
        <v>6.3E-3</v>
      </c>
      <c r="H487" s="74">
        <v>2.58</v>
      </c>
      <c r="I487" s="13" t="s">
        <v>607</v>
      </c>
      <c r="J487" s="74" t="s">
        <v>2398</v>
      </c>
      <c r="T487" s="292" t="s">
        <v>1760</v>
      </c>
      <c r="U487" s="283" t="s">
        <v>1768</v>
      </c>
      <c r="V487" s="285" t="s">
        <v>2395</v>
      </c>
      <c r="W487" s="293" t="s">
        <v>2382</v>
      </c>
      <c r="X487" s="284" t="s">
        <v>888</v>
      </c>
      <c r="Y487" s="271" t="s">
        <v>1762</v>
      </c>
      <c r="Z487" s="283">
        <v>0.13500000000000001</v>
      </c>
      <c r="AA487" s="340">
        <v>6.3E-3</v>
      </c>
    </row>
    <row r="488" spans="1:27" ht="13.75" customHeight="1">
      <c r="A488" s="74" t="s">
        <v>889</v>
      </c>
      <c r="B488" s="74" t="s">
        <v>2067</v>
      </c>
      <c r="C488" s="74" t="s">
        <v>2066</v>
      </c>
      <c r="D488" s="74" t="s">
        <v>2382</v>
      </c>
      <c r="E488" s="74" t="s">
        <v>890</v>
      </c>
      <c r="F488" s="74">
        <v>0.13500000000000001</v>
      </c>
      <c r="G488" s="74">
        <v>6.3E-3</v>
      </c>
      <c r="H488" s="74">
        <v>2.58</v>
      </c>
      <c r="I488" s="13" t="s">
        <v>607</v>
      </c>
      <c r="J488" s="74" t="s">
        <v>2398</v>
      </c>
      <c r="T488" s="292" t="s">
        <v>1760</v>
      </c>
      <c r="U488" s="283" t="s">
        <v>1768</v>
      </c>
      <c r="V488" s="285" t="s">
        <v>2395</v>
      </c>
      <c r="W488" s="293" t="s">
        <v>2382</v>
      </c>
      <c r="X488" s="284" t="s">
        <v>890</v>
      </c>
      <c r="Y488" s="271" t="s">
        <v>1762</v>
      </c>
      <c r="Z488" s="283">
        <v>0.13500000000000001</v>
      </c>
      <c r="AA488" s="340">
        <v>6.3E-3</v>
      </c>
    </row>
    <row r="489" spans="1:27">
      <c r="A489" s="74" t="s">
        <v>891</v>
      </c>
      <c r="B489" s="74" t="s">
        <v>2067</v>
      </c>
      <c r="C489" s="74" t="s">
        <v>2066</v>
      </c>
      <c r="D489" s="74" t="s">
        <v>2382</v>
      </c>
      <c r="E489" s="74" t="s">
        <v>892</v>
      </c>
      <c r="F489" s="74">
        <v>0.13500000000000001</v>
      </c>
      <c r="G489" s="74">
        <v>6.3E-3</v>
      </c>
      <c r="H489" s="74">
        <v>2.58</v>
      </c>
      <c r="I489" s="13" t="s">
        <v>607</v>
      </c>
      <c r="J489" s="74" t="s">
        <v>2398</v>
      </c>
      <c r="T489" s="292" t="s">
        <v>1760</v>
      </c>
      <c r="U489" s="283" t="s">
        <v>1768</v>
      </c>
      <c r="V489" s="285" t="s">
        <v>2395</v>
      </c>
      <c r="W489" s="293" t="s">
        <v>2382</v>
      </c>
      <c r="X489" s="284" t="s">
        <v>892</v>
      </c>
      <c r="Y489" s="271" t="s">
        <v>1762</v>
      </c>
      <c r="Z489" s="283">
        <v>0.13500000000000001</v>
      </c>
      <c r="AA489" s="340">
        <v>6.3E-3</v>
      </c>
    </row>
    <row r="490" spans="1:27" ht="13.75" customHeight="1">
      <c r="A490" s="74" t="s">
        <v>893</v>
      </c>
      <c r="B490" s="74" t="s">
        <v>2067</v>
      </c>
      <c r="C490" s="74" t="s">
        <v>2066</v>
      </c>
      <c r="D490" s="74" t="s">
        <v>2382</v>
      </c>
      <c r="E490" s="74" t="s">
        <v>894</v>
      </c>
      <c r="F490" s="74">
        <v>0.13500000000000001</v>
      </c>
      <c r="G490" s="74">
        <v>6.3E-3</v>
      </c>
      <c r="H490" s="74">
        <v>2.58</v>
      </c>
      <c r="I490" s="13" t="s">
        <v>607</v>
      </c>
      <c r="J490" s="74" t="s">
        <v>2398</v>
      </c>
      <c r="T490" s="292" t="s">
        <v>1760</v>
      </c>
      <c r="U490" s="283" t="s">
        <v>1768</v>
      </c>
      <c r="V490" s="285" t="s">
        <v>2395</v>
      </c>
      <c r="W490" s="293" t="s">
        <v>2382</v>
      </c>
      <c r="X490" s="284" t="s">
        <v>894</v>
      </c>
      <c r="Y490" s="271" t="s">
        <v>1762</v>
      </c>
      <c r="Z490" s="283">
        <v>0.13500000000000001</v>
      </c>
      <c r="AA490" s="340">
        <v>6.3E-3</v>
      </c>
    </row>
    <row r="491" spans="1:27">
      <c r="A491" s="74" t="s">
        <v>895</v>
      </c>
      <c r="B491" s="74" t="s">
        <v>2067</v>
      </c>
      <c r="C491" s="74" t="s">
        <v>2066</v>
      </c>
      <c r="D491" s="74" t="s">
        <v>2382</v>
      </c>
      <c r="E491" s="74" t="s">
        <v>896</v>
      </c>
      <c r="F491" s="74">
        <v>0.13500000000000001</v>
      </c>
      <c r="G491" s="74">
        <v>6.3E-3</v>
      </c>
      <c r="H491" s="74">
        <v>2.58</v>
      </c>
      <c r="I491" s="13" t="s">
        <v>239</v>
      </c>
      <c r="J491" s="74" t="s">
        <v>2402</v>
      </c>
      <c r="T491" s="292" t="s">
        <v>1760</v>
      </c>
      <c r="U491" s="283" t="s">
        <v>1768</v>
      </c>
      <c r="V491" s="285" t="s">
        <v>2395</v>
      </c>
      <c r="W491" s="293" t="s">
        <v>2382</v>
      </c>
      <c r="X491" s="284" t="s">
        <v>896</v>
      </c>
      <c r="Y491" s="271" t="s">
        <v>1762</v>
      </c>
      <c r="Z491" s="283">
        <v>0.13500000000000001</v>
      </c>
      <c r="AA491" s="340">
        <v>6.3E-3</v>
      </c>
    </row>
    <row r="492" spans="1:27" ht="13.75" customHeight="1">
      <c r="A492" s="74" t="s">
        <v>897</v>
      </c>
      <c r="B492" s="74" t="s">
        <v>2067</v>
      </c>
      <c r="C492" s="74" t="s">
        <v>2066</v>
      </c>
      <c r="D492" s="74" t="s">
        <v>2382</v>
      </c>
      <c r="E492" s="74" t="s">
        <v>898</v>
      </c>
      <c r="F492" s="74">
        <v>0.13500000000000001</v>
      </c>
      <c r="G492" s="74">
        <v>6.3E-3</v>
      </c>
      <c r="H492" s="74">
        <v>2.58</v>
      </c>
      <c r="I492" s="13" t="s">
        <v>239</v>
      </c>
      <c r="J492" s="74" t="s">
        <v>2402</v>
      </c>
      <c r="T492" s="292" t="s">
        <v>1760</v>
      </c>
      <c r="U492" s="283" t="s">
        <v>1768</v>
      </c>
      <c r="V492" s="285" t="s">
        <v>2395</v>
      </c>
      <c r="W492" s="293" t="s">
        <v>2382</v>
      </c>
      <c r="X492" s="284" t="s">
        <v>898</v>
      </c>
      <c r="Y492" s="271" t="s">
        <v>1762</v>
      </c>
      <c r="Z492" s="283">
        <v>0.13500000000000001</v>
      </c>
      <c r="AA492" s="340">
        <v>6.3E-3</v>
      </c>
    </row>
    <row r="493" spans="1:27">
      <c r="A493" s="74" t="s">
        <v>899</v>
      </c>
      <c r="B493" s="74" t="s">
        <v>2067</v>
      </c>
      <c r="C493" s="74" t="s">
        <v>2066</v>
      </c>
      <c r="D493" s="74" t="s">
        <v>2382</v>
      </c>
      <c r="E493" s="74" t="s">
        <v>900</v>
      </c>
      <c r="F493" s="74">
        <v>0.13500000000000001</v>
      </c>
      <c r="G493" s="74">
        <v>6.3E-3</v>
      </c>
      <c r="H493" s="74">
        <v>2.58</v>
      </c>
      <c r="I493" s="13" t="s">
        <v>239</v>
      </c>
      <c r="J493" s="74" t="s">
        <v>2402</v>
      </c>
      <c r="T493" s="292" t="s">
        <v>1760</v>
      </c>
      <c r="U493" s="283" t="s">
        <v>1768</v>
      </c>
      <c r="V493" s="285" t="s">
        <v>2395</v>
      </c>
      <c r="W493" s="293" t="s">
        <v>2382</v>
      </c>
      <c r="X493" s="284" t="s">
        <v>900</v>
      </c>
      <c r="Y493" s="271" t="s">
        <v>1762</v>
      </c>
      <c r="Z493" s="283">
        <v>0.13500000000000001</v>
      </c>
      <c r="AA493" s="340">
        <v>6.3E-3</v>
      </c>
    </row>
    <row r="494" spans="1:27" ht="13.75" customHeight="1">
      <c r="A494" s="74" t="s">
        <v>901</v>
      </c>
      <c r="B494" s="74" t="s">
        <v>2067</v>
      </c>
      <c r="C494" s="74" t="s">
        <v>2066</v>
      </c>
      <c r="D494" s="74" t="s">
        <v>2382</v>
      </c>
      <c r="E494" s="74" t="s">
        <v>902</v>
      </c>
      <c r="F494" s="74">
        <v>0.13500000000000001</v>
      </c>
      <c r="G494" s="74">
        <v>6.3E-3</v>
      </c>
      <c r="H494" s="74">
        <v>2.58</v>
      </c>
      <c r="I494" s="13" t="s">
        <v>239</v>
      </c>
      <c r="J494" s="74" t="s">
        <v>2402</v>
      </c>
      <c r="T494" s="292" t="s">
        <v>1760</v>
      </c>
      <c r="U494" s="283" t="s">
        <v>1768</v>
      </c>
      <c r="V494" s="285" t="s">
        <v>2395</v>
      </c>
      <c r="W494" s="293" t="s">
        <v>2382</v>
      </c>
      <c r="X494" s="284" t="s">
        <v>902</v>
      </c>
      <c r="Y494" s="271" t="s">
        <v>1762</v>
      </c>
      <c r="Z494" s="283">
        <v>0.13500000000000001</v>
      </c>
      <c r="AA494" s="340">
        <v>6.3E-3</v>
      </c>
    </row>
    <row r="495" spans="1:27">
      <c r="A495" s="74" t="s">
        <v>903</v>
      </c>
      <c r="B495" s="74" t="s">
        <v>2044</v>
      </c>
      <c r="C495" s="74" t="s">
        <v>2068</v>
      </c>
      <c r="D495" s="74" t="s">
        <v>2458</v>
      </c>
      <c r="E495" s="74" t="s">
        <v>2457</v>
      </c>
      <c r="F495" s="74">
        <v>0.9</v>
      </c>
      <c r="G495" s="74">
        <v>6.5000000000000002E-2</v>
      </c>
      <c r="H495" s="74">
        <v>2.58</v>
      </c>
      <c r="I495" s="13" t="s">
        <v>1973</v>
      </c>
      <c r="T495" s="292" t="s">
        <v>1756</v>
      </c>
      <c r="U495" s="283" t="s">
        <v>2454</v>
      </c>
      <c r="V495" s="285" t="s">
        <v>1772</v>
      </c>
      <c r="W495" s="293" t="str">
        <f t="shared" si="17"/>
        <v>S54前</v>
      </c>
      <c r="X495" s="284" t="str">
        <f t="shared" si="17"/>
        <v>-</v>
      </c>
      <c r="Y495" s="271"/>
      <c r="Z495" s="283">
        <f t="shared" si="15"/>
        <v>0.9</v>
      </c>
      <c r="AA495" s="340">
        <f t="shared" si="15"/>
        <v>6.5000000000000002E-2</v>
      </c>
    </row>
    <row r="496" spans="1:27" ht="13.75" customHeight="1">
      <c r="A496" s="74" t="s">
        <v>904</v>
      </c>
      <c r="B496" s="74" t="s">
        <v>2044</v>
      </c>
      <c r="C496" s="74" t="s">
        <v>2068</v>
      </c>
      <c r="D496" s="74" t="s">
        <v>0</v>
      </c>
      <c r="E496" s="74" t="s">
        <v>6</v>
      </c>
      <c r="F496" s="74">
        <v>0.75</v>
      </c>
      <c r="G496" s="74">
        <v>6.5000000000000002E-2</v>
      </c>
      <c r="H496" s="74">
        <v>2.58</v>
      </c>
      <c r="I496" s="13" t="s">
        <v>1973</v>
      </c>
      <c r="T496" s="292" t="s">
        <v>1756</v>
      </c>
      <c r="U496" s="283" t="s">
        <v>2454</v>
      </c>
      <c r="V496" s="285" t="s">
        <v>1772</v>
      </c>
      <c r="W496" s="293" t="str">
        <f t="shared" si="17"/>
        <v>S54</v>
      </c>
      <c r="X496" s="284" t="str">
        <f t="shared" si="17"/>
        <v>K</v>
      </c>
      <c r="Y496" s="271"/>
      <c r="Z496" s="283">
        <f t="shared" si="15"/>
        <v>0.75</v>
      </c>
      <c r="AA496" s="340">
        <f t="shared" si="15"/>
        <v>6.5000000000000002E-2</v>
      </c>
    </row>
    <row r="497" spans="1:34">
      <c r="A497" s="74" t="s">
        <v>905</v>
      </c>
      <c r="B497" s="74" t="s">
        <v>2044</v>
      </c>
      <c r="C497" s="74" t="s">
        <v>2068</v>
      </c>
      <c r="D497" s="74" t="s">
        <v>8</v>
      </c>
      <c r="E497" s="74" t="s">
        <v>136</v>
      </c>
      <c r="F497" s="74">
        <v>0.65</v>
      </c>
      <c r="G497" s="74">
        <v>6.5000000000000002E-2</v>
      </c>
      <c r="H497" s="74">
        <v>2.58</v>
      </c>
      <c r="I497" s="13" t="s">
        <v>1973</v>
      </c>
      <c r="T497" s="292" t="s">
        <v>1756</v>
      </c>
      <c r="U497" s="283" t="s">
        <v>2454</v>
      </c>
      <c r="V497" s="285" t="s">
        <v>1772</v>
      </c>
      <c r="W497" s="293" t="str">
        <f t="shared" si="17"/>
        <v>S57,S58</v>
      </c>
      <c r="X497" s="284" t="str">
        <f t="shared" si="17"/>
        <v>N</v>
      </c>
      <c r="Y497" s="271"/>
      <c r="Z497" s="283">
        <f t="shared" si="15"/>
        <v>0.65</v>
      </c>
      <c r="AA497" s="340">
        <f t="shared" si="15"/>
        <v>6.5000000000000002E-2</v>
      </c>
      <c r="AC497" s="268"/>
      <c r="AD497" s="268"/>
      <c r="AE497" s="268"/>
      <c r="AF497" s="268"/>
      <c r="AG497" s="268"/>
      <c r="AH497" s="268"/>
    </row>
    <row r="498" spans="1:34">
      <c r="A498" s="74" t="s">
        <v>906</v>
      </c>
      <c r="B498" s="74" t="s">
        <v>2044</v>
      </c>
      <c r="C498" s="74" t="s">
        <v>2068</v>
      </c>
      <c r="D498" s="74" t="s">
        <v>8</v>
      </c>
      <c r="E498" s="74" t="s">
        <v>137</v>
      </c>
      <c r="F498" s="74">
        <v>0.65</v>
      </c>
      <c r="G498" s="74">
        <v>6.5000000000000002E-2</v>
      </c>
      <c r="H498" s="74">
        <v>2.58</v>
      </c>
      <c r="I498" s="13" t="s">
        <v>1973</v>
      </c>
      <c r="T498" s="292" t="s">
        <v>1756</v>
      </c>
      <c r="U498" s="283" t="s">
        <v>2454</v>
      </c>
      <c r="V498" s="285" t="s">
        <v>1772</v>
      </c>
      <c r="W498" s="293" t="str">
        <f t="shared" si="17"/>
        <v>S57,S58</v>
      </c>
      <c r="X498" s="284" t="str">
        <f t="shared" si="17"/>
        <v>P</v>
      </c>
      <c r="Y498" s="271"/>
      <c r="Z498" s="283">
        <f t="shared" si="15"/>
        <v>0.65</v>
      </c>
      <c r="AA498" s="340">
        <f t="shared" si="15"/>
        <v>6.5000000000000002E-2</v>
      </c>
    </row>
    <row r="499" spans="1:34" s="268" customFormat="1">
      <c r="A499" s="268" t="s">
        <v>907</v>
      </c>
      <c r="B499" s="268" t="s">
        <v>2044</v>
      </c>
      <c r="C499" s="268" t="s">
        <v>2068</v>
      </c>
      <c r="D499" s="270" t="s">
        <v>27</v>
      </c>
      <c r="E499" s="269" t="s">
        <v>159</v>
      </c>
      <c r="F499" s="268">
        <v>0.56000000000000005</v>
      </c>
      <c r="G499" s="268">
        <v>6.5000000000000002E-2</v>
      </c>
      <c r="H499" s="268">
        <v>2.58</v>
      </c>
      <c r="I499" s="267" t="s">
        <v>1973</v>
      </c>
      <c r="T499" s="292" t="s">
        <v>1756</v>
      </c>
      <c r="U499" s="283" t="s">
        <v>2454</v>
      </c>
      <c r="V499" s="285" t="s">
        <v>1772</v>
      </c>
      <c r="W499" s="293" t="str">
        <f t="shared" si="17"/>
        <v>H元,H2</v>
      </c>
      <c r="X499" s="284" t="str">
        <f t="shared" si="17"/>
        <v>U</v>
      </c>
      <c r="Y499" s="271"/>
      <c r="Z499" s="283">
        <f t="shared" si="15"/>
        <v>0.56000000000000005</v>
      </c>
      <c r="AA499" s="340">
        <f t="shared" si="15"/>
        <v>6.5000000000000002E-2</v>
      </c>
    </row>
    <row r="500" spans="1:34">
      <c r="A500" s="74" t="s">
        <v>908</v>
      </c>
      <c r="B500" s="74" t="s">
        <v>2044</v>
      </c>
      <c r="C500" s="74" t="s">
        <v>2068</v>
      </c>
      <c r="D500" s="74" t="s">
        <v>27</v>
      </c>
      <c r="E500" s="74" t="s">
        <v>181</v>
      </c>
      <c r="F500" s="74">
        <v>0.56000000000000005</v>
      </c>
      <c r="G500" s="74">
        <v>6.5000000000000002E-2</v>
      </c>
      <c r="H500" s="74">
        <v>2.58</v>
      </c>
      <c r="I500" s="13" t="s">
        <v>1973</v>
      </c>
      <c r="T500" s="292" t="s">
        <v>1756</v>
      </c>
      <c r="U500" s="283" t="s">
        <v>2454</v>
      </c>
      <c r="V500" s="285" t="s">
        <v>1772</v>
      </c>
      <c r="W500" s="293" t="str">
        <f t="shared" si="17"/>
        <v>H元,H2</v>
      </c>
      <c r="X500" s="284" t="str">
        <f t="shared" si="17"/>
        <v>W</v>
      </c>
      <c r="Y500" s="271"/>
      <c r="Z500" s="283">
        <f t="shared" si="15"/>
        <v>0.56000000000000005</v>
      </c>
      <c r="AA500" s="340">
        <f t="shared" si="15"/>
        <v>6.5000000000000002E-2</v>
      </c>
    </row>
    <row r="501" spans="1:34" s="268" customFormat="1">
      <c r="A501" s="268" t="s">
        <v>909</v>
      </c>
      <c r="B501" s="268" t="s">
        <v>2044</v>
      </c>
      <c r="C501" s="268" t="s">
        <v>2068</v>
      </c>
      <c r="D501" s="270" t="s">
        <v>33</v>
      </c>
      <c r="E501" s="269" t="s">
        <v>23</v>
      </c>
      <c r="F501" s="268">
        <v>0.46</v>
      </c>
      <c r="G501" s="268">
        <v>6.5000000000000002E-2</v>
      </c>
      <c r="H501" s="268">
        <v>2.58</v>
      </c>
      <c r="I501" s="267" t="s">
        <v>1973</v>
      </c>
      <c r="J501" s="269"/>
      <c r="T501" s="292" t="s">
        <v>1756</v>
      </c>
      <c r="U501" s="283" t="s">
        <v>2454</v>
      </c>
      <c r="V501" s="285" t="s">
        <v>1772</v>
      </c>
      <c r="W501" s="293" t="str">
        <f t="shared" si="17"/>
        <v>H6</v>
      </c>
      <c r="X501" s="284" t="str">
        <f t="shared" si="17"/>
        <v>KC</v>
      </c>
      <c r="Y501" s="271"/>
      <c r="Z501" s="283">
        <f t="shared" si="15"/>
        <v>0.46</v>
      </c>
      <c r="AA501" s="340">
        <f t="shared" si="15"/>
        <v>6.5000000000000002E-2</v>
      </c>
    </row>
    <row r="502" spans="1:34">
      <c r="A502" s="74" t="s">
        <v>910</v>
      </c>
      <c r="B502" s="74" t="s">
        <v>2044</v>
      </c>
      <c r="C502" s="74" t="s">
        <v>2068</v>
      </c>
      <c r="D502" s="74" t="s">
        <v>28</v>
      </c>
      <c r="E502" s="74" t="s">
        <v>123</v>
      </c>
      <c r="F502" s="268">
        <v>0.35</v>
      </c>
      <c r="G502" s="74">
        <v>2.3E-2</v>
      </c>
      <c r="H502" s="74">
        <v>2.58</v>
      </c>
      <c r="I502" s="13" t="s">
        <v>1973</v>
      </c>
      <c r="T502" s="292" t="s">
        <v>1756</v>
      </c>
      <c r="U502" s="283" t="s">
        <v>2454</v>
      </c>
      <c r="V502" s="285" t="s">
        <v>1772</v>
      </c>
      <c r="W502" s="293" t="str">
        <f t="shared" si="17"/>
        <v>H10,H11</v>
      </c>
      <c r="X502" s="284" t="str">
        <f t="shared" si="17"/>
        <v>KK</v>
      </c>
      <c r="Y502" s="271"/>
      <c r="Z502" s="283">
        <f t="shared" si="15"/>
        <v>0.35</v>
      </c>
      <c r="AA502" s="340">
        <f t="shared" si="15"/>
        <v>2.3E-2</v>
      </c>
    </row>
    <row r="503" spans="1:34" s="268" customFormat="1">
      <c r="A503" s="268" t="s">
        <v>911</v>
      </c>
      <c r="B503" s="268" t="s">
        <v>2044</v>
      </c>
      <c r="C503" s="268" t="s">
        <v>2068</v>
      </c>
      <c r="D503" s="270" t="s">
        <v>28</v>
      </c>
      <c r="E503" s="269" t="s">
        <v>110</v>
      </c>
      <c r="F503" s="268">
        <v>0.17499999999999999</v>
      </c>
      <c r="G503" s="268">
        <v>1.15E-2</v>
      </c>
      <c r="H503" s="268">
        <v>2.58</v>
      </c>
      <c r="I503" s="267" t="s">
        <v>239</v>
      </c>
      <c r="J503" s="269" t="s">
        <v>240</v>
      </c>
      <c r="T503" s="292" t="s">
        <v>1756</v>
      </c>
      <c r="U503" s="283" t="s">
        <v>2454</v>
      </c>
      <c r="V503" s="285" t="s">
        <v>1772</v>
      </c>
      <c r="W503" s="293" t="str">
        <f t="shared" si="17"/>
        <v>H10,H11</v>
      </c>
      <c r="X503" s="284" t="str">
        <f t="shared" si="17"/>
        <v>HF</v>
      </c>
      <c r="Y503" s="271"/>
      <c r="Z503" s="283">
        <f t="shared" ref="Z503:AA569" si="18">F503</f>
        <v>0.17499999999999999</v>
      </c>
      <c r="AA503" s="340">
        <f t="shared" si="18"/>
        <v>1.15E-2</v>
      </c>
    </row>
    <row r="504" spans="1:34">
      <c r="A504" s="74" t="s">
        <v>912</v>
      </c>
      <c r="B504" s="74" t="s">
        <v>2044</v>
      </c>
      <c r="C504" s="74" t="s">
        <v>2068</v>
      </c>
      <c r="D504" s="74" t="s">
        <v>28</v>
      </c>
      <c r="E504" s="74" t="s">
        <v>124</v>
      </c>
      <c r="F504" s="268">
        <v>0.35</v>
      </c>
      <c r="G504" s="74">
        <v>2.3E-2</v>
      </c>
      <c r="H504" s="74">
        <v>2.58</v>
      </c>
      <c r="I504" s="13" t="s">
        <v>1973</v>
      </c>
      <c r="T504" s="292" t="s">
        <v>1756</v>
      </c>
      <c r="U504" s="283" t="s">
        <v>2454</v>
      </c>
      <c r="V504" s="285" t="s">
        <v>1772</v>
      </c>
      <c r="W504" s="293" t="str">
        <f t="shared" si="17"/>
        <v>H10,H11</v>
      </c>
      <c r="X504" s="284" t="str">
        <f t="shared" si="17"/>
        <v>KL</v>
      </c>
      <c r="Y504" s="271"/>
      <c r="Z504" s="283">
        <f t="shared" si="18"/>
        <v>0.35</v>
      </c>
      <c r="AA504" s="340">
        <f t="shared" si="18"/>
        <v>2.3E-2</v>
      </c>
    </row>
    <row r="505" spans="1:34" s="268" customFormat="1">
      <c r="A505" s="268" t="s">
        <v>913</v>
      </c>
      <c r="B505" s="268" t="s">
        <v>2044</v>
      </c>
      <c r="C505" s="268" t="s">
        <v>2068</v>
      </c>
      <c r="D505" s="270" t="s">
        <v>28</v>
      </c>
      <c r="E505" s="269" t="s">
        <v>111</v>
      </c>
      <c r="F505" s="268">
        <v>0.17499999999999999</v>
      </c>
      <c r="G505" s="268">
        <v>1.15E-2</v>
      </c>
      <c r="H505" s="268">
        <v>2.58</v>
      </c>
      <c r="I505" s="267" t="s">
        <v>239</v>
      </c>
      <c r="J505" s="269" t="s">
        <v>240</v>
      </c>
      <c r="T505" s="292" t="s">
        <v>1756</v>
      </c>
      <c r="U505" s="283" t="s">
        <v>2454</v>
      </c>
      <c r="V505" s="285" t="s">
        <v>1772</v>
      </c>
      <c r="W505" s="293" t="str">
        <f t="shared" si="17"/>
        <v>H10,H11</v>
      </c>
      <c r="X505" s="284" t="str">
        <f t="shared" si="17"/>
        <v>HM</v>
      </c>
      <c r="Y505" s="271"/>
      <c r="Z505" s="283">
        <f t="shared" si="18"/>
        <v>0.17499999999999999</v>
      </c>
      <c r="AA505" s="340">
        <f t="shared" si="18"/>
        <v>1.15E-2</v>
      </c>
    </row>
    <row r="506" spans="1:34">
      <c r="A506" s="74" t="s">
        <v>914</v>
      </c>
      <c r="B506" s="74" t="s">
        <v>2044</v>
      </c>
      <c r="C506" s="74" t="s">
        <v>2068</v>
      </c>
      <c r="D506" s="74" t="s">
        <v>915</v>
      </c>
      <c r="E506" s="74" t="s">
        <v>916</v>
      </c>
      <c r="F506" s="74">
        <v>0.26250000000000001</v>
      </c>
      <c r="G506" s="74">
        <v>1.7250000000000001E-2</v>
      </c>
      <c r="H506" s="74">
        <v>2.58</v>
      </c>
      <c r="I506" s="13" t="s">
        <v>1973</v>
      </c>
      <c r="J506" t="s">
        <v>244</v>
      </c>
      <c r="T506" s="292" t="s">
        <v>1756</v>
      </c>
      <c r="U506" s="283" t="s">
        <v>2454</v>
      </c>
      <c r="V506" s="285" t="s">
        <v>1772</v>
      </c>
      <c r="W506" s="293" t="str">
        <f t="shared" si="17"/>
        <v>H10</v>
      </c>
      <c r="X506" s="284" t="str">
        <f t="shared" si="17"/>
        <v>DR</v>
      </c>
      <c r="Y506" s="271" t="s">
        <v>1765</v>
      </c>
      <c r="Z506" s="283">
        <f t="shared" si="18"/>
        <v>0.26250000000000001</v>
      </c>
      <c r="AA506" s="340">
        <f t="shared" si="18"/>
        <v>1.7250000000000001E-2</v>
      </c>
    </row>
    <row r="507" spans="1:34" s="268" customFormat="1">
      <c r="A507" s="268" t="s">
        <v>917</v>
      </c>
      <c r="B507" s="268" t="s">
        <v>2044</v>
      </c>
      <c r="C507" s="268" t="s">
        <v>2068</v>
      </c>
      <c r="D507" s="270" t="s">
        <v>915</v>
      </c>
      <c r="E507" s="269" t="s">
        <v>918</v>
      </c>
      <c r="F507" s="268">
        <v>0.26250000000000001</v>
      </c>
      <c r="G507" s="268">
        <v>1.7250000000000001E-2</v>
      </c>
      <c r="H507" s="268">
        <v>2.58</v>
      </c>
      <c r="I507" s="267" t="s">
        <v>239</v>
      </c>
      <c r="J507" s="269" t="s">
        <v>2134</v>
      </c>
      <c r="T507" s="292" t="s">
        <v>1756</v>
      </c>
      <c r="U507" s="283" t="s">
        <v>2454</v>
      </c>
      <c r="V507" s="285" t="s">
        <v>1772</v>
      </c>
      <c r="W507" s="293" t="str">
        <f t="shared" si="17"/>
        <v>H10</v>
      </c>
      <c r="X507" s="284" t="str">
        <f t="shared" si="17"/>
        <v>WR</v>
      </c>
      <c r="Y507" s="271" t="s">
        <v>1765</v>
      </c>
      <c r="Z507" s="283">
        <f t="shared" si="18"/>
        <v>0.26250000000000001</v>
      </c>
      <c r="AA507" s="340">
        <f t="shared" si="18"/>
        <v>1.7250000000000001E-2</v>
      </c>
    </row>
    <row r="508" spans="1:34">
      <c r="A508" s="74" t="s">
        <v>919</v>
      </c>
      <c r="B508" s="74" t="s">
        <v>2044</v>
      </c>
      <c r="C508" s="74" t="s">
        <v>2068</v>
      </c>
      <c r="D508" s="74" t="s">
        <v>915</v>
      </c>
      <c r="E508" s="74" t="s">
        <v>920</v>
      </c>
      <c r="F508" s="74">
        <v>0.17499999999999999</v>
      </c>
      <c r="G508" s="74">
        <v>1.15E-2</v>
      </c>
      <c r="H508" s="74">
        <v>2.58</v>
      </c>
      <c r="I508" s="13" t="s">
        <v>1973</v>
      </c>
      <c r="J508" t="s">
        <v>247</v>
      </c>
      <c r="T508" s="292" t="s">
        <v>1756</v>
      </c>
      <c r="U508" s="283" t="s">
        <v>2454</v>
      </c>
      <c r="V508" s="285" t="s">
        <v>1772</v>
      </c>
      <c r="W508" s="293" t="str">
        <f t="shared" si="17"/>
        <v>H10</v>
      </c>
      <c r="X508" s="284" t="str">
        <f t="shared" si="17"/>
        <v>DS</v>
      </c>
      <c r="Y508" s="271" t="s">
        <v>1766</v>
      </c>
      <c r="Z508" s="283">
        <f t="shared" si="18"/>
        <v>0.17499999999999999</v>
      </c>
      <c r="AA508" s="340">
        <f t="shared" si="18"/>
        <v>1.15E-2</v>
      </c>
    </row>
    <row r="509" spans="1:34" s="268" customFormat="1">
      <c r="A509" s="268" t="s">
        <v>921</v>
      </c>
      <c r="B509" s="268" t="s">
        <v>2044</v>
      </c>
      <c r="C509" s="268" t="s">
        <v>2068</v>
      </c>
      <c r="D509" s="270" t="s">
        <v>915</v>
      </c>
      <c r="E509" s="269" t="s">
        <v>922</v>
      </c>
      <c r="F509" s="268">
        <v>0.17499999999999999</v>
      </c>
      <c r="G509" s="268">
        <v>1.15E-2</v>
      </c>
      <c r="H509" s="268">
        <v>2.58</v>
      </c>
      <c r="I509" s="267" t="s">
        <v>239</v>
      </c>
      <c r="J509" s="269" t="s">
        <v>2135</v>
      </c>
      <c r="T509" s="292" t="s">
        <v>1756</v>
      </c>
      <c r="U509" s="283" t="s">
        <v>2454</v>
      </c>
      <c r="V509" s="285" t="s">
        <v>1772</v>
      </c>
      <c r="W509" s="293" t="str">
        <f t="shared" si="17"/>
        <v>H10</v>
      </c>
      <c r="X509" s="284" t="str">
        <f t="shared" si="17"/>
        <v>WS</v>
      </c>
      <c r="Y509" s="271" t="s">
        <v>1766</v>
      </c>
      <c r="Z509" s="283">
        <f t="shared" si="18"/>
        <v>0.17499999999999999</v>
      </c>
      <c r="AA509" s="340">
        <f t="shared" si="18"/>
        <v>1.15E-2</v>
      </c>
    </row>
    <row r="510" spans="1:34">
      <c r="A510" s="74" t="s">
        <v>923</v>
      </c>
      <c r="B510" s="74" t="s">
        <v>2044</v>
      </c>
      <c r="C510" s="74" t="s">
        <v>2068</v>
      </c>
      <c r="D510" s="74" t="s">
        <v>915</v>
      </c>
      <c r="E510" s="74" t="s">
        <v>924</v>
      </c>
      <c r="F510" s="74">
        <v>8.7499999999999994E-2</v>
      </c>
      <c r="G510" s="74">
        <v>5.7499999999999999E-3</v>
      </c>
      <c r="H510" s="74">
        <v>2.58</v>
      </c>
      <c r="I510" s="13" t="s">
        <v>1973</v>
      </c>
      <c r="J510" t="s">
        <v>250</v>
      </c>
      <c r="T510" s="292" t="s">
        <v>1756</v>
      </c>
      <c r="U510" s="283" t="s">
        <v>2454</v>
      </c>
      <c r="V510" s="285" t="s">
        <v>1772</v>
      </c>
      <c r="W510" s="293" t="str">
        <f t="shared" si="17"/>
        <v>H10</v>
      </c>
      <c r="X510" s="284" t="str">
        <f t="shared" si="17"/>
        <v>DT</v>
      </c>
      <c r="Y510" s="271" t="s">
        <v>1767</v>
      </c>
      <c r="Z510" s="283">
        <f t="shared" si="18"/>
        <v>8.7499999999999994E-2</v>
      </c>
      <c r="AA510" s="340">
        <f t="shared" si="18"/>
        <v>5.7499999999999999E-3</v>
      </c>
    </row>
    <row r="511" spans="1:34" s="268" customFormat="1">
      <c r="A511" s="268" t="s">
        <v>925</v>
      </c>
      <c r="B511" s="268" t="s">
        <v>2044</v>
      </c>
      <c r="C511" s="268" t="s">
        <v>2068</v>
      </c>
      <c r="D511" s="270" t="s">
        <v>915</v>
      </c>
      <c r="E511" s="269" t="s">
        <v>926</v>
      </c>
      <c r="F511" s="268">
        <v>8.7499999999999994E-2</v>
      </c>
      <c r="G511" s="268">
        <v>5.7499999999999999E-3</v>
      </c>
      <c r="H511" s="268">
        <v>2.58</v>
      </c>
      <c r="I511" s="267" t="s">
        <v>239</v>
      </c>
      <c r="J511" s="269" t="s">
        <v>2136</v>
      </c>
      <c r="T511" s="292" t="s">
        <v>1756</v>
      </c>
      <c r="U511" s="283" t="s">
        <v>2454</v>
      </c>
      <c r="V511" s="285" t="s">
        <v>1772</v>
      </c>
      <c r="W511" s="293" t="str">
        <f t="shared" si="17"/>
        <v>H10</v>
      </c>
      <c r="X511" s="284" t="str">
        <f t="shared" si="17"/>
        <v>WT</v>
      </c>
      <c r="Y511" s="271" t="s">
        <v>1767</v>
      </c>
      <c r="Z511" s="283">
        <f t="shared" si="18"/>
        <v>8.7499999999999994E-2</v>
      </c>
      <c r="AA511" s="340">
        <f t="shared" si="18"/>
        <v>5.7499999999999999E-3</v>
      </c>
    </row>
    <row r="512" spans="1:34">
      <c r="A512" s="74" t="s">
        <v>927</v>
      </c>
      <c r="B512" s="74" t="s">
        <v>2044</v>
      </c>
      <c r="C512" s="74" t="s">
        <v>2068</v>
      </c>
      <c r="D512" s="74" t="s">
        <v>928</v>
      </c>
      <c r="E512" s="74" t="s">
        <v>929</v>
      </c>
      <c r="F512" s="74">
        <v>0.26250000000000001</v>
      </c>
      <c r="G512" s="74">
        <v>1.7250000000000001E-2</v>
      </c>
      <c r="H512" s="74">
        <v>2.58</v>
      </c>
      <c r="I512" s="13" t="s">
        <v>1973</v>
      </c>
      <c r="J512" t="s">
        <v>244</v>
      </c>
      <c r="T512" s="292" t="s">
        <v>1756</v>
      </c>
      <c r="U512" s="283" t="s">
        <v>2454</v>
      </c>
      <c r="V512" s="285" t="s">
        <v>1772</v>
      </c>
      <c r="W512" s="293" t="str">
        <f t="shared" si="17"/>
        <v>H11</v>
      </c>
      <c r="X512" s="284" t="str">
        <f t="shared" si="17"/>
        <v>DU</v>
      </c>
      <c r="Y512" s="271" t="s">
        <v>1765</v>
      </c>
      <c r="Z512" s="283">
        <f t="shared" si="18"/>
        <v>0.26250000000000001</v>
      </c>
      <c r="AA512" s="340">
        <f t="shared" si="18"/>
        <v>1.7250000000000001E-2</v>
      </c>
      <c r="AC512" s="268"/>
      <c r="AD512" s="268"/>
      <c r="AE512" s="268"/>
      <c r="AF512" s="268"/>
      <c r="AG512" s="268"/>
      <c r="AH512" s="268"/>
    </row>
    <row r="513" spans="1:34" s="268" customFormat="1">
      <c r="A513" s="268" t="s">
        <v>930</v>
      </c>
      <c r="B513" s="268" t="s">
        <v>2044</v>
      </c>
      <c r="C513" s="268" t="s">
        <v>2068</v>
      </c>
      <c r="D513" s="270" t="s">
        <v>928</v>
      </c>
      <c r="E513" s="269" t="s">
        <v>931</v>
      </c>
      <c r="F513" s="268">
        <v>0.26250000000000001</v>
      </c>
      <c r="G513" s="268">
        <v>1.7250000000000001E-2</v>
      </c>
      <c r="H513" s="268">
        <v>2.58</v>
      </c>
      <c r="I513" s="267" t="s">
        <v>239</v>
      </c>
      <c r="J513" s="269" t="s">
        <v>2134</v>
      </c>
      <c r="T513" s="292" t="s">
        <v>1756</v>
      </c>
      <c r="U513" s="283" t="s">
        <v>2454</v>
      </c>
      <c r="V513" s="285" t="s">
        <v>1772</v>
      </c>
      <c r="W513" s="293" t="str">
        <f t="shared" si="17"/>
        <v>H11</v>
      </c>
      <c r="X513" s="284" t="str">
        <f t="shared" si="17"/>
        <v>WU</v>
      </c>
      <c r="Y513" s="271" t="s">
        <v>1765</v>
      </c>
      <c r="Z513" s="283">
        <f t="shared" si="18"/>
        <v>0.26250000000000001</v>
      </c>
      <c r="AA513" s="340">
        <f t="shared" si="18"/>
        <v>1.7250000000000001E-2</v>
      </c>
    </row>
    <row r="514" spans="1:34" s="268" customFormat="1">
      <c r="A514" s="268" t="s">
        <v>932</v>
      </c>
      <c r="B514" s="268" t="s">
        <v>2044</v>
      </c>
      <c r="C514" s="268" t="s">
        <v>2068</v>
      </c>
      <c r="D514" s="268" t="s">
        <v>928</v>
      </c>
      <c r="E514" s="269" t="s">
        <v>933</v>
      </c>
      <c r="F514" s="268">
        <v>0.17499999999999999</v>
      </c>
      <c r="G514" s="268">
        <v>1.15E-2</v>
      </c>
      <c r="H514" s="268">
        <v>2.58</v>
      </c>
      <c r="I514" s="267" t="s">
        <v>1973</v>
      </c>
      <c r="J514" s="269" t="s">
        <v>247</v>
      </c>
      <c r="T514" s="292" t="s">
        <v>1756</v>
      </c>
      <c r="U514" s="283" t="s">
        <v>2454</v>
      </c>
      <c r="V514" s="285" t="s">
        <v>1772</v>
      </c>
      <c r="W514" s="293" t="str">
        <f t="shared" si="17"/>
        <v>H11</v>
      </c>
      <c r="X514" s="284" t="str">
        <f t="shared" si="17"/>
        <v>DV</v>
      </c>
      <c r="Y514" s="271" t="s">
        <v>1766</v>
      </c>
      <c r="Z514" s="283">
        <f t="shared" si="18"/>
        <v>0.17499999999999999</v>
      </c>
      <c r="AA514" s="340">
        <f t="shared" si="18"/>
        <v>1.15E-2</v>
      </c>
    </row>
    <row r="515" spans="1:34" s="268" customFormat="1">
      <c r="A515" s="268" t="s">
        <v>934</v>
      </c>
      <c r="B515" s="268" t="s">
        <v>2044</v>
      </c>
      <c r="C515" s="268" t="s">
        <v>2068</v>
      </c>
      <c r="D515" s="270" t="s">
        <v>928</v>
      </c>
      <c r="E515" s="269" t="s">
        <v>935</v>
      </c>
      <c r="F515" s="268">
        <v>0.17499999999999999</v>
      </c>
      <c r="G515" s="268">
        <v>1.15E-2</v>
      </c>
      <c r="H515" s="268">
        <v>2.58</v>
      </c>
      <c r="I515" s="267" t="s">
        <v>239</v>
      </c>
      <c r="J515" s="269" t="s">
        <v>2135</v>
      </c>
      <c r="T515" s="292" t="s">
        <v>1756</v>
      </c>
      <c r="U515" s="283" t="s">
        <v>2454</v>
      </c>
      <c r="V515" s="285" t="s">
        <v>1772</v>
      </c>
      <c r="W515" s="293" t="str">
        <f t="shared" si="17"/>
        <v>H11</v>
      </c>
      <c r="X515" s="284" t="str">
        <f t="shared" si="17"/>
        <v>WV</v>
      </c>
      <c r="Y515" s="271" t="s">
        <v>1766</v>
      </c>
      <c r="Z515" s="283">
        <f t="shared" si="18"/>
        <v>0.17499999999999999</v>
      </c>
      <c r="AA515" s="340">
        <f t="shared" si="18"/>
        <v>1.15E-2</v>
      </c>
    </row>
    <row r="516" spans="1:34" s="268" customFormat="1">
      <c r="A516" s="268" t="s">
        <v>936</v>
      </c>
      <c r="B516" s="268" t="s">
        <v>2044</v>
      </c>
      <c r="C516" s="268" t="s">
        <v>2068</v>
      </c>
      <c r="D516" s="268" t="s">
        <v>928</v>
      </c>
      <c r="E516" s="269" t="s">
        <v>937</v>
      </c>
      <c r="F516" s="268">
        <v>8.7499999999999994E-2</v>
      </c>
      <c r="G516" s="268">
        <v>5.7499999999999999E-3</v>
      </c>
      <c r="H516" s="268">
        <v>2.58</v>
      </c>
      <c r="I516" s="267" t="s">
        <v>1973</v>
      </c>
      <c r="J516" s="269" t="s">
        <v>250</v>
      </c>
      <c r="T516" s="292" t="s">
        <v>1756</v>
      </c>
      <c r="U516" s="283" t="s">
        <v>2454</v>
      </c>
      <c r="V516" s="285" t="s">
        <v>1772</v>
      </c>
      <c r="W516" s="293" t="str">
        <f t="shared" si="17"/>
        <v>H11</v>
      </c>
      <c r="X516" s="284" t="str">
        <f t="shared" si="17"/>
        <v>DW</v>
      </c>
      <c r="Y516" s="271" t="s">
        <v>1767</v>
      </c>
      <c r="Z516" s="283">
        <f t="shared" si="18"/>
        <v>8.7499999999999994E-2</v>
      </c>
      <c r="AA516" s="340">
        <f t="shared" si="18"/>
        <v>5.7499999999999999E-3</v>
      </c>
    </row>
    <row r="517" spans="1:34" s="268" customFormat="1">
      <c r="A517" s="268" t="s">
        <v>938</v>
      </c>
      <c r="B517" s="268" t="s">
        <v>2044</v>
      </c>
      <c r="C517" s="268" t="s">
        <v>2068</v>
      </c>
      <c r="D517" s="270" t="s">
        <v>928</v>
      </c>
      <c r="E517" s="269" t="s">
        <v>939</v>
      </c>
      <c r="F517" s="268">
        <v>8.7499999999999994E-2</v>
      </c>
      <c r="G517" s="268">
        <v>5.7499999999999999E-3</v>
      </c>
      <c r="H517" s="268">
        <v>2.58</v>
      </c>
      <c r="I517" s="267" t="s">
        <v>239</v>
      </c>
      <c r="J517" s="269" t="s">
        <v>2136</v>
      </c>
      <c r="T517" s="292" t="s">
        <v>1756</v>
      </c>
      <c r="U517" s="283" t="s">
        <v>2454</v>
      </c>
      <c r="V517" s="285" t="s">
        <v>1772</v>
      </c>
      <c r="W517" s="293" t="str">
        <f t="shared" si="17"/>
        <v>H11</v>
      </c>
      <c r="X517" s="284" t="str">
        <f t="shared" si="17"/>
        <v>WW</v>
      </c>
      <c r="Y517" s="271" t="s">
        <v>1767</v>
      </c>
      <c r="Z517" s="283">
        <f t="shared" si="18"/>
        <v>8.7499999999999994E-2</v>
      </c>
      <c r="AA517" s="340">
        <f t="shared" si="18"/>
        <v>5.7499999999999999E-3</v>
      </c>
    </row>
    <row r="518" spans="1:34" s="268" customFormat="1">
      <c r="A518" s="268" t="s">
        <v>940</v>
      </c>
      <c r="B518" s="268" t="s">
        <v>2044</v>
      </c>
      <c r="C518" s="268" t="s">
        <v>2068</v>
      </c>
      <c r="D518" s="268" t="s">
        <v>29</v>
      </c>
      <c r="E518" s="269" t="s">
        <v>129</v>
      </c>
      <c r="F518" s="268">
        <v>0.26</v>
      </c>
      <c r="G518" s="268">
        <v>1.7000000000000001E-2</v>
      </c>
      <c r="H518" s="268">
        <v>2.58</v>
      </c>
      <c r="I518" s="267" t="s">
        <v>1973</v>
      </c>
      <c r="J518" s="269"/>
      <c r="T518" s="292" t="s">
        <v>1756</v>
      </c>
      <c r="U518" s="283" t="s">
        <v>2454</v>
      </c>
      <c r="V518" s="285" t="s">
        <v>1772</v>
      </c>
      <c r="W518" s="293" t="str">
        <f t="shared" si="17"/>
        <v>H15,H16</v>
      </c>
      <c r="X518" s="284" t="str">
        <f t="shared" si="17"/>
        <v>KR</v>
      </c>
      <c r="Y518" s="271"/>
      <c r="Z518" s="283">
        <f t="shared" si="18"/>
        <v>0.26</v>
      </c>
      <c r="AA518" s="340">
        <f t="shared" si="18"/>
        <v>1.7000000000000001E-2</v>
      </c>
    </row>
    <row r="519" spans="1:34" s="268" customFormat="1">
      <c r="A519" s="268" t="s">
        <v>941</v>
      </c>
      <c r="B519" s="268" t="s">
        <v>2044</v>
      </c>
      <c r="C519" s="268" t="s">
        <v>2068</v>
      </c>
      <c r="D519" s="270" t="s">
        <v>29</v>
      </c>
      <c r="E519" s="269" t="s">
        <v>116</v>
      </c>
      <c r="F519" s="268">
        <v>0.13</v>
      </c>
      <c r="G519" s="268">
        <v>8.5000000000000006E-3</v>
      </c>
      <c r="H519" s="268">
        <v>2.58</v>
      </c>
      <c r="I519" s="267" t="s">
        <v>239</v>
      </c>
      <c r="J519" s="269" t="s">
        <v>240</v>
      </c>
      <c r="T519" s="292" t="s">
        <v>1756</v>
      </c>
      <c r="U519" s="283" t="s">
        <v>2454</v>
      </c>
      <c r="V519" s="285" t="s">
        <v>1772</v>
      </c>
      <c r="W519" s="293" t="str">
        <f t="shared" si="17"/>
        <v>H15,H16</v>
      </c>
      <c r="X519" s="284" t="str">
        <f t="shared" si="17"/>
        <v>HY</v>
      </c>
      <c r="Y519" s="271"/>
      <c r="Z519" s="283">
        <f t="shared" si="18"/>
        <v>0.13</v>
      </c>
      <c r="AA519" s="340">
        <f t="shared" si="18"/>
        <v>8.5000000000000006E-3</v>
      </c>
    </row>
    <row r="520" spans="1:34" s="268" customFormat="1">
      <c r="A520" s="268" t="s">
        <v>942</v>
      </c>
      <c r="B520" s="268" t="s">
        <v>2044</v>
      </c>
      <c r="C520" s="268" t="s">
        <v>2068</v>
      </c>
      <c r="D520" s="268" t="s">
        <v>29</v>
      </c>
      <c r="E520" s="269" t="s">
        <v>130</v>
      </c>
      <c r="F520" s="268">
        <v>0.26</v>
      </c>
      <c r="G520" s="268">
        <v>1.7000000000000001E-2</v>
      </c>
      <c r="H520" s="268">
        <v>2.58</v>
      </c>
      <c r="I520" s="267" t="s">
        <v>1973</v>
      </c>
      <c r="J520" s="269"/>
      <c r="T520" s="292" t="s">
        <v>1756</v>
      </c>
      <c r="U520" s="283" t="s">
        <v>2454</v>
      </c>
      <c r="V520" s="285" t="s">
        <v>1772</v>
      </c>
      <c r="W520" s="293" t="str">
        <f t="shared" si="17"/>
        <v>H15,H16</v>
      </c>
      <c r="X520" s="284" t="str">
        <f t="shared" si="17"/>
        <v>KS</v>
      </c>
      <c r="Y520" s="271"/>
      <c r="Z520" s="283">
        <f t="shared" si="18"/>
        <v>0.26</v>
      </c>
      <c r="AA520" s="340">
        <f t="shared" si="18"/>
        <v>1.7000000000000001E-2</v>
      </c>
      <c r="AC520" s="250"/>
      <c r="AD520" s="250"/>
      <c r="AE520" s="250"/>
      <c r="AF520" s="250"/>
      <c r="AG520" s="250"/>
      <c r="AH520" s="250"/>
    </row>
    <row r="521" spans="1:34" s="268" customFormat="1">
      <c r="A521" s="268" t="s">
        <v>943</v>
      </c>
      <c r="B521" s="268" t="s">
        <v>2044</v>
      </c>
      <c r="C521" s="268" t="s">
        <v>2068</v>
      </c>
      <c r="D521" s="270" t="s">
        <v>29</v>
      </c>
      <c r="E521" s="269" t="s">
        <v>117</v>
      </c>
      <c r="F521" s="268">
        <v>0.13</v>
      </c>
      <c r="G521" s="268">
        <v>8.5000000000000006E-3</v>
      </c>
      <c r="H521" s="268">
        <v>2.58</v>
      </c>
      <c r="I521" s="267" t="s">
        <v>239</v>
      </c>
      <c r="J521" s="269" t="s">
        <v>240</v>
      </c>
      <c r="T521" s="292" t="s">
        <v>1756</v>
      </c>
      <c r="U521" s="283" t="s">
        <v>2454</v>
      </c>
      <c r="V521" s="285" t="s">
        <v>1772</v>
      </c>
      <c r="W521" s="293" t="str">
        <f t="shared" si="17"/>
        <v>H15,H16</v>
      </c>
      <c r="X521" s="284" t="str">
        <f t="shared" si="17"/>
        <v>HZ</v>
      </c>
      <c r="Y521" s="271"/>
      <c r="Z521" s="283">
        <f t="shared" si="18"/>
        <v>0.13</v>
      </c>
      <c r="AA521" s="340">
        <f t="shared" si="18"/>
        <v>8.5000000000000006E-3</v>
      </c>
      <c r="AC521" s="250"/>
      <c r="AD521" s="250"/>
      <c r="AE521" s="250"/>
      <c r="AF521" s="250"/>
      <c r="AG521" s="250"/>
      <c r="AH521" s="250"/>
    </row>
    <row r="522" spans="1:34" s="250" customFormat="1">
      <c r="A522" s="250" t="s">
        <v>944</v>
      </c>
      <c r="B522" s="250" t="s">
        <v>2044</v>
      </c>
      <c r="C522" s="250" t="s">
        <v>2068</v>
      </c>
      <c r="D522" s="251" t="s">
        <v>29</v>
      </c>
      <c r="E522" s="251" t="s">
        <v>157</v>
      </c>
      <c r="F522" s="250">
        <v>0.19500000000000001</v>
      </c>
      <c r="G522" s="250">
        <v>1.2750000000000001E-2</v>
      </c>
      <c r="H522" s="250">
        <v>2.58</v>
      </c>
      <c r="I522" s="252" t="s">
        <v>1973</v>
      </c>
      <c r="J522" s="250" t="s">
        <v>244</v>
      </c>
      <c r="T522" s="292" t="s">
        <v>1756</v>
      </c>
      <c r="U522" s="283" t="s">
        <v>2454</v>
      </c>
      <c r="V522" s="285" t="s">
        <v>1772</v>
      </c>
      <c r="W522" s="293" t="str">
        <f t="shared" si="17"/>
        <v>H15,H16</v>
      </c>
      <c r="X522" s="284" t="str">
        <f t="shared" si="17"/>
        <v>TL</v>
      </c>
      <c r="Y522" s="271" t="s">
        <v>1765</v>
      </c>
      <c r="Z522" s="283">
        <f t="shared" si="18"/>
        <v>0.19500000000000001</v>
      </c>
      <c r="AA522" s="340">
        <f t="shared" si="18"/>
        <v>1.2750000000000001E-2</v>
      </c>
    </row>
    <row r="523" spans="1:34" s="250" customFormat="1">
      <c r="A523" s="250" t="s">
        <v>945</v>
      </c>
      <c r="B523" s="250" t="s">
        <v>2044</v>
      </c>
      <c r="C523" s="250" t="s">
        <v>2068</v>
      </c>
      <c r="D523" s="251" t="s">
        <v>29</v>
      </c>
      <c r="E523" s="251" t="s">
        <v>186</v>
      </c>
      <c r="F523" s="250">
        <v>0.19500000000000001</v>
      </c>
      <c r="G523" s="250">
        <v>1.2750000000000001E-2</v>
      </c>
      <c r="H523" s="250">
        <v>2.58</v>
      </c>
      <c r="I523" s="252" t="s">
        <v>239</v>
      </c>
      <c r="J523" s="250" t="s">
        <v>2134</v>
      </c>
      <c r="T523" s="292" t="s">
        <v>1756</v>
      </c>
      <c r="U523" s="283" t="s">
        <v>2454</v>
      </c>
      <c r="V523" s="285" t="s">
        <v>1772</v>
      </c>
      <c r="W523" s="293" t="str">
        <f t="shared" si="17"/>
        <v>H15,H16</v>
      </c>
      <c r="X523" s="284" t="str">
        <f t="shared" si="17"/>
        <v>XL</v>
      </c>
      <c r="Y523" s="271" t="s">
        <v>1765</v>
      </c>
      <c r="Z523" s="283">
        <f t="shared" si="18"/>
        <v>0.19500000000000001</v>
      </c>
      <c r="AA523" s="340">
        <f t="shared" si="18"/>
        <v>1.2750000000000001E-2</v>
      </c>
    </row>
    <row r="524" spans="1:34" s="250" customFormat="1">
      <c r="A524" s="250" t="s">
        <v>946</v>
      </c>
      <c r="B524" s="250" t="s">
        <v>2044</v>
      </c>
      <c r="C524" s="250" t="s">
        <v>2068</v>
      </c>
      <c r="D524" s="251" t="s">
        <v>29</v>
      </c>
      <c r="E524" s="251" t="s">
        <v>134</v>
      </c>
      <c r="F524" s="250">
        <v>0.13</v>
      </c>
      <c r="G524" s="250">
        <v>8.5000000000000006E-3</v>
      </c>
      <c r="H524" s="250">
        <v>2.58</v>
      </c>
      <c r="I524" s="252" t="s">
        <v>1973</v>
      </c>
      <c r="J524" s="251" t="s">
        <v>247</v>
      </c>
      <c r="T524" s="292" t="s">
        <v>1756</v>
      </c>
      <c r="U524" s="283" t="s">
        <v>2454</v>
      </c>
      <c r="V524" s="285" t="s">
        <v>1772</v>
      </c>
      <c r="W524" s="293" t="str">
        <f t="shared" si="17"/>
        <v>H15,H16</v>
      </c>
      <c r="X524" s="284" t="str">
        <f t="shared" si="17"/>
        <v>LL</v>
      </c>
      <c r="Y524" s="271" t="s">
        <v>1766</v>
      </c>
      <c r="Z524" s="283">
        <f t="shared" si="18"/>
        <v>0.13</v>
      </c>
      <c r="AA524" s="340">
        <f t="shared" si="18"/>
        <v>8.5000000000000006E-3</v>
      </c>
    </row>
    <row r="525" spans="1:34" s="250" customFormat="1">
      <c r="A525" s="250" t="s">
        <v>947</v>
      </c>
      <c r="B525" s="250" t="s">
        <v>2044</v>
      </c>
      <c r="C525" s="250" t="s">
        <v>2068</v>
      </c>
      <c r="D525" s="251" t="s">
        <v>29</v>
      </c>
      <c r="E525" s="251" t="s">
        <v>192</v>
      </c>
      <c r="F525" s="250">
        <v>0.13</v>
      </c>
      <c r="G525" s="250">
        <v>8.5000000000000006E-3</v>
      </c>
      <c r="H525" s="250">
        <v>2.58</v>
      </c>
      <c r="I525" s="252" t="s">
        <v>239</v>
      </c>
      <c r="J525" s="251" t="s">
        <v>2135</v>
      </c>
      <c r="T525" s="292" t="s">
        <v>1756</v>
      </c>
      <c r="U525" s="283" t="s">
        <v>2454</v>
      </c>
      <c r="V525" s="285" t="s">
        <v>1772</v>
      </c>
      <c r="W525" s="293" t="str">
        <f t="shared" si="17"/>
        <v>H15,H16</v>
      </c>
      <c r="X525" s="284" t="str">
        <f t="shared" si="17"/>
        <v>YL</v>
      </c>
      <c r="Y525" s="271" t="s">
        <v>1766</v>
      </c>
      <c r="Z525" s="283">
        <f t="shared" si="18"/>
        <v>0.13</v>
      </c>
      <c r="AA525" s="340">
        <f t="shared" si="18"/>
        <v>8.5000000000000006E-3</v>
      </c>
    </row>
    <row r="526" spans="1:34" s="250" customFormat="1">
      <c r="A526" s="250" t="s">
        <v>948</v>
      </c>
      <c r="B526" s="250" t="s">
        <v>2044</v>
      </c>
      <c r="C526" s="250" t="s">
        <v>2068</v>
      </c>
      <c r="D526" s="251" t="s">
        <v>29</v>
      </c>
      <c r="E526" s="251" t="s">
        <v>163</v>
      </c>
      <c r="F526" s="250">
        <v>6.5000000000000002E-2</v>
      </c>
      <c r="G526" s="250">
        <v>4.2500000000000003E-3</v>
      </c>
      <c r="H526" s="250">
        <v>2.58</v>
      </c>
      <c r="I526" s="252" t="s">
        <v>1973</v>
      </c>
      <c r="J526" s="251" t="s">
        <v>250</v>
      </c>
      <c r="T526" s="292" t="s">
        <v>1756</v>
      </c>
      <c r="U526" s="283" t="s">
        <v>2454</v>
      </c>
      <c r="V526" s="285" t="s">
        <v>1772</v>
      </c>
      <c r="W526" s="293" t="str">
        <f t="shared" si="17"/>
        <v>H15,H16</v>
      </c>
      <c r="X526" s="284" t="str">
        <f t="shared" si="17"/>
        <v>UL</v>
      </c>
      <c r="Y526" s="271" t="s">
        <v>1767</v>
      </c>
      <c r="Z526" s="283">
        <f t="shared" si="18"/>
        <v>6.5000000000000002E-2</v>
      </c>
      <c r="AA526" s="340">
        <f t="shared" si="18"/>
        <v>4.2500000000000003E-3</v>
      </c>
    </row>
    <row r="527" spans="1:34" s="250" customFormat="1">
      <c r="A527" s="250" t="s">
        <v>949</v>
      </c>
      <c r="B527" s="250" t="s">
        <v>2044</v>
      </c>
      <c r="C527" s="250" t="s">
        <v>2068</v>
      </c>
      <c r="D527" s="251" t="s">
        <v>29</v>
      </c>
      <c r="E527" s="251" t="s">
        <v>197</v>
      </c>
      <c r="F527" s="250">
        <v>6.5000000000000002E-2</v>
      </c>
      <c r="G527" s="250">
        <v>4.2500000000000003E-3</v>
      </c>
      <c r="H527" s="250">
        <v>2.58</v>
      </c>
      <c r="I527" s="252" t="s">
        <v>239</v>
      </c>
      <c r="J527" s="251" t="s">
        <v>2136</v>
      </c>
      <c r="T527" s="292" t="s">
        <v>1756</v>
      </c>
      <c r="U527" s="283" t="s">
        <v>2454</v>
      </c>
      <c r="V527" s="285" t="s">
        <v>1772</v>
      </c>
      <c r="W527" s="293" t="str">
        <f t="shared" si="17"/>
        <v>H15,H16</v>
      </c>
      <c r="X527" s="284" t="str">
        <f t="shared" si="17"/>
        <v>ZL</v>
      </c>
      <c r="Y527" s="271" t="s">
        <v>1767</v>
      </c>
      <c r="Z527" s="283">
        <f t="shared" si="18"/>
        <v>6.5000000000000002E-2</v>
      </c>
      <c r="AA527" s="340">
        <f t="shared" si="18"/>
        <v>4.2500000000000003E-3</v>
      </c>
    </row>
    <row r="528" spans="1:34" s="250" customFormat="1">
      <c r="A528" s="250" t="s">
        <v>950</v>
      </c>
      <c r="B528" s="250" t="s">
        <v>2044</v>
      </c>
      <c r="C528" s="250" t="s">
        <v>2068</v>
      </c>
      <c r="D528" s="251" t="s">
        <v>29</v>
      </c>
      <c r="E528" s="251" t="s">
        <v>138</v>
      </c>
      <c r="F528" s="250">
        <v>0.26</v>
      </c>
      <c r="G528" s="250">
        <v>4.2500000000000003E-3</v>
      </c>
      <c r="H528" s="250">
        <v>2.58</v>
      </c>
      <c r="I528" s="252" t="s">
        <v>1973</v>
      </c>
      <c r="J528" s="251" t="s">
        <v>951</v>
      </c>
      <c r="T528" s="292" t="s">
        <v>1756</v>
      </c>
      <c r="U528" s="283" t="s">
        <v>2454</v>
      </c>
      <c r="V528" s="285" t="s">
        <v>1772</v>
      </c>
      <c r="W528" s="293" t="str">
        <f t="shared" si="17"/>
        <v>H15,H16</v>
      </c>
      <c r="X528" s="284" t="str">
        <f t="shared" si="17"/>
        <v>PA</v>
      </c>
      <c r="Y528" s="271" t="s">
        <v>2357</v>
      </c>
      <c r="Z528" s="283">
        <f t="shared" si="18"/>
        <v>0.26</v>
      </c>
      <c r="AA528" s="340">
        <f t="shared" si="18"/>
        <v>4.2500000000000003E-3</v>
      </c>
    </row>
    <row r="529" spans="1:34" s="250" customFormat="1">
      <c r="A529" s="250" t="s">
        <v>952</v>
      </c>
      <c r="B529" s="250" t="s">
        <v>2044</v>
      </c>
      <c r="C529" s="250" t="s">
        <v>2068</v>
      </c>
      <c r="D529" s="251" t="s">
        <v>29</v>
      </c>
      <c r="E529" s="251" t="s">
        <v>165</v>
      </c>
      <c r="F529" s="250">
        <v>0.13</v>
      </c>
      <c r="G529" s="250">
        <v>4.2500000000000003E-3</v>
      </c>
      <c r="H529" s="250">
        <v>2.58</v>
      </c>
      <c r="I529" s="252" t="s">
        <v>239</v>
      </c>
      <c r="J529" s="251" t="s">
        <v>953</v>
      </c>
      <c r="T529" s="292" t="s">
        <v>1756</v>
      </c>
      <c r="U529" s="283" t="s">
        <v>2454</v>
      </c>
      <c r="V529" s="285" t="s">
        <v>1772</v>
      </c>
      <c r="W529" s="293" t="str">
        <f t="shared" si="17"/>
        <v>H15,H16</v>
      </c>
      <c r="X529" s="284" t="str">
        <f t="shared" si="17"/>
        <v>VA</v>
      </c>
      <c r="Y529" s="271" t="s">
        <v>2357</v>
      </c>
      <c r="Z529" s="283">
        <f t="shared" si="18"/>
        <v>0.13</v>
      </c>
      <c r="AA529" s="340">
        <f t="shared" si="18"/>
        <v>4.2500000000000003E-3</v>
      </c>
    </row>
    <row r="530" spans="1:34" s="250" customFormat="1">
      <c r="A530" s="250" t="s">
        <v>954</v>
      </c>
      <c r="B530" s="250" t="s">
        <v>2044</v>
      </c>
      <c r="C530" s="250" t="s">
        <v>2068</v>
      </c>
      <c r="D530" s="251" t="s">
        <v>29</v>
      </c>
      <c r="E530" s="251" t="s">
        <v>139</v>
      </c>
      <c r="F530" s="250">
        <v>0.26</v>
      </c>
      <c r="G530" s="250">
        <v>2.5500000000000002E-3</v>
      </c>
      <c r="H530" s="250">
        <v>2.58</v>
      </c>
      <c r="I530" s="252" t="s">
        <v>1973</v>
      </c>
      <c r="J530" s="251" t="s">
        <v>955</v>
      </c>
      <c r="T530" s="292" t="s">
        <v>1756</v>
      </c>
      <c r="U530" s="283" t="s">
        <v>2454</v>
      </c>
      <c r="V530" s="285" t="s">
        <v>1772</v>
      </c>
      <c r="W530" s="293" t="str">
        <f t="shared" si="17"/>
        <v>H15,H16</v>
      </c>
      <c r="X530" s="284" t="str">
        <f t="shared" si="17"/>
        <v>PB</v>
      </c>
      <c r="Y530" s="271" t="s">
        <v>2358</v>
      </c>
      <c r="Z530" s="283">
        <f t="shared" si="18"/>
        <v>0.26</v>
      </c>
      <c r="AA530" s="340">
        <f t="shared" si="18"/>
        <v>2.5500000000000002E-3</v>
      </c>
    </row>
    <row r="531" spans="1:34" s="250" customFormat="1">
      <c r="A531" s="250" t="s">
        <v>956</v>
      </c>
      <c r="B531" s="250" t="s">
        <v>2044</v>
      </c>
      <c r="C531" s="250" t="s">
        <v>2068</v>
      </c>
      <c r="D531" s="251" t="s">
        <v>29</v>
      </c>
      <c r="E531" s="251" t="s">
        <v>166</v>
      </c>
      <c r="F531" s="250">
        <v>0.13</v>
      </c>
      <c r="G531" s="250">
        <v>2.5500000000000002E-3</v>
      </c>
      <c r="H531" s="250">
        <v>2.58</v>
      </c>
      <c r="I531" s="252" t="s">
        <v>239</v>
      </c>
      <c r="J531" s="251" t="s">
        <v>957</v>
      </c>
      <c r="T531" s="292" t="s">
        <v>1756</v>
      </c>
      <c r="U531" s="283" t="s">
        <v>2454</v>
      </c>
      <c r="V531" s="285" t="s">
        <v>1772</v>
      </c>
      <c r="W531" s="293" t="str">
        <f t="shared" si="17"/>
        <v>H15,H16</v>
      </c>
      <c r="X531" s="284" t="str">
        <f t="shared" si="17"/>
        <v>VB</v>
      </c>
      <c r="Y531" s="271" t="s">
        <v>2358</v>
      </c>
      <c r="Z531" s="283">
        <f t="shared" si="18"/>
        <v>0.13</v>
      </c>
      <c r="AA531" s="340">
        <f t="shared" si="18"/>
        <v>2.5500000000000002E-3</v>
      </c>
    </row>
    <row r="532" spans="1:34" s="250" customFormat="1" ht="13.75" customHeight="1">
      <c r="A532" s="250" t="s">
        <v>958</v>
      </c>
      <c r="B532" s="250" t="s">
        <v>2044</v>
      </c>
      <c r="C532" s="250" t="s">
        <v>2068</v>
      </c>
      <c r="D532" s="251" t="s">
        <v>29</v>
      </c>
      <c r="E532" s="251" t="s">
        <v>140</v>
      </c>
      <c r="F532" s="250">
        <v>0.19500000000000001</v>
      </c>
      <c r="G532" s="250">
        <v>4.2500000000000003E-3</v>
      </c>
      <c r="H532" s="250">
        <v>2.58</v>
      </c>
      <c r="I532" s="252" t="s">
        <v>1973</v>
      </c>
      <c r="J532" s="251" t="s">
        <v>959</v>
      </c>
      <c r="T532" s="292" t="s">
        <v>1756</v>
      </c>
      <c r="U532" s="283" t="s">
        <v>2454</v>
      </c>
      <c r="V532" s="285" t="s">
        <v>1772</v>
      </c>
      <c r="W532" s="293" t="str">
        <f t="shared" si="17"/>
        <v>H15,H16</v>
      </c>
      <c r="X532" s="284" t="str">
        <f t="shared" si="17"/>
        <v>PC</v>
      </c>
      <c r="Y532" s="932" t="s">
        <v>2255</v>
      </c>
      <c r="Z532" s="283">
        <f t="shared" si="18"/>
        <v>0.19500000000000001</v>
      </c>
      <c r="AA532" s="340">
        <f t="shared" si="18"/>
        <v>4.2500000000000003E-3</v>
      </c>
      <c r="AC532" s="253"/>
      <c r="AD532" s="253"/>
      <c r="AE532" s="253"/>
      <c r="AF532" s="253"/>
      <c r="AG532" s="253"/>
      <c r="AH532" s="253"/>
    </row>
    <row r="533" spans="1:34" s="250" customFormat="1">
      <c r="A533" s="250" t="s">
        <v>960</v>
      </c>
      <c r="B533" s="250" t="s">
        <v>2044</v>
      </c>
      <c r="C533" s="250" t="s">
        <v>2068</v>
      </c>
      <c r="D533" s="251" t="s">
        <v>29</v>
      </c>
      <c r="E533" s="251" t="s">
        <v>167</v>
      </c>
      <c r="F533" s="250">
        <v>0.19500000000000001</v>
      </c>
      <c r="G533" s="250">
        <v>4.2500000000000003E-3</v>
      </c>
      <c r="H533" s="250">
        <v>2.58</v>
      </c>
      <c r="I533" s="252" t="s">
        <v>239</v>
      </c>
      <c r="J533" s="251" t="s">
        <v>961</v>
      </c>
      <c r="T533" s="292" t="s">
        <v>1756</v>
      </c>
      <c r="U533" s="283" t="s">
        <v>2454</v>
      </c>
      <c r="V533" s="285" t="s">
        <v>1772</v>
      </c>
      <c r="W533" s="293" t="str">
        <f t="shared" si="17"/>
        <v>H15,H16</v>
      </c>
      <c r="X533" s="284" t="str">
        <f t="shared" si="17"/>
        <v>VC</v>
      </c>
      <c r="Y533" s="933"/>
      <c r="Z533" s="283">
        <f t="shared" si="18"/>
        <v>0.19500000000000001</v>
      </c>
      <c r="AA533" s="340">
        <f t="shared" si="18"/>
        <v>4.2500000000000003E-3</v>
      </c>
      <c r="AC533" s="253"/>
      <c r="AD533" s="253"/>
      <c r="AE533" s="253"/>
      <c r="AF533" s="253"/>
      <c r="AG533" s="253"/>
      <c r="AH533" s="253"/>
    </row>
    <row r="534" spans="1:34" s="253" customFormat="1" ht="13.75" customHeight="1">
      <c r="A534" s="253" t="s">
        <v>962</v>
      </c>
      <c r="B534" s="253" t="s">
        <v>2044</v>
      </c>
      <c r="C534" s="253" t="s">
        <v>2068</v>
      </c>
      <c r="D534" s="254" t="s">
        <v>29</v>
      </c>
      <c r="E534" s="254" t="s">
        <v>141</v>
      </c>
      <c r="F534" s="253">
        <v>0.19500000000000001</v>
      </c>
      <c r="G534" s="253">
        <v>2.5500000000000002E-3</v>
      </c>
      <c r="H534" s="253">
        <v>2.58</v>
      </c>
      <c r="I534" s="255" t="s">
        <v>1973</v>
      </c>
      <c r="J534" s="253" t="s">
        <v>963</v>
      </c>
      <c r="T534" s="292" t="s">
        <v>1756</v>
      </c>
      <c r="U534" s="283" t="s">
        <v>2454</v>
      </c>
      <c r="V534" s="285" t="s">
        <v>1772</v>
      </c>
      <c r="W534" s="293" t="str">
        <f t="shared" si="17"/>
        <v>H15,H16</v>
      </c>
      <c r="X534" s="284" t="str">
        <f t="shared" si="17"/>
        <v>PD</v>
      </c>
      <c r="Y534" s="932" t="s">
        <v>2256</v>
      </c>
      <c r="Z534" s="283">
        <f t="shared" si="18"/>
        <v>0.19500000000000001</v>
      </c>
      <c r="AA534" s="340">
        <f t="shared" si="18"/>
        <v>2.5500000000000002E-3</v>
      </c>
    </row>
    <row r="535" spans="1:34" s="253" customFormat="1">
      <c r="A535" s="253" t="s">
        <v>964</v>
      </c>
      <c r="B535" s="253" t="s">
        <v>2044</v>
      </c>
      <c r="C535" s="253" t="s">
        <v>2068</v>
      </c>
      <c r="D535" s="254" t="s">
        <v>29</v>
      </c>
      <c r="E535" s="254" t="s">
        <v>168</v>
      </c>
      <c r="F535" s="253">
        <v>0.19500000000000001</v>
      </c>
      <c r="G535" s="253">
        <v>2.5500000000000002E-3</v>
      </c>
      <c r="H535" s="253">
        <v>2.58</v>
      </c>
      <c r="I535" s="255" t="s">
        <v>239</v>
      </c>
      <c r="J535" s="253" t="s">
        <v>965</v>
      </c>
      <c r="T535" s="292" t="s">
        <v>1756</v>
      </c>
      <c r="U535" s="283" t="s">
        <v>2454</v>
      </c>
      <c r="V535" s="285" t="s">
        <v>1772</v>
      </c>
      <c r="W535" s="293" t="str">
        <f t="shared" si="17"/>
        <v>H15,H16</v>
      </c>
      <c r="X535" s="284" t="str">
        <f t="shared" si="17"/>
        <v>VD</v>
      </c>
      <c r="Y535" s="933"/>
      <c r="Z535" s="283">
        <f t="shared" si="18"/>
        <v>0.19500000000000001</v>
      </c>
      <c r="AA535" s="340">
        <f t="shared" si="18"/>
        <v>2.5500000000000002E-3</v>
      </c>
    </row>
    <row r="536" spans="1:34" s="253" customFormat="1" ht="13.75" customHeight="1">
      <c r="A536" s="253" t="s">
        <v>966</v>
      </c>
      <c r="B536" s="253" t="s">
        <v>2044</v>
      </c>
      <c r="C536" s="253" t="s">
        <v>2068</v>
      </c>
      <c r="D536" s="254" t="s">
        <v>29</v>
      </c>
      <c r="E536" s="254" t="s">
        <v>142</v>
      </c>
      <c r="F536" s="253">
        <v>0.13</v>
      </c>
      <c r="G536" s="253">
        <v>4.2500000000000003E-3</v>
      </c>
      <c r="H536" s="253">
        <v>2.58</v>
      </c>
      <c r="I536" s="255" t="s">
        <v>1973</v>
      </c>
      <c r="J536" s="254" t="s">
        <v>967</v>
      </c>
      <c r="T536" s="292" t="s">
        <v>1756</v>
      </c>
      <c r="U536" s="283" t="s">
        <v>2454</v>
      </c>
      <c r="V536" s="285" t="s">
        <v>1772</v>
      </c>
      <c r="W536" s="293" t="str">
        <f t="shared" si="17"/>
        <v>H15,H16</v>
      </c>
      <c r="X536" s="284" t="str">
        <f t="shared" si="17"/>
        <v>PE</v>
      </c>
      <c r="Y536" s="932" t="s">
        <v>2257</v>
      </c>
      <c r="Z536" s="283">
        <f t="shared" si="18"/>
        <v>0.13</v>
      </c>
      <c r="AA536" s="340">
        <f t="shared" si="18"/>
        <v>4.2500000000000003E-3</v>
      </c>
      <c r="AC536" s="74"/>
      <c r="AD536" s="74"/>
      <c r="AE536" s="74"/>
      <c r="AF536" s="74"/>
      <c r="AG536" s="74"/>
      <c r="AH536" s="74"/>
    </row>
    <row r="537" spans="1:34" s="253" customFormat="1">
      <c r="A537" s="253" t="s">
        <v>968</v>
      </c>
      <c r="B537" s="253" t="s">
        <v>2044</v>
      </c>
      <c r="C537" s="253" t="s">
        <v>2068</v>
      </c>
      <c r="D537" s="254" t="s">
        <v>29</v>
      </c>
      <c r="E537" s="254" t="s">
        <v>169</v>
      </c>
      <c r="F537" s="253">
        <v>0.13</v>
      </c>
      <c r="G537" s="253">
        <v>4.2500000000000003E-3</v>
      </c>
      <c r="H537" s="253">
        <v>2.58</v>
      </c>
      <c r="I537" s="255" t="s">
        <v>239</v>
      </c>
      <c r="J537" s="254" t="s">
        <v>969</v>
      </c>
      <c r="T537" s="292" t="s">
        <v>1756</v>
      </c>
      <c r="U537" s="283" t="s">
        <v>2454</v>
      </c>
      <c r="V537" s="285" t="s">
        <v>1772</v>
      </c>
      <c r="W537" s="293" t="str">
        <f t="shared" si="17"/>
        <v>H15,H16</v>
      </c>
      <c r="X537" s="284" t="str">
        <f t="shared" si="17"/>
        <v>VE</v>
      </c>
      <c r="Y537" s="933"/>
      <c r="Z537" s="283">
        <f t="shared" si="18"/>
        <v>0.13</v>
      </c>
      <c r="AA537" s="340">
        <f t="shared" si="18"/>
        <v>4.2500000000000003E-3</v>
      </c>
      <c r="AC537" s="74"/>
      <c r="AD537" s="74"/>
      <c r="AE537" s="74"/>
      <c r="AF537" s="74"/>
      <c r="AG537" s="74"/>
      <c r="AH537" s="74"/>
    </row>
    <row r="538" spans="1:34" ht="13.75" customHeight="1">
      <c r="A538" s="74" t="s">
        <v>970</v>
      </c>
      <c r="B538" s="74" t="s">
        <v>2044</v>
      </c>
      <c r="C538" s="74" t="s">
        <v>2068</v>
      </c>
      <c r="D538" s="74" t="s">
        <v>29</v>
      </c>
      <c r="E538" s="74" t="s">
        <v>143</v>
      </c>
      <c r="F538" s="74">
        <v>0.13</v>
      </c>
      <c r="G538" s="74">
        <v>2.5500000000000002E-3</v>
      </c>
      <c r="H538" s="74">
        <v>2.58</v>
      </c>
      <c r="I538" s="13" t="s">
        <v>1973</v>
      </c>
      <c r="J538" s="74" t="s">
        <v>971</v>
      </c>
      <c r="T538" s="292" t="s">
        <v>1756</v>
      </c>
      <c r="U538" s="283" t="s">
        <v>2454</v>
      </c>
      <c r="V538" s="285" t="s">
        <v>1772</v>
      </c>
      <c r="W538" s="293" t="str">
        <f t="shared" si="17"/>
        <v>H15,H16</v>
      </c>
      <c r="X538" s="284" t="str">
        <f t="shared" si="17"/>
        <v>PF</v>
      </c>
      <c r="Y538" s="932" t="s">
        <v>2258</v>
      </c>
      <c r="Z538" s="283">
        <f t="shared" si="18"/>
        <v>0.13</v>
      </c>
      <c r="AA538" s="340">
        <f t="shared" si="18"/>
        <v>2.5500000000000002E-3</v>
      </c>
    </row>
    <row r="539" spans="1:34">
      <c r="A539" s="74" t="s">
        <v>972</v>
      </c>
      <c r="B539" s="74" t="s">
        <v>2044</v>
      </c>
      <c r="C539" s="74" t="s">
        <v>2068</v>
      </c>
      <c r="D539" s="74" t="s">
        <v>29</v>
      </c>
      <c r="E539" s="74" t="s">
        <v>170</v>
      </c>
      <c r="F539" s="74">
        <v>0.13</v>
      </c>
      <c r="G539" s="74">
        <v>2.5500000000000002E-3</v>
      </c>
      <c r="H539" s="74">
        <v>2.58</v>
      </c>
      <c r="I539" s="13" t="s">
        <v>239</v>
      </c>
      <c r="J539" s="74" t="s">
        <v>973</v>
      </c>
      <c r="T539" s="292" t="s">
        <v>1756</v>
      </c>
      <c r="U539" s="283" t="s">
        <v>2454</v>
      </c>
      <c r="V539" s="285" t="s">
        <v>1772</v>
      </c>
      <c r="W539" s="293" t="str">
        <f t="shared" si="17"/>
        <v>H15,H16</v>
      </c>
      <c r="X539" s="284" t="str">
        <f t="shared" si="17"/>
        <v>VF</v>
      </c>
      <c r="Y539" s="933"/>
      <c r="Z539" s="283">
        <f t="shared" si="18"/>
        <v>0.13</v>
      </c>
      <c r="AA539" s="340">
        <f t="shared" si="18"/>
        <v>2.5500000000000002E-3</v>
      </c>
    </row>
    <row r="540" spans="1:34" ht="13.75" customHeight="1">
      <c r="A540" s="74" t="s">
        <v>974</v>
      </c>
      <c r="B540" s="74" t="s">
        <v>2044</v>
      </c>
      <c r="C540" s="74" t="s">
        <v>2068</v>
      </c>
      <c r="D540" s="74" t="s">
        <v>29</v>
      </c>
      <c r="E540" s="74" t="s">
        <v>144</v>
      </c>
      <c r="F540" s="74">
        <v>6.5000000000000002E-2</v>
      </c>
      <c r="G540" s="74">
        <v>4.2500000000000003E-3</v>
      </c>
      <c r="H540" s="74">
        <v>2.58</v>
      </c>
      <c r="I540" s="13" t="s">
        <v>1973</v>
      </c>
      <c r="J540" s="74" t="s">
        <v>975</v>
      </c>
      <c r="T540" s="292" t="s">
        <v>1756</v>
      </c>
      <c r="U540" s="283" t="s">
        <v>2454</v>
      </c>
      <c r="V540" s="285" t="s">
        <v>1772</v>
      </c>
      <c r="W540" s="293" t="str">
        <f t="shared" si="17"/>
        <v>H15,H16</v>
      </c>
      <c r="X540" s="284" t="str">
        <f t="shared" si="17"/>
        <v>PG</v>
      </c>
      <c r="Y540" s="932" t="s">
        <v>2260</v>
      </c>
      <c r="Z540" s="283">
        <f t="shared" si="18"/>
        <v>6.5000000000000002E-2</v>
      </c>
      <c r="AA540" s="340">
        <f t="shared" si="18"/>
        <v>4.2500000000000003E-3</v>
      </c>
    </row>
    <row r="541" spans="1:34">
      <c r="A541" s="74" t="s">
        <v>976</v>
      </c>
      <c r="B541" s="74" t="s">
        <v>2044</v>
      </c>
      <c r="C541" s="74" t="s">
        <v>2068</v>
      </c>
      <c r="D541" s="74" t="s">
        <v>29</v>
      </c>
      <c r="E541" s="74" t="s">
        <v>171</v>
      </c>
      <c r="F541" s="74">
        <v>6.5000000000000002E-2</v>
      </c>
      <c r="G541" s="74">
        <v>4.2500000000000003E-3</v>
      </c>
      <c r="H541" s="74">
        <v>2.58</v>
      </c>
      <c r="I541" s="13" t="s">
        <v>239</v>
      </c>
      <c r="J541" s="74" t="s">
        <v>977</v>
      </c>
      <c r="T541" s="292" t="s">
        <v>1756</v>
      </c>
      <c r="U541" s="283" t="s">
        <v>2454</v>
      </c>
      <c r="V541" s="285" t="s">
        <v>1772</v>
      </c>
      <c r="W541" s="293" t="str">
        <f t="shared" si="17"/>
        <v>H15,H16</v>
      </c>
      <c r="X541" s="284" t="str">
        <f t="shared" si="17"/>
        <v>VG</v>
      </c>
      <c r="Y541" s="933"/>
      <c r="Z541" s="283">
        <f t="shared" si="18"/>
        <v>6.5000000000000002E-2</v>
      </c>
      <c r="AA541" s="340">
        <f t="shared" si="18"/>
        <v>4.2500000000000003E-3</v>
      </c>
    </row>
    <row r="542" spans="1:34" ht="13.75" customHeight="1">
      <c r="A542" s="74" t="s">
        <v>978</v>
      </c>
      <c r="B542" s="74" t="s">
        <v>2044</v>
      </c>
      <c r="C542" s="74" t="s">
        <v>2068</v>
      </c>
      <c r="D542" s="74" t="s">
        <v>29</v>
      </c>
      <c r="E542" s="74" t="s">
        <v>145</v>
      </c>
      <c r="F542" s="74">
        <v>6.5000000000000002E-2</v>
      </c>
      <c r="G542" s="74">
        <v>2.5500000000000002E-3</v>
      </c>
      <c r="H542" s="74">
        <v>2.58</v>
      </c>
      <c r="I542" s="13" t="s">
        <v>1973</v>
      </c>
      <c r="J542" s="74" t="s">
        <v>979</v>
      </c>
      <c r="T542" s="292" t="s">
        <v>1756</v>
      </c>
      <c r="U542" s="283" t="s">
        <v>2454</v>
      </c>
      <c r="V542" s="285" t="s">
        <v>1772</v>
      </c>
      <c r="W542" s="293" t="str">
        <f t="shared" si="17"/>
        <v>H15,H16</v>
      </c>
      <c r="X542" s="284" t="str">
        <f t="shared" si="17"/>
        <v>PH</v>
      </c>
      <c r="Y542" s="932" t="s">
        <v>2259</v>
      </c>
      <c r="Z542" s="283">
        <f t="shared" si="18"/>
        <v>6.5000000000000002E-2</v>
      </c>
      <c r="AA542" s="340">
        <f t="shared" si="18"/>
        <v>2.5500000000000002E-3</v>
      </c>
    </row>
    <row r="543" spans="1:34">
      <c r="A543" s="74" t="s">
        <v>980</v>
      </c>
      <c r="B543" s="74" t="s">
        <v>2044</v>
      </c>
      <c r="C543" s="74" t="s">
        <v>2068</v>
      </c>
      <c r="D543" s="74" t="s">
        <v>29</v>
      </c>
      <c r="E543" s="74" t="s">
        <v>172</v>
      </c>
      <c r="F543" s="268">
        <v>6.5000000000000002E-2</v>
      </c>
      <c r="G543" s="74">
        <v>2.5500000000000002E-3</v>
      </c>
      <c r="H543" s="74">
        <v>2.58</v>
      </c>
      <c r="I543" s="13" t="s">
        <v>239</v>
      </c>
      <c r="J543" s="74" t="s">
        <v>981</v>
      </c>
      <c r="T543" s="292" t="s">
        <v>1756</v>
      </c>
      <c r="U543" s="283" t="s">
        <v>2454</v>
      </c>
      <c r="V543" s="285" t="s">
        <v>1772</v>
      </c>
      <c r="W543" s="293" t="str">
        <f t="shared" si="17"/>
        <v>H15,H16</v>
      </c>
      <c r="X543" s="284" t="str">
        <f t="shared" si="17"/>
        <v>VH</v>
      </c>
      <c r="Y543" s="933"/>
      <c r="Z543" s="283">
        <f t="shared" si="18"/>
        <v>6.5000000000000002E-2</v>
      </c>
      <c r="AA543" s="340">
        <f t="shared" si="18"/>
        <v>2.5500000000000002E-3</v>
      </c>
    </row>
    <row r="544" spans="1:34">
      <c r="A544" s="74" t="s">
        <v>982</v>
      </c>
      <c r="B544" s="74" t="s">
        <v>2044</v>
      </c>
      <c r="C544" s="74" t="s">
        <v>2068</v>
      </c>
      <c r="D544" s="74" t="s">
        <v>29</v>
      </c>
      <c r="E544" s="74" t="s">
        <v>158</v>
      </c>
      <c r="F544" s="268">
        <v>0.19500000000000001</v>
      </c>
      <c r="G544" s="74">
        <v>1.2750000000000001E-2</v>
      </c>
      <c r="H544" s="74">
        <v>2.58</v>
      </c>
      <c r="I544" s="13" t="s">
        <v>1973</v>
      </c>
      <c r="J544" s="74" t="s">
        <v>244</v>
      </c>
      <c r="T544" s="292" t="s">
        <v>1756</v>
      </c>
      <c r="U544" s="283" t="s">
        <v>2454</v>
      </c>
      <c r="V544" s="285" t="s">
        <v>1772</v>
      </c>
      <c r="W544" s="293" t="str">
        <f t="shared" si="17"/>
        <v>H15,H16</v>
      </c>
      <c r="X544" s="284" t="str">
        <f t="shared" si="17"/>
        <v>TM</v>
      </c>
      <c r="Y544" s="271" t="s">
        <v>1765</v>
      </c>
      <c r="Z544" s="283">
        <f t="shared" si="18"/>
        <v>0.19500000000000001</v>
      </c>
      <c r="AA544" s="340">
        <f t="shared" si="18"/>
        <v>1.2750000000000001E-2</v>
      </c>
    </row>
    <row r="545" spans="1:34">
      <c r="A545" s="74" t="s">
        <v>983</v>
      </c>
      <c r="B545" s="74" t="s">
        <v>2044</v>
      </c>
      <c r="C545" s="74" t="s">
        <v>2068</v>
      </c>
      <c r="D545" s="74" t="s">
        <v>29</v>
      </c>
      <c r="E545" s="74" t="s">
        <v>187</v>
      </c>
      <c r="F545" s="74">
        <v>0.19500000000000001</v>
      </c>
      <c r="G545" s="74">
        <v>1.2750000000000001E-2</v>
      </c>
      <c r="H545" s="74">
        <v>2.58</v>
      </c>
      <c r="I545" s="13" t="s">
        <v>239</v>
      </c>
      <c r="J545" t="s">
        <v>2134</v>
      </c>
      <c r="T545" s="292" t="s">
        <v>1756</v>
      </c>
      <c r="U545" s="283" t="s">
        <v>2454</v>
      </c>
      <c r="V545" s="285" t="s">
        <v>1772</v>
      </c>
      <c r="W545" s="293" t="str">
        <f t="shared" si="17"/>
        <v>H15,H16</v>
      </c>
      <c r="X545" s="284" t="str">
        <f t="shared" si="17"/>
        <v>XM</v>
      </c>
      <c r="Y545" s="271" t="s">
        <v>1765</v>
      </c>
      <c r="Z545" s="283">
        <f t="shared" si="18"/>
        <v>0.19500000000000001</v>
      </c>
      <c r="AA545" s="340">
        <f t="shared" si="18"/>
        <v>1.2750000000000001E-2</v>
      </c>
    </row>
    <row r="546" spans="1:34">
      <c r="A546" s="74" t="s">
        <v>984</v>
      </c>
      <c r="B546" s="74" t="s">
        <v>2044</v>
      </c>
      <c r="C546" s="74" t="s">
        <v>2068</v>
      </c>
      <c r="D546" s="74" t="s">
        <v>29</v>
      </c>
      <c r="E546" s="74" t="s">
        <v>135</v>
      </c>
      <c r="F546" s="74">
        <v>0.13</v>
      </c>
      <c r="G546" s="74">
        <v>8.5000000000000006E-3</v>
      </c>
      <c r="H546" s="74">
        <v>2.58</v>
      </c>
      <c r="I546" s="13" t="s">
        <v>1973</v>
      </c>
      <c r="J546" t="s">
        <v>247</v>
      </c>
      <c r="T546" s="292" t="s">
        <v>1756</v>
      </c>
      <c r="U546" s="283" t="s">
        <v>2454</v>
      </c>
      <c r="V546" s="285" t="s">
        <v>1772</v>
      </c>
      <c r="W546" s="293" t="str">
        <f t="shared" si="17"/>
        <v>H15,H16</v>
      </c>
      <c r="X546" s="284" t="str">
        <f t="shared" si="17"/>
        <v>LM</v>
      </c>
      <c r="Y546" s="271" t="s">
        <v>1766</v>
      </c>
      <c r="Z546" s="283">
        <f t="shared" si="18"/>
        <v>0.13</v>
      </c>
      <c r="AA546" s="340">
        <f t="shared" si="18"/>
        <v>8.5000000000000006E-3</v>
      </c>
    </row>
    <row r="547" spans="1:34">
      <c r="A547" s="74" t="s">
        <v>985</v>
      </c>
      <c r="B547" s="74" t="s">
        <v>2044</v>
      </c>
      <c r="C547" s="74" t="s">
        <v>2068</v>
      </c>
      <c r="D547" s="74" t="s">
        <v>29</v>
      </c>
      <c r="E547" s="74" t="s">
        <v>193</v>
      </c>
      <c r="F547" s="74">
        <v>0.13</v>
      </c>
      <c r="G547" s="74">
        <v>8.5000000000000006E-3</v>
      </c>
      <c r="H547" s="74">
        <v>2.58</v>
      </c>
      <c r="I547" s="13" t="s">
        <v>239</v>
      </c>
      <c r="J547" t="s">
        <v>2135</v>
      </c>
      <c r="T547" s="292" t="s">
        <v>1756</v>
      </c>
      <c r="U547" s="283" t="s">
        <v>2454</v>
      </c>
      <c r="V547" s="285" t="s">
        <v>1772</v>
      </c>
      <c r="W547" s="293" t="str">
        <f t="shared" si="17"/>
        <v>H15,H16</v>
      </c>
      <c r="X547" s="284" t="str">
        <f t="shared" si="17"/>
        <v>YM</v>
      </c>
      <c r="Y547" s="271" t="s">
        <v>1766</v>
      </c>
      <c r="Z547" s="283">
        <f t="shared" si="18"/>
        <v>0.13</v>
      </c>
      <c r="AA547" s="340">
        <f t="shared" si="18"/>
        <v>8.5000000000000006E-3</v>
      </c>
      <c r="AC547" s="250"/>
      <c r="AD547" s="250"/>
      <c r="AE547" s="250"/>
      <c r="AF547" s="250"/>
      <c r="AG547" s="250"/>
      <c r="AH547" s="250"/>
    </row>
    <row r="548" spans="1:34">
      <c r="A548" s="74" t="s">
        <v>986</v>
      </c>
      <c r="B548" s="74" t="s">
        <v>2044</v>
      </c>
      <c r="C548" s="74" t="s">
        <v>2068</v>
      </c>
      <c r="D548" s="74" t="s">
        <v>29</v>
      </c>
      <c r="E548" s="74" t="s">
        <v>164</v>
      </c>
      <c r="F548" s="74">
        <v>6.5000000000000002E-2</v>
      </c>
      <c r="G548" s="74">
        <v>4.2500000000000003E-3</v>
      </c>
      <c r="H548" s="74">
        <v>2.58</v>
      </c>
      <c r="I548" s="13" t="s">
        <v>1973</v>
      </c>
      <c r="J548" t="s">
        <v>250</v>
      </c>
      <c r="T548" s="292" t="s">
        <v>1756</v>
      </c>
      <c r="U548" s="283" t="s">
        <v>2454</v>
      </c>
      <c r="V548" s="285" t="s">
        <v>1772</v>
      </c>
      <c r="W548" s="293" t="str">
        <f t="shared" si="17"/>
        <v>H15,H16</v>
      </c>
      <c r="X548" s="284" t="str">
        <f t="shared" si="17"/>
        <v>UM</v>
      </c>
      <c r="Y548" s="271" t="s">
        <v>1767</v>
      </c>
      <c r="Z548" s="283">
        <f t="shared" si="18"/>
        <v>6.5000000000000002E-2</v>
      </c>
      <c r="AA548" s="340">
        <f t="shared" si="18"/>
        <v>4.2500000000000003E-3</v>
      </c>
      <c r="AC548" s="250"/>
      <c r="AD548" s="250"/>
      <c r="AE548" s="250"/>
      <c r="AF548" s="250"/>
      <c r="AG548" s="250"/>
      <c r="AH548" s="250"/>
    </row>
    <row r="549" spans="1:34" s="250" customFormat="1">
      <c r="A549" s="250" t="s">
        <v>987</v>
      </c>
      <c r="B549" s="250" t="s">
        <v>2044</v>
      </c>
      <c r="C549" s="250" t="s">
        <v>2068</v>
      </c>
      <c r="D549" s="251" t="s">
        <v>29</v>
      </c>
      <c r="E549" s="251" t="s">
        <v>198</v>
      </c>
      <c r="F549" s="250">
        <v>6.5000000000000002E-2</v>
      </c>
      <c r="G549" s="250">
        <v>4.2500000000000003E-3</v>
      </c>
      <c r="H549" s="250">
        <v>2.58</v>
      </c>
      <c r="I549" s="252" t="s">
        <v>239</v>
      </c>
      <c r="J549" s="250" t="s">
        <v>2136</v>
      </c>
      <c r="T549" s="292" t="s">
        <v>1756</v>
      </c>
      <c r="U549" s="283" t="s">
        <v>2454</v>
      </c>
      <c r="V549" s="285" t="s">
        <v>1772</v>
      </c>
      <c r="W549" s="293" t="str">
        <f t="shared" si="17"/>
        <v>H15,H16</v>
      </c>
      <c r="X549" s="284" t="str">
        <f t="shared" si="17"/>
        <v>ZM</v>
      </c>
      <c r="Y549" s="271" t="s">
        <v>1767</v>
      </c>
      <c r="Z549" s="283">
        <f t="shared" si="18"/>
        <v>6.5000000000000002E-2</v>
      </c>
      <c r="AA549" s="340">
        <f t="shared" si="18"/>
        <v>4.2500000000000003E-3</v>
      </c>
    </row>
    <row r="550" spans="1:34" s="250" customFormat="1">
      <c r="A550" s="250" t="s">
        <v>988</v>
      </c>
      <c r="B550" s="250" t="s">
        <v>2044</v>
      </c>
      <c r="C550" s="250" t="s">
        <v>2068</v>
      </c>
      <c r="D550" s="251" t="s">
        <v>29</v>
      </c>
      <c r="E550" s="251" t="s">
        <v>146</v>
      </c>
      <c r="F550" s="250">
        <v>0.26</v>
      </c>
      <c r="G550" s="250">
        <v>4.2500000000000003E-3</v>
      </c>
      <c r="H550" s="250">
        <v>2.58</v>
      </c>
      <c r="I550" s="252" t="s">
        <v>1973</v>
      </c>
      <c r="J550" s="251" t="s">
        <v>951</v>
      </c>
      <c r="T550" s="292" t="s">
        <v>1756</v>
      </c>
      <c r="U550" s="283" t="s">
        <v>2454</v>
      </c>
      <c r="V550" s="285" t="s">
        <v>1772</v>
      </c>
      <c r="W550" s="293" t="str">
        <f t="shared" si="17"/>
        <v>H15,H16</v>
      </c>
      <c r="X550" s="284" t="str">
        <f t="shared" si="17"/>
        <v>PJ</v>
      </c>
      <c r="Y550" s="271" t="s">
        <v>2357</v>
      </c>
      <c r="Z550" s="283">
        <f t="shared" si="18"/>
        <v>0.26</v>
      </c>
      <c r="AA550" s="340">
        <f t="shared" si="18"/>
        <v>4.2500000000000003E-3</v>
      </c>
    </row>
    <row r="551" spans="1:34" s="250" customFormat="1">
      <c r="A551" s="250" t="s">
        <v>989</v>
      </c>
      <c r="B551" s="250" t="s">
        <v>2044</v>
      </c>
      <c r="C551" s="250" t="s">
        <v>2068</v>
      </c>
      <c r="D551" s="251" t="s">
        <v>29</v>
      </c>
      <c r="E551" s="251" t="s">
        <v>173</v>
      </c>
      <c r="F551" s="250">
        <v>0.13</v>
      </c>
      <c r="G551" s="250">
        <v>4.2500000000000003E-3</v>
      </c>
      <c r="H551" s="250">
        <v>2.58</v>
      </c>
      <c r="I551" s="252" t="s">
        <v>239</v>
      </c>
      <c r="J551" s="251" t="s">
        <v>953</v>
      </c>
      <c r="T551" s="292" t="s">
        <v>1756</v>
      </c>
      <c r="U551" s="283" t="s">
        <v>2454</v>
      </c>
      <c r="V551" s="285" t="s">
        <v>1772</v>
      </c>
      <c r="W551" s="293" t="str">
        <f t="shared" si="17"/>
        <v>H15,H16</v>
      </c>
      <c r="X551" s="284" t="str">
        <f t="shared" si="17"/>
        <v>VJ</v>
      </c>
      <c r="Y551" s="271" t="s">
        <v>2357</v>
      </c>
      <c r="Z551" s="283">
        <f t="shared" si="18"/>
        <v>0.13</v>
      </c>
      <c r="AA551" s="340">
        <f t="shared" si="18"/>
        <v>4.2500000000000003E-3</v>
      </c>
    </row>
    <row r="552" spans="1:34" s="250" customFormat="1">
      <c r="A552" s="250" t="s">
        <v>990</v>
      </c>
      <c r="B552" s="250" t="s">
        <v>2044</v>
      </c>
      <c r="C552" s="250" t="s">
        <v>2068</v>
      </c>
      <c r="D552" s="251" t="s">
        <v>29</v>
      </c>
      <c r="E552" s="251" t="s">
        <v>147</v>
      </c>
      <c r="F552" s="250">
        <v>0.26</v>
      </c>
      <c r="G552" s="250">
        <v>2.5500000000000002E-3</v>
      </c>
      <c r="H552" s="250">
        <v>2.58</v>
      </c>
      <c r="I552" s="252" t="s">
        <v>1973</v>
      </c>
      <c r="J552" s="251" t="s">
        <v>955</v>
      </c>
      <c r="T552" s="292" t="s">
        <v>1756</v>
      </c>
      <c r="U552" s="283" t="s">
        <v>2454</v>
      </c>
      <c r="V552" s="285" t="s">
        <v>1772</v>
      </c>
      <c r="W552" s="293" t="str">
        <f t="shared" si="17"/>
        <v>H15,H16</v>
      </c>
      <c r="X552" s="284" t="str">
        <f t="shared" si="17"/>
        <v>PK</v>
      </c>
      <c r="Y552" s="271" t="s">
        <v>2358</v>
      </c>
      <c r="Z552" s="283">
        <f t="shared" si="18"/>
        <v>0.26</v>
      </c>
      <c r="AA552" s="340">
        <f t="shared" si="18"/>
        <v>2.5500000000000002E-3</v>
      </c>
    </row>
    <row r="553" spans="1:34" s="250" customFormat="1">
      <c r="A553" s="250" t="s">
        <v>991</v>
      </c>
      <c r="B553" s="250" t="s">
        <v>2044</v>
      </c>
      <c r="C553" s="250" t="s">
        <v>2068</v>
      </c>
      <c r="D553" s="251" t="s">
        <v>29</v>
      </c>
      <c r="E553" s="251" t="s">
        <v>174</v>
      </c>
      <c r="F553" s="250">
        <v>0.13</v>
      </c>
      <c r="G553" s="250">
        <v>2.5500000000000002E-3</v>
      </c>
      <c r="H553" s="250">
        <v>2.58</v>
      </c>
      <c r="I553" s="252" t="s">
        <v>239</v>
      </c>
      <c r="J553" s="251" t="s">
        <v>957</v>
      </c>
      <c r="T553" s="292" t="s">
        <v>1756</v>
      </c>
      <c r="U553" s="283" t="s">
        <v>2454</v>
      </c>
      <c r="V553" s="285" t="s">
        <v>1772</v>
      </c>
      <c r="W553" s="293" t="str">
        <f t="shared" si="17"/>
        <v>H15,H16</v>
      </c>
      <c r="X553" s="284" t="str">
        <f t="shared" si="17"/>
        <v>VK</v>
      </c>
      <c r="Y553" s="271" t="s">
        <v>2358</v>
      </c>
      <c r="Z553" s="283">
        <f t="shared" si="18"/>
        <v>0.13</v>
      </c>
      <c r="AA553" s="340">
        <f t="shared" si="18"/>
        <v>2.5500000000000002E-3</v>
      </c>
      <c r="AC553" s="74"/>
      <c r="AD553" s="74"/>
      <c r="AE553" s="74"/>
      <c r="AF553" s="74"/>
      <c r="AG553" s="74"/>
      <c r="AH553" s="74"/>
    </row>
    <row r="554" spans="1:34" s="250" customFormat="1" ht="13.75" customHeight="1">
      <c r="A554" s="250" t="s">
        <v>992</v>
      </c>
      <c r="B554" s="250" t="s">
        <v>2044</v>
      </c>
      <c r="C554" s="250" t="s">
        <v>2068</v>
      </c>
      <c r="D554" s="251" t="s">
        <v>29</v>
      </c>
      <c r="E554" s="251" t="s">
        <v>148</v>
      </c>
      <c r="F554" s="250">
        <v>0.19500000000000001</v>
      </c>
      <c r="G554" s="250">
        <v>4.2500000000000003E-3</v>
      </c>
      <c r="H554" s="250">
        <v>2.58</v>
      </c>
      <c r="I554" s="252" t="s">
        <v>1973</v>
      </c>
      <c r="J554" s="251" t="s">
        <v>959</v>
      </c>
      <c r="T554" s="292" t="s">
        <v>1756</v>
      </c>
      <c r="U554" s="283" t="s">
        <v>2454</v>
      </c>
      <c r="V554" s="285" t="s">
        <v>1772</v>
      </c>
      <c r="W554" s="293" t="str">
        <f t="shared" si="17"/>
        <v>H15,H16</v>
      </c>
      <c r="X554" s="284" t="str">
        <f t="shared" si="17"/>
        <v>PL</v>
      </c>
      <c r="Y554" s="932" t="s">
        <v>2255</v>
      </c>
      <c r="Z554" s="283">
        <f t="shared" si="18"/>
        <v>0.19500000000000001</v>
      </c>
      <c r="AA554" s="340">
        <f t="shared" si="18"/>
        <v>4.2500000000000003E-3</v>
      </c>
      <c r="AC554" s="74"/>
      <c r="AD554" s="74"/>
      <c r="AE554" s="74"/>
      <c r="AF554" s="74"/>
      <c r="AG554" s="74"/>
      <c r="AH554" s="74"/>
    </row>
    <row r="555" spans="1:34">
      <c r="A555" s="74" t="s">
        <v>993</v>
      </c>
      <c r="B555" s="74" t="s">
        <v>2044</v>
      </c>
      <c r="C555" s="74" t="s">
        <v>2068</v>
      </c>
      <c r="D555" s="74" t="s">
        <v>29</v>
      </c>
      <c r="E555" s="74" t="s">
        <v>175</v>
      </c>
      <c r="F555" s="74">
        <v>0.19500000000000001</v>
      </c>
      <c r="G555" s="74">
        <v>4.2500000000000003E-3</v>
      </c>
      <c r="H555" s="74">
        <v>2.58</v>
      </c>
      <c r="I555" s="13" t="s">
        <v>239</v>
      </c>
      <c r="J555" s="74" t="s">
        <v>961</v>
      </c>
      <c r="T555" s="292" t="s">
        <v>1756</v>
      </c>
      <c r="U555" s="283" t="s">
        <v>2454</v>
      </c>
      <c r="V555" s="285" t="s">
        <v>1772</v>
      </c>
      <c r="W555" s="293" t="str">
        <f t="shared" si="17"/>
        <v>H15,H16</v>
      </c>
      <c r="X555" s="284" t="str">
        <f t="shared" si="17"/>
        <v>VL</v>
      </c>
      <c r="Y555" s="933"/>
      <c r="Z555" s="283">
        <f t="shared" si="18"/>
        <v>0.19500000000000001</v>
      </c>
      <c r="AA555" s="340">
        <f t="shared" si="18"/>
        <v>4.2500000000000003E-3</v>
      </c>
    </row>
    <row r="556" spans="1:34" ht="13.75" customHeight="1">
      <c r="A556" s="74" t="s">
        <v>994</v>
      </c>
      <c r="B556" s="74" t="s">
        <v>2044</v>
      </c>
      <c r="C556" s="74" t="s">
        <v>2068</v>
      </c>
      <c r="D556" s="74" t="s">
        <v>29</v>
      </c>
      <c r="E556" s="74" t="s">
        <v>149</v>
      </c>
      <c r="F556" s="74">
        <v>0.19500000000000001</v>
      </c>
      <c r="G556" s="74">
        <v>2.5500000000000002E-3</v>
      </c>
      <c r="H556" s="74">
        <v>2.58</v>
      </c>
      <c r="I556" s="13" t="s">
        <v>1973</v>
      </c>
      <c r="J556" s="74" t="s">
        <v>963</v>
      </c>
      <c r="T556" s="292" t="s">
        <v>1756</v>
      </c>
      <c r="U556" s="283" t="s">
        <v>2454</v>
      </c>
      <c r="V556" s="285" t="s">
        <v>1772</v>
      </c>
      <c r="W556" s="293" t="str">
        <f t="shared" si="17"/>
        <v>H15,H16</v>
      </c>
      <c r="X556" s="284" t="str">
        <f t="shared" si="17"/>
        <v>PM</v>
      </c>
      <c r="Y556" s="932" t="s">
        <v>2256</v>
      </c>
      <c r="Z556" s="283">
        <f t="shared" si="18"/>
        <v>0.19500000000000001</v>
      </c>
      <c r="AA556" s="340">
        <f t="shared" si="18"/>
        <v>2.5500000000000002E-3</v>
      </c>
    </row>
    <row r="557" spans="1:34">
      <c r="A557" s="74" t="s">
        <v>995</v>
      </c>
      <c r="B557" s="74" t="s">
        <v>2044</v>
      </c>
      <c r="C557" s="74" t="s">
        <v>2068</v>
      </c>
      <c r="D557" s="74" t="s">
        <v>29</v>
      </c>
      <c r="E557" s="74" t="s">
        <v>176</v>
      </c>
      <c r="F557" s="74">
        <v>0.19500000000000001</v>
      </c>
      <c r="G557" s="74">
        <v>2.5500000000000002E-3</v>
      </c>
      <c r="H557" s="74">
        <v>2.58</v>
      </c>
      <c r="I557" s="13" t="s">
        <v>239</v>
      </c>
      <c r="J557" s="74" t="s">
        <v>965</v>
      </c>
      <c r="T557" s="292" t="s">
        <v>1756</v>
      </c>
      <c r="U557" s="283" t="s">
        <v>2454</v>
      </c>
      <c r="V557" s="285" t="s">
        <v>1772</v>
      </c>
      <c r="W557" s="293" t="str">
        <f t="shared" si="17"/>
        <v>H15,H16</v>
      </c>
      <c r="X557" s="284" t="str">
        <f t="shared" si="17"/>
        <v>VM</v>
      </c>
      <c r="Y557" s="933"/>
      <c r="Z557" s="283">
        <f t="shared" si="18"/>
        <v>0.19500000000000001</v>
      </c>
      <c r="AA557" s="340">
        <f t="shared" si="18"/>
        <v>2.5500000000000002E-3</v>
      </c>
    </row>
    <row r="558" spans="1:34" ht="13.75" customHeight="1">
      <c r="A558" s="74" t="s">
        <v>996</v>
      </c>
      <c r="B558" s="74" t="s">
        <v>2044</v>
      </c>
      <c r="C558" s="74" t="s">
        <v>2068</v>
      </c>
      <c r="D558" s="74" t="s">
        <v>29</v>
      </c>
      <c r="E558" s="74" t="s">
        <v>150</v>
      </c>
      <c r="F558" s="74">
        <v>0.13</v>
      </c>
      <c r="G558" s="74">
        <v>4.2500000000000003E-3</v>
      </c>
      <c r="H558" s="74">
        <v>2.58</v>
      </c>
      <c r="I558" s="13" t="s">
        <v>1973</v>
      </c>
      <c r="J558" s="74" t="s">
        <v>967</v>
      </c>
      <c r="T558" s="292" t="s">
        <v>1756</v>
      </c>
      <c r="U558" s="283" t="s">
        <v>2454</v>
      </c>
      <c r="V558" s="285" t="s">
        <v>1772</v>
      </c>
      <c r="W558" s="293" t="str">
        <f t="shared" si="17"/>
        <v>H15,H16</v>
      </c>
      <c r="X558" s="284" t="str">
        <f t="shared" si="17"/>
        <v>PN</v>
      </c>
      <c r="Y558" s="932" t="s">
        <v>2257</v>
      </c>
      <c r="Z558" s="283">
        <f t="shared" si="18"/>
        <v>0.13</v>
      </c>
      <c r="AA558" s="340">
        <f t="shared" si="18"/>
        <v>4.2500000000000003E-3</v>
      </c>
    </row>
    <row r="559" spans="1:34">
      <c r="A559" s="74" t="s">
        <v>997</v>
      </c>
      <c r="B559" s="74" t="s">
        <v>2044</v>
      </c>
      <c r="C559" s="74" t="s">
        <v>2068</v>
      </c>
      <c r="D559" s="74" t="s">
        <v>29</v>
      </c>
      <c r="E559" s="74" t="s">
        <v>177</v>
      </c>
      <c r="F559" s="74">
        <v>0.13</v>
      </c>
      <c r="G559" s="74">
        <v>4.2500000000000003E-3</v>
      </c>
      <c r="H559" s="74">
        <v>2.58</v>
      </c>
      <c r="I559" s="13" t="s">
        <v>239</v>
      </c>
      <c r="J559" s="74" t="s">
        <v>969</v>
      </c>
      <c r="T559" s="292" t="s">
        <v>1756</v>
      </c>
      <c r="U559" s="283" t="s">
        <v>2454</v>
      </c>
      <c r="V559" s="285" t="s">
        <v>1772</v>
      </c>
      <c r="W559" s="293" t="str">
        <f t="shared" si="17"/>
        <v>H15,H16</v>
      </c>
      <c r="X559" s="284" t="str">
        <f t="shared" si="17"/>
        <v>VN</v>
      </c>
      <c r="Y559" s="933"/>
      <c r="Z559" s="283">
        <f t="shared" si="18"/>
        <v>0.13</v>
      </c>
      <c r="AA559" s="340">
        <f t="shared" si="18"/>
        <v>4.2500000000000003E-3</v>
      </c>
    </row>
    <row r="560" spans="1:34" ht="13.75" customHeight="1">
      <c r="A560" s="74" t="s">
        <v>998</v>
      </c>
      <c r="B560" s="74" t="s">
        <v>2044</v>
      </c>
      <c r="C560" s="74" t="s">
        <v>2068</v>
      </c>
      <c r="D560" s="74" t="s">
        <v>29</v>
      </c>
      <c r="E560" s="74" t="s">
        <v>151</v>
      </c>
      <c r="F560" s="268">
        <v>0.13</v>
      </c>
      <c r="G560" s="74">
        <v>2.5500000000000002E-3</v>
      </c>
      <c r="H560" s="74">
        <v>2.58</v>
      </c>
      <c r="I560" s="13" t="s">
        <v>1973</v>
      </c>
      <c r="J560" s="74" t="s">
        <v>971</v>
      </c>
      <c r="T560" s="292" t="s">
        <v>1756</v>
      </c>
      <c r="U560" s="283" t="s">
        <v>2454</v>
      </c>
      <c r="V560" s="285" t="s">
        <v>1772</v>
      </c>
      <c r="W560" s="293" t="str">
        <f t="shared" si="17"/>
        <v>H15,H16</v>
      </c>
      <c r="X560" s="284" t="str">
        <f t="shared" si="17"/>
        <v>PP</v>
      </c>
      <c r="Y560" s="932" t="s">
        <v>2258</v>
      </c>
      <c r="Z560" s="283">
        <f t="shared" si="18"/>
        <v>0.13</v>
      </c>
      <c r="AA560" s="340">
        <f t="shared" si="18"/>
        <v>2.5500000000000002E-3</v>
      </c>
    </row>
    <row r="561" spans="1:34">
      <c r="A561" s="74" t="s">
        <v>999</v>
      </c>
      <c r="B561" s="74" t="s">
        <v>2044</v>
      </c>
      <c r="C561" s="74" t="s">
        <v>2068</v>
      </c>
      <c r="D561" s="74" t="s">
        <v>29</v>
      </c>
      <c r="E561" s="74" t="s">
        <v>178</v>
      </c>
      <c r="F561" s="268">
        <v>0.13</v>
      </c>
      <c r="G561" s="74">
        <v>2.5500000000000002E-3</v>
      </c>
      <c r="H561" s="74">
        <v>2.58</v>
      </c>
      <c r="I561" s="13" t="s">
        <v>239</v>
      </c>
      <c r="J561" s="74" t="s">
        <v>973</v>
      </c>
      <c r="T561" s="292" t="s">
        <v>1756</v>
      </c>
      <c r="U561" s="283" t="s">
        <v>2454</v>
      </c>
      <c r="V561" s="285" t="s">
        <v>1772</v>
      </c>
      <c r="W561" s="293" t="str">
        <f t="shared" si="17"/>
        <v>H15,H16</v>
      </c>
      <c r="X561" s="284" t="str">
        <f t="shared" si="17"/>
        <v>VP</v>
      </c>
      <c r="Y561" s="933"/>
      <c r="Z561" s="283">
        <f t="shared" si="18"/>
        <v>0.13</v>
      </c>
      <c r="AA561" s="340">
        <f t="shared" si="18"/>
        <v>2.5500000000000002E-3</v>
      </c>
    </row>
    <row r="562" spans="1:34" ht="13.75" customHeight="1">
      <c r="A562" s="74" t="s">
        <v>1000</v>
      </c>
      <c r="B562" s="74" t="s">
        <v>2044</v>
      </c>
      <c r="C562" s="74" t="s">
        <v>2068</v>
      </c>
      <c r="D562" s="74" t="s">
        <v>29</v>
      </c>
      <c r="E562" s="74" t="s">
        <v>152</v>
      </c>
      <c r="F562" s="74">
        <v>6.5000000000000002E-2</v>
      </c>
      <c r="G562" s="74">
        <v>4.2500000000000003E-3</v>
      </c>
      <c r="H562" s="74">
        <v>2.58</v>
      </c>
      <c r="I562" s="13" t="s">
        <v>1973</v>
      </c>
      <c r="J562" t="s">
        <v>975</v>
      </c>
      <c r="T562" s="292" t="s">
        <v>1756</v>
      </c>
      <c r="U562" s="283" t="s">
        <v>2454</v>
      </c>
      <c r="V562" s="285" t="s">
        <v>1772</v>
      </c>
      <c r="W562" s="293" t="str">
        <f t="shared" si="17"/>
        <v>H15,H16</v>
      </c>
      <c r="X562" s="284" t="str">
        <f t="shared" si="17"/>
        <v>PQ</v>
      </c>
      <c r="Y562" s="932" t="s">
        <v>2260</v>
      </c>
      <c r="Z562" s="283">
        <f t="shared" si="18"/>
        <v>6.5000000000000002E-2</v>
      </c>
      <c r="AA562" s="340">
        <f t="shared" si="18"/>
        <v>4.2500000000000003E-3</v>
      </c>
    </row>
    <row r="563" spans="1:34">
      <c r="A563" s="74" t="s">
        <v>1001</v>
      </c>
      <c r="B563" s="74" t="s">
        <v>2044</v>
      </c>
      <c r="C563" s="74" t="s">
        <v>2068</v>
      </c>
      <c r="D563" s="74" t="s">
        <v>29</v>
      </c>
      <c r="E563" s="74" t="s">
        <v>179</v>
      </c>
      <c r="F563" s="74">
        <v>6.5000000000000002E-2</v>
      </c>
      <c r="G563" s="74">
        <v>4.2500000000000003E-3</v>
      </c>
      <c r="H563" s="74">
        <v>2.58</v>
      </c>
      <c r="I563" s="13" t="s">
        <v>239</v>
      </c>
      <c r="J563" t="s">
        <v>977</v>
      </c>
      <c r="T563" s="292" t="s">
        <v>1756</v>
      </c>
      <c r="U563" s="283" t="s">
        <v>2454</v>
      </c>
      <c r="V563" s="285" t="s">
        <v>1772</v>
      </c>
      <c r="W563" s="293" t="str">
        <f t="shared" si="17"/>
        <v>H15,H16</v>
      </c>
      <c r="X563" s="284" t="str">
        <f t="shared" si="17"/>
        <v>VQ</v>
      </c>
      <c r="Y563" s="933"/>
      <c r="Z563" s="283">
        <f t="shared" si="18"/>
        <v>6.5000000000000002E-2</v>
      </c>
      <c r="AA563" s="340">
        <f t="shared" si="18"/>
        <v>4.2500000000000003E-3</v>
      </c>
    </row>
    <row r="564" spans="1:34" ht="13.75" customHeight="1">
      <c r="A564" s="74" t="s">
        <v>1002</v>
      </c>
      <c r="B564" s="74" t="s">
        <v>2044</v>
      </c>
      <c r="C564" s="74" t="s">
        <v>2068</v>
      </c>
      <c r="D564" s="74" t="s">
        <v>29</v>
      </c>
      <c r="E564" s="74" t="s">
        <v>153</v>
      </c>
      <c r="F564" s="74">
        <v>6.5000000000000002E-2</v>
      </c>
      <c r="G564" s="74">
        <v>2.5500000000000002E-3</v>
      </c>
      <c r="H564" s="74">
        <v>2.58</v>
      </c>
      <c r="I564" s="13" t="s">
        <v>1973</v>
      </c>
      <c r="J564" t="s">
        <v>979</v>
      </c>
      <c r="T564" s="292" t="s">
        <v>1756</v>
      </c>
      <c r="U564" s="283" t="s">
        <v>2454</v>
      </c>
      <c r="V564" s="285" t="s">
        <v>1772</v>
      </c>
      <c r="W564" s="293" t="str">
        <f t="shared" si="17"/>
        <v>H15,H16</v>
      </c>
      <c r="X564" s="284" t="str">
        <f t="shared" si="17"/>
        <v>PR</v>
      </c>
      <c r="Y564" s="932" t="s">
        <v>2259</v>
      </c>
      <c r="Z564" s="283">
        <f t="shared" si="18"/>
        <v>6.5000000000000002E-2</v>
      </c>
      <c r="AA564" s="340">
        <f t="shared" si="18"/>
        <v>2.5500000000000002E-3</v>
      </c>
      <c r="AC564" s="268"/>
      <c r="AD564" s="268"/>
      <c r="AE564" s="268"/>
      <c r="AF564" s="268"/>
      <c r="AG564" s="268"/>
      <c r="AH564" s="268"/>
    </row>
    <row r="565" spans="1:34">
      <c r="A565" s="74" t="s">
        <v>1003</v>
      </c>
      <c r="B565" s="74" t="s">
        <v>2044</v>
      </c>
      <c r="C565" s="74" t="s">
        <v>2068</v>
      </c>
      <c r="D565" s="74" t="s">
        <v>29</v>
      </c>
      <c r="E565" s="74" t="s">
        <v>180</v>
      </c>
      <c r="F565" s="74">
        <v>6.5000000000000002E-2</v>
      </c>
      <c r="G565" s="74">
        <v>2.5500000000000002E-3</v>
      </c>
      <c r="H565" s="74">
        <v>2.58</v>
      </c>
      <c r="I565" s="13" t="s">
        <v>239</v>
      </c>
      <c r="J565" t="s">
        <v>981</v>
      </c>
      <c r="T565" s="292" t="s">
        <v>1756</v>
      </c>
      <c r="U565" s="283" t="s">
        <v>2454</v>
      </c>
      <c r="V565" s="285" t="s">
        <v>1772</v>
      </c>
      <c r="W565" s="293" t="str">
        <f t="shared" si="17"/>
        <v>H15,H16</v>
      </c>
      <c r="X565" s="284" t="str">
        <f t="shared" si="17"/>
        <v>VR</v>
      </c>
      <c r="Y565" s="933"/>
      <c r="Z565" s="283">
        <f t="shared" si="18"/>
        <v>6.5000000000000002E-2</v>
      </c>
      <c r="AA565" s="340">
        <f t="shared" si="18"/>
        <v>2.5500000000000002E-3</v>
      </c>
      <c r="AC565" s="268"/>
      <c r="AD565" s="268"/>
      <c r="AE565" s="268"/>
      <c r="AF565" s="268"/>
      <c r="AG565" s="268"/>
      <c r="AH565" s="268"/>
    </row>
    <row r="566" spans="1:34" s="268" customFormat="1">
      <c r="A566" s="268" t="s">
        <v>1004</v>
      </c>
      <c r="B566" s="268" t="s">
        <v>2044</v>
      </c>
      <c r="C566" s="268" t="s">
        <v>2068</v>
      </c>
      <c r="D566" s="268" t="s">
        <v>1979</v>
      </c>
      <c r="E566" s="270" t="s">
        <v>1005</v>
      </c>
      <c r="F566" s="268">
        <v>0.15</v>
      </c>
      <c r="G566" s="268">
        <v>3.0000000000000001E-3</v>
      </c>
      <c r="H566" s="268">
        <v>2.58</v>
      </c>
      <c r="I566" s="267" t="s">
        <v>2340</v>
      </c>
      <c r="J566" s="269"/>
      <c r="T566" s="292" t="s">
        <v>1756</v>
      </c>
      <c r="U566" s="283" t="s">
        <v>2454</v>
      </c>
      <c r="V566" s="285" t="s">
        <v>1772</v>
      </c>
      <c r="W566" s="293" t="str">
        <f t="shared" si="17"/>
        <v>H17</v>
      </c>
      <c r="X566" s="284" t="str">
        <f t="shared" si="17"/>
        <v>ADG</v>
      </c>
      <c r="Y566" s="271"/>
      <c r="Z566" s="283">
        <f t="shared" si="18"/>
        <v>0.15</v>
      </c>
      <c r="AA566" s="340">
        <f t="shared" si="18"/>
        <v>3.0000000000000001E-3</v>
      </c>
      <c r="AC566" s="250"/>
      <c r="AD566" s="250"/>
      <c r="AE566" s="250"/>
      <c r="AF566" s="250"/>
      <c r="AG566" s="250"/>
      <c r="AH566" s="250"/>
    </row>
    <row r="567" spans="1:34" s="268" customFormat="1">
      <c r="A567" s="268" t="s">
        <v>1006</v>
      </c>
      <c r="B567" s="268" t="s">
        <v>2044</v>
      </c>
      <c r="C567" s="268" t="s">
        <v>2068</v>
      </c>
      <c r="D567" s="268" t="s">
        <v>1979</v>
      </c>
      <c r="E567" s="270" t="s">
        <v>1007</v>
      </c>
      <c r="F567" s="268">
        <v>0.15</v>
      </c>
      <c r="G567" s="268">
        <v>3.0000000000000001E-3</v>
      </c>
      <c r="H567" s="268">
        <v>2.58</v>
      </c>
      <c r="I567" s="267" t="s">
        <v>2340</v>
      </c>
      <c r="T567" s="292" t="s">
        <v>1756</v>
      </c>
      <c r="U567" s="283" t="s">
        <v>2454</v>
      </c>
      <c r="V567" s="285" t="s">
        <v>2394</v>
      </c>
      <c r="W567" s="293" t="str">
        <f t="shared" ref="W567:X660" si="19">D567</f>
        <v>H17</v>
      </c>
      <c r="X567" s="284" t="str">
        <f t="shared" si="19"/>
        <v>AKG</v>
      </c>
      <c r="Y567" s="271"/>
      <c r="Z567" s="283">
        <f t="shared" si="18"/>
        <v>0.15</v>
      </c>
      <c r="AA567" s="340">
        <f t="shared" si="18"/>
        <v>3.0000000000000001E-3</v>
      </c>
      <c r="AC567" s="250"/>
      <c r="AD567" s="250"/>
      <c r="AE567" s="250"/>
      <c r="AF567" s="250"/>
      <c r="AG567" s="250"/>
      <c r="AH567" s="250"/>
    </row>
    <row r="568" spans="1:34" s="250" customFormat="1">
      <c r="A568" s="250" t="s">
        <v>1008</v>
      </c>
      <c r="B568" s="250" t="s">
        <v>2044</v>
      </c>
      <c r="C568" s="250" t="s">
        <v>2068</v>
      </c>
      <c r="D568" s="251" t="s">
        <v>1979</v>
      </c>
      <c r="E568" s="251" t="s">
        <v>1009</v>
      </c>
      <c r="F568" s="250">
        <v>7.4999999999999997E-2</v>
      </c>
      <c r="G568" s="250">
        <v>1.5E-3</v>
      </c>
      <c r="H568" s="250">
        <v>2.58</v>
      </c>
      <c r="I568" s="252" t="s">
        <v>239</v>
      </c>
      <c r="J568" s="250" t="s">
        <v>240</v>
      </c>
      <c r="T568" s="292" t="s">
        <v>1756</v>
      </c>
      <c r="U568" s="283" t="s">
        <v>2454</v>
      </c>
      <c r="V568" s="285" t="s">
        <v>2394</v>
      </c>
      <c r="W568" s="293" t="str">
        <f t="shared" si="19"/>
        <v>H17</v>
      </c>
      <c r="X568" s="284" t="str">
        <f t="shared" si="19"/>
        <v>ACG</v>
      </c>
      <c r="Y568" s="271"/>
      <c r="Z568" s="283">
        <f>F568</f>
        <v>7.4999999999999997E-2</v>
      </c>
      <c r="AA568" s="340">
        <f>G568</f>
        <v>1.5E-3</v>
      </c>
    </row>
    <row r="569" spans="1:34" s="250" customFormat="1">
      <c r="A569" s="250" t="s">
        <v>1010</v>
      </c>
      <c r="B569" s="250" t="s">
        <v>2044</v>
      </c>
      <c r="C569" s="250" t="s">
        <v>2068</v>
      </c>
      <c r="D569" s="251" t="s">
        <v>1979</v>
      </c>
      <c r="E569" s="251" t="s">
        <v>1011</v>
      </c>
      <c r="F569" s="250">
        <v>7.4999999999999997E-2</v>
      </c>
      <c r="G569" s="250">
        <v>1.5E-3</v>
      </c>
      <c r="H569" s="250">
        <v>2.58</v>
      </c>
      <c r="I569" s="252" t="s">
        <v>239</v>
      </c>
      <c r="J569" s="251" t="s">
        <v>240</v>
      </c>
      <c r="T569" s="292" t="s">
        <v>1756</v>
      </c>
      <c r="U569" s="283" t="s">
        <v>2454</v>
      </c>
      <c r="V569" s="285" t="s">
        <v>2394</v>
      </c>
      <c r="W569" s="293" t="str">
        <f t="shared" si="19"/>
        <v>H17</v>
      </c>
      <c r="X569" s="284" t="str">
        <f t="shared" si="19"/>
        <v>AJG</v>
      </c>
      <c r="Y569" s="271"/>
      <c r="Z569" s="283">
        <f t="shared" si="18"/>
        <v>7.4999999999999997E-2</v>
      </c>
      <c r="AA569" s="340">
        <f t="shared" si="18"/>
        <v>1.5E-3</v>
      </c>
    </row>
    <row r="570" spans="1:34" s="250" customFormat="1">
      <c r="A570" s="250" t="s">
        <v>1012</v>
      </c>
      <c r="B570" s="250" t="s">
        <v>2044</v>
      </c>
      <c r="C570" s="250" t="s">
        <v>2068</v>
      </c>
      <c r="D570" s="251" t="s">
        <v>1979</v>
      </c>
      <c r="E570" s="251" t="s">
        <v>2069</v>
      </c>
      <c r="F570" s="250">
        <v>0.13500000000000001</v>
      </c>
      <c r="G570" s="250">
        <v>2.7000000000000001E-3</v>
      </c>
      <c r="H570" s="250">
        <v>2.58</v>
      </c>
      <c r="I570" s="252" t="s">
        <v>239</v>
      </c>
      <c r="J570" s="251" t="s">
        <v>2134</v>
      </c>
      <c r="T570" s="292" t="s">
        <v>1756</v>
      </c>
      <c r="U570" s="283" t="s">
        <v>2454</v>
      </c>
      <c r="V570" s="285" t="s">
        <v>2394</v>
      </c>
      <c r="W570" s="293" t="str">
        <f t="shared" si="19"/>
        <v>H17</v>
      </c>
      <c r="X570" s="284" t="str">
        <f t="shared" si="19"/>
        <v>BCG</v>
      </c>
      <c r="Y570" s="271" t="s">
        <v>2398</v>
      </c>
      <c r="Z570" s="283">
        <f t="shared" ref="Z570:AA591" si="20">F570</f>
        <v>0.13500000000000001</v>
      </c>
      <c r="AA570" s="340">
        <f t="shared" si="20"/>
        <v>2.7000000000000001E-3</v>
      </c>
    </row>
    <row r="571" spans="1:34" s="250" customFormat="1">
      <c r="A571" s="250" t="s">
        <v>1013</v>
      </c>
      <c r="B571" s="250" t="s">
        <v>2044</v>
      </c>
      <c r="C571" s="250" t="s">
        <v>2068</v>
      </c>
      <c r="D571" s="251" t="s">
        <v>1979</v>
      </c>
      <c r="E571" s="251" t="s">
        <v>1014</v>
      </c>
      <c r="F571" s="250">
        <v>0.13500000000000001</v>
      </c>
      <c r="G571" s="250">
        <v>2.7000000000000001E-3</v>
      </c>
      <c r="H571" s="250">
        <v>2.58</v>
      </c>
      <c r="I571" s="252" t="s">
        <v>239</v>
      </c>
      <c r="J571" s="251" t="s">
        <v>2400</v>
      </c>
      <c r="T571" s="292" t="s">
        <v>1756</v>
      </c>
      <c r="U571" s="283" t="s">
        <v>2454</v>
      </c>
      <c r="V571" s="285" t="s">
        <v>2394</v>
      </c>
      <c r="W571" s="293" t="str">
        <f t="shared" si="19"/>
        <v>H17</v>
      </c>
      <c r="X571" s="284" t="str">
        <f t="shared" si="19"/>
        <v>BJG</v>
      </c>
      <c r="Y571" s="271" t="s">
        <v>2398</v>
      </c>
      <c r="Z571" s="283">
        <f t="shared" si="20"/>
        <v>0.13500000000000001</v>
      </c>
      <c r="AA571" s="340">
        <f t="shared" si="20"/>
        <v>2.7000000000000001E-3</v>
      </c>
    </row>
    <row r="572" spans="1:34" s="250" customFormat="1">
      <c r="A572" s="250" t="s">
        <v>1015</v>
      </c>
      <c r="B572" s="250" t="s">
        <v>2044</v>
      </c>
      <c r="C572" s="250" t="s">
        <v>2068</v>
      </c>
      <c r="D572" s="251" t="s">
        <v>1979</v>
      </c>
      <c r="E572" s="251" t="s">
        <v>2070</v>
      </c>
      <c r="F572" s="250">
        <v>0.13500000000000001</v>
      </c>
      <c r="G572" s="250">
        <v>2.7000000000000001E-3</v>
      </c>
      <c r="H572" s="250">
        <v>2.58</v>
      </c>
      <c r="I572" s="252" t="s">
        <v>573</v>
      </c>
      <c r="J572" s="251" t="s">
        <v>244</v>
      </c>
      <c r="T572" s="292" t="s">
        <v>1756</v>
      </c>
      <c r="U572" s="283" t="s">
        <v>2454</v>
      </c>
      <c r="V572" s="285" t="s">
        <v>2394</v>
      </c>
      <c r="W572" s="293" t="str">
        <f t="shared" si="19"/>
        <v>H17</v>
      </c>
      <c r="X572" s="284" t="str">
        <f t="shared" si="19"/>
        <v>BDG</v>
      </c>
      <c r="Y572" s="271" t="s">
        <v>2398</v>
      </c>
      <c r="Z572" s="283">
        <f t="shared" si="20"/>
        <v>0.13500000000000001</v>
      </c>
      <c r="AA572" s="340">
        <f t="shared" si="20"/>
        <v>2.7000000000000001E-3</v>
      </c>
      <c r="AC572" s="74"/>
      <c r="AD572" s="74"/>
      <c r="AE572" s="74"/>
      <c r="AF572" s="74"/>
      <c r="AG572" s="74"/>
      <c r="AH572" s="74"/>
    </row>
    <row r="573" spans="1:34" s="250" customFormat="1">
      <c r="A573" s="250" t="s">
        <v>1016</v>
      </c>
      <c r="B573" s="250" t="s">
        <v>2044</v>
      </c>
      <c r="C573" s="250" t="s">
        <v>2068</v>
      </c>
      <c r="D573" s="251" t="s">
        <v>1979</v>
      </c>
      <c r="E573" s="251" t="s">
        <v>1017</v>
      </c>
      <c r="F573" s="250">
        <v>0.13500000000000001</v>
      </c>
      <c r="G573" s="250">
        <v>2.7000000000000001E-3</v>
      </c>
      <c r="H573" s="250">
        <v>2.58</v>
      </c>
      <c r="I573" s="252" t="s">
        <v>573</v>
      </c>
      <c r="J573" s="251" t="s">
        <v>244</v>
      </c>
      <c r="T573" s="292" t="s">
        <v>1756</v>
      </c>
      <c r="U573" s="283" t="s">
        <v>2454</v>
      </c>
      <c r="V573" s="285" t="s">
        <v>2394</v>
      </c>
      <c r="W573" s="293" t="str">
        <f t="shared" si="19"/>
        <v>H17</v>
      </c>
      <c r="X573" s="284" t="str">
        <f t="shared" si="19"/>
        <v>BKG</v>
      </c>
      <c r="Y573" s="271" t="s">
        <v>2398</v>
      </c>
      <c r="Z573" s="283">
        <f t="shared" si="20"/>
        <v>0.13500000000000001</v>
      </c>
      <c r="AA573" s="340">
        <f t="shared" si="20"/>
        <v>2.7000000000000001E-3</v>
      </c>
      <c r="AC573" s="74"/>
      <c r="AD573" s="74"/>
      <c r="AE573" s="74"/>
      <c r="AF573" s="74"/>
      <c r="AG573" s="74"/>
      <c r="AH573" s="74"/>
    </row>
    <row r="574" spans="1:34">
      <c r="A574" s="74" t="s">
        <v>1018</v>
      </c>
      <c r="B574" s="74" t="s">
        <v>2044</v>
      </c>
      <c r="C574" s="74" t="s">
        <v>2068</v>
      </c>
      <c r="D574" s="74" t="s">
        <v>1979</v>
      </c>
      <c r="E574" s="74" t="s">
        <v>2071</v>
      </c>
      <c r="F574" s="74">
        <v>7.4999999999999997E-2</v>
      </c>
      <c r="G574" s="74">
        <v>1.5E-3</v>
      </c>
      <c r="H574" s="74">
        <v>2.58</v>
      </c>
      <c r="I574" s="13" t="s">
        <v>239</v>
      </c>
      <c r="J574" s="74" t="s">
        <v>2136</v>
      </c>
      <c r="T574" s="292" t="s">
        <v>1756</v>
      </c>
      <c r="U574" s="283" t="s">
        <v>2454</v>
      </c>
      <c r="V574" s="285" t="s">
        <v>2394</v>
      </c>
      <c r="W574" s="293" t="str">
        <f t="shared" si="19"/>
        <v>H17</v>
      </c>
      <c r="X574" s="284" t="str">
        <f t="shared" si="19"/>
        <v>CCG</v>
      </c>
      <c r="Y574" s="271" t="s">
        <v>2261</v>
      </c>
      <c r="Z574" s="283">
        <f t="shared" si="20"/>
        <v>7.4999999999999997E-2</v>
      </c>
      <c r="AA574" s="340">
        <f t="shared" si="20"/>
        <v>1.5E-3</v>
      </c>
    </row>
    <row r="575" spans="1:34">
      <c r="A575" s="74" t="s">
        <v>1019</v>
      </c>
      <c r="B575" s="74" t="s">
        <v>2044</v>
      </c>
      <c r="C575" s="74" t="s">
        <v>2068</v>
      </c>
      <c r="D575" s="74" t="s">
        <v>1979</v>
      </c>
      <c r="E575" s="74" t="s">
        <v>1020</v>
      </c>
      <c r="F575" s="74">
        <v>7.4999999999999997E-2</v>
      </c>
      <c r="G575" s="74">
        <v>1.5E-3</v>
      </c>
      <c r="H575" s="74">
        <v>2.58</v>
      </c>
      <c r="I575" s="13" t="s">
        <v>239</v>
      </c>
      <c r="J575" s="74" t="s">
        <v>2405</v>
      </c>
      <c r="T575" s="292" t="s">
        <v>1756</v>
      </c>
      <c r="U575" s="283" t="s">
        <v>2454</v>
      </c>
      <c r="V575" s="285" t="s">
        <v>2394</v>
      </c>
      <c r="W575" s="293" t="str">
        <f t="shared" si="19"/>
        <v>H17</v>
      </c>
      <c r="X575" s="284" t="str">
        <f t="shared" si="19"/>
        <v>CJG</v>
      </c>
      <c r="Y575" s="271" t="s">
        <v>2261</v>
      </c>
      <c r="Z575" s="283">
        <f t="shared" si="20"/>
        <v>7.4999999999999997E-2</v>
      </c>
      <c r="AA575" s="340">
        <f t="shared" si="20"/>
        <v>1.5E-3</v>
      </c>
    </row>
    <row r="576" spans="1:34">
      <c r="A576" s="74" t="s">
        <v>1021</v>
      </c>
      <c r="B576" s="74" t="s">
        <v>2044</v>
      </c>
      <c r="C576" s="74" t="s">
        <v>2068</v>
      </c>
      <c r="D576" s="74" t="s">
        <v>1979</v>
      </c>
      <c r="E576" s="74" t="s">
        <v>2072</v>
      </c>
      <c r="F576" s="74">
        <v>7.4999999999999997E-2</v>
      </c>
      <c r="G576" s="74">
        <v>1.5E-3</v>
      </c>
      <c r="H576" s="74">
        <v>2.58</v>
      </c>
      <c r="I576" s="13" t="s">
        <v>2340</v>
      </c>
      <c r="J576" s="74" t="s">
        <v>250</v>
      </c>
      <c r="T576" s="292" t="s">
        <v>1756</v>
      </c>
      <c r="U576" s="283" t="s">
        <v>2454</v>
      </c>
      <c r="V576" s="285" t="s">
        <v>2394</v>
      </c>
      <c r="W576" s="293" t="str">
        <f t="shared" si="19"/>
        <v>H17</v>
      </c>
      <c r="X576" s="284" t="str">
        <f t="shared" si="19"/>
        <v>CDG</v>
      </c>
      <c r="Y576" s="271" t="s">
        <v>2261</v>
      </c>
      <c r="Z576" s="283">
        <f t="shared" si="20"/>
        <v>7.4999999999999997E-2</v>
      </c>
      <c r="AA576" s="340">
        <f t="shared" si="20"/>
        <v>1.5E-3</v>
      </c>
    </row>
    <row r="577" spans="1:34">
      <c r="A577" s="74" t="s">
        <v>1022</v>
      </c>
      <c r="B577" s="74" t="s">
        <v>2044</v>
      </c>
      <c r="C577" s="74" t="s">
        <v>2068</v>
      </c>
      <c r="D577" s="74" t="s">
        <v>1979</v>
      </c>
      <c r="E577" s="74" t="s">
        <v>1023</v>
      </c>
      <c r="F577" s="74">
        <v>7.4999999999999997E-2</v>
      </c>
      <c r="G577" s="74">
        <v>1.5E-3</v>
      </c>
      <c r="H577" s="74">
        <v>2.58</v>
      </c>
      <c r="I577" s="13" t="s">
        <v>2340</v>
      </c>
      <c r="J577" s="74" t="s">
        <v>250</v>
      </c>
      <c r="T577" s="292" t="s">
        <v>1756</v>
      </c>
      <c r="U577" s="283" t="s">
        <v>2454</v>
      </c>
      <c r="V577" s="285" t="s">
        <v>2394</v>
      </c>
      <c r="W577" s="293" t="str">
        <f t="shared" si="19"/>
        <v>H17</v>
      </c>
      <c r="X577" s="284" t="str">
        <f t="shared" si="19"/>
        <v>CKG</v>
      </c>
      <c r="Y577" s="271" t="s">
        <v>2261</v>
      </c>
      <c r="Z577" s="283">
        <f t="shared" si="20"/>
        <v>7.4999999999999997E-2</v>
      </c>
      <c r="AA577" s="340">
        <f t="shared" si="20"/>
        <v>1.5E-3</v>
      </c>
    </row>
    <row r="578" spans="1:34">
      <c r="A578" s="74" t="s">
        <v>1024</v>
      </c>
      <c r="B578" s="74" t="s">
        <v>2044</v>
      </c>
      <c r="C578" s="74" t="s">
        <v>2068</v>
      </c>
      <c r="D578" s="74" t="s">
        <v>1979</v>
      </c>
      <c r="E578" s="74" t="s">
        <v>2073</v>
      </c>
      <c r="F578" s="74">
        <v>3.7499999999999999E-2</v>
      </c>
      <c r="G578" s="74">
        <v>7.5000000000000002E-4</v>
      </c>
      <c r="H578" s="74">
        <v>2.58</v>
      </c>
      <c r="I578" s="13" t="s">
        <v>239</v>
      </c>
      <c r="J578" s="74" t="s">
        <v>2406</v>
      </c>
      <c r="T578" s="292" t="s">
        <v>1756</v>
      </c>
      <c r="U578" s="283" t="s">
        <v>2454</v>
      </c>
      <c r="V578" s="285" t="s">
        <v>2394</v>
      </c>
      <c r="W578" s="293" t="str">
        <f t="shared" si="19"/>
        <v>H17</v>
      </c>
      <c r="X578" s="284" t="str">
        <f t="shared" si="19"/>
        <v>DCG</v>
      </c>
      <c r="Y578" s="271" t="s">
        <v>2262</v>
      </c>
      <c r="Z578" s="283">
        <f t="shared" si="20"/>
        <v>3.7499999999999999E-2</v>
      </c>
      <c r="AA578" s="340">
        <f t="shared" si="20"/>
        <v>7.5000000000000002E-4</v>
      </c>
    </row>
    <row r="579" spans="1:34">
      <c r="A579" s="74" t="s">
        <v>1025</v>
      </c>
      <c r="B579" s="74" t="s">
        <v>2044</v>
      </c>
      <c r="C579" s="74" t="s">
        <v>2068</v>
      </c>
      <c r="D579" s="74" t="s">
        <v>1979</v>
      </c>
      <c r="E579" s="74" t="s">
        <v>1026</v>
      </c>
      <c r="F579" s="268">
        <v>3.7499999999999999E-2</v>
      </c>
      <c r="G579" s="74">
        <v>7.5000000000000002E-4</v>
      </c>
      <c r="H579" s="74">
        <v>2.58</v>
      </c>
      <c r="I579" s="13" t="s">
        <v>239</v>
      </c>
      <c r="J579" s="74" t="s">
        <v>2407</v>
      </c>
      <c r="T579" s="292" t="s">
        <v>1756</v>
      </c>
      <c r="U579" s="283" t="s">
        <v>2454</v>
      </c>
      <c r="V579" s="285" t="s">
        <v>2394</v>
      </c>
      <c r="W579" s="293" t="str">
        <f t="shared" si="19"/>
        <v>H17</v>
      </c>
      <c r="X579" s="284" t="str">
        <f t="shared" si="19"/>
        <v>DJG</v>
      </c>
      <c r="Y579" s="271" t="s">
        <v>2262</v>
      </c>
      <c r="Z579" s="283">
        <f t="shared" si="20"/>
        <v>3.7499999999999999E-2</v>
      </c>
      <c r="AA579" s="340">
        <f t="shared" si="20"/>
        <v>7.5000000000000002E-4</v>
      </c>
    </row>
    <row r="580" spans="1:34">
      <c r="A580" s="74" t="s">
        <v>1027</v>
      </c>
      <c r="B580" s="74" t="s">
        <v>2044</v>
      </c>
      <c r="C580" s="74" t="s">
        <v>2068</v>
      </c>
      <c r="D580" s="74" t="s">
        <v>1979</v>
      </c>
      <c r="E580" s="74" t="s">
        <v>2074</v>
      </c>
      <c r="F580" s="268">
        <v>3.7499999999999999E-2</v>
      </c>
      <c r="G580" s="74">
        <v>7.5000000000000002E-4</v>
      </c>
      <c r="H580" s="74">
        <v>2.58</v>
      </c>
      <c r="I580" s="13" t="s">
        <v>2340</v>
      </c>
      <c r="J580" s="74" t="s">
        <v>586</v>
      </c>
      <c r="T580" s="292" t="s">
        <v>1756</v>
      </c>
      <c r="U580" s="283" t="s">
        <v>2454</v>
      </c>
      <c r="V580" s="285" t="s">
        <v>2394</v>
      </c>
      <c r="W580" s="293" t="str">
        <f t="shared" si="19"/>
        <v>H17</v>
      </c>
      <c r="X580" s="284" t="str">
        <f t="shared" si="19"/>
        <v>DDG</v>
      </c>
      <c r="Y580" s="271" t="s">
        <v>2262</v>
      </c>
      <c r="Z580" s="283">
        <f t="shared" si="20"/>
        <v>3.7499999999999999E-2</v>
      </c>
      <c r="AA580" s="340">
        <f t="shared" si="20"/>
        <v>7.5000000000000002E-4</v>
      </c>
    </row>
    <row r="581" spans="1:34">
      <c r="A581" s="74" t="s">
        <v>1028</v>
      </c>
      <c r="B581" s="74" t="s">
        <v>2044</v>
      </c>
      <c r="C581" s="74" t="s">
        <v>2068</v>
      </c>
      <c r="D581" s="74" t="s">
        <v>1979</v>
      </c>
      <c r="E581" s="74" t="s">
        <v>1029</v>
      </c>
      <c r="F581" s="74">
        <v>3.7499999999999999E-2</v>
      </c>
      <c r="G581" s="74">
        <v>7.5000000000000002E-4</v>
      </c>
      <c r="H581" s="74">
        <v>2.58</v>
      </c>
      <c r="I581" s="13" t="s">
        <v>2340</v>
      </c>
      <c r="J581" t="s">
        <v>586</v>
      </c>
      <c r="T581" s="292" t="s">
        <v>1756</v>
      </c>
      <c r="U581" s="283" t="s">
        <v>2454</v>
      </c>
      <c r="V581" s="285" t="s">
        <v>2394</v>
      </c>
      <c r="W581" s="293" t="str">
        <f t="shared" si="19"/>
        <v>H17</v>
      </c>
      <c r="X581" s="284" t="str">
        <f t="shared" si="19"/>
        <v>DKG</v>
      </c>
      <c r="Y581" s="271" t="s">
        <v>2262</v>
      </c>
      <c r="Z581" s="283">
        <f t="shared" si="20"/>
        <v>3.7499999999999999E-2</v>
      </c>
      <c r="AA581" s="340">
        <f t="shared" si="20"/>
        <v>7.5000000000000002E-4</v>
      </c>
    </row>
    <row r="582" spans="1:34">
      <c r="A582" s="74" t="s">
        <v>1030</v>
      </c>
      <c r="B582" s="74" t="s">
        <v>2044</v>
      </c>
      <c r="C582" s="74" t="s">
        <v>2068</v>
      </c>
      <c r="D582" s="74" t="s">
        <v>1979</v>
      </c>
      <c r="E582" s="74" t="s">
        <v>1031</v>
      </c>
      <c r="F582" s="74">
        <v>0.13500000000000001</v>
      </c>
      <c r="G582" s="74">
        <v>3.0000000000000001E-3</v>
      </c>
      <c r="H582" s="74">
        <v>2.58</v>
      </c>
      <c r="I582" s="13" t="s">
        <v>239</v>
      </c>
      <c r="J582" t="s">
        <v>2404</v>
      </c>
      <c r="T582" s="292" t="s">
        <v>1756</v>
      </c>
      <c r="U582" s="283" t="s">
        <v>2454</v>
      </c>
      <c r="V582" s="285" t="s">
        <v>2394</v>
      </c>
      <c r="W582" s="293" t="str">
        <f t="shared" si="19"/>
        <v>H17</v>
      </c>
      <c r="X582" s="284" t="str">
        <f t="shared" si="19"/>
        <v>NCG</v>
      </c>
      <c r="Y582" s="271" t="s">
        <v>2398</v>
      </c>
      <c r="Z582" s="283">
        <f t="shared" si="20"/>
        <v>0.13500000000000001</v>
      </c>
      <c r="AA582" s="340">
        <f t="shared" si="20"/>
        <v>3.0000000000000001E-3</v>
      </c>
    </row>
    <row r="583" spans="1:34">
      <c r="A583" s="74" t="s">
        <v>1032</v>
      </c>
      <c r="B583" s="74" t="s">
        <v>2044</v>
      </c>
      <c r="C583" s="74" t="s">
        <v>2068</v>
      </c>
      <c r="D583" s="74" t="s">
        <v>1979</v>
      </c>
      <c r="E583" s="74" t="s">
        <v>1033</v>
      </c>
      <c r="F583" s="74">
        <v>0.13500000000000001</v>
      </c>
      <c r="G583" s="74">
        <v>3.0000000000000001E-3</v>
      </c>
      <c r="H583" s="74">
        <v>2.58</v>
      </c>
      <c r="I583" s="13" t="s">
        <v>239</v>
      </c>
      <c r="J583" t="s">
        <v>2404</v>
      </c>
      <c r="T583" s="292" t="s">
        <v>1756</v>
      </c>
      <c r="U583" s="283" t="s">
        <v>2454</v>
      </c>
      <c r="V583" s="285" t="s">
        <v>2394</v>
      </c>
      <c r="W583" s="293" t="str">
        <f t="shared" si="19"/>
        <v>H17</v>
      </c>
      <c r="X583" s="284" t="str">
        <f t="shared" si="19"/>
        <v>NJG</v>
      </c>
      <c r="Y583" s="271" t="s">
        <v>2398</v>
      </c>
      <c r="Z583" s="283">
        <f t="shared" si="20"/>
        <v>0.13500000000000001</v>
      </c>
      <c r="AA583" s="340">
        <f t="shared" si="20"/>
        <v>3.0000000000000001E-3</v>
      </c>
      <c r="AC583" s="268"/>
      <c r="AD583" s="268"/>
      <c r="AE583" s="268"/>
      <c r="AF583" s="268"/>
      <c r="AG583" s="268"/>
      <c r="AH583" s="268"/>
    </row>
    <row r="584" spans="1:34">
      <c r="A584" s="74" t="s">
        <v>1034</v>
      </c>
      <c r="B584" s="74" t="s">
        <v>2044</v>
      </c>
      <c r="C584" s="74" t="s">
        <v>2068</v>
      </c>
      <c r="D584" s="74" t="s">
        <v>1979</v>
      </c>
      <c r="E584" s="74" t="s">
        <v>1035</v>
      </c>
      <c r="F584" s="74">
        <v>0.13500000000000001</v>
      </c>
      <c r="G584" s="74">
        <v>3.0000000000000001E-3</v>
      </c>
      <c r="H584" s="74">
        <v>2.58</v>
      </c>
      <c r="I584" s="13" t="s">
        <v>573</v>
      </c>
      <c r="J584" t="s">
        <v>2398</v>
      </c>
      <c r="T584" s="292" t="s">
        <v>1756</v>
      </c>
      <c r="U584" s="283" t="s">
        <v>2454</v>
      </c>
      <c r="V584" s="285" t="s">
        <v>2394</v>
      </c>
      <c r="W584" s="293" t="str">
        <f t="shared" si="19"/>
        <v>H17</v>
      </c>
      <c r="X584" s="284" t="str">
        <f t="shared" si="19"/>
        <v>NDG</v>
      </c>
      <c r="Y584" s="271" t="s">
        <v>2398</v>
      </c>
      <c r="Z584" s="283">
        <f t="shared" si="20"/>
        <v>0.13500000000000001</v>
      </c>
      <c r="AA584" s="340">
        <f t="shared" si="20"/>
        <v>3.0000000000000001E-3</v>
      </c>
      <c r="AC584" s="268"/>
      <c r="AD584" s="268"/>
      <c r="AE584" s="268"/>
      <c r="AF584" s="268"/>
      <c r="AG584" s="268"/>
      <c r="AH584" s="268"/>
    </row>
    <row r="585" spans="1:34" s="268" customFormat="1">
      <c r="A585" s="268" t="s">
        <v>1036</v>
      </c>
      <c r="B585" s="268" t="s">
        <v>2044</v>
      </c>
      <c r="C585" s="268" t="s">
        <v>2068</v>
      </c>
      <c r="D585" s="268" t="s">
        <v>1979</v>
      </c>
      <c r="E585" s="270" t="s">
        <v>1037</v>
      </c>
      <c r="F585" s="268">
        <v>0.13500000000000001</v>
      </c>
      <c r="G585" s="268">
        <v>3.0000000000000001E-3</v>
      </c>
      <c r="H585" s="268">
        <v>2.58</v>
      </c>
      <c r="I585" s="267" t="s">
        <v>573</v>
      </c>
      <c r="J585" s="269" t="s">
        <v>2398</v>
      </c>
      <c r="T585" s="292" t="s">
        <v>1756</v>
      </c>
      <c r="U585" s="283" t="s">
        <v>2454</v>
      </c>
      <c r="V585" s="285" t="s">
        <v>2394</v>
      </c>
      <c r="W585" s="293" t="str">
        <f t="shared" si="19"/>
        <v>H17</v>
      </c>
      <c r="X585" s="284" t="str">
        <f t="shared" si="19"/>
        <v>NKG</v>
      </c>
      <c r="Y585" s="271" t="s">
        <v>2398</v>
      </c>
      <c r="Z585" s="283">
        <f t="shared" si="20"/>
        <v>0.13500000000000001</v>
      </c>
      <c r="AA585" s="340">
        <f t="shared" si="20"/>
        <v>3.0000000000000001E-3</v>
      </c>
      <c r="AC585" s="250"/>
      <c r="AD585" s="250"/>
      <c r="AE585" s="250"/>
      <c r="AF585" s="250"/>
      <c r="AG585" s="250"/>
      <c r="AH585" s="250"/>
    </row>
    <row r="586" spans="1:34" s="268" customFormat="1">
      <c r="A586" s="268" t="s">
        <v>1038</v>
      </c>
      <c r="B586" s="268" t="s">
        <v>2044</v>
      </c>
      <c r="C586" s="268" t="s">
        <v>2068</v>
      </c>
      <c r="D586" s="268" t="s">
        <v>1979</v>
      </c>
      <c r="E586" s="270" t="s">
        <v>1039</v>
      </c>
      <c r="F586" s="268">
        <v>0.15</v>
      </c>
      <c r="G586" s="268">
        <v>2.7000000000000001E-3</v>
      </c>
      <c r="H586" s="268">
        <v>2.58</v>
      </c>
      <c r="I586" s="267" t="s">
        <v>239</v>
      </c>
      <c r="J586" s="268" t="s">
        <v>2403</v>
      </c>
      <c r="T586" s="292" t="s">
        <v>1756</v>
      </c>
      <c r="U586" s="283" t="s">
        <v>2454</v>
      </c>
      <c r="V586" s="285" t="s">
        <v>2394</v>
      </c>
      <c r="W586" s="293" t="str">
        <f t="shared" si="19"/>
        <v>H17</v>
      </c>
      <c r="X586" s="284" t="str">
        <f t="shared" si="19"/>
        <v>PCG</v>
      </c>
      <c r="Y586" s="271" t="s">
        <v>2401</v>
      </c>
      <c r="Z586" s="283">
        <f t="shared" si="20"/>
        <v>0.15</v>
      </c>
      <c r="AA586" s="340">
        <f t="shared" si="20"/>
        <v>2.7000000000000001E-3</v>
      </c>
      <c r="AC586" s="250"/>
      <c r="AD586" s="250"/>
      <c r="AE586" s="250"/>
      <c r="AF586" s="250"/>
      <c r="AG586" s="250"/>
      <c r="AH586" s="250"/>
    </row>
    <row r="587" spans="1:34" s="250" customFormat="1">
      <c r="A587" s="250" t="s">
        <v>1040</v>
      </c>
      <c r="B587" s="250" t="s">
        <v>2044</v>
      </c>
      <c r="C587" s="250" t="s">
        <v>2068</v>
      </c>
      <c r="D587" s="251" t="s">
        <v>1979</v>
      </c>
      <c r="E587" s="251" t="s">
        <v>1041</v>
      </c>
      <c r="F587" s="250">
        <v>0.15</v>
      </c>
      <c r="G587" s="250">
        <v>2.7000000000000001E-3</v>
      </c>
      <c r="H587" s="250">
        <v>2.58</v>
      </c>
      <c r="I587" s="252" t="s">
        <v>239</v>
      </c>
      <c r="J587" s="250" t="s">
        <v>2403</v>
      </c>
      <c r="T587" s="292" t="s">
        <v>1756</v>
      </c>
      <c r="U587" s="283" t="s">
        <v>2454</v>
      </c>
      <c r="V587" s="285" t="s">
        <v>2394</v>
      </c>
      <c r="W587" s="293" t="str">
        <f t="shared" si="19"/>
        <v>H17</v>
      </c>
      <c r="X587" s="284" t="str">
        <f t="shared" si="19"/>
        <v>PJG</v>
      </c>
      <c r="Y587" s="271" t="s">
        <v>2401</v>
      </c>
      <c r="Z587" s="283">
        <f t="shared" si="20"/>
        <v>0.15</v>
      </c>
      <c r="AA587" s="340">
        <f t="shared" si="20"/>
        <v>2.7000000000000001E-3</v>
      </c>
    </row>
    <row r="588" spans="1:34" s="250" customFormat="1">
      <c r="A588" s="250" t="s">
        <v>1042</v>
      </c>
      <c r="B588" s="250" t="s">
        <v>2044</v>
      </c>
      <c r="C588" s="250" t="s">
        <v>2068</v>
      </c>
      <c r="D588" s="251" t="s">
        <v>1979</v>
      </c>
      <c r="E588" s="251" t="s">
        <v>1043</v>
      </c>
      <c r="F588" s="250">
        <v>0.15</v>
      </c>
      <c r="G588" s="250">
        <v>2.7000000000000001E-3</v>
      </c>
      <c r="H588" s="250">
        <v>2.58</v>
      </c>
      <c r="I588" s="252" t="s">
        <v>573</v>
      </c>
      <c r="J588" s="251" t="s">
        <v>2401</v>
      </c>
      <c r="T588" s="292" t="s">
        <v>1756</v>
      </c>
      <c r="U588" s="283" t="s">
        <v>2454</v>
      </c>
      <c r="V588" s="285" t="s">
        <v>2394</v>
      </c>
      <c r="W588" s="293" t="str">
        <f t="shared" si="19"/>
        <v>H17</v>
      </c>
      <c r="X588" s="284" t="str">
        <f t="shared" si="19"/>
        <v>PDG</v>
      </c>
      <c r="Y588" s="271" t="s">
        <v>2401</v>
      </c>
      <c r="Z588" s="283">
        <f t="shared" si="20"/>
        <v>0.15</v>
      </c>
      <c r="AA588" s="340">
        <f t="shared" si="20"/>
        <v>2.7000000000000001E-3</v>
      </c>
    </row>
    <row r="589" spans="1:34" s="250" customFormat="1">
      <c r="A589" s="250" t="s">
        <v>1044</v>
      </c>
      <c r="B589" s="250" t="s">
        <v>2044</v>
      </c>
      <c r="C589" s="250" t="s">
        <v>2068</v>
      </c>
      <c r="D589" s="251" t="s">
        <v>1979</v>
      </c>
      <c r="E589" s="251" t="s">
        <v>1045</v>
      </c>
      <c r="F589" s="250">
        <v>0.15</v>
      </c>
      <c r="G589" s="250">
        <v>2.7000000000000001E-3</v>
      </c>
      <c r="H589" s="250">
        <v>2.58</v>
      </c>
      <c r="I589" s="252" t="s">
        <v>573</v>
      </c>
      <c r="J589" s="251" t="s">
        <v>2401</v>
      </c>
      <c r="T589" s="292" t="s">
        <v>1756</v>
      </c>
      <c r="U589" s="283" t="s">
        <v>2454</v>
      </c>
      <c r="V589" s="285" t="s">
        <v>2394</v>
      </c>
      <c r="W589" s="293" t="str">
        <f t="shared" si="19"/>
        <v>H17</v>
      </c>
      <c r="X589" s="284" t="str">
        <f t="shared" si="19"/>
        <v>PKG</v>
      </c>
      <c r="Y589" s="271" t="s">
        <v>2401</v>
      </c>
      <c r="Z589" s="283">
        <f t="shared" si="20"/>
        <v>0.15</v>
      </c>
      <c r="AA589" s="340">
        <f t="shared" si="20"/>
        <v>2.7000000000000001E-3</v>
      </c>
    </row>
    <row r="590" spans="1:34" s="250" customFormat="1">
      <c r="A590" s="250" t="s">
        <v>1046</v>
      </c>
      <c r="B590" s="250" t="s">
        <v>2044</v>
      </c>
      <c r="C590" s="250" t="s">
        <v>2068</v>
      </c>
      <c r="D590" s="251" t="s">
        <v>2382</v>
      </c>
      <c r="E590" s="251" t="s">
        <v>1047</v>
      </c>
      <c r="F590" s="250">
        <v>0.05</v>
      </c>
      <c r="G590" s="250">
        <v>1E-3</v>
      </c>
      <c r="H590" s="250">
        <v>2.58</v>
      </c>
      <c r="I590" s="252" t="s">
        <v>607</v>
      </c>
      <c r="J590" s="251"/>
      <c r="T590" s="292" t="s">
        <v>1756</v>
      </c>
      <c r="U590" s="283" t="s">
        <v>2454</v>
      </c>
      <c r="V590" s="285" t="s">
        <v>2394</v>
      </c>
      <c r="W590" s="293" t="str">
        <f t="shared" si="19"/>
        <v>H21</v>
      </c>
      <c r="X590" s="284" t="str">
        <f t="shared" si="19"/>
        <v>LDG</v>
      </c>
      <c r="Y590" s="271"/>
      <c r="Z590" s="283">
        <f t="shared" si="20"/>
        <v>0.05</v>
      </c>
      <c r="AA590" s="340">
        <f t="shared" si="20"/>
        <v>1E-3</v>
      </c>
    </row>
    <row r="591" spans="1:34" s="250" customFormat="1">
      <c r="A591" s="250" t="s">
        <v>1048</v>
      </c>
      <c r="B591" s="250" t="s">
        <v>2044</v>
      </c>
      <c r="C591" s="250" t="s">
        <v>2068</v>
      </c>
      <c r="D591" s="251" t="s">
        <v>2382</v>
      </c>
      <c r="E591" s="251" t="s">
        <v>1049</v>
      </c>
      <c r="F591" s="250">
        <v>0.05</v>
      </c>
      <c r="G591" s="250">
        <v>1E-3</v>
      </c>
      <c r="H591" s="250">
        <v>2.58</v>
      </c>
      <c r="I591" s="252" t="s">
        <v>607</v>
      </c>
      <c r="J591" s="251"/>
      <c r="T591" s="292" t="s">
        <v>1756</v>
      </c>
      <c r="U591" s="283" t="s">
        <v>2454</v>
      </c>
      <c r="V591" s="285" t="s">
        <v>2394</v>
      </c>
      <c r="W591" s="293" t="str">
        <f t="shared" si="19"/>
        <v>H21</v>
      </c>
      <c r="X591" s="284" t="str">
        <f t="shared" si="19"/>
        <v>LKG</v>
      </c>
      <c r="Y591" s="271"/>
      <c r="Z591" s="283">
        <f t="shared" si="20"/>
        <v>0.05</v>
      </c>
      <c r="AA591" s="340">
        <f t="shared" si="20"/>
        <v>1E-3</v>
      </c>
      <c r="AC591" s="74"/>
      <c r="AD591" s="74"/>
      <c r="AE591" s="74"/>
      <c r="AF591" s="74"/>
      <c r="AG591" s="74"/>
      <c r="AH591" s="74"/>
    </row>
    <row r="592" spans="1:34" s="250" customFormat="1">
      <c r="A592" s="250" t="s">
        <v>1050</v>
      </c>
      <c r="B592" s="250" t="s">
        <v>2044</v>
      </c>
      <c r="C592" s="250" t="s">
        <v>2068</v>
      </c>
      <c r="D592" s="251" t="s">
        <v>2382</v>
      </c>
      <c r="E592" s="251" t="s">
        <v>1051</v>
      </c>
      <c r="F592" s="250">
        <v>0.05</v>
      </c>
      <c r="G592" s="250">
        <v>1E-3</v>
      </c>
      <c r="H592" s="250">
        <v>2.58</v>
      </c>
      <c r="I592" s="252" t="s">
        <v>607</v>
      </c>
      <c r="J592" s="251"/>
      <c r="T592" s="292" t="s">
        <v>1760</v>
      </c>
      <c r="U592" s="283" t="s">
        <v>1768</v>
      </c>
      <c r="V592" s="285" t="s">
        <v>2394</v>
      </c>
      <c r="W592" s="293" t="s">
        <v>2382</v>
      </c>
      <c r="X592" s="284" t="s">
        <v>1051</v>
      </c>
      <c r="Y592" s="271"/>
      <c r="Z592" s="283">
        <v>0.05</v>
      </c>
      <c r="AA592" s="340">
        <v>1E-3</v>
      </c>
      <c r="AC592" s="74"/>
      <c r="AD592" s="74"/>
      <c r="AE592" s="74"/>
      <c r="AF592" s="74"/>
      <c r="AG592" s="74"/>
      <c r="AH592" s="74"/>
    </row>
    <row r="593" spans="1:34">
      <c r="A593" s="74" t="s">
        <v>1052</v>
      </c>
      <c r="B593" s="74" t="s">
        <v>2044</v>
      </c>
      <c r="C593" s="74" t="s">
        <v>2068</v>
      </c>
      <c r="D593" s="74" t="s">
        <v>2382</v>
      </c>
      <c r="E593" s="74" t="s">
        <v>1053</v>
      </c>
      <c r="F593" s="74">
        <v>0.05</v>
      </c>
      <c r="G593" s="74">
        <v>1E-3</v>
      </c>
      <c r="H593" s="74">
        <v>2.58</v>
      </c>
      <c r="I593" s="13" t="s">
        <v>607</v>
      </c>
      <c r="T593" s="292" t="s">
        <v>1760</v>
      </c>
      <c r="U593" s="283" t="s">
        <v>1768</v>
      </c>
      <c r="V593" s="285" t="s">
        <v>2394</v>
      </c>
      <c r="W593" s="293" t="s">
        <v>2382</v>
      </c>
      <c r="X593" s="284" t="s">
        <v>1053</v>
      </c>
      <c r="Y593" s="271"/>
      <c r="Z593" s="283">
        <v>0.05</v>
      </c>
      <c r="AA593" s="340">
        <v>1E-3</v>
      </c>
    </row>
    <row r="594" spans="1:34">
      <c r="A594" s="74" t="s">
        <v>1054</v>
      </c>
      <c r="B594" s="74" t="s">
        <v>2044</v>
      </c>
      <c r="C594" s="74" t="s">
        <v>2068</v>
      </c>
      <c r="D594" s="74" t="s">
        <v>2382</v>
      </c>
      <c r="E594" s="74" t="s">
        <v>1055</v>
      </c>
      <c r="F594" s="74">
        <v>2.5000000000000001E-2</v>
      </c>
      <c r="G594" s="74">
        <v>5.0000000000000001E-4</v>
      </c>
      <c r="H594" s="74">
        <v>2.58</v>
      </c>
      <c r="I594" s="13" t="s">
        <v>239</v>
      </c>
      <c r="J594" s="74" t="s">
        <v>240</v>
      </c>
      <c r="T594" s="292" t="s">
        <v>1756</v>
      </c>
      <c r="U594" s="283" t="s">
        <v>2454</v>
      </c>
      <c r="V594" s="285" t="s">
        <v>2394</v>
      </c>
      <c r="W594" s="293" t="str">
        <f t="shared" si="19"/>
        <v>H21</v>
      </c>
      <c r="X594" s="284" t="str">
        <f t="shared" si="19"/>
        <v>LCG</v>
      </c>
      <c r="Y594" s="271"/>
      <c r="Z594" s="283">
        <f>F594</f>
        <v>2.5000000000000001E-2</v>
      </c>
      <c r="AA594" s="340">
        <f t="shared" ref="AA594:AA688" si="21">G594</f>
        <v>5.0000000000000001E-4</v>
      </c>
    </row>
    <row r="595" spans="1:34">
      <c r="A595" s="74" t="s">
        <v>1056</v>
      </c>
      <c r="B595" s="74" t="s">
        <v>2044</v>
      </c>
      <c r="C595" s="74" t="s">
        <v>2068</v>
      </c>
      <c r="D595" s="74" t="s">
        <v>2382</v>
      </c>
      <c r="E595" s="74" t="s">
        <v>1057</v>
      </c>
      <c r="F595" s="74">
        <v>2.5000000000000001E-2</v>
      </c>
      <c r="G595" s="74">
        <v>5.0000000000000001E-4</v>
      </c>
      <c r="H595" s="74">
        <v>2.58</v>
      </c>
      <c r="I595" s="13" t="s">
        <v>239</v>
      </c>
      <c r="J595" s="74" t="s">
        <v>240</v>
      </c>
      <c r="T595" s="292" t="s">
        <v>1756</v>
      </c>
      <c r="U595" s="283" t="s">
        <v>2454</v>
      </c>
      <c r="V595" s="285" t="s">
        <v>2394</v>
      </c>
      <c r="W595" s="293" t="str">
        <f t="shared" si="19"/>
        <v>H21</v>
      </c>
      <c r="X595" s="284" t="str">
        <f t="shared" si="19"/>
        <v>LJG</v>
      </c>
      <c r="Y595" s="271"/>
      <c r="Z595" s="283">
        <f>F595</f>
        <v>2.5000000000000001E-2</v>
      </c>
      <c r="AA595" s="340">
        <f t="shared" si="21"/>
        <v>5.0000000000000001E-4</v>
      </c>
    </row>
    <row r="596" spans="1:34">
      <c r="A596" s="74" t="s">
        <v>1058</v>
      </c>
      <c r="B596" s="74" t="s">
        <v>2044</v>
      </c>
      <c r="C596" s="74" t="s">
        <v>2068</v>
      </c>
      <c r="D596" s="74" t="s">
        <v>2382</v>
      </c>
      <c r="E596" s="74" t="s">
        <v>1059</v>
      </c>
      <c r="F596" s="74">
        <v>2.5000000000000001E-2</v>
      </c>
      <c r="G596" s="74">
        <v>5.0000000000000001E-4</v>
      </c>
      <c r="H596" s="74">
        <v>2.58</v>
      </c>
      <c r="I596" s="13" t="s">
        <v>239</v>
      </c>
      <c r="J596" s="74" t="s">
        <v>240</v>
      </c>
      <c r="T596" s="292" t="s">
        <v>1760</v>
      </c>
      <c r="U596" s="283" t="s">
        <v>1768</v>
      </c>
      <c r="V596" s="285" t="s">
        <v>2394</v>
      </c>
      <c r="W596" s="293" t="s">
        <v>2382</v>
      </c>
      <c r="X596" s="284" t="s">
        <v>1059</v>
      </c>
      <c r="Y596" s="271"/>
      <c r="Z596" s="283">
        <v>2.5000000000000001E-2</v>
      </c>
      <c r="AA596" s="340">
        <v>5.0000000000000001E-4</v>
      </c>
    </row>
    <row r="597" spans="1:34">
      <c r="A597" s="74" t="s">
        <v>1060</v>
      </c>
      <c r="B597" s="74" t="s">
        <v>2044</v>
      </c>
      <c r="C597" s="74" t="s">
        <v>2068</v>
      </c>
      <c r="D597" s="74" t="s">
        <v>2382</v>
      </c>
      <c r="E597" s="74" t="s">
        <v>1061</v>
      </c>
      <c r="F597" s="74">
        <v>2.5000000000000001E-2</v>
      </c>
      <c r="G597" s="74">
        <v>5.0000000000000001E-4</v>
      </c>
      <c r="H597" s="74">
        <v>2.58</v>
      </c>
      <c r="I597" s="13" t="s">
        <v>239</v>
      </c>
      <c r="J597" s="74" t="s">
        <v>240</v>
      </c>
      <c r="T597" s="292" t="s">
        <v>1760</v>
      </c>
      <c r="U597" s="283" t="s">
        <v>1768</v>
      </c>
      <c r="V597" s="285" t="s">
        <v>2394</v>
      </c>
      <c r="W597" s="293" t="s">
        <v>2382</v>
      </c>
      <c r="X597" s="284" t="s">
        <v>1061</v>
      </c>
      <c r="Y597" s="271"/>
      <c r="Z597" s="283">
        <v>2.5000000000000001E-2</v>
      </c>
      <c r="AA597" s="340">
        <v>5.0000000000000001E-4</v>
      </c>
    </row>
    <row r="598" spans="1:34">
      <c r="A598" s="74" t="s">
        <v>1062</v>
      </c>
      <c r="B598" s="74" t="s">
        <v>2044</v>
      </c>
      <c r="C598" s="74" t="s">
        <v>2068</v>
      </c>
      <c r="D598" s="74" t="s">
        <v>2382</v>
      </c>
      <c r="E598" s="74" t="s">
        <v>1063</v>
      </c>
      <c r="F598" s="268">
        <v>2.5000000000000001E-2</v>
      </c>
      <c r="G598" s="74">
        <v>5.0000000000000001E-4</v>
      </c>
      <c r="H598" s="74">
        <v>2.58</v>
      </c>
      <c r="I598" s="13" t="s">
        <v>607</v>
      </c>
      <c r="J598" s="74" t="s">
        <v>2261</v>
      </c>
      <c r="T598" s="292" t="s">
        <v>1756</v>
      </c>
      <c r="U598" s="283" t="s">
        <v>2454</v>
      </c>
      <c r="V598" s="285" t="s">
        <v>2394</v>
      </c>
      <c r="W598" s="293" t="str">
        <f t="shared" si="19"/>
        <v>H21</v>
      </c>
      <c r="X598" s="284" t="str">
        <f t="shared" si="19"/>
        <v>MDG</v>
      </c>
      <c r="Y598" s="271" t="s">
        <v>2261</v>
      </c>
      <c r="Z598" s="283">
        <f>F598</f>
        <v>2.5000000000000001E-2</v>
      </c>
      <c r="AA598" s="340">
        <f t="shared" si="21"/>
        <v>5.0000000000000001E-4</v>
      </c>
    </row>
    <row r="599" spans="1:34">
      <c r="A599" s="74" t="s">
        <v>1064</v>
      </c>
      <c r="B599" s="74" t="s">
        <v>2044</v>
      </c>
      <c r="C599" s="74" t="s">
        <v>2068</v>
      </c>
      <c r="D599" s="74" t="s">
        <v>2382</v>
      </c>
      <c r="E599" s="74" t="s">
        <v>1065</v>
      </c>
      <c r="F599" s="268">
        <v>2.5000000000000001E-2</v>
      </c>
      <c r="G599" s="74">
        <v>5.0000000000000001E-4</v>
      </c>
      <c r="H599" s="74">
        <v>2.58</v>
      </c>
      <c r="I599" s="13" t="s">
        <v>607</v>
      </c>
      <c r="J599" s="74" t="s">
        <v>2261</v>
      </c>
      <c r="T599" s="292" t="s">
        <v>1756</v>
      </c>
      <c r="U599" s="283" t="s">
        <v>2454</v>
      </c>
      <c r="V599" s="285" t="s">
        <v>2394</v>
      </c>
      <c r="W599" s="293" t="str">
        <f t="shared" si="19"/>
        <v>H21</v>
      </c>
      <c r="X599" s="284" t="str">
        <f t="shared" si="19"/>
        <v>MKG</v>
      </c>
      <c r="Y599" s="271" t="s">
        <v>2261</v>
      </c>
      <c r="Z599" s="283">
        <f>F599</f>
        <v>2.5000000000000001E-2</v>
      </c>
      <c r="AA599" s="340">
        <f t="shared" si="21"/>
        <v>5.0000000000000001E-4</v>
      </c>
    </row>
    <row r="600" spans="1:34">
      <c r="A600" s="74" t="s">
        <v>1066</v>
      </c>
      <c r="B600" s="74" t="s">
        <v>2044</v>
      </c>
      <c r="C600" s="74" t="s">
        <v>2068</v>
      </c>
      <c r="D600" s="74" t="s">
        <v>2382</v>
      </c>
      <c r="E600" s="74" t="s">
        <v>1067</v>
      </c>
      <c r="F600" s="74">
        <v>2.5000000000000001E-2</v>
      </c>
      <c r="G600" s="74">
        <v>5.0000000000000001E-4</v>
      </c>
      <c r="H600" s="74">
        <v>2.58</v>
      </c>
      <c r="I600" s="13" t="s">
        <v>607</v>
      </c>
      <c r="J600" t="s">
        <v>2261</v>
      </c>
      <c r="T600" s="292" t="s">
        <v>1760</v>
      </c>
      <c r="U600" s="283" t="s">
        <v>1768</v>
      </c>
      <c r="V600" s="285" t="s">
        <v>2394</v>
      </c>
      <c r="W600" s="293" t="s">
        <v>2382</v>
      </c>
      <c r="X600" s="284" t="s">
        <v>1067</v>
      </c>
      <c r="Y600" s="271" t="s">
        <v>1769</v>
      </c>
      <c r="Z600" s="283">
        <v>2.5000000000000001E-2</v>
      </c>
      <c r="AA600" s="340">
        <v>5.0000000000000001E-4</v>
      </c>
    </row>
    <row r="601" spans="1:34">
      <c r="A601" s="74" t="s">
        <v>1068</v>
      </c>
      <c r="B601" s="74" t="s">
        <v>2044</v>
      </c>
      <c r="C601" s="74" t="s">
        <v>2068</v>
      </c>
      <c r="D601" s="74" t="s">
        <v>2382</v>
      </c>
      <c r="E601" s="74" t="s">
        <v>1069</v>
      </c>
      <c r="F601" s="74">
        <v>2.5000000000000001E-2</v>
      </c>
      <c r="G601" s="74">
        <v>5.0000000000000001E-4</v>
      </c>
      <c r="H601" s="74">
        <v>2.58</v>
      </c>
      <c r="I601" s="13" t="s">
        <v>607</v>
      </c>
      <c r="J601" t="s">
        <v>2261</v>
      </c>
      <c r="T601" s="292" t="s">
        <v>1760</v>
      </c>
      <c r="U601" s="283" t="s">
        <v>1768</v>
      </c>
      <c r="V601" s="285" t="s">
        <v>2394</v>
      </c>
      <c r="W601" s="293" t="s">
        <v>2382</v>
      </c>
      <c r="X601" s="284" t="s">
        <v>1069</v>
      </c>
      <c r="Y601" s="271" t="s">
        <v>1769</v>
      </c>
      <c r="Z601" s="283">
        <v>2.5000000000000001E-2</v>
      </c>
      <c r="AA601" s="340">
        <v>5.0000000000000001E-4</v>
      </c>
    </row>
    <row r="602" spans="1:34">
      <c r="A602" s="74" t="s">
        <v>1070</v>
      </c>
      <c r="B602" s="74" t="s">
        <v>2044</v>
      </c>
      <c r="C602" s="74" t="s">
        <v>2068</v>
      </c>
      <c r="D602" s="74" t="s">
        <v>2382</v>
      </c>
      <c r="E602" s="74" t="s">
        <v>1071</v>
      </c>
      <c r="F602" s="74">
        <v>2.5000000000000001E-2</v>
      </c>
      <c r="G602" s="74">
        <v>5.0000000000000001E-4</v>
      </c>
      <c r="H602" s="74">
        <v>2.58</v>
      </c>
      <c r="I602" s="13" t="s">
        <v>239</v>
      </c>
      <c r="J602" t="s">
        <v>2385</v>
      </c>
      <c r="T602" s="292" t="s">
        <v>1756</v>
      </c>
      <c r="U602" s="283" t="s">
        <v>2454</v>
      </c>
      <c r="V602" s="285" t="s">
        <v>2394</v>
      </c>
      <c r="W602" s="293" t="str">
        <f t="shared" si="19"/>
        <v>H21</v>
      </c>
      <c r="X602" s="284" t="str">
        <f t="shared" si="19"/>
        <v>MCG</v>
      </c>
      <c r="Y602" s="271" t="s">
        <v>2261</v>
      </c>
      <c r="Z602" s="283">
        <f>F602</f>
        <v>2.5000000000000001E-2</v>
      </c>
      <c r="AA602" s="340">
        <f t="shared" si="21"/>
        <v>5.0000000000000001E-4</v>
      </c>
      <c r="AC602" s="268"/>
      <c r="AD602" s="268"/>
      <c r="AE602" s="268"/>
      <c r="AF602" s="268"/>
      <c r="AG602" s="268"/>
      <c r="AH602" s="268"/>
    </row>
    <row r="603" spans="1:34">
      <c r="A603" s="74" t="s">
        <v>1072</v>
      </c>
      <c r="B603" s="74" t="s">
        <v>2044</v>
      </c>
      <c r="C603" s="74" t="s">
        <v>2068</v>
      </c>
      <c r="D603" s="74" t="s">
        <v>2382</v>
      </c>
      <c r="E603" s="74" t="s">
        <v>1073</v>
      </c>
      <c r="F603" s="74">
        <v>2.5000000000000001E-2</v>
      </c>
      <c r="G603" s="74">
        <v>5.0000000000000001E-4</v>
      </c>
      <c r="H603" s="74">
        <v>2.58</v>
      </c>
      <c r="I603" s="13" t="s">
        <v>239</v>
      </c>
      <c r="J603" t="s">
        <v>2385</v>
      </c>
      <c r="T603" s="292" t="s">
        <v>1756</v>
      </c>
      <c r="U603" s="283" t="s">
        <v>2454</v>
      </c>
      <c r="V603" s="285" t="s">
        <v>2394</v>
      </c>
      <c r="W603" s="293" t="str">
        <f t="shared" si="19"/>
        <v>H21</v>
      </c>
      <c r="X603" s="284" t="str">
        <f t="shared" si="19"/>
        <v>MJG</v>
      </c>
      <c r="Y603" s="271" t="s">
        <v>2261</v>
      </c>
      <c r="Z603" s="283">
        <f>F603</f>
        <v>2.5000000000000001E-2</v>
      </c>
      <c r="AA603" s="340">
        <f t="shared" si="21"/>
        <v>5.0000000000000001E-4</v>
      </c>
      <c r="AC603" s="268"/>
      <c r="AD603" s="268"/>
      <c r="AE603" s="268"/>
      <c r="AF603" s="268"/>
      <c r="AG603" s="268"/>
      <c r="AH603" s="268"/>
    </row>
    <row r="604" spans="1:34" s="268" customFormat="1">
      <c r="A604" s="268" t="s">
        <v>1074</v>
      </c>
      <c r="B604" s="268" t="s">
        <v>2044</v>
      </c>
      <c r="C604" s="268" t="s">
        <v>2068</v>
      </c>
      <c r="D604" s="268" t="s">
        <v>2382</v>
      </c>
      <c r="E604" s="270" t="s">
        <v>1075</v>
      </c>
      <c r="F604" s="268">
        <v>2.5000000000000001E-2</v>
      </c>
      <c r="G604" s="268">
        <v>5.0000000000000001E-4</v>
      </c>
      <c r="H604" s="268">
        <v>2.58</v>
      </c>
      <c r="I604" s="267" t="s">
        <v>239</v>
      </c>
      <c r="J604" s="269" t="s">
        <v>2385</v>
      </c>
      <c r="T604" s="292" t="s">
        <v>1760</v>
      </c>
      <c r="U604" s="283" t="s">
        <v>1768</v>
      </c>
      <c r="V604" s="285" t="s">
        <v>2394</v>
      </c>
      <c r="W604" s="293" t="s">
        <v>2382</v>
      </c>
      <c r="X604" s="284" t="s">
        <v>1075</v>
      </c>
      <c r="Y604" s="271" t="s">
        <v>1769</v>
      </c>
      <c r="Z604" s="283">
        <v>2.5000000000000001E-2</v>
      </c>
      <c r="AA604" s="340">
        <v>5.0000000000000001E-4</v>
      </c>
    </row>
    <row r="605" spans="1:34" s="268" customFormat="1">
      <c r="A605" s="268" t="s">
        <v>1076</v>
      </c>
      <c r="B605" s="268" t="s">
        <v>2044</v>
      </c>
      <c r="C605" s="268" t="s">
        <v>2068</v>
      </c>
      <c r="D605" s="268" t="s">
        <v>2382</v>
      </c>
      <c r="E605" s="270" t="s">
        <v>1077</v>
      </c>
      <c r="F605" s="268">
        <v>2.5000000000000001E-2</v>
      </c>
      <c r="G605" s="268">
        <v>5.0000000000000001E-4</v>
      </c>
      <c r="H605" s="268">
        <v>2.58</v>
      </c>
      <c r="I605" s="267" t="s">
        <v>239</v>
      </c>
      <c r="J605" s="268" t="s">
        <v>2385</v>
      </c>
      <c r="T605" s="292" t="s">
        <v>1760</v>
      </c>
      <c r="U605" s="283" t="s">
        <v>1768</v>
      </c>
      <c r="V605" s="285" t="s">
        <v>2394</v>
      </c>
      <c r="W605" s="293" t="s">
        <v>2382</v>
      </c>
      <c r="X605" s="284" t="s">
        <v>1077</v>
      </c>
      <c r="Y605" s="271" t="s">
        <v>1769</v>
      </c>
      <c r="Z605" s="283">
        <v>2.5000000000000001E-2</v>
      </c>
      <c r="AA605" s="340">
        <v>5.0000000000000001E-4</v>
      </c>
    </row>
    <row r="606" spans="1:34" s="268" customFormat="1">
      <c r="A606" s="268" t="s">
        <v>1078</v>
      </c>
      <c r="B606" s="268" t="s">
        <v>2044</v>
      </c>
      <c r="C606" s="268" t="s">
        <v>2068</v>
      </c>
      <c r="D606" s="268" t="s">
        <v>2382</v>
      </c>
      <c r="E606" s="270" t="s">
        <v>1079</v>
      </c>
      <c r="F606" s="268">
        <v>1.2500000000000001E-2</v>
      </c>
      <c r="G606" s="268">
        <v>2.5000000000000001E-4</v>
      </c>
      <c r="H606" s="268">
        <v>2.58</v>
      </c>
      <c r="I606" s="267" t="s">
        <v>607</v>
      </c>
      <c r="J606" s="269" t="s">
        <v>2262</v>
      </c>
      <c r="T606" s="292" t="s">
        <v>1756</v>
      </c>
      <c r="U606" s="283" t="s">
        <v>2454</v>
      </c>
      <c r="V606" s="285" t="s">
        <v>2394</v>
      </c>
      <c r="W606" s="293" t="str">
        <f t="shared" si="19"/>
        <v>H21</v>
      </c>
      <c r="X606" s="284" t="str">
        <f t="shared" si="19"/>
        <v>RDG</v>
      </c>
      <c r="Y606" s="271" t="s">
        <v>2262</v>
      </c>
      <c r="Z606" s="283">
        <f>F606</f>
        <v>1.2500000000000001E-2</v>
      </c>
      <c r="AA606" s="340">
        <f t="shared" si="21"/>
        <v>2.5000000000000001E-4</v>
      </c>
      <c r="AC606" s="250"/>
      <c r="AD606" s="250"/>
      <c r="AE606" s="250"/>
      <c r="AF606" s="250"/>
      <c r="AG606" s="250"/>
      <c r="AH606" s="250"/>
    </row>
    <row r="607" spans="1:34" s="268" customFormat="1">
      <c r="A607" s="268" t="s">
        <v>1080</v>
      </c>
      <c r="B607" s="268" t="s">
        <v>2044</v>
      </c>
      <c r="C607" s="268" t="s">
        <v>2068</v>
      </c>
      <c r="D607" s="268" t="s">
        <v>2382</v>
      </c>
      <c r="E607" s="270" t="s">
        <v>1081</v>
      </c>
      <c r="F607" s="268">
        <v>1.2500000000000001E-2</v>
      </c>
      <c r="G607" s="268">
        <v>2.5000000000000001E-4</v>
      </c>
      <c r="H607" s="268">
        <v>2.58</v>
      </c>
      <c r="I607" s="267" t="s">
        <v>607</v>
      </c>
      <c r="J607" s="268" t="s">
        <v>2262</v>
      </c>
      <c r="T607" s="292" t="s">
        <v>1756</v>
      </c>
      <c r="U607" s="283" t="s">
        <v>2454</v>
      </c>
      <c r="V607" s="285" t="s">
        <v>2394</v>
      </c>
      <c r="W607" s="293" t="str">
        <f t="shared" si="19"/>
        <v>H21</v>
      </c>
      <c r="X607" s="284" t="str">
        <f t="shared" si="19"/>
        <v>RKG</v>
      </c>
      <c r="Y607" s="271" t="s">
        <v>2262</v>
      </c>
      <c r="Z607" s="283">
        <f>F607</f>
        <v>1.2500000000000001E-2</v>
      </c>
      <c r="AA607" s="340">
        <f t="shared" si="21"/>
        <v>2.5000000000000001E-4</v>
      </c>
      <c r="AC607" s="250"/>
      <c r="AD607" s="250"/>
      <c r="AE607" s="250"/>
      <c r="AF607" s="250"/>
      <c r="AG607" s="250"/>
      <c r="AH607" s="250"/>
    </row>
    <row r="608" spans="1:34" s="250" customFormat="1">
      <c r="A608" s="250" t="s">
        <v>1082</v>
      </c>
      <c r="B608" s="250" t="s">
        <v>2044</v>
      </c>
      <c r="C608" s="250" t="s">
        <v>2068</v>
      </c>
      <c r="D608" s="251" t="s">
        <v>2382</v>
      </c>
      <c r="E608" s="251" t="s">
        <v>1083</v>
      </c>
      <c r="F608" s="250">
        <v>1.2500000000000001E-2</v>
      </c>
      <c r="G608" s="250">
        <v>2.5000000000000001E-4</v>
      </c>
      <c r="H608" s="250">
        <v>2.58</v>
      </c>
      <c r="I608" s="252" t="s">
        <v>607</v>
      </c>
      <c r="J608" s="250" t="s">
        <v>2262</v>
      </c>
      <c r="T608" s="292" t="s">
        <v>1760</v>
      </c>
      <c r="U608" s="283" t="s">
        <v>1768</v>
      </c>
      <c r="V608" s="285" t="s">
        <v>2394</v>
      </c>
      <c r="W608" s="293" t="s">
        <v>2382</v>
      </c>
      <c r="X608" s="284" t="s">
        <v>1083</v>
      </c>
      <c r="Y608" s="271" t="s">
        <v>1770</v>
      </c>
      <c r="Z608" s="283">
        <v>1.2500000000000001E-2</v>
      </c>
      <c r="AA608" s="340">
        <v>2.5000000000000001E-4</v>
      </c>
    </row>
    <row r="609" spans="1:34" s="250" customFormat="1">
      <c r="A609" s="250" t="s">
        <v>1084</v>
      </c>
      <c r="B609" s="250" t="s">
        <v>2044</v>
      </c>
      <c r="C609" s="250" t="s">
        <v>2068</v>
      </c>
      <c r="D609" s="251" t="s">
        <v>2382</v>
      </c>
      <c r="E609" s="251" t="s">
        <v>1085</v>
      </c>
      <c r="F609" s="250">
        <v>1.2500000000000001E-2</v>
      </c>
      <c r="G609" s="250">
        <v>2.5000000000000001E-4</v>
      </c>
      <c r="H609" s="250">
        <v>2.58</v>
      </c>
      <c r="I609" s="252" t="s">
        <v>607</v>
      </c>
      <c r="J609" s="251" t="s">
        <v>2262</v>
      </c>
      <c r="T609" s="292" t="s">
        <v>1760</v>
      </c>
      <c r="U609" s="283" t="s">
        <v>1768</v>
      </c>
      <c r="V609" s="285" t="s">
        <v>2394</v>
      </c>
      <c r="W609" s="293" t="s">
        <v>2382</v>
      </c>
      <c r="X609" s="284" t="s">
        <v>1085</v>
      </c>
      <c r="Y609" s="271" t="s">
        <v>1770</v>
      </c>
      <c r="Z609" s="283">
        <v>1.2500000000000001E-2</v>
      </c>
      <c r="AA609" s="340">
        <v>2.5000000000000001E-4</v>
      </c>
    </row>
    <row r="610" spans="1:34" s="250" customFormat="1">
      <c r="A610" s="250" t="s">
        <v>1086</v>
      </c>
      <c r="B610" s="250" t="s">
        <v>2044</v>
      </c>
      <c r="C610" s="250" t="s">
        <v>2068</v>
      </c>
      <c r="D610" s="251" t="s">
        <v>2382</v>
      </c>
      <c r="E610" s="251" t="s">
        <v>1087</v>
      </c>
      <c r="F610" s="250">
        <v>1.2500000000000001E-2</v>
      </c>
      <c r="G610" s="250">
        <v>2.5000000000000001E-4</v>
      </c>
      <c r="H610" s="250">
        <v>2.58</v>
      </c>
      <c r="I610" s="252" t="s">
        <v>239</v>
      </c>
      <c r="J610" s="251" t="s">
        <v>2389</v>
      </c>
      <c r="T610" s="292" t="s">
        <v>1756</v>
      </c>
      <c r="U610" s="283" t="s">
        <v>2454</v>
      </c>
      <c r="V610" s="285" t="s">
        <v>2394</v>
      </c>
      <c r="W610" s="293" t="str">
        <f t="shared" si="19"/>
        <v>H21</v>
      </c>
      <c r="X610" s="284" t="str">
        <f t="shared" si="19"/>
        <v>RCG</v>
      </c>
      <c r="Y610" s="271" t="s">
        <v>2262</v>
      </c>
      <c r="Z610" s="283">
        <f>F610</f>
        <v>1.2500000000000001E-2</v>
      </c>
      <c r="AA610" s="340">
        <f t="shared" si="21"/>
        <v>2.5000000000000001E-4</v>
      </c>
    </row>
    <row r="611" spans="1:34" s="250" customFormat="1">
      <c r="A611" s="250" t="s">
        <v>1088</v>
      </c>
      <c r="B611" s="250" t="s">
        <v>2044</v>
      </c>
      <c r="C611" s="250" t="s">
        <v>2068</v>
      </c>
      <c r="D611" s="251" t="s">
        <v>2382</v>
      </c>
      <c r="E611" s="251" t="s">
        <v>1089</v>
      </c>
      <c r="F611" s="250">
        <v>1.2500000000000001E-2</v>
      </c>
      <c r="G611" s="250">
        <v>2.5000000000000001E-4</v>
      </c>
      <c r="H611" s="250">
        <v>2.58</v>
      </c>
      <c r="I611" s="252" t="s">
        <v>239</v>
      </c>
      <c r="J611" s="251" t="s">
        <v>2386</v>
      </c>
      <c r="T611" s="292" t="s">
        <v>1756</v>
      </c>
      <c r="U611" s="283" t="s">
        <v>2454</v>
      </c>
      <c r="V611" s="285" t="s">
        <v>2394</v>
      </c>
      <c r="W611" s="293" t="str">
        <f t="shared" si="19"/>
        <v>H21</v>
      </c>
      <c r="X611" s="284" t="str">
        <f t="shared" si="19"/>
        <v>RJG</v>
      </c>
      <c r="Y611" s="271" t="s">
        <v>2262</v>
      </c>
      <c r="Z611" s="283">
        <f>F611</f>
        <v>1.2500000000000001E-2</v>
      </c>
      <c r="AA611" s="340">
        <f t="shared" si="21"/>
        <v>2.5000000000000001E-4</v>
      </c>
    </row>
    <row r="612" spans="1:34" s="250" customFormat="1">
      <c r="A612" s="250" t="s">
        <v>1090</v>
      </c>
      <c r="B612" s="250" t="s">
        <v>2044</v>
      </c>
      <c r="C612" s="250" t="s">
        <v>2068</v>
      </c>
      <c r="D612" s="251" t="s">
        <v>2382</v>
      </c>
      <c r="E612" s="251" t="s">
        <v>1091</v>
      </c>
      <c r="F612" s="250">
        <v>1.2500000000000001E-2</v>
      </c>
      <c r="G612" s="250">
        <v>2.5000000000000001E-4</v>
      </c>
      <c r="H612" s="250">
        <v>2.58</v>
      </c>
      <c r="I612" s="252" t="s">
        <v>239</v>
      </c>
      <c r="J612" s="251" t="s">
        <v>2389</v>
      </c>
      <c r="T612" s="292" t="s">
        <v>1760</v>
      </c>
      <c r="U612" s="283" t="s">
        <v>1768</v>
      </c>
      <c r="V612" s="285" t="s">
        <v>2394</v>
      </c>
      <c r="W612" s="293" t="s">
        <v>2382</v>
      </c>
      <c r="X612" s="284" t="s">
        <v>1091</v>
      </c>
      <c r="Y612" s="271" t="s">
        <v>1770</v>
      </c>
      <c r="Z612" s="283">
        <v>1.2500000000000001E-2</v>
      </c>
      <c r="AA612" s="340">
        <v>2.5000000000000001E-4</v>
      </c>
    </row>
    <row r="613" spans="1:34" s="250" customFormat="1">
      <c r="A613" s="250" t="s">
        <v>1092</v>
      </c>
      <c r="B613" s="250" t="s">
        <v>2044</v>
      </c>
      <c r="C613" s="250" t="s">
        <v>2068</v>
      </c>
      <c r="D613" s="251" t="s">
        <v>2382</v>
      </c>
      <c r="E613" s="251" t="s">
        <v>1093</v>
      </c>
      <c r="F613" s="250">
        <v>1.2500000000000001E-2</v>
      </c>
      <c r="G613" s="250">
        <v>2.5000000000000001E-4</v>
      </c>
      <c r="H613" s="250">
        <v>2.58</v>
      </c>
      <c r="I613" s="252" t="s">
        <v>239</v>
      </c>
      <c r="J613" s="251" t="s">
        <v>2386</v>
      </c>
      <c r="T613" s="292" t="s">
        <v>1760</v>
      </c>
      <c r="U613" s="283" t="s">
        <v>1768</v>
      </c>
      <c r="V613" s="285" t="s">
        <v>2394</v>
      </c>
      <c r="W613" s="293" t="s">
        <v>2382</v>
      </c>
      <c r="X613" s="284" t="s">
        <v>1093</v>
      </c>
      <c r="Y613" s="271" t="s">
        <v>1770</v>
      </c>
      <c r="Z613" s="283">
        <v>1.2500000000000001E-2</v>
      </c>
      <c r="AA613" s="340">
        <v>2.5000000000000001E-4</v>
      </c>
    </row>
    <row r="614" spans="1:34" s="250" customFormat="1">
      <c r="A614" s="250" t="s">
        <v>1094</v>
      </c>
      <c r="B614" s="250" t="s">
        <v>2044</v>
      </c>
      <c r="C614" s="250" t="s">
        <v>2068</v>
      </c>
      <c r="D614" s="251" t="s">
        <v>2390</v>
      </c>
      <c r="E614" s="251" t="s">
        <v>1095</v>
      </c>
      <c r="F614" s="250">
        <v>0.05</v>
      </c>
      <c r="G614" s="250">
        <v>1E-3</v>
      </c>
      <c r="H614" s="250">
        <v>2.58</v>
      </c>
      <c r="I614" s="252" t="s">
        <v>607</v>
      </c>
      <c r="T614" s="292" t="s">
        <v>1756</v>
      </c>
      <c r="U614" s="283" t="s">
        <v>2454</v>
      </c>
      <c r="V614" s="285" t="s">
        <v>2394</v>
      </c>
      <c r="W614" s="293" t="str">
        <f t="shared" si="19"/>
        <v>H22</v>
      </c>
      <c r="X614" s="284" t="str">
        <f t="shared" si="19"/>
        <v>SDG</v>
      </c>
      <c r="Y614" s="271"/>
      <c r="Z614" s="283">
        <f>F614</f>
        <v>0.05</v>
      </c>
      <c r="AA614" s="340">
        <f t="shared" si="21"/>
        <v>1E-3</v>
      </c>
      <c r="AC614" s="74"/>
      <c r="AD614" s="74"/>
      <c r="AE614" s="74"/>
      <c r="AF614" s="74"/>
      <c r="AG614" s="74"/>
      <c r="AH614" s="74"/>
    </row>
    <row r="615" spans="1:34" s="250" customFormat="1">
      <c r="A615" s="250" t="s">
        <v>1096</v>
      </c>
      <c r="B615" s="250" t="s">
        <v>2044</v>
      </c>
      <c r="C615" s="250" t="s">
        <v>2068</v>
      </c>
      <c r="D615" s="251" t="s">
        <v>2390</v>
      </c>
      <c r="E615" s="251" t="s">
        <v>1097</v>
      </c>
      <c r="F615" s="250">
        <v>0.05</v>
      </c>
      <c r="G615" s="250">
        <v>1E-3</v>
      </c>
      <c r="H615" s="250">
        <v>2.58</v>
      </c>
      <c r="I615" s="252" t="s">
        <v>607</v>
      </c>
      <c r="J615" s="251"/>
      <c r="T615" s="292" t="s">
        <v>1756</v>
      </c>
      <c r="U615" s="283" t="s">
        <v>2454</v>
      </c>
      <c r="V615" s="285" t="s">
        <v>2394</v>
      </c>
      <c r="W615" s="293" t="str">
        <f t="shared" si="19"/>
        <v>H22</v>
      </c>
      <c r="X615" s="284" t="str">
        <f t="shared" si="19"/>
        <v>SKG</v>
      </c>
      <c r="Y615" s="271"/>
      <c r="Z615" s="283">
        <f>F615</f>
        <v>0.05</v>
      </c>
      <c r="AA615" s="340">
        <f t="shared" si="21"/>
        <v>1E-3</v>
      </c>
      <c r="AC615" s="74"/>
      <c r="AD615" s="74"/>
      <c r="AE615" s="74"/>
      <c r="AF615" s="74"/>
      <c r="AG615" s="74"/>
      <c r="AH615" s="74"/>
    </row>
    <row r="616" spans="1:34">
      <c r="A616" s="74" t="s">
        <v>1098</v>
      </c>
      <c r="B616" s="74" t="s">
        <v>2044</v>
      </c>
      <c r="C616" s="74" t="s">
        <v>2068</v>
      </c>
      <c r="D616" s="74" t="s">
        <v>2390</v>
      </c>
      <c r="E616" s="74" t="s">
        <v>1099</v>
      </c>
      <c r="F616" s="74">
        <v>0.05</v>
      </c>
      <c r="G616" s="74">
        <v>1E-3</v>
      </c>
      <c r="H616" s="74">
        <v>2.58</v>
      </c>
      <c r="I616" s="13" t="s">
        <v>607</v>
      </c>
      <c r="T616" s="292" t="s">
        <v>1760</v>
      </c>
      <c r="U616" s="283" t="s">
        <v>1768</v>
      </c>
      <c r="V616" s="285" t="s">
        <v>2394</v>
      </c>
      <c r="W616" s="293" t="s">
        <v>2390</v>
      </c>
      <c r="X616" s="284" t="s">
        <v>1099</v>
      </c>
      <c r="Y616" s="271"/>
      <c r="Z616" s="283">
        <v>0.05</v>
      </c>
      <c r="AA616" s="340">
        <v>1E-3</v>
      </c>
    </row>
    <row r="617" spans="1:34">
      <c r="A617" s="74" t="s">
        <v>1100</v>
      </c>
      <c r="B617" s="74" t="s">
        <v>2044</v>
      </c>
      <c r="C617" s="74" t="s">
        <v>2068</v>
      </c>
      <c r="D617" s="74" t="s">
        <v>2390</v>
      </c>
      <c r="E617" s="74" t="s">
        <v>1101</v>
      </c>
      <c r="F617" s="74">
        <v>0.05</v>
      </c>
      <c r="G617" s="74">
        <v>1E-3</v>
      </c>
      <c r="H617" s="74">
        <v>2.58</v>
      </c>
      <c r="I617" s="13" t="s">
        <v>607</v>
      </c>
      <c r="T617" s="292" t="s">
        <v>1760</v>
      </c>
      <c r="U617" s="283" t="s">
        <v>1768</v>
      </c>
      <c r="V617" s="285" t="s">
        <v>2394</v>
      </c>
      <c r="W617" s="293" t="s">
        <v>2390</v>
      </c>
      <c r="X617" s="284" t="s">
        <v>1101</v>
      </c>
      <c r="Y617" s="271"/>
      <c r="Z617" s="283">
        <v>0.05</v>
      </c>
      <c r="AA617" s="340">
        <v>1E-3</v>
      </c>
    </row>
    <row r="618" spans="1:34">
      <c r="A618" s="74" t="s">
        <v>1102</v>
      </c>
      <c r="B618" s="74" t="s">
        <v>2044</v>
      </c>
      <c r="C618" s="74" t="s">
        <v>2068</v>
      </c>
      <c r="D618" s="74" t="s">
        <v>2390</v>
      </c>
      <c r="E618" s="74" t="s">
        <v>1103</v>
      </c>
      <c r="F618" s="74">
        <v>2.5000000000000001E-2</v>
      </c>
      <c r="G618" s="74">
        <v>5.0000000000000001E-4</v>
      </c>
      <c r="H618" s="74">
        <v>2.58</v>
      </c>
      <c r="I618" s="13" t="s">
        <v>239</v>
      </c>
      <c r="J618" s="74" t="s">
        <v>240</v>
      </c>
      <c r="T618" s="292" t="s">
        <v>1756</v>
      </c>
      <c r="U618" s="283" t="s">
        <v>2454</v>
      </c>
      <c r="V618" s="285" t="s">
        <v>2394</v>
      </c>
      <c r="W618" s="293" t="str">
        <f t="shared" si="19"/>
        <v>H22</v>
      </c>
      <c r="X618" s="284" t="str">
        <f t="shared" si="19"/>
        <v>SCG</v>
      </c>
      <c r="Y618" s="271"/>
      <c r="Z618" s="283">
        <f>F618</f>
        <v>2.5000000000000001E-2</v>
      </c>
      <c r="AA618" s="340">
        <f t="shared" si="21"/>
        <v>5.0000000000000001E-4</v>
      </c>
    </row>
    <row r="619" spans="1:34">
      <c r="A619" s="74" t="s">
        <v>1104</v>
      </c>
      <c r="B619" s="74" t="s">
        <v>2044</v>
      </c>
      <c r="C619" s="74" t="s">
        <v>2068</v>
      </c>
      <c r="D619" s="74" t="s">
        <v>2390</v>
      </c>
      <c r="E619" s="74" t="s">
        <v>1105</v>
      </c>
      <c r="F619" s="74">
        <v>2.5000000000000001E-2</v>
      </c>
      <c r="G619" s="74">
        <v>5.0000000000000001E-4</v>
      </c>
      <c r="H619" s="74">
        <v>2.58</v>
      </c>
      <c r="I619" s="13" t="s">
        <v>239</v>
      </c>
      <c r="J619" s="74" t="s">
        <v>240</v>
      </c>
      <c r="T619" s="292" t="s">
        <v>1756</v>
      </c>
      <c r="U619" s="283" t="s">
        <v>2454</v>
      </c>
      <c r="V619" s="285" t="s">
        <v>2394</v>
      </c>
      <c r="W619" s="293" t="str">
        <f t="shared" si="19"/>
        <v>H22</v>
      </c>
      <c r="X619" s="284" t="str">
        <f t="shared" si="19"/>
        <v>SJG</v>
      </c>
      <c r="Y619" s="271"/>
      <c r="Z619" s="283">
        <f>F619</f>
        <v>2.5000000000000001E-2</v>
      </c>
      <c r="AA619" s="340">
        <f t="shared" si="21"/>
        <v>5.0000000000000001E-4</v>
      </c>
    </row>
    <row r="620" spans="1:34">
      <c r="A620" s="74" t="s">
        <v>1106</v>
      </c>
      <c r="B620" s="74" t="s">
        <v>2044</v>
      </c>
      <c r="C620" s="74" t="s">
        <v>2068</v>
      </c>
      <c r="D620" s="74" t="s">
        <v>2390</v>
      </c>
      <c r="E620" s="74" t="s">
        <v>1107</v>
      </c>
      <c r="F620" s="74">
        <v>2.5000000000000001E-2</v>
      </c>
      <c r="G620" s="74">
        <v>5.0000000000000001E-4</v>
      </c>
      <c r="H620" s="74">
        <v>2.58</v>
      </c>
      <c r="I620" s="13" t="s">
        <v>239</v>
      </c>
      <c r="J620" s="74" t="s">
        <v>240</v>
      </c>
      <c r="T620" s="292" t="s">
        <v>1760</v>
      </c>
      <c r="U620" s="283" t="s">
        <v>1768</v>
      </c>
      <c r="V620" s="285" t="s">
        <v>2394</v>
      </c>
      <c r="W620" s="293" t="s">
        <v>2390</v>
      </c>
      <c r="X620" s="284" t="s">
        <v>1107</v>
      </c>
      <c r="Y620" s="271"/>
      <c r="Z620" s="283">
        <v>2.5000000000000001E-2</v>
      </c>
      <c r="AA620" s="340">
        <v>5.0000000000000001E-4</v>
      </c>
    </row>
    <row r="621" spans="1:34">
      <c r="A621" s="74" t="s">
        <v>1108</v>
      </c>
      <c r="B621" s="74" t="s">
        <v>2044</v>
      </c>
      <c r="C621" s="74" t="s">
        <v>2068</v>
      </c>
      <c r="D621" s="74" t="s">
        <v>2390</v>
      </c>
      <c r="E621" s="74" t="s">
        <v>1109</v>
      </c>
      <c r="F621" s="268">
        <v>2.5000000000000001E-2</v>
      </c>
      <c r="G621" s="74">
        <v>5.0000000000000001E-4</v>
      </c>
      <c r="H621" s="74">
        <v>2.58</v>
      </c>
      <c r="I621" s="13" t="s">
        <v>239</v>
      </c>
      <c r="J621" s="74" t="s">
        <v>240</v>
      </c>
      <c r="T621" s="292" t="s">
        <v>1760</v>
      </c>
      <c r="U621" s="283" t="s">
        <v>1768</v>
      </c>
      <c r="V621" s="285" t="s">
        <v>2394</v>
      </c>
      <c r="W621" s="293" t="s">
        <v>2390</v>
      </c>
      <c r="X621" s="284" t="s">
        <v>1109</v>
      </c>
      <c r="Y621" s="271"/>
      <c r="Z621" s="283">
        <v>2.5000000000000001E-2</v>
      </c>
      <c r="AA621" s="340">
        <v>5.0000000000000001E-4</v>
      </c>
    </row>
    <row r="622" spans="1:34">
      <c r="A622" s="74" t="s">
        <v>2372</v>
      </c>
      <c r="B622" s="74" t="s">
        <v>2044</v>
      </c>
      <c r="C622" s="74" t="s">
        <v>2068</v>
      </c>
      <c r="D622" s="74" t="s">
        <v>2382</v>
      </c>
      <c r="E622" s="74" t="s">
        <v>2359</v>
      </c>
      <c r="F622" s="268">
        <v>4.4999999999999998E-2</v>
      </c>
      <c r="G622" s="74">
        <v>9.0000000000000008E-4</v>
      </c>
      <c r="H622" s="74">
        <v>2.58</v>
      </c>
      <c r="I622" s="13" t="s">
        <v>607</v>
      </c>
      <c r="J622" s="74" t="s">
        <v>2398</v>
      </c>
      <c r="T622" s="292" t="s">
        <v>1760</v>
      </c>
      <c r="U622" s="283" t="s">
        <v>1768</v>
      </c>
      <c r="V622" s="285" t="s">
        <v>2394</v>
      </c>
      <c r="W622" s="293" t="s">
        <v>2382</v>
      </c>
      <c r="X622" s="284" t="s">
        <v>2359</v>
      </c>
      <c r="Y622" s="271" t="s">
        <v>1762</v>
      </c>
      <c r="Z622" s="283">
        <v>4.4999999999999998E-2</v>
      </c>
      <c r="AA622" s="340">
        <v>9.0000000000000008E-4</v>
      </c>
    </row>
    <row r="623" spans="1:34">
      <c r="A623" s="74" t="s">
        <v>2373</v>
      </c>
      <c r="B623" s="74" t="s">
        <v>2044</v>
      </c>
      <c r="C623" s="74" t="s">
        <v>2068</v>
      </c>
      <c r="D623" s="74" t="s">
        <v>2382</v>
      </c>
      <c r="E623" s="74" t="s">
        <v>2360</v>
      </c>
      <c r="F623" s="74">
        <v>4.4999999999999998E-2</v>
      </c>
      <c r="G623" s="74">
        <v>9.0000000000000008E-4</v>
      </c>
      <c r="H623" s="74">
        <v>2.58</v>
      </c>
      <c r="I623" s="13" t="s">
        <v>607</v>
      </c>
      <c r="J623" t="s">
        <v>2398</v>
      </c>
      <c r="T623" s="292" t="s">
        <v>1760</v>
      </c>
      <c r="U623" s="283" t="s">
        <v>1768</v>
      </c>
      <c r="V623" s="285" t="s">
        <v>2394</v>
      </c>
      <c r="W623" s="293" t="s">
        <v>2382</v>
      </c>
      <c r="X623" s="284" t="s">
        <v>2360</v>
      </c>
      <c r="Y623" s="271" t="s">
        <v>1762</v>
      </c>
      <c r="Z623" s="283">
        <v>4.4999999999999998E-2</v>
      </c>
      <c r="AA623" s="340">
        <v>9.0000000000000008E-4</v>
      </c>
    </row>
    <row r="624" spans="1:34">
      <c r="A624" s="74" t="s">
        <v>2374</v>
      </c>
      <c r="B624" s="74" t="s">
        <v>2044</v>
      </c>
      <c r="C624" s="74" t="s">
        <v>2068</v>
      </c>
      <c r="D624" s="74" t="s">
        <v>2382</v>
      </c>
      <c r="E624" s="74" t="s">
        <v>2361</v>
      </c>
      <c r="F624" s="74">
        <v>4.4999999999999998E-2</v>
      </c>
      <c r="G624" s="74">
        <v>9.0000000000000008E-4</v>
      </c>
      <c r="H624" s="74">
        <v>2.58</v>
      </c>
      <c r="I624" s="13" t="s">
        <v>607</v>
      </c>
      <c r="J624" t="s">
        <v>2398</v>
      </c>
      <c r="T624" s="292" t="s">
        <v>1760</v>
      </c>
      <c r="U624" s="283" t="s">
        <v>1768</v>
      </c>
      <c r="V624" s="285" t="s">
        <v>2394</v>
      </c>
      <c r="W624" s="293" t="s">
        <v>2382</v>
      </c>
      <c r="X624" s="284" t="s">
        <v>2361</v>
      </c>
      <c r="Y624" s="271" t="s">
        <v>1762</v>
      </c>
      <c r="Z624" s="283">
        <v>4.4999999999999998E-2</v>
      </c>
      <c r="AA624" s="340">
        <v>9.0000000000000008E-4</v>
      </c>
    </row>
    <row r="625" spans="1:34">
      <c r="A625" s="74" t="s">
        <v>2375</v>
      </c>
      <c r="B625" s="74" t="s">
        <v>2044</v>
      </c>
      <c r="C625" s="74" t="s">
        <v>2068</v>
      </c>
      <c r="D625" s="74" t="s">
        <v>2382</v>
      </c>
      <c r="E625" s="74" t="s">
        <v>2362</v>
      </c>
      <c r="F625" s="74">
        <v>4.4999999999999998E-2</v>
      </c>
      <c r="G625" s="74">
        <v>9.0000000000000008E-4</v>
      </c>
      <c r="H625" s="74">
        <v>2.58</v>
      </c>
      <c r="I625" s="13" t="s">
        <v>607</v>
      </c>
      <c r="J625" t="s">
        <v>2398</v>
      </c>
      <c r="T625" s="292" t="s">
        <v>1760</v>
      </c>
      <c r="U625" s="283" t="s">
        <v>1768</v>
      </c>
      <c r="V625" s="285" t="s">
        <v>2394</v>
      </c>
      <c r="W625" s="293" t="s">
        <v>2382</v>
      </c>
      <c r="X625" s="284" t="s">
        <v>2362</v>
      </c>
      <c r="Y625" s="271" t="s">
        <v>1762</v>
      </c>
      <c r="Z625" s="283">
        <v>4.4999999999999998E-2</v>
      </c>
      <c r="AA625" s="340">
        <v>9.0000000000000008E-4</v>
      </c>
      <c r="AC625" s="250"/>
      <c r="AD625" s="250"/>
      <c r="AE625" s="250"/>
      <c r="AF625" s="250"/>
      <c r="AG625" s="250"/>
      <c r="AH625" s="250"/>
    </row>
    <row r="626" spans="1:34">
      <c r="A626" s="74" t="s">
        <v>2376</v>
      </c>
      <c r="B626" s="74" t="s">
        <v>2044</v>
      </c>
      <c r="C626" s="74" t="s">
        <v>2068</v>
      </c>
      <c r="D626" s="74" t="s">
        <v>2382</v>
      </c>
      <c r="E626" s="74" t="s">
        <v>2363</v>
      </c>
      <c r="F626" s="74">
        <v>4.4999999999999998E-2</v>
      </c>
      <c r="G626" s="74">
        <v>9.0000000000000008E-4</v>
      </c>
      <c r="H626" s="74">
        <v>2.58</v>
      </c>
      <c r="I626" s="13" t="s">
        <v>239</v>
      </c>
      <c r="J626" t="s">
        <v>2402</v>
      </c>
      <c r="T626" s="292" t="s">
        <v>1760</v>
      </c>
      <c r="U626" s="283" t="s">
        <v>1768</v>
      </c>
      <c r="V626" s="285" t="s">
        <v>2394</v>
      </c>
      <c r="W626" s="293" t="s">
        <v>2382</v>
      </c>
      <c r="X626" s="284" t="s">
        <v>2363</v>
      </c>
      <c r="Y626" s="271" t="s">
        <v>1762</v>
      </c>
      <c r="Z626" s="283">
        <v>4.4999999999999998E-2</v>
      </c>
      <c r="AA626" s="340">
        <v>9.0000000000000008E-4</v>
      </c>
      <c r="AC626" s="250"/>
      <c r="AD626" s="250"/>
      <c r="AE626" s="250"/>
      <c r="AF626" s="250"/>
      <c r="AG626" s="250"/>
      <c r="AH626" s="250"/>
    </row>
    <row r="627" spans="1:34" s="250" customFormat="1">
      <c r="A627" s="250" t="s">
        <v>2377</v>
      </c>
      <c r="B627" s="250" t="s">
        <v>2044</v>
      </c>
      <c r="C627" s="250" t="s">
        <v>2068</v>
      </c>
      <c r="D627" s="251" t="s">
        <v>2382</v>
      </c>
      <c r="E627" s="251" t="s">
        <v>2364</v>
      </c>
      <c r="F627" s="250">
        <v>4.4999999999999998E-2</v>
      </c>
      <c r="G627" s="250">
        <v>9.0000000000000008E-4</v>
      </c>
      <c r="H627" s="250">
        <v>2.58</v>
      </c>
      <c r="I627" s="252" t="s">
        <v>239</v>
      </c>
      <c r="J627" s="250" t="s">
        <v>2402</v>
      </c>
      <c r="T627" s="292" t="s">
        <v>1760</v>
      </c>
      <c r="U627" s="283" t="s">
        <v>1768</v>
      </c>
      <c r="V627" s="285" t="s">
        <v>2394</v>
      </c>
      <c r="W627" s="293" t="s">
        <v>2382</v>
      </c>
      <c r="X627" s="284" t="s">
        <v>2364</v>
      </c>
      <c r="Y627" s="271" t="s">
        <v>1762</v>
      </c>
      <c r="Z627" s="283">
        <v>4.4999999999999998E-2</v>
      </c>
      <c r="AA627" s="340">
        <v>9.0000000000000008E-4</v>
      </c>
    </row>
    <row r="628" spans="1:34" s="250" customFormat="1">
      <c r="A628" s="250" t="s">
        <v>2378</v>
      </c>
      <c r="B628" s="250" t="s">
        <v>2044</v>
      </c>
      <c r="C628" s="250" t="s">
        <v>2068</v>
      </c>
      <c r="D628" s="251" t="s">
        <v>2382</v>
      </c>
      <c r="E628" s="251" t="s">
        <v>2365</v>
      </c>
      <c r="F628" s="250">
        <v>4.4999999999999998E-2</v>
      </c>
      <c r="G628" s="250">
        <v>9.0000000000000008E-4</v>
      </c>
      <c r="H628" s="250">
        <v>2.58</v>
      </c>
      <c r="I628" s="252" t="s">
        <v>239</v>
      </c>
      <c r="J628" s="251" t="s">
        <v>2402</v>
      </c>
      <c r="T628" s="292" t="s">
        <v>1760</v>
      </c>
      <c r="U628" s="283" t="s">
        <v>1768</v>
      </c>
      <c r="V628" s="285" t="s">
        <v>2394</v>
      </c>
      <c r="W628" s="293" t="s">
        <v>2382</v>
      </c>
      <c r="X628" s="284" t="s">
        <v>2365</v>
      </c>
      <c r="Y628" s="271" t="s">
        <v>1762</v>
      </c>
      <c r="Z628" s="283">
        <v>4.4999999999999998E-2</v>
      </c>
      <c r="AA628" s="340">
        <v>9.0000000000000008E-4</v>
      </c>
    </row>
    <row r="629" spans="1:34" s="250" customFormat="1">
      <c r="A629" s="250" t="s">
        <v>2379</v>
      </c>
      <c r="B629" s="250" t="s">
        <v>2044</v>
      </c>
      <c r="C629" s="250" t="s">
        <v>2068</v>
      </c>
      <c r="D629" s="251" t="s">
        <v>2382</v>
      </c>
      <c r="E629" s="251" t="s">
        <v>2366</v>
      </c>
      <c r="F629" s="250">
        <v>4.4999999999999998E-2</v>
      </c>
      <c r="G629" s="250">
        <v>9.0000000000000008E-4</v>
      </c>
      <c r="H629" s="250">
        <v>2.58</v>
      </c>
      <c r="I629" s="252" t="s">
        <v>239</v>
      </c>
      <c r="J629" s="251" t="s">
        <v>2402</v>
      </c>
      <c r="T629" s="292" t="s">
        <v>1760</v>
      </c>
      <c r="U629" s="283" t="s">
        <v>1768</v>
      </c>
      <c r="V629" s="285" t="s">
        <v>2394</v>
      </c>
      <c r="W629" s="293" t="s">
        <v>2382</v>
      </c>
      <c r="X629" s="284" t="s">
        <v>2366</v>
      </c>
      <c r="Y629" s="271" t="s">
        <v>1762</v>
      </c>
      <c r="Z629" s="283">
        <v>4.4999999999999998E-2</v>
      </c>
      <c r="AA629" s="340">
        <v>9.0000000000000008E-4</v>
      </c>
    </row>
    <row r="630" spans="1:34" s="250" customFormat="1">
      <c r="A630" s="250" t="s">
        <v>1110</v>
      </c>
      <c r="B630" s="250" t="s">
        <v>2044</v>
      </c>
      <c r="C630" s="250" t="s">
        <v>2068</v>
      </c>
      <c r="D630" s="251" t="s">
        <v>2390</v>
      </c>
      <c r="E630" s="251" t="s">
        <v>1111</v>
      </c>
      <c r="F630" s="250">
        <v>4.4999999999999998E-2</v>
      </c>
      <c r="G630" s="250">
        <v>9.0000000000000008E-4</v>
      </c>
      <c r="H630" s="250">
        <v>2.58</v>
      </c>
      <c r="I630" s="252" t="s">
        <v>607</v>
      </c>
      <c r="J630" s="251" t="s">
        <v>2398</v>
      </c>
      <c r="T630" s="292" t="s">
        <v>1760</v>
      </c>
      <c r="U630" s="283" t="s">
        <v>1768</v>
      </c>
      <c r="V630" s="285" t="s">
        <v>2394</v>
      </c>
      <c r="W630" s="293" t="s">
        <v>2390</v>
      </c>
      <c r="X630" s="284" t="s">
        <v>1111</v>
      </c>
      <c r="Y630" s="271" t="s">
        <v>1762</v>
      </c>
      <c r="Z630" s="283">
        <v>4.4999999999999998E-2</v>
      </c>
      <c r="AA630" s="340">
        <v>9.0000000000000008E-4</v>
      </c>
    </row>
    <row r="631" spans="1:34" s="250" customFormat="1">
      <c r="A631" s="250" t="s">
        <v>1112</v>
      </c>
      <c r="B631" s="250" t="s">
        <v>2044</v>
      </c>
      <c r="C631" s="250" t="s">
        <v>2068</v>
      </c>
      <c r="D631" s="251" t="s">
        <v>2390</v>
      </c>
      <c r="E631" s="251" t="s">
        <v>1113</v>
      </c>
      <c r="F631" s="250">
        <v>4.4999999999999998E-2</v>
      </c>
      <c r="G631" s="250">
        <v>9.0000000000000008E-4</v>
      </c>
      <c r="H631" s="250">
        <v>2.58</v>
      </c>
      <c r="I631" s="252" t="s">
        <v>607</v>
      </c>
      <c r="J631" s="251" t="s">
        <v>2398</v>
      </c>
      <c r="T631" s="292" t="s">
        <v>1760</v>
      </c>
      <c r="U631" s="283" t="s">
        <v>1768</v>
      </c>
      <c r="V631" s="285" t="s">
        <v>2394</v>
      </c>
      <c r="W631" s="293" t="s">
        <v>2390</v>
      </c>
      <c r="X631" s="284" t="s">
        <v>1113</v>
      </c>
      <c r="Y631" s="271" t="s">
        <v>1762</v>
      </c>
      <c r="Z631" s="283">
        <v>4.4999999999999998E-2</v>
      </c>
      <c r="AA631" s="340">
        <v>9.0000000000000008E-4</v>
      </c>
      <c r="AC631" s="74"/>
      <c r="AD631" s="74"/>
      <c r="AE631" s="74"/>
      <c r="AF631" s="74"/>
      <c r="AG631" s="74"/>
      <c r="AH631" s="74"/>
    </row>
    <row r="632" spans="1:34" s="250" customFormat="1">
      <c r="A632" s="250" t="s">
        <v>1114</v>
      </c>
      <c r="B632" s="250" t="s">
        <v>2044</v>
      </c>
      <c r="C632" s="250" t="s">
        <v>2068</v>
      </c>
      <c r="D632" s="251" t="s">
        <v>2390</v>
      </c>
      <c r="E632" s="251" t="s">
        <v>1115</v>
      </c>
      <c r="F632" s="250">
        <v>4.4999999999999998E-2</v>
      </c>
      <c r="G632" s="250">
        <v>9.0000000000000008E-4</v>
      </c>
      <c r="H632" s="250">
        <v>2.58</v>
      </c>
      <c r="I632" s="252" t="s">
        <v>607</v>
      </c>
      <c r="J632" s="251" t="s">
        <v>2398</v>
      </c>
      <c r="T632" s="292" t="s">
        <v>1760</v>
      </c>
      <c r="U632" s="283" t="s">
        <v>1768</v>
      </c>
      <c r="V632" s="285" t="s">
        <v>2394</v>
      </c>
      <c r="W632" s="293" t="s">
        <v>2390</v>
      </c>
      <c r="X632" s="284" t="s">
        <v>1115</v>
      </c>
      <c r="Y632" s="271" t="s">
        <v>1762</v>
      </c>
      <c r="Z632" s="283">
        <v>4.4999999999999998E-2</v>
      </c>
      <c r="AA632" s="340">
        <v>9.0000000000000008E-4</v>
      </c>
      <c r="AC632" s="74"/>
      <c r="AD632" s="74"/>
      <c r="AE632" s="74"/>
      <c r="AF632" s="74"/>
      <c r="AG632" s="74"/>
      <c r="AH632" s="74"/>
    </row>
    <row r="633" spans="1:34">
      <c r="A633" s="74" t="s">
        <v>1116</v>
      </c>
      <c r="B633" s="74" t="s">
        <v>2044</v>
      </c>
      <c r="C633" s="74" t="s">
        <v>2068</v>
      </c>
      <c r="D633" s="74" t="s">
        <v>2390</v>
      </c>
      <c r="E633" s="74" t="s">
        <v>1117</v>
      </c>
      <c r="F633" s="74">
        <v>4.4999999999999998E-2</v>
      </c>
      <c r="G633" s="74">
        <v>9.0000000000000008E-4</v>
      </c>
      <c r="H633" s="74">
        <v>2.58</v>
      </c>
      <c r="I633" s="13" t="s">
        <v>607</v>
      </c>
      <c r="J633" s="74" t="s">
        <v>2398</v>
      </c>
      <c r="T633" s="292" t="s">
        <v>1760</v>
      </c>
      <c r="U633" s="283" t="s">
        <v>1768</v>
      </c>
      <c r="V633" s="285" t="s">
        <v>2394</v>
      </c>
      <c r="W633" s="293" t="s">
        <v>2390</v>
      </c>
      <c r="X633" s="284" t="s">
        <v>1117</v>
      </c>
      <c r="Y633" s="271" t="s">
        <v>1762</v>
      </c>
      <c r="Z633" s="283">
        <v>4.4999999999999998E-2</v>
      </c>
      <c r="AA633" s="340">
        <v>9.0000000000000008E-4</v>
      </c>
    </row>
    <row r="634" spans="1:34">
      <c r="A634" s="74" t="s">
        <v>1118</v>
      </c>
      <c r="B634" s="74" t="s">
        <v>2044</v>
      </c>
      <c r="C634" s="74" t="s">
        <v>2068</v>
      </c>
      <c r="D634" s="74" t="s">
        <v>2390</v>
      </c>
      <c r="E634" s="74" t="s">
        <v>1119</v>
      </c>
      <c r="F634" s="74">
        <v>4.4999999999999998E-2</v>
      </c>
      <c r="G634" s="74">
        <v>9.0000000000000008E-4</v>
      </c>
      <c r="H634" s="74">
        <v>2.58</v>
      </c>
      <c r="I634" s="13" t="s">
        <v>239</v>
      </c>
      <c r="J634" s="74" t="s">
        <v>2402</v>
      </c>
      <c r="T634" s="292" t="s">
        <v>1760</v>
      </c>
      <c r="U634" s="283" t="s">
        <v>1768</v>
      </c>
      <c r="V634" s="285" t="s">
        <v>2394</v>
      </c>
      <c r="W634" s="293" t="s">
        <v>2390</v>
      </c>
      <c r="X634" s="284" t="s">
        <v>1119</v>
      </c>
      <c r="Y634" s="271" t="s">
        <v>1762</v>
      </c>
      <c r="Z634" s="283">
        <v>4.4999999999999998E-2</v>
      </c>
      <c r="AA634" s="340">
        <v>9.0000000000000008E-4</v>
      </c>
    </row>
    <row r="635" spans="1:34">
      <c r="A635" s="74" t="s">
        <v>1120</v>
      </c>
      <c r="B635" s="74" t="s">
        <v>2044</v>
      </c>
      <c r="C635" s="74" t="s">
        <v>2068</v>
      </c>
      <c r="D635" s="74" t="s">
        <v>2390</v>
      </c>
      <c r="E635" s="74" t="s">
        <v>1121</v>
      </c>
      <c r="F635" s="74">
        <v>4.4999999999999998E-2</v>
      </c>
      <c r="G635" s="74">
        <v>9.0000000000000008E-4</v>
      </c>
      <c r="H635" s="74">
        <v>2.58</v>
      </c>
      <c r="I635" s="13" t="s">
        <v>239</v>
      </c>
      <c r="J635" s="74" t="s">
        <v>2402</v>
      </c>
      <c r="T635" s="292" t="s">
        <v>1760</v>
      </c>
      <c r="U635" s="283" t="s">
        <v>1768</v>
      </c>
      <c r="V635" s="285" t="s">
        <v>2394</v>
      </c>
      <c r="W635" s="293" t="s">
        <v>2390</v>
      </c>
      <c r="X635" s="284" t="s">
        <v>1121</v>
      </c>
      <c r="Y635" s="271" t="s">
        <v>1762</v>
      </c>
      <c r="Z635" s="283">
        <v>4.4999999999999998E-2</v>
      </c>
      <c r="AA635" s="340">
        <v>9.0000000000000008E-4</v>
      </c>
    </row>
    <row r="636" spans="1:34">
      <c r="A636" s="74" t="s">
        <v>1122</v>
      </c>
      <c r="B636" s="74" t="s">
        <v>2044</v>
      </c>
      <c r="C636" s="74" t="s">
        <v>2068</v>
      </c>
      <c r="D636" s="74" t="s">
        <v>2390</v>
      </c>
      <c r="E636" s="74" t="s">
        <v>1123</v>
      </c>
      <c r="F636" s="74">
        <v>4.4999999999999998E-2</v>
      </c>
      <c r="G636" s="74">
        <v>9.0000000000000008E-4</v>
      </c>
      <c r="H636" s="74">
        <v>2.58</v>
      </c>
      <c r="I636" s="13" t="s">
        <v>239</v>
      </c>
      <c r="J636" s="74" t="s">
        <v>2402</v>
      </c>
      <c r="T636" s="292" t="s">
        <v>1760</v>
      </c>
      <c r="U636" s="283" t="s">
        <v>1768</v>
      </c>
      <c r="V636" s="285" t="s">
        <v>2394</v>
      </c>
      <c r="W636" s="293" t="s">
        <v>2390</v>
      </c>
      <c r="X636" s="284" t="s">
        <v>1123</v>
      </c>
      <c r="Y636" s="271" t="s">
        <v>1762</v>
      </c>
      <c r="Z636" s="283">
        <v>4.4999999999999998E-2</v>
      </c>
      <c r="AA636" s="340">
        <v>9.0000000000000008E-4</v>
      </c>
    </row>
    <row r="637" spans="1:34">
      <c r="A637" s="74" t="s">
        <v>1124</v>
      </c>
      <c r="B637" s="74" t="s">
        <v>2044</v>
      </c>
      <c r="C637" s="74" t="s">
        <v>2068</v>
      </c>
      <c r="D637" s="74" t="s">
        <v>2390</v>
      </c>
      <c r="E637" s="74" t="s">
        <v>1125</v>
      </c>
      <c r="F637" s="74">
        <v>4.4999999999999998E-2</v>
      </c>
      <c r="G637" s="74">
        <v>9.0000000000000008E-4</v>
      </c>
      <c r="H637" s="74">
        <v>2.58</v>
      </c>
      <c r="I637" s="13" t="s">
        <v>239</v>
      </c>
      <c r="J637" s="74" t="s">
        <v>2402</v>
      </c>
      <c r="T637" s="292" t="s">
        <v>1760</v>
      </c>
      <c r="U637" s="283" t="s">
        <v>1768</v>
      </c>
      <c r="V637" s="285" t="s">
        <v>2394</v>
      </c>
      <c r="W637" s="293" t="s">
        <v>2390</v>
      </c>
      <c r="X637" s="284" t="s">
        <v>1125</v>
      </c>
      <c r="Y637" s="271" t="s">
        <v>1762</v>
      </c>
      <c r="Z637" s="283">
        <v>4.4999999999999998E-2</v>
      </c>
      <c r="AA637" s="340">
        <v>9.0000000000000008E-4</v>
      </c>
    </row>
    <row r="638" spans="1:34">
      <c r="A638" s="74" t="s">
        <v>1126</v>
      </c>
      <c r="B638" s="74" t="s">
        <v>2082</v>
      </c>
      <c r="C638" s="74" t="s">
        <v>2081</v>
      </c>
      <c r="D638" s="74" t="s">
        <v>15</v>
      </c>
      <c r="E638" s="74" t="s">
        <v>84</v>
      </c>
      <c r="F638" s="268">
        <v>0.03</v>
      </c>
      <c r="G638" s="74">
        <v>0</v>
      </c>
      <c r="H638" s="74">
        <v>2.23</v>
      </c>
      <c r="I638" s="13" t="s">
        <v>47</v>
      </c>
      <c r="J638" s="74" t="s">
        <v>1127</v>
      </c>
      <c r="T638" s="292" t="s">
        <v>1756</v>
      </c>
      <c r="U638" s="283" t="s">
        <v>2367</v>
      </c>
      <c r="V638" s="285" t="s">
        <v>1764</v>
      </c>
      <c r="W638" s="293" t="str">
        <f t="shared" ref="W638:X715" si="22">D638</f>
        <v>H12</v>
      </c>
      <c r="X638" s="284" t="str">
        <f t="shared" si="19"/>
        <v>TP</v>
      </c>
      <c r="Y638" s="271" t="s">
        <v>1765</v>
      </c>
      <c r="Z638" s="283">
        <f t="shared" ref="Z638:Z654" si="23">F638</f>
        <v>0.03</v>
      </c>
      <c r="AA638" s="340">
        <f t="shared" si="21"/>
        <v>0</v>
      </c>
    </row>
    <row r="639" spans="1:34">
      <c r="A639" s="74" t="s">
        <v>1128</v>
      </c>
      <c r="B639" s="74" t="s">
        <v>2082</v>
      </c>
      <c r="C639" s="74" t="s">
        <v>2081</v>
      </c>
      <c r="D639" s="74" t="s">
        <v>15</v>
      </c>
      <c r="E639" s="74" t="s">
        <v>76</v>
      </c>
      <c r="F639" s="268">
        <v>0.02</v>
      </c>
      <c r="G639" s="74">
        <v>0</v>
      </c>
      <c r="H639" s="74">
        <v>2.23</v>
      </c>
      <c r="I639" s="13" t="s">
        <v>47</v>
      </c>
      <c r="J639" s="74" t="s">
        <v>1129</v>
      </c>
      <c r="T639" s="292" t="s">
        <v>1756</v>
      </c>
      <c r="U639" s="283" t="s">
        <v>2367</v>
      </c>
      <c r="V639" s="285" t="s">
        <v>1764</v>
      </c>
      <c r="W639" s="293" t="str">
        <f t="shared" si="22"/>
        <v>H12</v>
      </c>
      <c r="X639" s="284" t="str">
        <f t="shared" si="19"/>
        <v>LP</v>
      </c>
      <c r="Y639" s="271" t="s">
        <v>1766</v>
      </c>
      <c r="Z639" s="283">
        <f t="shared" si="23"/>
        <v>0.02</v>
      </c>
      <c r="AA639" s="340">
        <f t="shared" si="21"/>
        <v>0</v>
      </c>
    </row>
    <row r="640" spans="1:34">
      <c r="A640" s="74" t="s">
        <v>1130</v>
      </c>
      <c r="B640" s="74" t="s">
        <v>2082</v>
      </c>
      <c r="C640" s="74" t="s">
        <v>2081</v>
      </c>
      <c r="D640" s="74" t="s">
        <v>15</v>
      </c>
      <c r="E640" s="74" t="s">
        <v>91</v>
      </c>
      <c r="F640" s="74">
        <v>0.01</v>
      </c>
      <c r="G640" s="74">
        <v>0</v>
      </c>
      <c r="H640" s="74">
        <v>2.23</v>
      </c>
      <c r="I640" s="13" t="s">
        <v>47</v>
      </c>
      <c r="J640" t="s">
        <v>1131</v>
      </c>
      <c r="T640" s="292" t="s">
        <v>1756</v>
      </c>
      <c r="U640" s="283" t="s">
        <v>2367</v>
      </c>
      <c r="V640" s="285" t="s">
        <v>1764</v>
      </c>
      <c r="W640" s="293" t="str">
        <f t="shared" si="22"/>
        <v>H12</v>
      </c>
      <c r="X640" s="284" t="str">
        <f t="shared" si="19"/>
        <v>UP</v>
      </c>
      <c r="Y640" s="271" t="s">
        <v>1767</v>
      </c>
      <c r="Z640" s="283">
        <f t="shared" si="23"/>
        <v>0.01</v>
      </c>
      <c r="AA640" s="340">
        <f t="shared" si="21"/>
        <v>0</v>
      </c>
    </row>
    <row r="641" spans="1:34">
      <c r="A641" s="74" t="s">
        <v>1132</v>
      </c>
      <c r="B641" s="74" t="s">
        <v>2082</v>
      </c>
      <c r="C641" s="74" t="s">
        <v>2081</v>
      </c>
      <c r="D641" s="74" t="s">
        <v>1979</v>
      </c>
      <c r="E641" s="74" t="s">
        <v>1133</v>
      </c>
      <c r="F641" s="74">
        <v>2.5000000000000001E-2</v>
      </c>
      <c r="G641" s="74">
        <v>0</v>
      </c>
      <c r="H641" s="74">
        <v>2.23</v>
      </c>
      <c r="I641" s="13" t="s">
        <v>47</v>
      </c>
      <c r="J641" t="s">
        <v>1134</v>
      </c>
      <c r="T641" s="292" t="s">
        <v>1756</v>
      </c>
      <c r="U641" s="283" t="s">
        <v>2367</v>
      </c>
      <c r="V641" s="285" t="s">
        <v>1764</v>
      </c>
      <c r="W641" s="293" t="str">
        <f t="shared" si="22"/>
        <v>H17</v>
      </c>
      <c r="X641" s="284" t="str">
        <f t="shared" si="19"/>
        <v>AFE</v>
      </c>
      <c r="Y641" s="271"/>
      <c r="Z641" s="283">
        <f t="shared" si="23"/>
        <v>2.5000000000000001E-2</v>
      </c>
      <c r="AA641" s="340">
        <f t="shared" si="21"/>
        <v>0</v>
      </c>
    </row>
    <row r="642" spans="1:34">
      <c r="A642" s="74" t="s">
        <v>1135</v>
      </c>
      <c r="B642" s="74" t="s">
        <v>2082</v>
      </c>
      <c r="C642" s="74" t="s">
        <v>2081</v>
      </c>
      <c r="D642" s="74" t="s">
        <v>1979</v>
      </c>
      <c r="E642" s="74" t="s">
        <v>1136</v>
      </c>
      <c r="F642" s="74">
        <v>1.2500000000000001E-2</v>
      </c>
      <c r="G642" s="74">
        <v>0</v>
      </c>
      <c r="H642" s="74">
        <v>2.23</v>
      </c>
      <c r="I642" s="13" t="s">
        <v>47</v>
      </c>
      <c r="J642" t="s">
        <v>1137</v>
      </c>
      <c r="T642" s="292" t="s">
        <v>1756</v>
      </c>
      <c r="U642" s="283" t="s">
        <v>2367</v>
      </c>
      <c r="V642" s="285" t="s">
        <v>1764</v>
      </c>
      <c r="W642" s="293" t="str">
        <f t="shared" si="22"/>
        <v>H17</v>
      </c>
      <c r="X642" s="284" t="str">
        <f t="shared" si="19"/>
        <v>AEE</v>
      </c>
      <c r="Y642" s="271"/>
      <c r="Z642" s="283">
        <f t="shared" si="23"/>
        <v>1.2500000000000001E-2</v>
      </c>
      <c r="AA642" s="340">
        <f t="shared" si="21"/>
        <v>0</v>
      </c>
      <c r="AC642" s="250"/>
      <c r="AD642" s="250"/>
      <c r="AE642" s="250"/>
      <c r="AF642" s="250"/>
      <c r="AG642" s="250"/>
      <c r="AH642" s="250"/>
    </row>
    <row r="643" spans="1:34">
      <c r="A643" s="74" t="s">
        <v>1138</v>
      </c>
      <c r="B643" s="74" t="s">
        <v>2082</v>
      </c>
      <c r="C643" s="74" t="s">
        <v>2081</v>
      </c>
      <c r="D643" s="74" t="s">
        <v>1979</v>
      </c>
      <c r="E643" s="74" t="s">
        <v>2075</v>
      </c>
      <c r="F643" s="74">
        <v>2.2499999999999999E-2</v>
      </c>
      <c r="G643" s="74">
        <v>0</v>
      </c>
      <c r="H643" s="74">
        <v>2.23</v>
      </c>
      <c r="I643" s="13" t="s">
        <v>47</v>
      </c>
      <c r="J643" t="s">
        <v>1939</v>
      </c>
      <c r="T643" s="292" t="s">
        <v>1756</v>
      </c>
      <c r="U643" s="283" t="s">
        <v>2367</v>
      </c>
      <c r="V643" s="285" t="s">
        <v>1764</v>
      </c>
      <c r="W643" s="293" t="str">
        <f t="shared" si="22"/>
        <v>H17</v>
      </c>
      <c r="X643" s="284" t="str">
        <f t="shared" si="19"/>
        <v>BEE</v>
      </c>
      <c r="Y643" s="271" t="s">
        <v>2398</v>
      </c>
      <c r="Z643" s="283">
        <f t="shared" si="23"/>
        <v>2.2499999999999999E-2</v>
      </c>
      <c r="AA643" s="340">
        <f t="shared" si="21"/>
        <v>0</v>
      </c>
      <c r="AC643" s="250"/>
      <c r="AD643" s="250"/>
      <c r="AE643" s="250"/>
      <c r="AF643" s="250"/>
      <c r="AG643" s="250"/>
      <c r="AH643" s="250"/>
    </row>
    <row r="644" spans="1:34" s="250" customFormat="1">
      <c r="A644" s="250" t="s">
        <v>1139</v>
      </c>
      <c r="B644" s="250" t="s">
        <v>2082</v>
      </c>
      <c r="C644" s="250" t="s">
        <v>2081</v>
      </c>
      <c r="D644" s="251" t="s">
        <v>1979</v>
      </c>
      <c r="E644" s="251" t="s">
        <v>2076</v>
      </c>
      <c r="F644" s="250">
        <v>2.2499999999999999E-2</v>
      </c>
      <c r="G644" s="250">
        <v>0</v>
      </c>
      <c r="H644" s="250">
        <v>2.23</v>
      </c>
      <c r="I644" s="252" t="s">
        <v>47</v>
      </c>
      <c r="J644" s="250" t="s">
        <v>1938</v>
      </c>
      <c r="T644" s="292" t="s">
        <v>1756</v>
      </c>
      <c r="U644" s="283" t="s">
        <v>2367</v>
      </c>
      <c r="V644" s="285" t="s">
        <v>1764</v>
      </c>
      <c r="W644" s="293" t="str">
        <f t="shared" si="22"/>
        <v>H17</v>
      </c>
      <c r="X644" s="284" t="str">
        <f t="shared" si="19"/>
        <v>BFE</v>
      </c>
      <c r="Y644" s="271" t="s">
        <v>2398</v>
      </c>
      <c r="Z644" s="283">
        <f t="shared" si="23"/>
        <v>2.2499999999999999E-2</v>
      </c>
      <c r="AA644" s="340">
        <f t="shared" si="21"/>
        <v>0</v>
      </c>
    </row>
    <row r="645" spans="1:34" s="250" customFormat="1">
      <c r="A645" s="250" t="s">
        <v>1140</v>
      </c>
      <c r="B645" s="250" t="s">
        <v>2082</v>
      </c>
      <c r="C645" s="250" t="s">
        <v>2081</v>
      </c>
      <c r="D645" s="251" t="s">
        <v>1979</v>
      </c>
      <c r="E645" s="251" t="s">
        <v>2077</v>
      </c>
      <c r="F645" s="250">
        <v>1.2500000000000001E-2</v>
      </c>
      <c r="G645" s="250">
        <v>0</v>
      </c>
      <c r="H645" s="250">
        <v>2.23</v>
      </c>
      <c r="I645" s="252" t="s">
        <v>47</v>
      </c>
      <c r="J645" s="251" t="s">
        <v>1941</v>
      </c>
      <c r="T645" s="292" t="s">
        <v>1756</v>
      </c>
      <c r="U645" s="283" t="s">
        <v>2367</v>
      </c>
      <c r="V645" s="285" t="s">
        <v>1764</v>
      </c>
      <c r="W645" s="293" t="str">
        <f t="shared" si="22"/>
        <v>H17</v>
      </c>
      <c r="X645" s="284" t="str">
        <f t="shared" si="19"/>
        <v>CEE</v>
      </c>
      <c r="Y645" s="271" t="s">
        <v>2261</v>
      </c>
      <c r="Z645" s="283">
        <f t="shared" si="23"/>
        <v>1.2500000000000001E-2</v>
      </c>
      <c r="AA645" s="340">
        <f t="shared" si="21"/>
        <v>0</v>
      </c>
    </row>
    <row r="646" spans="1:34" s="250" customFormat="1">
      <c r="A646" s="250" t="s">
        <v>1141</v>
      </c>
      <c r="B646" s="250" t="s">
        <v>2082</v>
      </c>
      <c r="C646" s="250" t="s">
        <v>2081</v>
      </c>
      <c r="D646" s="251" t="s">
        <v>1979</v>
      </c>
      <c r="E646" s="251" t="s">
        <v>2078</v>
      </c>
      <c r="F646" s="250">
        <v>1.2500000000000001E-2</v>
      </c>
      <c r="G646" s="250">
        <v>0</v>
      </c>
      <c r="H646" s="250">
        <v>2.23</v>
      </c>
      <c r="I646" s="252" t="s">
        <v>47</v>
      </c>
      <c r="J646" s="251" t="s">
        <v>1940</v>
      </c>
      <c r="T646" s="292" t="s">
        <v>1756</v>
      </c>
      <c r="U646" s="283" t="s">
        <v>2367</v>
      </c>
      <c r="V646" s="285" t="s">
        <v>1764</v>
      </c>
      <c r="W646" s="293" t="str">
        <f t="shared" si="22"/>
        <v>H17</v>
      </c>
      <c r="X646" s="284" t="str">
        <f t="shared" si="19"/>
        <v>CFE</v>
      </c>
      <c r="Y646" s="271" t="s">
        <v>2261</v>
      </c>
      <c r="Z646" s="283">
        <f t="shared" si="23"/>
        <v>1.2500000000000001E-2</v>
      </c>
      <c r="AA646" s="340">
        <f t="shared" si="21"/>
        <v>0</v>
      </c>
    </row>
    <row r="647" spans="1:34" s="250" customFormat="1">
      <c r="A647" s="250" t="s">
        <v>1142</v>
      </c>
      <c r="B647" s="250" t="s">
        <v>2082</v>
      </c>
      <c r="C647" s="250" t="s">
        <v>2081</v>
      </c>
      <c r="D647" s="251" t="s">
        <v>1979</v>
      </c>
      <c r="E647" s="251" t="s">
        <v>2079</v>
      </c>
      <c r="F647" s="250">
        <v>6.2500000000000003E-3</v>
      </c>
      <c r="G647" s="250">
        <v>0</v>
      </c>
      <c r="H647" s="250">
        <v>2.23</v>
      </c>
      <c r="I647" s="252" t="s">
        <v>47</v>
      </c>
      <c r="J647" s="251" t="s">
        <v>2408</v>
      </c>
      <c r="T647" s="292" t="s">
        <v>1756</v>
      </c>
      <c r="U647" s="283" t="s">
        <v>2367</v>
      </c>
      <c r="V647" s="285" t="s">
        <v>1764</v>
      </c>
      <c r="W647" s="293" t="str">
        <f t="shared" si="22"/>
        <v>H17</v>
      </c>
      <c r="X647" s="284" t="str">
        <f t="shared" si="19"/>
        <v>DEE</v>
      </c>
      <c r="Y647" s="271" t="s">
        <v>2262</v>
      </c>
      <c r="Z647" s="283">
        <f t="shared" si="23"/>
        <v>6.2500000000000003E-3</v>
      </c>
      <c r="AA647" s="340">
        <f t="shared" si="21"/>
        <v>0</v>
      </c>
    </row>
    <row r="648" spans="1:34" s="250" customFormat="1">
      <c r="A648" s="250" t="s">
        <v>1143</v>
      </c>
      <c r="B648" s="250" t="s">
        <v>2082</v>
      </c>
      <c r="C648" s="250" t="s">
        <v>2081</v>
      </c>
      <c r="D648" s="251" t="s">
        <v>1979</v>
      </c>
      <c r="E648" s="251" t="s">
        <v>2080</v>
      </c>
      <c r="F648" s="250">
        <v>6.2500000000000003E-3</v>
      </c>
      <c r="G648" s="250">
        <v>0</v>
      </c>
      <c r="H648" s="250">
        <v>2.23</v>
      </c>
      <c r="I648" s="252" t="s">
        <v>47</v>
      </c>
      <c r="J648" s="251" t="s">
        <v>2409</v>
      </c>
      <c r="T648" s="292" t="s">
        <v>1756</v>
      </c>
      <c r="U648" s="283" t="s">
        <v>2367</v>
      </c>
      <c r="V648" s="285" t="s">
        <v>1764</v>
      </c>
      <c r="W648" s="293" t="str">
        <f t="shared" si="22"/>
        <v>H17</v>
      </c>
      <c r="X648" s="284" t="str">
        <f t="shared" si="19"/>
        <v>DFE</v>
      </c>
      <c r="Y648" s="271" t="s">
        <v>2262</v>
      </c>
      <c r="Z648" s="283">
        <f t="shared" si="23"/>
        <v>6.2500000000000003E-3</v>
      </c>
      <c r="AA648" s="340">
        <f t="shared" si="21"/>
        <v>0</v>
      </c>
      <c r="AC648" s="74"/>
      <c r="AD648" s="74"/>
      <c r="AE648" s="74"/>
      <c r="AF648" s="74"/>
      <c r="AG648" s="74"/>
      <c r="AH648" s="74"/>
    </row>
    <row r="649" spans="1:34" s="250" customFormat="1">
      <c r="A649" s="250" t="s">
        <v>1144</v>
      </c>
      <c r="B649" s="250" t="s">
        <v>2082</v>
      </c>
      <c r="C649" s="250" t="s">
        <v>2081</v>
      </c>
      <c r="D649" s="251" t="s">
        <v>2382</v>
      </c>
      <c r="E649" s="251" t="s">
        <v>1145</v>
      </c>
      <c r="F649" s="250">
        <v>2.5000000000000001E-2</v>
      </c>
      <c r="G649" s="250">
        <v>0</v>
      </c>
      <c r="H649" s="250">
        <v>2.23</v>
      </c>
      <c r="I649" s="252" t="s">
        <v>47</v>
      </c>
      <c r="J649" s="251"/>
      <c r="T649" s="292" t="s">
        <v>1756</v>
      </c>
      <c r="U649" s="283" t="s">
        <v>2367</v>
      </c>
      <c r="V649" s="285" t="s">
        <v>2397</v>
      </c>
      <c r="W649" s="293" t="str">
        <f t="shared" si="22"/>
        <v>H21</v>
      </c>
      <c r="X649" s="284" t="str">
        <f t="shared" si="19"/>
        <v>LFE</v>
      </c>
      <c r="Y649" s="271"/>
      <c r="Z649" s="283">
        <f t="shared" si="23"/>
        <v>2.5000000000000001E-2</v>
      </c>
      <c r="AA649" s="340">
        <f t="shared" si="21"/>
        <v>0</v>
      </c>
      <c r="AC649" s="74"/>
      <c r="AD649" s="74"/>
      <c r="AE649" s="74"/>
      <c r="AF649" s="74"/>
      <c r="AG649" s="74"/>
      <c r="AH649" s="74"/>
    </row>
    <row r="650" spans="1:34">
      <c r="A650" s="74" t="s">
        <v>1146</v>
      </c>
      <c r="B650" s="74" t="s">
        <v>2082</v>
      </c>
      <c r="C650" s="74" t="s">
        <v>2081</v>
      </c>
      <c r="D650" s="74" t="s">
        <v>2382</v>
      </c>
      <c r="E650" s="74" t="s">
        <v>1147</v>
      </c>
      <c r="F650" s="74">
        <v>1.2500000000000001E-2</v>
      </c>
      <c r="G650" s="74">
        <v>0</v>
      </c>
      <c r="H650" s="74">
        <v>2.23</v>
      </c>
      <c r="I650" s="13" t="s">
        <v>47</v>
      </c>
      <c r="J650" s="74" t="s">
        <v>240</v>
      </c>
      <c r="T650" s="292" t="s">
        <v>1756</v>
      </c>
      <c r="U650" s="283" t="s">
        <v>2367</v>
      </c>
      <c r="V650" s="285" t="s">
        <v>2397</v>
      </c>
      <c r="W650" s="293" t="str">
        <f t="shared" si="22"/>
        <v>H21</v>
      </c>
      <c r="X650" s="284" t="str">
        <f t="shared" si="19"/>
        <v>LEE</v>
      </c>
      <c r="Y650" s="271"/>
      <c r="Z650" s="283">
        <f t="shared" si="23"/>
        <v>1.2500000000000001E-2</v>
      </c>
      <c r="AA650" s="340">
        <f t="shared" si="21"/>
        <v>0</v>
      </c>
    </row>
    <row r="651" spans="1:34">
      <c r="A651" s="74" t="s">
        <v>1148</v>
      </c>
      <c r="B651" s="74" t="s">
        <v>2082</v>
      </c>
      <c r="C651" s="74" t="s">
        <v>2081</v>
      </c>
      <c r="D651" s="74" t="s">
        <v>2382</v>
      </c>
      <c r="E651" s="74" t="s">
        <v>1149</v>
      </c>
      <c r="F651" s="74">
        <v>1.2500000000000001E-2</v>
      </c>
      <c r="G651" s="74">
        <v>0</v>
      </c>
      <c r="H651" s="74">
        <v>2.23</v>
      </c>
      <c r="I651" s="13" t="s">
        <v>47</v>
      </c>
      <c r="J651" s="74" t="s">
        <v>2261</v>
      </c>
      <c r="T651" s="292" t="s">
        <v>1756</v>
      </c>
      <c r="U651" s="283" t="s">
        <v>2367</v>
      </c>
      <c r="V651" s="285" t="s">
        <v>2397</v>
      </c>
      <c r="W651" s="293" t="str">
        <f t="shared" si="22"/>
        <v>H21</v>
      </c>
      <c r="X651" s="284" t="str">
        <f t="shared" si="19"/>
        <v>MFE</v>
      </c>
      <c r="Y651" s="271" t="s">
        <v>2261</v>
      </c>
      <c r="Z651" s="283">
        <f t="shared" si="23"/>
        <v>1.2500000000000001E-2</v>
      </c>
      <c r="AA651" s="340">
        <f t="shared" si="21"/>
        <v>0</v>
      </c>
    </row>
    <row r="652" spans="1:34">
      <c r="A652" s="74" t="s">
        <v>1150</v>
      </c>
      <c r="B652" s="74" t="s">
        <v>2082</v>
      </c>
      <c r="C652" s="74" t="s">
        <v>2081</v>
      </c>
      <c r="D652" s="74" t="s">
        <v>2382</v>
      </c>
      <c r="E652" s="74" t="s">
        <v>1151</v>
      </c>
      <c r="F652" s="74">
        <v>1.2500000000000001E-2</v>
      </c>
      <c r="G652" s="74">
        <v>0</v>
      </c>
      <c r="H652" s="74">
        <v>2.23</v>
      </c>
      <c r="I652" s="13" t="s">
        <v>47</v>
      </c>
      <c r="J652" s="74" t="s">
        <v>2392</v>
      </c>
      <c r="T652" s="292" t="s">
        <v>1756</v>
      </c>
      <c r="U652" s="283" t="s">
        <v>2367</v>
      </c>
      <c r="V652" s="285" t="s">
        <v>2397</v>
      </c>
      <c r="W652" s="293" t="str">
        <f t="shared" si="22"/>
        <v>H21</v>
      </c>
      <c r="X652" s="284" t="str">
        <f t="shared" si="19"/>
        <v>MEE</v>
      </c>
      <c r="Y652" s="271" t="s">
        <v>2261</v>
      </c>
      <c r="Z652" s="283">
        <f t="shared" si="23"/>
        <v>1.2500000000000001E-2</v>
      </c>
      <c r="AA652" s="340">
        <f t="shared" si="21"/>
        <v>0</v>
      </c>
    </row>
    <row r="653" spans="1:34">
      <c r="A653" s="74" t="s">
        <v>1152</v>
      </c>
      <c r="B653" s="74" t="s">
        <v>2082</v>
      </c>
      <c r="C653" s="74" t="s">
        <v>2081</v>
      </c>
      <c r="D653" s="74" t="s">
        <v>2382</v>
      </c>
      <c r="E653" s="74" t="s">
        <v>1153</v>
      </c>
      <c r="F653" s="74">
        <v>6.2500000000000003E-3</v>
      </c>
      <c r="G653" s="74">
        <v>0</v>
      </c>
      <c r="H653" s="74">
        <v>2.23</v>
      </c>
      <c r="I653" s="13" t="s">
        <v>47</v>
      </c>
      <c r="J653" s="74" t="s">
        <v>2262</v>
      </c>
      <c r="T653" s="292" t="s">
        <v>1756</v>
      </c>
      <c r="U653" s="283" t="s">
        <v>2367</v>
      </c>
      <c r="V653" s="285" t="s">
        <v>2397</v>
      </c>
      <c r="W653" s="293" t="str">
        <f t="shared" si="22"/>
        <v>H21</v>
      </c>
      <c r="X653" s="284" t="str">
        <f t="shared" si="19"/>
        <v>RFE</v>
      </c>
      <c r="Y653" s="271" t="s">
        <v>2262</v>
      </c>
      <c r="Z653" s="283">
        <f t="shared" si="23"/>
        <v>6.2500000000000003E-3</v>
      </c>
      <c r="AA653" s="340">
        <f t="shared" si="21"/>
        <v>0</v>
      </c>
    </row>
    <row r="654" spans="1:34">
      <c r="A654" s="74" t="s">
        <v>1154</v>
      </c>
      <c r="B654" s="74" t="s">
        <v>2082</v>
      </c>
      <c r="C654" s="74" t="s">
        <v>2081</v>
      </c>
      <c r="D654" s="74" t="s">
        <v>2382</v>
      </c>
      <c r="E654" s="74" t="s">
        <v>1155</v>
      </c>
      <c r="F654" s="74">
        <v>6.2500000000000003E-3</v>
      </c>
      <c r="G654" s="74">
        <v>0</v>
      </c>
      <c r="H654" s="74">
        <v>2.23</v>
      </c>
      <c r="I654" s="13" t="s">
        <v>47</v>
      </c>
      <c r="J654" s="74" t="s">
        <v>2393</v>
      </c>
      <c r="T654" s="292" t="s">
        <v>1756</v>
      </c>
      <c r="U654" s="283" t="s">
        <v>2367</v>
      </c>
      <c r="V654" s="285" t="s">
        <v>2397</v>
      </c>
      <c r="W654" s="293" t="str">
        <f t="shared" si="22"/>
        <v>H21</v>
      </c>
      <c r="X654" s="284" t="str">
        <f t="shared" si="19"/>
        <v>REE</v>
      </c>
      <c r="Y654" s="271" t="s">
        <v>2262</v>
      </c>
      <c r="Z654" s="283">
        <f t="shared" si="23"/>
        <v>6.2500000000000003E-3</v>
      </c>
      <c r="AA654" s="340">
        <f t="shared" si="21"/>
        <v>0</v>
      </c>
    </row>
    <row r="655" spans="1:34">
      <c r="A655" s="74" t="s">
        <v>1156</v>
      </c>
      <c r="B655" s="74" t="s">
        <v>2082</v>
      </c>
      <c r="C655" s="74" t="s">
        <v>2081</v>
      </c>
      <c r="D655" s="74" t="s">
        <v>2382</v>
      </c>
      <c r="E655" s="74" t="s">
        <v>1157</v>
      </c>
      <c r="F655" s="268">
        <v>2.2499999999999999E-2</v>
      </c>
      <c r="G655" s="74">
        <v>0</v>
      </c>
      <c r="H655" s="74">
        <v>2.23</v>
      </c>
      <c r="I655" s="13" t="s">
        <v>47</v>
      </c>
      <c r="J655" s="74" t="s">
        <v>1938</v>
      </c>
      <c r="T655" s="292" t="s">
        <v>1760</v>
      </c>
      <c r="U655" s="283" t="s">
        <v>1134</v>
      </c>
      <c r="V655" s="285" t="s">
        <v>2397</v>
      </c>
      <c r="W655" s="293" t="s">
        <v>2382</v>
      </c>
      <c r="X655" s="284" t="s">
        <v>1157</v>
      </c>
      <c r="Y655" s="271" t="s">
        <v>1762</v>
      </c>
      <c r="Z655" s="283">
        <v>2.2499999999999999E-2</v>
      </c>
      <c r="AA655" s="340">
        <v>0</v>
      </c>
    </row>
    <row r="656" spans="1:34">
      <c r="A656" s="74" t="s">
        <v>1158</v>
      </c>
      <c r="B656" s="74" t="s">
        <v>2082</v>
      </c>
      <c r="C656" s="74" t="s">
        <v>2081</v>
      </c>
      <c r="D656" s="74" t="s">
        <v>2382</v>
      </c>
      <c r="E656" s="74" t="s">
        <v>1159</v>
      </c>
      <c r="F656" s="268">
        <v>2.2499999999999999E-2</v>
      </c>
      <c r="G656" s="74">
        <v>0</v>
      </c>
      <c r="H656" s="74">
        <v>2.23</v>
      </c>
      <c r="I656" s="13" t="s">
        <v>47</v>
      </c>
      <c r="J656" s="74" t="s">
        <v>1939</v>
      </c>
      <c r="T656" s="292" t="s">
        <v>1760</v>
      </c>
      <c r="U656" s="283" t="s">
        <v>1134</v>
      </c>
      <c r="V656" s="285" t="s">
        <v>2397</v>
      </c>
      <c r="W656" s="293" t="s">
        <v>2382</v>
      </c>
      <c r="X656" s="284" t="s">
        <v>1159</v>
      </c>
      <c r="Y656" s="271" t="s">
        <v>1762</v>
      </c>
      <c r="Z656" s="283">
        <v>2.2499999999999999E-2</v>
      </c>
      <c r="AA656" s="340">
        <v>0</v>
      </c>
    </row>
    <row r="657" spans="1:34">
      <c r="A657" s="74" t="s">
        <v>1160</v>
      </c>
      <c r="B657" s="74" t="s">
        <v>2090</v>
      </c>
      <c r="C657" s="74" t="s">
        <v>2083</v>
      </c>
      <c r="D657" s="74" t="s">
        <v>21</v>
      </c>
      <c r="E657" s="74" t="s">
        <v>85</v>
      </c>
      <c r="F657" s="74">
        <v>4.8750000000000002E-2</v>
      </c>
      <c r="G657" s="74">
        <v>0</v>
      </c>
      <c r="H657" s="74">
        <v>2.23</v>
      </c>
      <c r="I657" s="13" t="s">
        <v>47</v>
      </c>
      <c r="J657" t="s">
        <v>1127</v>
      </c>
      <c r="T657" s="292" t="s">
        <v>1756</v>
      </c>
      <c r="U657" s="283" t="s">
        <v>2367</v>
      </c>
      <c r="V657" s="285" t="s">
        <v>2356</v>
      </c>
      <c r="W657" s="293" t="str">
        <f t="shared" si="22"/>
        <v>H13</v>
      </c>
      <c r="X657" s="284" t="str">
        <f t="shared" si="19"/>
        <v>TQ</v>
      </c>
      <c r="Y657" s="271" t="s">
        <v>1765</v>
      </c>
      <c r="Z657" s="283">
        <f t="shared" ref="Z657:Z675" si="24">F657</f>
        <v>4.8750000000000002E-2</v>
      </c>
      <c r="AA657" s="340">
        <f t="shared" si="21"/>
        <v>0</v>
      </c>
    </row>
    <row r="658" spans="1:34">
      <c r="A658" s="74" t="s">
        <v>1161</v>
      </c>
      <c r="B658" s="74" t="s">
        <v>2090</v>
      </c>
      <c r="C658" s="74" t="s">
        <v>2083</v>
      </c>
      <c r="D658" s="74" t="s">
        <v>21</v>
      </c>
      <c r="E658" s="74" t="s">
        <v>77</v>
      </c>
      <c r="F658" s="74">
        <v>3.2500000000000001E-2</v>
      </c>
      <c r="G658" s="74">
        <v>0</v>
      </c>
      <c r="H658" s="74">
        <v>2.23</v>
      </c>
      <c r="I658" s="13" t="s">
        <v>47</v>
      </c>
      <c r="J658" t="s">
        <v>1129</v>
      </c>
      <c r="T658" s="292" t="s">
        <v>1756</v>
      </c>
      <c r="U658" s="283" t="s">
        <v>2367</v>
      </c>
      <c r="V658" s="285" t="s">
        <v>2356</v>
      </c>
      <c r="W658" s="293" t="str">
        <f t="shared" si="22"/>
        <v>H13</v>
      </c>
      <c r="X658" s="284" t="str">
        <f t="shared" si="19"/>
        <v>LQ</v>
      </c>
      <c r="Y658" s="271" t="s">
        <v>1766</v>
      </c>
      <c r="Z658" s="283">
        <f t="shared" si="24"/>
        <v>3.2500000000000001E-2</v>
      </c>
      <c r="AA658" s="340">
        <f t="shared" si="21"/>
        <v>0</v>
      </c>
    </row>
    <row r="659" spans="1:34">
      <c r="A659" s="74" t="s">
        <v>1162</v>
      </c>
      <c r="B659" s="74" t="s">
        <v>2090</v>
      </c>
      <c r="C659" s="74" t="s">
        <v>2083</v>
      </c>
      <c r="D659" s="74" t="s">
        <v>21</v>
      </c>
      <c r="E659" s="74" t="s">
        <v>92</v>
      </c>
      <c r="F659" s="74">
        <v>1.6250000000000001E-2</v>
      </c>
      <c r="G659" s="74">
        <v>0</v>
      </c>
      <c r="H659" s="74">
        <v>2.23</v>
      </c>
      <c r="I659" s="13" t="s">
        <v>47</v>
      </c>
      <c r="J659" t="s">
        <v>1131</v>
      </c>
      <c r="T659" s="292" t="s">
        <v>1756</v>
      </c>
      <c r="U659" s="283" t="s">
        <v>2367</v>
      </c>
      <c r="V659" s="285" t="s">
        <v>2356</v>
      </c>
      <c r="W659" s="293" t="str">
        <f t="shared" si="22"/>
        <v>H13</v>
      </c>
      <c r="X659" s="284" t="str">
        <f t="shared" si="19"/>
        <v>UQ</v>
      </c>
      <c r="Y659" s="271" t="s">
        <v>1767</v>
      </c>
      <c r="Z659" s="283">
        <f t="shared" si="24"/>
        <v>1.6250000000000001E-2</v>
      </c>
      <c r="AA659" s="340">
        <f t="shared" si="21"/>
        <v>0</v>
      </c>
      <c r="AC659" s="250"/>
      <c r="AD659" s="250"/>
      <c r="AE659" s="250"/>
      <c r="AF659" s="250"/>
      <c r="AG659" s="250"/>
      <c r="AH659" s="250"/>
    </row>
    <row r="660" spans="1:34">
      <c r="A660" s="74" t="s">
        <v>1163</v>
      </c>
      <c r="B660" s="74" t="s">
        <v>2090</v>
      </c>
      <c r="C660" s="74" t="s">
        <v>2083</v>
      </c>
      <c r="D660" s="74" t="s">
        <v>1979</v>
      </c>
      <c r="E660" s="74" t="s">
        <v>1164</v>
      </c>
      <c r="F660" s="74">
        <v>3.5000000000000003E-2</v>
      </c>
      <c r="G660" s="74">
        <v>0</v>
      </c>
      <c r="H660" s="74">
        <v>2.23</v>
      </c>
      <c r="I660" s="13" t="s">
        <v>47</v>
      </c>
      <c r="J660" t="s">
        <v>1134</v>
      </c>
      <c r="T660" s="292" t="s">
        <v>1756</v>
      </c>
      <c r="U660" s="283" t="s">
        <v>2367</v>
      </c>
      <c r="V660" s="285" t="s">
        <v>2356</v>
      </c>
      <c r="W660" s="293" t="str">
        <f t="shared" si="22"/>
        <v>H17</v>
      </c>
      <c r="X660" s="284" t="str">
        <f t="shared" si="19"/>
        <v>AFF</v>
      </c>
      <c r="Y660" s="271"/>
      <c r="Z660" s="283">
        <f t="shared" si="24"/>
        <v>3.5000000000000003E-2</v>
      </c>
      <c r="AA660" s="340">
        <f t="shared" si="21"/>
        <v>0</v>
      </c>
      <c r="AC660" s="250"/>
      <c r="AD660" s="250"/>
      <c r="AE660" s="250"/>
      <c r="AF660" s="250"/>
      <c r="AG660" s="250"/>
      <c r="AH660" s="250"/>
    </row>
    <row r="661" spans="1:34" s="250" customFormat="1">
      <c r="A661" s="250" t="s">
        <v>1165</v>
      </c>
      <c r="B661" s="250" t="s">
        <v>2090</v>
      </c>
      <c r="C661" s="250" t="s">
        <v>2083</v>
      </c>
      <c r="D661" s="251" t="s">
        <v>1979</v>
      </c>
      <c r="E661" s="251" t="s">
        <v>1166</v>
      </c>
      <c r="F661" s="250">
        <v>1.7500000000000002E-2</v>
      </c>
      <c r="G661" s="250">
        <v>0</v>
      </c>
      <c r="H661" s="250">
        <v>2.23</v>
      </c>
      <c r="I661" s="252" t="s">
        <v>47</v>
      </c>
      <c r="J661" s="250" t="s">
        <v>1137</v>
      </c>
      <c r="T661" s="292" t="s">
        <v>1756</v>
      </c>
      <c r="U661" s="283" t="s">
        <v>2367</v>
      </c>
      <c r="V661" s="285" t="s">
        <v>2356</v>
      </c>
      <c r="W661" s="293" t="str">
        <f t="shared" si="22"/>
        <v>H17</v>
      </c>
      <c r="X661" s="284" t="str">
        <f t="shared" si="22"/>
        <v>AEF</v>
      </c>
      <c r="Y661" s="271"/>
      <c r="Z661" s="283">
        <f t="shared" si="24"/>
        <v>1.7500000000000002E-2</v>
      </c>
      <c r="AA661" s="340">
        <f t="shared" si="21"/>
        <v>0</v>
      </c>
    </row>
    <row r="662" spans="1:34" s="250" customFormat="1">
      <c r="A662" s="250" t="s">
        <v>1167</v>
      </c>
      <c r="B662" s="250" t="s">
        <v>2090</v>
      </c>
      <c r="C662" s="250" t="s">
        <v>2083</v>
      </c>
      <c r="D662" s="251" t="s">
        <v>1979</v>
      </c>
      <c r="E662" s="251" t="s">
        <v>2084</v>
      </c>
      <c r="F662" s="250">
        <v>3.1500000000000007E-2</v>
      </c>
      <c r="G662" s="250">
        <v>0</v>
      </c>
      <c r="H662" s="250">
        <v>2.23</v>
      </c>
      <c r="I662" s="252" t="s">
        <v>47</v>
      </c>
      <c r="J662" s="251" t="s">
        <v>1939</v>
      </c>
      <c r="T662" s="292" t="s">
        <v>1756</v>
      </c>
      <c r="U662" s="283" t="s">
        <v>2367</v>
      </c>
      <c r="V662" s="285" t="s">
        <v>2356</v>
      </c>
      <c r="W662" s="293" t="str">
        <f t="shared" si="22"/>
        <v>H17</v>
      </c>
      <c r="X662" s="284" t="str">
        <f t="shared" si="22"/>
        <v>BEF</v>
      </c>
      <c r="Y662" s="271" t="s">
        <v>2398</v>
      </c>
      <c r="Z662" s="283">
        <f t="shared" si="24"/>
        <v>3.1500000000000007E-2</v>
      </c>
      <c r="AA662" s="340">
        <f t="shared" si="21"/>
        <v>0</v>
      </c>
    </row>
    <row r="663" spans="1:34" s="250" customFormat="1">
      <c r="A663" s="250" t="s">
        <v>1168</v>
      </c>
      <c r="B663" s="250" t="s">
        <v>2090</v>
      </c>
      <c r="C663" s="250" t="s">
        <v>2083</v>
      </c>
      <c r="D663" s="251" t="s">
        <v>1979</v>
      </c>
      <c r="E663" s="251" t="s">
        <v>2085</v>
      </c>
      <c r="F663" s="250">
        <v>3.1500000000000007E-2</v>
      </c>
      <c r="G663" s="250">
        <v>0</v>
      </c>
      <c r="H663" s="250">
        <v>2.23</v>
      </c>
      <c r="I663" s="252" t="s">
        <v>47</v>
      </c>
      <c r="J663" s="251" t="s">
        <v>1938</v>
      </c>
      <c r="T663" s="292" t="s">
        <v>1756</v>
      </c>
      <c r="U663" s="283" t="s">
        <v>2367</v>
      </c>
      <c r="V663" s="285" t="s">
        <v>2356</v>
      </c>
      <c r="W663" s="293" t="str">
        <f t="shared" si="22"/>
        <v>H17</v>
      </c>
      <c r="X663" s="284" t="str">
        <f t="shared" si="22"/>
        <v>BFF</v>
      </c>
      <c r="Y663" s="271" t="s">
        <v>2398</v>
      </c>
      <c r="Z663" s="283">
        <f t="shared" si="24"/>
        <v>3.1500000000000007E-2</v>
      </c>
      <c r="AA663" s="340">
        <f t="shared" si="21"/>
        <v>0</v>
      </c>
    </row>
    <row r="664" spans="1:34" s="250" customFormat="1">
      <c r="A664" s="250" t="s">
        <v>1169</v>
      </c>
      <c r="B664" s="250" t="s">
        <v>2090</v>
      </c>
      <c r="C664" s="250" t="s">
        <v>2083</v>
      </c>
      <c r="D664" s="251" t="s">
        <v>1979</v>
      </c>
      <c r="E664" s="251" t="s">
        <v>2086</v>
      </c>
      <c r="F664" s="250">
        <v>1.7500000000000002E-2</v>
      </c>
      <c r="G664" s="250">
        <v>0</v>
      </c>
      <c r="H664" s="250">
        <v>2.23</v>
      </c>
      <c r="I664" s="252" t="s">
        <v>47</v>
      </c>
      <c r="J664" s="251" t="s">
        <v>1941</v>
      </c>
      <c r="T664" s="292" t="s">
        <v>1756</v>
      </c>
      <c r="U664" s="283" t="s">
        <v>2367</v>
      </c>
      <c r="V664" s="285" t="s">
        <v>2356</v>
      </c>
      <c r="W664" s="293" t="str">
        <f t="shared" si="22"/>
        <v>H17</v>
      </c>
      <c r="X664" s="284" t="str">
        <f t="shared" si="22"/>
        <v>CEF</v>
      </c>
      <c r="Y664" s="271" t="s">
        <v>2261</v>
      </c>
      <c r="Z664" s="283">
        <f t="shared" si="24"/>
        <v>1.7500000000000002E-2</v>
      </c>
      <c r="AA664" s="340">
        <f t="shared" si="21"/>
        <v>0</v>
      </c>
    </row>
    <row r="665" spans="1:34" s="250" customFormat="1">
      <c r="A665" s="250" t="s">
        <v>1170</v>
      </c>
      <c r="B665" s="250" t="s">
        <v>2090</v>
      </c>
      <c r="C665" s="250" t="s">
        <v>2083</v>
      </c>
      <c r="D665" s="251" t="s">
        <v>1979</v>
      </c>
      <c r="E665" s="251" t="s">
        <v>2087</v>
      </c>
      <c r="F665" s="250">
        <v>1.7500000000000002E-2</v>
      </c>
      <c r="G665" s="250">
        <v>0</v>
      </c>
      <c r="H665" s="250">
        <v>2.23</v>
      </c>
      <c r="I665" s="252" t="s">
        <v>47</v>
      </c>
      <c r="J665" s="251" t="s">
        <v>1940</v>
      </c>
      <c r="T665" s="292" t="s">
        <v>1756</v>
      </c>
      <c r="U665" s="283" t="s">
        <v>2367</v>
      </c>
      <c r="V665" s="285" t="s">
        <v>2356</v>
      </c>
      <c r="W665" s="293" t="str">
        <f t="shared" si="22"/>
        <v>H17</v>
      </c>
      <c r="X665" s="284" t="str">
        <f t="shared" si="22"/>
        <v>CFF</v>
      </c>
      <c r="Y665" s="271" t="s">
        <v>2261</v>
      </c>
      <c r="Z665" s="283">
        <f t="shared" si="24"/>
        <v>1.7500000000000002E-2</v>
      </c>
      <c r="AA665" s="340">
        <f t="shared" si="21"/>
        <v>0</v>
      </c>
      <c r="AC665" s="74"/>
      <c r="AD665" s="74"/>
      <c r="AE665" s="74"/>
      <c r="AF665" s="74"/>
      <c r="AG665" s="74"/>
      <c r="AH665" s="74"/>
    </row>
    <row r="666" spans="1:34" s="250" customFormat="1">
      <c r="A666" s="250" t="s">
        <v>1171</v>
      </c>
      <c r="B666" s="250" t="s">
        <v>2090</v>
      </c>
      <c r="C666" s="250" t="s">
        <v>2083</v>
      </c>
      <c r="D666" s="251" t="s">
        <v>1979</v>
      </c>
      <c r="E666" s="251" t="s">
        <v>2088</v>
      </c>
      <c r="F666" s="250">
        <v>8.7500000000000008E-3</v>
      </c>
      <c r="G666" s="250">
        <v>0</v>
      </c>
      <c r="H666" s="250">
        <v>2.23</v>
      </c>
      <c r="I666" s="252" t="s">
        <v>47</v>
      </c>
      <c r="J666" s="251" t="s">
        <v>2408</v>
      </c>
      <c r="T666" s="292" t="s">
        <v>1756</v>
      </c>
      <c r="U666" s="283" t="s">
        <v>2367</v>
      </c>
      <c r="V666" s="285" t="s">
        <v>2356</v>
      </c>
      <c r="W666" s="293" t="str">
        <f t="shared" si="22"/>
        <v>H17</v>
      </c>
      <c r="X666" s="284" t="str">
        <f t="shared" si="22"/>
        <v>DEF</v>
      </c>
      <c r="Y666" s="271" t="s">
        <v>2262</v>
      </c>
      <c r="Z666" s="283">
        <f t="shared" si="24"/>
        <v>8.7500000000000008E-3</v>
      </c>
      <c r="AA666" s="340">
        <f t="shared" si="21"/>
        <v>0</v>
      </c>
      <c r="AC666" s="74"/>
      <c r="AD666" s="74"/>
      <c r="AE666" s="74"/>
      <c r="AF666" s="74"/>
      <c r="AG666" s="74"/>
      <c r="AH666" s="74"/>
    </row>
    <row r="667" spans="1:34">
      <c r="A667" s="74" t="s">
        <v>1172</v>
      </c>
      <c r="B667" s="74" t="s">
        <v>2090</v>
      </c>
      <c r="C667" s="74" t="s">
        <v>2083</v>
      </c>
      <c r="D667" s="74" t="s">
        <v>1979</v>
      </c>
      <c r="E667" s="74" t="s">
        <v>2089</v>
      </c>
      <c r="F667" s="74">
        <v>8.7500000000000008E-3</v>
      </c>
      <c r="G667" s="74">
        <v>0</v>
      </c>
      <c r="H667" s="74">
        <v>2.23</v>
      </c>
      <c r="I667" s="13" t="s">
        <v>47</v>
      </c>
      <c r="J667" s="74" t="s">
        <v>2409</v>
      </c>
      <c r="T667" s="292" t="s">
        <v>1756</v>
      </c>
      <c r="U667" s="283" t="s">
        <v>2367</v>
      </c>
      <c r="V667" s="285" t="s">
        <v>2356</v>
      </c>
      <c r="W667" s="293" t="str">
        <f t="shared" si="22"/>
        <v>H17</v>
      </c>
      <c r="X667" s="284" t="str">
        <f t="shared" si="22"/>
        <v>DFF</v>
      </c>
      <c r="Y667" s="271" t="s">
        <v>2262</v>
      </c>
      <c r="Z667" s="283">
        <f t="shared" si="24"/>
        <v>8.7500000000000008E-3</v>
      </c>
      <c r="AA667" s="340">
        <f t="shared" si="21"/>
        <v>0</v>
      </c>
    </row>
    <row r="668" spans="1:34">
      <c r="A668" s="74" t="s">
        <v>1173</v>
      </c>
      <c r="B668" s="74" t="s">
        <v>2090</v>
      </c>
      <c r="C668" s="74" t="s">
        <v>2083</v>
      </c>
      <c r="D668" s="74" t="s">
        <v>1979</v>
      </c>
      <c r="E668" s="74" t="s">
        <v>1174</v>
      </c>
      <c r="F668" s="74">
        <v>3.1500000000000007E-2</v>
      </c>
      <c r="G668" s="74">
        <v>0</v>
      </c>
      <c r="H668" s="74">
        <v>2.23</v>
      </c>
      <c r="I668" s="13" t="s">
        <v>47</v>
      </c>
      <c r="J668" s="74" t="s">
        <v>240</v>
      </c>
      <c r="T668" s="292" t="s">
        <v>1756</v>
      </c>
      <c r="U668" s="283" t="s">
        <v>2367</v>
      </c>
      <c r="V668" s="285" t="s">
        <v>2396</v>
      </c>
      <c r="W668" s="293" t="str">
        <f t="shared" si="22"/>
        <v>H17</v>
      </c>
      <c r="X668" s="284" t="str">
        <f t="shared" si="22"/>
        <v>NEF</v>
      </c>
      <c r="Y668" s="271" t="s">
        <v>2398</v>
      </c>
      <c r="Z668" s="283">
        <f t="shared" si="24"/>
        <v>3.1500000000000007E-2</v>
      </c>
      <c r="AA668" s="340">
        <f t="shared" si="21"/>
        <v>0</v>
      </c>
    </row>
    <row r="669" spans="1:34">
      <c r="A669" s="74" t="s">
        <v>1175</v>
      </c>
      <c r="B669" s="74" t="s">
        <v>2090</v>
      </c>
      <c r="C669" s="74" t="s">
        <v>2083</v>
      </c>
      <c r="D669" s="74" t="s">
        <v>1979</v>
      </c>
      <c r="E669" s="74" t="s">
        <v>1176</v>
      </c>
      <c r="F669" s="74">
        <v>3.1500000000000007E-2</v>
      </c>
      <c r="G669" s="74">
        <v>0</v>
      </c>
      <c r="H669" s="74">
        <v>2.23</v>
      </c>
      <c r="I669" s="13" t="s">
        <v>47</v>
      </c>
      <c r="T669" s="292" t="s">
        <v>1756</v>
      </c>
      <c r="U669" s="283" t="s">
        <v>2367</v>
      </c>
      <c r="V669" s="285" t="s">
        <v>2396</v>
      </c>
      <c r="W669" s="293" t="str">
        <f t="shared" si="22"/>
        <v>H17</v>
      </c>
      <c r="X669" s="284" t="str">
        <f t="shared" si="22"/>
        <v>NFF</v>
      </c>
      <c r="Y669" s="271" t="s">
        <v>2398</v>
      </c>
      <c r="Z669" s="283">
        <f t="shared" si="24"/>
        <v>3.1500000000000007E-2</v>
      </c>
      <c r="AA669" s="340">
        <f t="shared" si="21"/>
        <v>0</v>
      </c>
    </row>
    <row r="670" spans="1:34">
      <c r="A670" s="74" t="s">
        <v>1177</v>
      </c>
      <c r="B670" s="74" t="s">
        <v>2090</v>
      </c>
      <c r="C670" s="74" t="s">
        <v>2083</v>
      </c>
      <c r="D670" s="74" t="s">
        <v>2382</v>
      </c>
      <c r="E670" s="74" t="s">
        <v>1178</v>
      </c>
      <c r="F670" s="74">
        <v>3.5000000000000003E-2</v>
      </c>
      <c r="G670" s="74">
        <v>0</v>
      </c>
      <c r="H670" s="74">
        <v>2.23</v>
      </c>
      <c r="I670" s="13" t="s">
        <v>47</v>
      </c>
      <c r="T670" s="292" t="s">
        <v>1756</v>
      </c>
      <c r="U670" s="283" t="s">
        <v>2367</v>
      </c>
      <c r="V670" s="285" t="s">
        <v>2396</v>
      </c>
      <c r="W670" s="293" t="str">
        <f t="shared" si="22"/>
        <v>H21</v>
      </c>
      <c r="X670" s="284" t="str">
        <f t="shared" si="22"/>
        <v>LFF</v>
      </c>
      <c r="Y670" s="271"/>
      <c r="Z670" s="283">
        <f t="shared" si="24"/>
        <v>3.5000000000000003E-2</v>
      </c>
      <c r="AA670" s="340">
        <f t="shared" si="21"/>
        <v>0</v>
      </c>
    </row>
    <row r="671" spans="1:34">
      <c r="A671" s="74" t="s">
        <v>1179</v>
      </c>
      <c r="B671" s="74" t="s">
        <v>2090</v>
      </c>
      <c r="C671" s="74" t="s">
        <v>2083</v>
      </c>
      <c r="D671" s="74" t="s">
        <v>2382</v>
      </c>
      <c r="E671" s="74" t="s">
        <v>1180</v>
      </c>
      <c r="F671" s="74">
        <v>1.7500000000000002E-2</v>
      </c>
      <c r="G671" s="74">
        <v>0</v>
      </c>
      <c r="H671" s="74">
        <v>2.23</v>
      </c>
      <c r="I671" s="13" t="s">
        <v>47</v>
      </c>
      <c r="J671" s="74" t="s">
        <v>240</v>
      </c>
      <c r="T671" s="292" t="s">
        <v>1756</v>
      </c>
      <c r="U671" s="283" t="s">
        <v>2367</v>
      </c>
      <c r="V671" s="285" t="s">
        <v>2396</v>
      </c>
      <c r="W671" s="293" t="str">
        <f t="shared" si="22"/>
        <v>H21</v>
      </c>
      <c r="X671" s="284" t="str">
        <f t="shared" si="22"/>
        <v>LEF</v>
      </c>
      <c r="Y671" s="271"/>
      <c r="Z671" s="283">
        <f t="shared" si="24"/>
        <v>1.7500000000000002E-2</v>
      </c>
      <c r="AA671" s="340">
        <f t="shared" si="21"/>
        <v>0</v>
      </c>
    </row>
    <row r="672" spans="1:34">
      <c r="A672" s="74" t="s">
        <v>1181</v>
      </c>
      <c r="B672" s="74" t="s">
        <v>2090</v>
      </c>
      <c r="C672" s="74" t="s">
        <v>2083</v>
      </c>
      <c r="D672" s="74" t="s">
        <v>2382</v>
      </c>
      <c r="E672" s="74" t="s">
        <v>1182</v>
      </c>
      <c r="F672" s="268">
        <v>1.7500000000000002E-2</v>
      </c>
      <c r="G672" s="74">
        <v>0</v>
      </c>
      <c r="H672" s="74">
        <v>2.23</v>
      </c>
      <c r="I672" s="13" t="s">
        <v>47</v>
      </c>
      <c r="J672" s="74" t="s">
        <v>2261</v>
      </c>
      <c r="T672" s="292" t="s">
        <v>1756</v>
      </c>
      <c r="U672" s="283" t="s">
        <v>2367</v>
      </c>
      <c r="V672" s="285" t="s">
        <v>2396</v>
      </c>
      <c r="W672" s="293" t="str">
        <f t="shared" si="22"/>
        <v>H21</v>
      </c>
      <c r="X672" s="284" t="str">
        <f t="shared" si="22"/>
        <v>MFF</v>
      </c>
      <c r="Y672" s="271" t="s">
        <v>2261</v>
      </c>
      <c r="Z672" s="283">
        <f t="shared" si="24"/>
        <v>1.7500000000000002E-2</v>
      </c>
      <c r="AA672" s="340">
        <f t="shared" si="21"/>
        <v>0</v>
      </c>
    </row>
    <row r="673" spans="1:34">
      <c r="A673" s="74" t="s">
        <v>1183</v>
      </c>
      <c r="B673" s="74" t="s">
        <v>2090</v>
      </c>
      <c r="C673" s="74" t="s">
        <v>2083</v>
      </c>
      <c r="D673" s="74" t="s">
        <v>2382</v>
      </c>
      <c r="E673" s="74" t="s">
        <v>1184</v>
      </c>
      <c r="F673" s="268">
        <v>1.7500000000000002E-2</v>
      </c>
      <c r="G673" s="74">
        <v>0</v>
      </c>
      <c r="H673" s="74">
        <v>2.23</v>
      </c>
      <c r="I673" s="13" t="s">
        <v>47</v>
      </c>
      <c r="J673" s="74" t="s">
        <v>2385</v>
      </c>
      <c r="T673" s="292" t="s">
        <v>1756</v>
      </c>
      <c r="U673" s="283" t="s">
        <v>2367</v>
      </c>
      <c r="V673" s="285" t="s">
        <v>2396</v>
      </c>
      <c r="W673" s="293" t="str">
        <f t="shared" si="22"/>
        <v>H21</v>
      </c>
      <c r="X673" s="284" t="str">
        <f t="shared" si="22"/>
        <v>MEF</v>
      </c>
      <c r="Y673" s="271" t="s">
        <v>2261</v>
      </c>
      <c r="Z673" s="283">
        <f t="shared" si="24"/>
        <v>1.7500000000000002E-2</v>
      </c>
      <c r="AA673" s="340">
        <f t="shared" si="21"/>
        <v>0</v>
      </c>
    </row>
    <row r="674" spans="1:34">
      <c r="A674" s="74" t="s">
        <v>1185</v>
      </c>
      <c r="B674" s="74" t="s">
        <v>2090</v>
      </c>
      <c r="C674" s="74" t="s">
        <v>2083</v>
      </c>
      <c r="D674" s="74" t="s">
        <v>2382</v>
      </c>
      <c r="E674" s="74" t="s">
        <v>1186</v>
      </c>
      <c r="F674" s="74">
        <v>8.7500000000000008E-3</v>
      </c>
      <c r="G674" s="74">
        <v>0</v>
      </c>
      <c r="H674" s="74">
        <v>2.23</v>
      </c>
      <c r="I674" s="13" t="s">
        <v>47</v>
      </c>
      <c r="J674" t="s">
        <v>2262</v>
      </c>
      <c r="T674" s="292" t="s">
        <v>1756</v>
      </c>
      <c r="U674" s="283" t="s">
        <v>2367</v>
      </c>
      <c r="V674" s="285" t="s">
        <v>2396</v>
      </c>
      <c r="W674" s="293" t="str">
        <f t="shared" si="22"/>
        <v>H21</v>
      </c>
      <c r="X674" s="284" t="str">
        <f t="shared" si="22"/>
        <v>RFF</v>
      </c>
      <c r="Y674" s="271" t="s">
        <v>2262</v>
      </c>
      <c r="Z674" s="283">
        <f t="shared" si="24"/>
        <v>8.7500000000000008E-3</v>
      </c>
      <c r="AA674" s="340">
        <f t="shared" si="21"/>
        <v>0</v>
      </c>
    </row>
    <row r="675" spans="1:34">
      <c r="A675" s="74" t="s">
        <v>1187</v>
      </c>
      <c r="B675" s="74" t="s">
        <v>2090</v>
      </c>
      <c r="C675" s="74" t="s">
        <v>2083</v>
      </c>
      <c r="D675" s="74" t="s">
        <v>2382</v>
      </c>
      <c r="E675" s="74" t="s">
        <v>1188</v>
      </c>
      <c r="F675" s="74">
        <v>8.7500000000000008E-3</v>
      </c>
      <c r="G675" s="74">
        <v>0</v>
      </c>
      <c r="H675" s="74">
        <v>2.23</v>
      </c>
      <c r="I675" s="13" t="s">
        <v>47</v>
      </c>
      <c r="J675" t="s">
        <v>2386</v>
      </c>
      <c r="T675" s="292" t="s">
        <v>1756</v>
      </c>
      <c r="U675" s="283" t="s">
        <v>2367</v>
      </c>
      <c r="V675" s="285" t="s">
        <v>2396</v>
      </c>
      <c r="W675" s="293" t="str">
        <f t="shared" si="22"/>
        <v>H21</v>
      </c>
      <c r="X675" s="284" t="str">
        <f t="shared" si="22"/>
        <v>REF</v>
      </c>
      <c r="Y675" s="271" t="s">
        <v>2262</v>
      </c>
      <c r="Z675" s="283">
        <f t="shared" si="24"/>
        <v>8.7500000000000008E-3</v>
      </c>
      <c r="AA675" s="340">
        <f t="shared" si="21"/>
        <v>0</v>
      </c>
    </row>
    <row r="676" spans="1:34">
      <c r="A676" s="74" t="s">
        <v>1189</v>
      </c>
      <c r="B676" s="74" t="s">
        <v>2090</v>
      </c>
      <c r="C676" s="74" t="s">
        <v>2083</v>
      </c>
      <c r="D676" s="74" t="s">
        <v>2382</v>
      </c>
      <c r="E676" s="74" t="s">
        <v>1190</v>
      </c>
      <c r="F676" s="74">
        <v>3.15E-2</v>
      </c>
      <c r="G676" s="74">
        <v>0</v>
      </c>
      <c r="H676" s="74">
        <v>2.23</v>
      </c>
      <c r="I676" s="13" t="s">
        <v>47</v>
      </c>
      <c r="J676" t="s">
        <v>1938</v>
      </c>
      <c r="T676" s="292" t="s">
        <v>1760</v>
      </c>
      <c r="U676" s="283" t="s">
        <v>1134</v>
      </c>
      <c r="V676" s="285" t="s">
        <v>2396</v>
      </c>
      <c r="W676" s="293" t="s">
        <v>2382</v>
      </c>
      <c r="X676" s="284" t="s">
        <v>1190</v>
      </c>
      <c r="Y676" s="271" t="s">
        <v>1762</v>
      </c>
      <c r="Z676" s="283">
        <v>3.15E-2</v>
      </c>
      <c r="AA676" s="340">
        <v>0</v>
      </c>
      <c r="AC676" s="250"/>
      <c r="AD676" s="250"/>
      <c r="AE676" s="250"/>
      <c r="AF676" s="250"/>
      <c r="AG676" s="250"/>
      <c r="AH676" s="250"/>
    </row>
    <row r="677" spans="1:34">
      <c r="A677" s="74" t="s">
        <v>1191</v>
      </c>
      <c r="B677" s="74" t="s">
        <v>2090</v>
      </c>
      <c r="C677" s="74" t="s">
        <v>2083</v>
      </c>
      <c r="D677" s="74" t="s">
        <v>2382</v>
      </c>
      <c r="E677" s="74" t="s">
        <v>1192</v>
      </c>
      <c r="F677" s="74">
        <v>3.15E-2</v>
      </c>
      <c r="G677" s="74">
        <v>0</v>
      </c>
      <c r="H677" s="74">
        <v>2.23</v>
      </c>
      <c r="I677" s="13" t="s">
        <v>47</v>
      </c>
      <c r="J677" t="s">
        <v>1939</v>
      </c>
      <c r="T677" s="292" t="s">
        <v>1760</v>
      </c>
      <c r="U677" s="283" t="s">
        <v>1134</v>
      </c>
      <c r="V677" s="285" t="s">
        <v>2396</v>
      </c>
      <c r="W677" s="293" t="s">
        <v>2382</v>
      </c>
      <c r="X677" s="284" t="s">
        <v>1192</v>
      </c>
      <c r="Y677" s="271" t="s">
        <v>1762</v>
      </c>
      <c r="Z677" s="283">
        <v>3.15E-2</v>
      </c>
      <c r="AA677" s="340">
        <v>0</v>
      </c>
      <c r="AC677" s="250"/>
      <c r="AD677" s="250"/>
      <c r="AE677" s="250"/>
      <c r="AF677" s="250"/>
      <c r="AG677" s="250"/>
      <c r="AH677" s="250"/>
    </row>
    <row r="678" spans="1:34" s="250" customFormat="1">
      <c r="A678" s="250" t="s">
        <v>1193</v>
      </c>
      <c r="B678" s="250" t="s">
        <v>2092</v>
      </c>
      <c r="C678" s="250" t="s">
        <v>2091</v>
      </c>
      <c r="D678" s="251" t="s">
        <v>21</v>
      </c>
      <c r="E678" s="251" t="s">
        <v>85</v>
      </c>
      <c r="F678" s="250">
        <v>4.8750000000000002E-2</v>
      </c>
      <c r="G678" s="250">
        <v>0</v>
      </c>
      <c r="H678" s="250">
        <v>2.23</v>
      </c>
      <c r="I678" s="252" t="s">
        <v>47</v>
      </c>
      <c r="J678" s="250" t="s">
        <v>1127</v>
      </c>
      <c r="T678" s="292" t="s">
        <v>1756</v>
      </c>
      <c r="U678" s="283" t="s">
        <v>2367</v>
      </c>
      <c r="V678" s="285" t="s">
        <v>1771</v>
      </c>
      <c r="W678" s="293" t="str">
        <f t="shared" si="22"/>
        <v>H13</v>
      </c>
      <c r="X678" s="284" t="str">
        <f t="shared" si="22"/>
        <v>TQ</v>
      </c>
      <c r="Y678" s="271" t="s">
        <v>1765</v>
      </c>
      <c r="Z678" s="283">
        <f t="shared" ref="Z678:AA693" si="25">F678</f>
        <v>4.8750000000000002E-2</v>
      </c>
      <c r="AA678" s="340">
        <f t="shared" si="21"/>
        <v>0</v>
      </c>
    </row>
    <row r="679" spans="1:34" s="250" customFormat="1">
      <c r="A679" s="250" t="s">
        <v>1194</v>
      </c>
      <c r="B679" s="250" t="s">
        <v>2092</v>
      </c>
      <c r="C679" s="250" t="s">
        <v>2091</v>
      </c>
      <c r="D679" s="251" t="s">
        <v>21</v>
      </c>
      <c r="E679" s="251" t="s">
        <v>77</v>
      </c>
      <c r="F679" s="250">
        <v>3.2500000000000001E-2</v>
      </c>
      <c r="G679" s="250">
        <v>0</v>
      </c>
      <c r="H679" s="250">
        <v>2.23</v>
      </c>
      <c r="I679" s="252" t="s">
        <v>47</v>
      </c>
      <c r="J679" s="251" t="s">
        <v>1129</v>
      </c>
      <c r="T679" s="292" t="s">
        <v>1756</v>
      </c>
      <c r="U679" s="283" t="s">
        <v>2367</v>
      </c>
      <c r="V679" s="285" t="s">
        <v>1771</v>
      </c>
      <c r="W679" s="293" t="str">
        <f t="shared" si="22"/>
        <v>H13</v>
      </c>
      <c r="X679" s="284" t="str">
        <f t="shared" si="22"/>
        <v>LQ</v>
      </c>
      <c r="Y679" s="271" t="s">
        <v>1766</v>
      </c>
      <c r="Z679" s="283">
        <f t="shared" si="25"/>
        <v>3.2500000000000001E-2</v>
      </c>
      <c r="AA679" s="340">
        <f t="shared" si="21"/>
        <v>0</v>
      </c>
    </row>
    <row r="680" spans="1:34" s="250" customFormat="1">
      <c r="A680" s="250" t="s">
        <v>1195</v>
      </c>
      <c r="B680" s="250" t="s">
        <v>2092</v>
      </c>
      <c r="C680" s="250" t="s">
        <v>2091</v>
      </c>
      <c r="D680" s="251" t="s">
        <v>21</v>
      </c>
      <c r="E680" s="251" t="s">
        <v>92</v>
      </c>
      <c r="F680" s="250">
        <v>1.6250000000000001E-2</v>
      </c>
      <c r="G680" s="250">
        <v>0</v>
      </c>
      <c r="H680" s="250">
        <v>2.23</v>
      </c>
      <c r="I680" s="252" t="s">
        <v>47</v>
      </c>
      <c r="J680" s="251" t="s">
        <v>1131</v>
      </c>
      <c r="T680" s="292" t="s">
        <v>1756</v>
      </c>
      <c r="U680" s="283" t="s">
        <v>2367</v>
      </c>
      <c r="V680" s="285" t="s">
        <v>1771</v>
      </c>
      <c r="W680" s="293" t="str">
        <f t="shared" si="22"/>
        <v>H13</v>
      </c>
      <c r="X680" s="284" t="str">
        <f t="shared" si="22"/>
        <v>UQ</v>
      </c>
      <c r="Y680" s="271" t="s">
        <v>1767</v>
      </c>
      <c r="Z680" s="283">
        <f t="shared" si="25"/>
        <v>1.6250000000000001E-2</v>
      </c>
      <c r="AA680" s="340">
        <f t="shared" si="21"/>
        <v>0</v>
      </c>
    </row>
    <row r="681" spans="1:34" s="250" customFormat="1">
      <c r="A681" s="250" t="s">
        <v>1196</v>
      </c>
      <c r="B681" s="250" t="s">
        <v>2092</v>
      </c>
      <c r="C681" s="250" t="s">
        <v>2091</v>
      </c>
      <c r="D681" s="251" t="s">
        <v>1979</v>
      </c>
      <c r="E681" s="251" t="s">
        <v>1164</v>
      </c>
      <c r="F681" s="250">
        <v>3.5000000000000003E-2</v>
      </c>
      <c r="G681" s="250">
        <v>0</v>
      </c>
      <c r="H681" s="250">
        <v>2.23</v>
      </c>
      <c r="I681" s="252" t="s">
        <v>47</v>
      </c>
      <c r="J681" s="251" t="s">
        <v>1134</v>
      </c>
      <c r="T681" s="292" t="s">
        <v>1756</v>
      </c>
      <c r="U681" s="283" t="s">
        <v>2367</v>
      </c>
      <c r="V681" s="285" t="s">
        <v>1771</v>
      </c>
      <c r="W681" s="293" t="str">
        <f t="shared" si="22"/>
        <v>H17</v>
      </c>
      <c r="X681" s="284" t="str">
        <f t="shared" si="22"/>
        <v>AFF</v>
      </c>
      <c r="Y681" s="271"/>
      <c r="Z681" s="283">
        <f t="shared" si="25"/>
        <v>3.5000000000000003E-2</v>
      </c>
      <c r="AA681" s="340">
        <f t="shared" si="21"/>
        <v>0</v>
      </c>
    </row>
    <row r="682" spans="1:34" s="250" customFormat="1">
      <c r="A682" s="250" t="s">
        <v>1197</v>
      </c>
      <c r="B682" s="250" t="s">
        <v>2092</v>
      </c>
      <c r="C682" s="250" t="s">
        <v>2091</v>
      </c>
      <c r="D682" s="251" t="s">
        <v>1979</v>
      </c>
      <c r="E682" s="251" t="s">
        <v>1166</v>
      </c>
      <c r="F682" s="250">
        <v>1.7500000000000002E-2</v>
      </c>
      <c r="G682" s="250">
        <v>0</v>
      </c>
      <c r="H682" s="250">
        <v>2.23</v>
      </c>
      <c r="I682" s="252" t="s">
        <v>47</v>
      </c>
      <c r="J682" s="251" t="s">
        <v>1137</v>
      </c>
      <c r="T682" s="292" t="s">
        <v>1756</v>
      </c>
      <c r="U682" s="283" t="s">
        <v>2367</v>
      </c>
      <c r="V682" s="285" t="s">
        <v>1771</v>
      </c>
      <c r="W682" s="293" t="str">
        <f t="shared" si="22"/>
        <v>H17</v>
      </c>
      <c r="X682" s="284" t="str">
        <f t="shared" si="22"/>
        <v>AEF</v>
      </c>
      <c r="Y682" s="271"/>
      <c r="Z682" s="283">
        <f t="shared" si="25"/>
        <v>1.7500000000000002E-2</v>
      </c>
      <c r="AA682" s="340">
        <f t="shared" si="21"/>
        <v>0</v>
      </c>
      <c r="AC682" s="253"/>
      <c r="AD682" s="253"/>
      <c r="AE682" s="253"/>
      <c r="AF682" s="253"/>
      <c r="AG682" s="253"/>
      <c r="AH682" s="253"/>
    </row>
    <row r="683" spans="1:34" s="250" customFormat="1">
      <c r="A683" s="250" t="s">
        <v>1198</v>
      </c>
      <c r="B683" s="250" t="s">
        <v>2092</v>
      </c>
      <c r="C683" s="250" t="s">
        <v>2091</v>
      </c>
      <c r="D683" s="251" t="s">
        <v>1979</v>
      </c>
      <c r="E683" s="251" t="s">
        <v>2084</v>
      </c>
      <c r="F683" s="250">
        <v>3.1500000000000007E-2</v>
      </c>
      <c r="G683" s="250">
        <v>0</v>
      </c>
      <c r="H683" s="250">
        <v>2.23</v>
      </c>
      <c r="I683" s="252" t="s">
        <v>47</v>
      </c>
      <c r="J683" s="251" t="s">
        <v>1939</v>
      </c>
      <c r="T683" s="292" t="s">
        <v>1756</v>
      </c>
      <c r="U683" s="283" t="s">
        <v>2367</v>
      </c>
      <c r="V683" s="285" t="s">
        <v>1771</v>
      </c>
      <c r="W683" s="293" t="str">
        <f t="shared" si="22"/>
        <v>H17</v>
      </c>
      <c r="X683" s="284" t="str">
        <f t="shared" si="22"/>
        <v>BEF</v>
      </c>
      <c r="Y683" s="271" t="s">
        <v>2398</v>
      </c>
      <c r="Z683" s="283">
        <f t="shared" si="25"/>
        <v>3.1500000000000007E-2</v>
      </c>
      <c r="AA683" s="340">
        <f t="shared" si="21"/>
        <v>0</v>
      </c>
      <c r="AC683" s="253"/>
      <c r="AD683" s="253"/>
      <c r="AE683" s="253"/>
      <c r="AF683" s="253"/>
      <c r="AG683" s="253"/>
      <c r="AH683" s="253"/>
    </row>
    <row r="684" spans="1:34" s="253" customFormat="1">
      <c r="A684" s="253" t="s">
        <v>1199</v>
      </c>
      <c r="B684" s="253" t="s">
        <v>2092</v>
      </c>
      <c r="C684" s="253" t="s">
        <v>2091</v>
      </c>
      <c r="D684" s="254" t="s">
        <v>1979</v>
      </c>
      <c r="E684" s="254" t="s">
        <v>2085</v>
      </c>
      <c r="F684" s="253">
        <v>3.1500000000000007E-2</v>
      </c>
      <c r="G684" s="253">
        <v>0</v>
      </c>
      <c r="H684" s="253">
        <v>2.23</v>
      </c>
      <c r="I684" s="255" t="s">
        <v>47</v>
      </c>
      <c r="J684" s="253" t="s">
        <v>1938</v>
      </c>
      <c r="T684" s="292" t="s">
        <v>1756</v>
      </c>
      <c r="U684" s="283" t="s">
        <v>2367</v>
      </c>
      <c r="V684" s="285" t="s">
        <v>1771</v>
      </c>
      <c r="W684" s="293" t="str">
        <f t="shared" si="22"/>
        <v>H17</v>
      </c>
      <c r="X684" s="284" t="str">
        <f t="shared" si="22"/>
        <v>BFF</v>
      </c>
      <c r="Y684" s="271" t="s">
        <v>2398</v>
      </c>
      <c r="Z684" s="283">
        <f t="shared" si="25"/>
        <v>3.1500000000000007E-2</v>
      </c>
      <c r="AA684" s="340">
        <f t="shared" si="21"/>
        <v>0</v>
      </c>
      <c r="AC684" s="74"/>
      <c r="AD684" s="74"/>
      <c r="AE684" s="74"/>
      <c r="AF684" s="74"/>
      <c r="AG684" s="74"/>
      <c r="AH684" s="74"/>
    </row>
    <row r="685" spans="1:34" s="253" customFormat="1">
      <c r="A685" s="253" t="s">
        <v>1200</v>
      </c>
      <c r="B685" s="253" t="s">
        <v>2092</v>
      </c>
      <c r="C685" s="253" t="s">
        <v>2091</v>
      </c>
      <c r="D685" s="254" t="s">
        <v>1979</v>
      </c>
      <c r="E685" s="254" t="s">
        <v>2086</v>
      </c>
      <c r="F685" s="253">
        <v>1.7500000000000002E-2</v>
      </c>
      <c r="G685" s="253">
        <v>0</v>
      </c>
      <c r="H685" s="253">
        <v>2.23</v>
      </c>
      <c r="I685" s="255" t="s">
        <v>47</v>
      </c>
      <c r="J685" s="254" t="s">
        <v>1941</v>
      </c>
      <c r="T685" s="292" t="s">
        <v>1756</v>
      </c>
      <c r="U685" s="283" t="s">
        <v>2367</v>
      </c>
      <c r="V685" s="285" t="s">
        <v>1771</v>
      </c>
      <c r="W685" s="293" t="str">
        <f t="shared" si="22"/>
        <v>H17</v>
      </c>
      <c r="X685" s="284" t="str">
        <f t="shared" si="22"/>
        <v>CEF</v>
      </c>
      <c r="Y685" s="271" t="s">
        <v>2261</v>
      </c>
      <c r="Z685" s="283">
        <f t="shared" si="25"/>
        <v>1.7500000000000002E-2</v>
      </c>
      <c r="AA685" s="340">
        <f t="shared" si="21"/>
        <v>0</v>
      </c>
      <c r="AC685" s="74"/>
      <c r="AD685" s="74"/>
      <c r="AE685" s="74"/>
      <c r="AF685" s="74"/>
      <c r="AG685" s="74"/>
      <c r="AH685" s="74"/>
    </row>
    <row r="686" spans="1:34">
      <c r="A686" s="74" t="s">
        <v>1201</v>
      </c>
      <c r="B686" s="74" t="s">
        <v>2092</v>
      </c>
      <c r="C686" s="74" t="s">
        <v>2091</v>
      </c>
      <c r="D686" s="74" t="s">
        <v>1979</v>
      </c>
      <c r="E686" s="74" t="s">
        <v>2087</v>
      </c>
      <c r="F686" s="74">
        <v>1.7500000000000002E-2</v>
      </c>
      <c r="G686" s="74">
        <v>0</v>
      </c>
      <c r="H686" s="74">
        <v>2.23</v>
      </c>
      <c r="I686" s="13" t="s">
        <v>47</v>
      </c>
      <c r="J686" s="74" t="s">
        <v>1940</v>
      </c>
      <c r="T686" s="292" t="s">
        <v>1756</v>
      </c>
      <c r="U686" s="283" t="s">
        <v>2367</v>
      </c>
      <c r="V686" s="285" t="s">
        <v>1771</v>
      </c>
      <c r="W686" s="293" t="str">
        <f t="shared" si="22"/>
        <v>H17</v>
      </c>
      <c r="X686" s="284" t="str">
        <f t="shared" si="22"/>
        <v>CFF</v>
      </c>
      <c r="Y686" s="271" t="s">
        <v>2261</v>
      </c>
      <c r="Z686" s="283">
        <f t="shared" si="25"/>
        <v>1.7500000000000002E-2</v>
      </c>
      <c r="AA686" s="340">
        <f t="shared" si="21"/>
        <v>0</v>
      </c>
    </row>
    <row r="687" spans="1:34">
      <c r="A687" s="74" t="s">
        <v>1202</v>
      </c>
      <c r="B687" s="74" t="s">
        <v>2092</v>
      </c>
      <c r="C687" s="74" t="s">
        <v>2091</v>
      </c>
      <c r="D687" s="74" t="s">
        <v>1979</v>
      </c>
      <c r="E687" s="74" t="s">
        <v>2088</v>
      </c>
      <c r="F687" s="74">
        <v>8.7500000000000008E-3</v>
      </c>
      <c r="G687" s="74">
        <v>0</v>
      </c>
      <c r="H687" s="74">
        <v>2.23</v>
      </c>
      <c r="I687" s="13" t="s">
        <v>47</v>
      </c>
      <c r="J687" s="74" t="s">
        <v>2408</v>
      </c>
      <c r="T687" s="292" t="s">
        <v>1756</v>
      </c>
      <c r="U687" s="283" t="s">
        <v>2367</v>
      </c>
      <c r="V687" s="285" t="s">
        <v>1771</v>
      </c>
      <c r="W687" s="293" t="str">
        <f t="shared" si="22"/>
        <v>H17</v>
      </c>
      <c r="X687" s="284" t="str">
        <f t="shared" si="22"/>
        <v>DEF</v>
      </c>
      <c r="Y687" s="271" t="s">
        <v>2262</v>
      </c>
      <c r="Z687" s="283">
        <f t="shared" si="25"/>
        <v>8.7500000000000008E-3</v>
      </c>
      <c r="AA687" s="340">
        <f t="shared" si="21"/>
        <v>0</v>
      </c>
    </row>
    <row r="688" spans="1:34">
      <c r="A688" s="74" t="s">
        <v>1203</v>
      </c>
      <c r="B688" s="74" t="s">
        <v>2092</v>
      </c>
      <c r="C688" s="74" t="s">
        <v>2091</v>
      </c>
      <c r="D688" s="74" t="s">
        <v>1979</v>
      </c>
      <c r="E688" s="74" t="s">
        <v>2089</v>
      </c>
      <c r="F688" s="74">
        <v>8.7500000000000008E-3</v>
      </c>
      <c r="G688" s="74">
        <v>0</v>
      </c>
      <c r="H688" s="74">
        <v>2.23</v>
      </c>
      <c r="I688" s="13" t="s">
        <v>47</v>
      </c>
      <c r="J688" s="74" t="s">
        <v>2409</v>
      </c>
      <c r="T688" s="292" t="s">
        <v>1756</v>
      </c>
      <c r="U688" s="283" t="s">
        <v>2367</v>
      </c>
      <c r="V688" s="285" t="s">
        <v>1771</v>
      </c>
      <c r="W688" s="293" t="str">
        <f t="shared" si="22"/>
        <v>H17</v>
      </c>
      <c r="X688" s="284" t="str">
        <f t="shared" si="22"/>
        <v>DFF</v>
      </c>
      <c r="Y688" s="271" t="s">
        <v>2262</v>
      </c>
      <c r="Z688" s="283">
        <f t="shared" si="25"/>
        <v>8.7500000000000008E-3</v>
      </c>
      <c r="AA688" s="340">
        <f t="shared" si="21"/>
        <v>0</v>
      </c>
    </row>
    <row r="689" spans="1:27">
      <c r="A689" s="74" t="s">
        <v>1204</v>
      </c>
      <c r="B689" s="74" t="s">
        <v>2092</v>
      </c>
      <c r="C689" s="74" t="s">
        <v>2091</v>
      </c>
      <c r="D689" s="74" t="s">
        <v>1979</v>
      </c>
      <c r="E689" s="74" t="s">
        <v>1174</v>
      </c>
      <c r="F689" s="74">
        <v>3.1500000000000007E-2</v>
      </c>
      <c r="G689" s="74">
        <v>0</v>
      </c>
      <c r="H689" s="74">
        <v>2.23</v>
      </c>
      <c r="I689" s="13" t="s">
        <v>47</v>
      </c>
      <c r="J689" s="74" t="s">
        <v>240</v>
      </c>
      <c r="T689" s="292" t="s">
        <v>1756</v>
      </c>
      <c r="U689" s="283" t="s">
        <v>2367</v>
      </c>
      <c r="V689" s="285" t="s">
        <v>2395</v>
      </c>
      <c r="W689" s="293" t="str">
        <f t="shared" si="22"/>
        <v>H17</v>
      </c>
      <c r="X689" s="284" t="str">
        <f t="shared" si="22"/>
        <v>NEF</v>
      </c>
      <c r="Y689" s="271" t="s">
        <v>2398</v>
      </c>
      <c r="Z689" s="283">
        <f t="shared" si="25"/>
        <v>3.1500000000000007E-2</v>
      </c>
      <c r="AA689" s="340">
        <f t="shared" si="25"/>
        <v>0</v>
      </c>
    </row>
    <row r="690" spans="1:27">
      <c r="A690" s="74" t="s">
        <v>1205</v>
      </c>
      <c r="B690" s="74" t="s">
        <v>2092</v>
      </c>
      <c r="C690" s="74" t="s">
        <v>2091</v>
      </c>
      <c r="D690" s="74" t="s">
        <v>1979</v>
      </c>
      <c r="E690" s="74" t="s">
        <v>1176</v>
      </c>
      <c r="F690" s="74">
        <v>3.1500000000000007E-2</v>
      </c>
      <c r="G690" s="74">
        <v>0</v>
      </c>
      <c r="H690" s="74">
        <v>2.23</v>
      </c>
      <c r="I690" s="13" t="s">
        <v>47</v>
      </c>
      <c r="T690" s="292" t="s">
        <v>1756</v>
      </c>
      <c r="U690" s="283" t="s">
        <v>2367</v>
      </c>
      <c r="V690" s="285" t="s">
        <v>2395</v>
      </c>
      <c r="W690" s="293" t="str">
        <f t="shared" si="22"/>
        <v>H17</v>
      </c>
      <c r="X690" s="284" t="str">
        <f t="shared" si="22"/>
        <v>NFF</v>
      </c>
      <c r="Y690" s="271" t="s">
        <v>2398</v>
      </c>
      <c r="Z690" s="283">
        <f t="shared" si="25"/>
        <v>3.1500000000000007E-2</v>
      </c>
      <c r="AA690" s="340">
        <f t="shared" si="25"/>
        <v>0</v>
      </c>
    </row>
    <row r="691" spans="1:27">
      <c r="A691" s="74" t="s">
        <v>1206</v>
      </c>
      <c r="B691" s="74" t="s">
        <v>2092</v>
      </c>
      <c r="C691" s="74" t="s">
        <v>2091</v>
      </c>
      <c r="D691" s="74" t="s">
        <v>2382</v>
      </c>
      <c r="E691" s="74" t="s">
        <v>1178</v>
      </c>
      <c r="F691" s="74">
        <v>3.5000000000000003E-2</v>
      </c>
      <c r="G691" s="74">
        <v>0</v>
      </c>
      <c r="H691" s="74">
        <v>2.23</v>
      </c>
      <c r="I691" s="13" t="s">
        <v>47</v>
      </c>
      <c r="T691" s="292" t="s">
        <v>1756</v>
      </c>
      <c r="U691" s="283" t="s">
        <v>2367</v>
      </c>
      <c r="V691" s="285" t="s">
        <v>2395</v>
      </c>
      <c r="W691" s="293" t="str">
        <f t="shared" si="22"/>
        <v>H21</v>
      </c>
      <c r="X691" s="284" t="str">
        <f t="shared" si="22"/>
        <v>LFF</v>
      </c>
      <c r="Y691" s="271"/>
      <c r="Z691" s="283">
        <f t="shared" si="25"/>
        <v>3.5000000000000003E-2</v>
      </c>
      <c r="AA691" s="340">
        <f t="shared" si="25"/>
        <v>0</v>
      </c>
    </row>
    <row r="692" spans="1:27">
      <c r="A692" s="74" t="s">
        <v>1207</v>
      </c>
      <c r="B692" s="74" t="s">
        <v>2092</v>
      </c>
      <c r="C692" s="74" t="s">
        <v>2091</v>
      </c>
      <c r="D692" s="74" t="s">
        <v>2382</v>
      </c>
      <c r="E692" s="74" t="s">
        <v>1180</v>
      </c>
      <c r="F692" s="74">
        <v>1.7500000000000002E-2</v>
      </c>
      <c r="G692" s="74">
        <v>0</v>
      </c>
      <c r="H692" s="74">
        <v>2.23</v>
      </c>
      <c r="I692" s="13" t="s">
        <v>47</v>
      </c>
      <c r="J692" s="74" t="s">
        <v>240</v>
      </c>
      <c r="T692" s="292" t="s">
        <v>1756</v>
      </c>
      <c r="U692" s="283" t="s">
        <v>2367</v>
      </c>
      <c r="V692" s="285" t="s">
        <v>2395</v>
      </c>
      <c r="W692" s="293" t="str">
        <f t="shared" si="22"/>
        <v>H21</v>
      </c>
      <c r="X692" s="284" t="str">
        <f t="shared" si="22"/>
        <v>LEF</v>
      </c>
      <c r="Y692" s="271"/>
      <c r="Z692" s="283">
        <f t="shared" si="25"/>
        <v>1.7500000000000002E-2</v>
      </c>
      <c r="AA692" s="340">
        <f t="shared" si="25"/>
        <v>0</v>
      </c>
    </row>
    <row r="693" spans="1:27">
      <c r="A693" s="74" t="s">
        <v>1208</v>
      </c>
      <c r="B693" s="74" t="s">
        <v>2092</v>
      </c>
      <c r="C693" s="74" t="s">
        <v>2091</v>
      </c>
      <c r="D693" s="74" t="s">
        <v>2382</v>
      </c>
      <c r="E693" s="74" t="s">
        <v>1182</v>
      </c>
      <c r="F693" s="74">
        <v>1.7500000000000002E-2</v>
      </c>
      <c r="G693" s="74">
        <v>0</v>
      </c>
      <c r="H693" s="74">
        <v>2.23</v>
      </c>
      <c r="I693" s="13" t="s">
        <v>47</v>
      </c>
      <c r="J693" s="74" t="s">
        <v>2261</v>
      </c>
      <c r="T693" s="292" t="s">
        <v>1756</v>
      </c>
      <c r="U693" s="283" t="s">
        <v>2367</v>
      </c>
      <c r="V693" s="285" t="s">
        <v>2395</v>
      </c>
      <c r="W693" s="293" t="str">
        <f t="shared" si="22"/>
        <v>H21</v>
      </c>
      <c r="X693" s="284" t="str">
        <f t="shared" si="22"/>
        <v>MFF</v>
      </c>
      <c r="Y693" s="271" t="s">
        <v>2261</v>
      </c>
      <c r="Z693" s="283">
        <f t="shared" si="25"/>
        <v>1.7500000000000002E-2</v>
      </c>
      <c r="AA693" s="340">
        <f t="shared" si="25"/>
        <v>0</v>
      </c>
    </row>
    <row r="694" spans="1:27">
      <c r="A694" s="74" t="s">
        <v>1209</v>
      </c>
      <c r="B694" s="74" t="s">
        <v>2092</v>
      </c>
      <c r="C694" s="74" t="s">
        <v>2091</v>
      </c>
      <c r="D694" s="74" t="s">
        <v>2382</v>
      </c>
      <c r="E694" s="74" t="s">
        <v>1184</v>
      </c>
      <c r="F694" s="74">
        <v>1.7500000000000002E-2</v>
      </c>
      <c r="G694" s="74">
        <v>0</v>
      </c>
      <c r="H694" s="74">
        <v>2.23</v>
      </c>
      <c r="I694" s="13" t="s">
        <v>47</v>
      </c>
      <c r="J694" s="74" t="s">
        <v>2385</v>
      </c>
      <c r="T694" s="292" t="s">
        <v>1756</v>
      </c>
      <c r="U694" s="283" t="s">
        <v>2367</v>
      </c>
      <c r="V694" s="285" t="s">
        <v>2395</v>
      </c>
      <c r="W694" s="293" t="str">
        <f t="shared" si="22"/>
        <v>H21</v>
      </c>
      <c r="X694" s="284" t="str">
        <f t="shared" si="22"/>
        <v>MEF</v>
      </c>
      <c r="Y694" s="271" t="s">
        <v>2261</v>
      </c>
      <c r="Z694" s="283">
        <f t="shared" ref="Z694:AA773" si="26">F694</f>
        <v>1.7500000000000002E-2</v>
      </c>
      <c r="AA694" s="340">
        <f t="shared" si="26"/>
        <v>0</v>
      </c>
    </row>
    <row r="695" spans="1:27">
      <c r="A695" s="74" t="s">
        <v>1210</v>
      </c>
      <c r="B695" s="74" t="s">
        <v>2092</v>
      </c>
      <c r="C695" s="74" t="s">
        <v>2091</v>
      </c>
      <c r="D695" s="74" t="s">
        <v>2382</v>
      </c>
      <c r="E695" s="74" t="s">
        <v>1186</v>
      </c>
      <c r="F695" s="74">
        <v>8.7500000000000008E-3</v>
      </c>
      <c r="G695" s="74">
        <v>0</v>
      </c>
      <c r="H695" s="74">
        <v>2.23</v>
      </c>
      <c r="I695" s="13" t="s">
        <v>47</v>
      </c>
      <c r="J695" s="74" t="s">
        <v>2262</v>
      </c>
      <c r="T695" s="292" t="s">
        <v>1756</v>
      </c>
      <c r="U695" s="283" t="s">
        <v>2367</v>
      </c>
      <c r="V695" s="285" t="s">
        <v>2395</v>
      </c>
      <c r="W695" s="293" t="str">
        <f t="shared" si="22"/>
        <v>H21</v>
      </c>
      <c r="X695" s="284" t="str">
        <f t="shared" si="22"/>
        <v>RFF</v>
      </c>
      <c r="Y695" s="271" t="s">
        <v>2262</v>
      </c>
      <c r="Z695" s="283">
        <f t="shared" si="26"/>
        <v>8.7500000000000008E-3</v>
      </c>
      <c r="AA695" s="340">
        <f t="shared" si="26"/>
        <v>0</v>
      </c>
    </row>
    <row r="696" spans="1:27">
      <c r="A696" s="74" t="s">
        <v>1211</v>
      </c>
      <c r="B696" s="74" t="s">
        <v>2092</v>
      </c>
      <c r="C696" s="74" t="s">
        <v>2091</v>
      </c>
      <c r="D696" s="74" t="s">
        <v>2382</v>
      </c>
      <c r="E696" s="74" t="s">
        <v>1188</v>
      </c>
      <c r="F696" s="74">
        <v>8.7500000000000008E-3</v>
      </c>
      <c r="G696" s="74">
        <v>0</v>
      </c>
      <c r="H696" s="74">
        <v>2.23</v>
      </c>
      <c r="I696" s="13" t="s">
        <v>47</v>
      </c>
      <c r="J696" s="74" t="s">
        <v>2386</v>
      </c>
      <c r="T696" s="292" t="s">
        <v>1756</v>
      </c>
      <c r="U696" s="283" t="s">
        <v>2367</v>
      </c>
      <c r="V696" s="285" t="s">
        <v>2395</v>
      </c>
      <c r="W696" s="293" t="str">
        <f t="shared" si="22"/>
        <v>H21</v>
      </c>
      <c r="X696" s="284" t="str">
        <f t="shared" si="22"/>
        <v>REF</v>
      </c>
      <c r="Y696" s="271" t="s">
        <v>2262</v>
      </c>
      <c r="Z696" s="283">
        <f t="shared" si="26"/>
        <v>8.7500000000000008E-3</v>
      </c>
      <c r="AA696" s="340">
        <f t="shared" si="26"/>
        <v>0</v>
      </c>
    </row>
    <row r="697" spans="1:27">
      <c r="A697" s="74" t="s">
        <v>1212</v>
      </c>
      <c r="B697" s="74" t="s">
        <v>2092</v>
      </c>
      <c r="C697" s="74" t="s">
        <v>2091</v>
      </c>
      <c r="D697" s="74" t="s">
        <v>2382</v>
      </c>
      <c r="E697" s="74" t="s">
        <v>1190</v>
      </c>
      <c r="F697" s="74">
        <v>3.15E-2</v>
      </c>
      <c r="G697" s="74">
        <v>0</v>
      </c>
      <c r="H697" s="74">
        <v>2.23</v>
      </c>
      <c r="I697" s="13" t="s">
        <v>47</v>
      </c>
      <c r="J697" s="74" t="s">
        <v>1938</v>
      </c>
      <c r="T697" s="292" t="s">
        <v>1760</v>
      </c>
      <c r="U697" s="283" t="s">
        <v>1134</v>
      </c>
      <c r="V697" s="285" t="s">
        <v>2395</v>
      </c>
      <c r="W697" s="293" t="s">
        <v>2382</v>
      </c>
      <c r="X697" s="284" t="s">
        <v>1190</v>
      </c>
      <c r="Y697" s="271" t="s">
        <v>1762</v>
      </c>
      <c r="Z697" s="283">
        <v>3.15E-2</v>
      </c>
      <c r="AA697" s="340">
        <v>0</v>
      </c>
    </row>
    <row r="698" spans="1:27">
      <c r="A698" s="74" t="s">
        <v>1213</v>
      </c>
      <c r="B698" s="74" t="s">
        <v>2092</v>
      </c>
      <c r="C698" s="74" t="s">
        <v>2091</v>
      </c>
      <c r="D698" s="74" t="s">
        <v>2382</v>
      </c>
      <c r="E698" s="74" t="s">
        <v>1192</v>
      </c>
      <c r="F698" s="74">
        <v>3.15E-2</v>
      </c>
      <c r="G698" s="74">
        <v>0</v>
      </c>
      <c r="H698" s="74">
        <v>2.23</v>
      </c>
      <c r="I698" s="13" t="s">
        <v>47</v>
      </c>
      <c r="J698" s="74" t="s">
        <v>1939</v>
      </c>
      <c r="T698" s="292" t="s">
        <v>1760</v>
      </c>
      <c r="U698" s="283" t="s">
        <v>1134</v>
      </c>
      <c r="V698" s="285" t="s">
        <v>2395</v>
      </c>
      <c r="W698" s="293" t="s">
        <v>2382</v>
      </c>
      <c r="X698" s="284" t="s">
        <v>1192</v>
      </c>
      <c r="Y698" s="271" t="s">
        <v>1762</v>
      </c>
      <c r="Z698" s="283">
        <v>3.15E-2</v>
      </c>
      <c r="AA698" s="340">
        <v>0</v>
      </c>
    </row>
    <row r="699" spans="1:27">
      <c r="A699" s="74" t="s">
        <v>1214</v>
      </c>
      <c r="B699" s="74" t="s">
        <v>2100</v>
      </c>
      <c r="C699" s="74" t="s">
        <v>2099</v>
      </c>
      <c r="D699" s="74" t="s">
        <v>29</v>
      </c>
      <c r="E699" s="74" t="s">
        <v>1215</v>
      </c>
      <c r="F699" s="74">
        <v>9.7500000000000003E-2</v>
      </c>
      <c r="G699" s="74">
        <v>0</v>
      </c>
      <c r="H699" s="74">
        <v>2.23</v>
      </c>
      <c r="I699" s="13" t="s">
        <v>47</v>
      </c>
      <c r="J699" s="74" t="s">
        <v>1127</v>
      </c>
      <c r="T699" s="292" t="s">
        <v>1756</v>
      </c>
      <c r="U699" s="283" t="s">
        <v>2367</v>
      </c>
      <c r="V699" s="285" t="s">
        <v>1772</v>
      </c>
      <c r="W699" s="293" t="str">
        <f t="shared" si="22"/>
        <v>H15,H16</v>
      </c>
      <c r="X699" s="284" t="str">
        <f t="shared" si="22"/>
        <v>TR</v>
      </c>
      <c r="Y699" s="271" t="s">
        <v>1765</v>
      </c>
      <c r="Z699" s="283">
        <f t="shared" si="26"/>
        <v>9.7500000000000003E-2</v>
      </c>
      <c r="AA699" s="340">
        <f t="shared" si="26"/>
        <v>0</v>
      </c>
    </row>
    <row r="700" spans="1:27">
      <c r="A700" s="74" t="s">
        <v>1216</v>
      </c>
      <c r="B700" s="74" t="s">
        <v>2100</v>
      </c>
      <c r="C700" s="74" t="s">
        <v>2099</v>
      </c>
      <c r="D700" s="74" t="s">
        <v>29</v>
      </c>
      <c r="E700" s="74" t="s">
        <v>1217</v>
      </c>
      <c r="F700" s="74">
        <v>6.5000000000000002E-2</v>
      </c>
      <c r="G700" s="74">
        <v>0</v>
      </c>
      <c r="H700" s="74">
        <v>2.23</v>
      </c>
      <c r="I700" s="13" t="s">
        <v>47</v>
      </c>
      <c r="J700" s="74" t="s">
        <v>1129</v>
      </c>
      <c r="T700" s="292" t="s">
        <v>1756</v>
      </c>
      <c r="U700" s="283" t="s">
        <v>2367</v>
      </c>
      <c r="V700" s="285" t="s">
        <v>1772</v>
      </c>
      <c r="W700" s="293" t="str">
        <f t="shared" si="22"/>
        <v>H15,H16</v>
      </c>
      <c r="X700" s="284" t="str">
        <f t="shared" si="22"/>
        <v>LR</v>
      </c>
      <c r="Y700" s="271" t="s">
        <v>1766</v>
      </c>
      <c r="Z700" s="283">
        <f t="shared" si="26"/>
        <v>6.5000000000000002E-2</v>
      </c>
      <c r="AA700" s="340">
        <f t="shared" si="26"/>
        <v>0</v>
      </c>
    </row>
    <row r="701" spans="1:27">
      <c r="A701" s="74" t="s">
        <v>1218</v>
      </c>
      <c r="B701" s="74" t="s">
        <v>2100</v>
      </c>
      <c r="C701" s="74" t="s">
        <v>2099</v>
      </c>
      <c r="D701" s="74" t="s">
        <v>29</v>
      </c>
      <c r="E701" s="74" t="s">
        <v>1219</v>
      </c>
      <c r="F701" s="74">
        <v>3.2500000000000001E-2</v>
      </c>
      <c r="G701" s="74">
        <v>0</v>
      </c>
      <c r="H701" s="74">
        <v>2.23</v>
      </c>
      <c r="I701" s="13" t="s">
        <v>47</v>
      </c>
      <c r="J701" s="74" t="s">
        <v>1131</v>
      </c>
      <c r="T701" s="292" t="s">
        <v>1756</v>
      </c>
      <c r="U701" s="283" t="s">
        <v>2367</v>
      </c>
      <c r="V701" s="285" t="s">
        <v>1772</v>
      </c>
      <c r="W701" s="293" t="str">
        <f t="shared" si="22"/>
        <v>H15,H16</v>
      </c>
      <c r="X701" s="284" t="str">
        <f t="shared" si="22"/>
        <v>UR</v>
      </c>
      <c r="Y701" s="271" t="s">
        <v>1767</v>
      </c>
      <c r="Z701" s="283">
        <f t="shared" si="26"/>
        <v>3.2500000000000001E-2</v>
      </c>
      <c r="AA701" s="340">
        <f t="shared" si="26"/>
        <v>0</v>
      </c>
    </row>
    <row r="702" spans="1:27">
      <c r="A702" s="74" t="s">
        <v>1220</v>
      </c>
      <c r="B702" s="74" t="s">
        <v>2100</v>
      </c>
      <c r="C702" s="74" t="s">
        <v>2099</v>
      </c>
      <c r="D702" s="74" t="s">
        <v>1979</v>
      </c>
      <c r="E702" s="74" t="s">
        <v>1221</v>
      </c>
      <c r="F702" s="74">
        <v>7.4999999999999997E-2</v>
      </c>
      <c r="G702" s="74">
        <v>0</v>
      </c>
      <c r="H702" s="74">
        <v>2.23</v>
      </c>
      <c r="I702" s="13" t="s">
        <v>47</v>
      </c>
      <c r="J702" s="74" t="s">
        <v>1134</v>
      </c>
      <c r="T702" s="292" t="s">
        <v>1756</v>
      </c>
      <c r="U702" s="283" t="s">
        <v>2367</v>
      </c>
      <c r="V702" s="285" t="s">
        <v>1772</v>
      </c>
      <c r="W702" s="293" t="str">
        <f t="shared" si="22"/>
        <v>H17</v>
      </c>
      <c r="X702" s="284" t="str">
        <f t="shared" si="22"/>
        <v>AFG</v>
      </c>
      <c r="Y702" s="271"/>
      <c r="Z702" s="283">
        <f t="shared" si="26"/>
        <v>7.4999999999999997E-2</v>
      </c>
      <c r="AA702" s="340">
        <f t="shared" si="26"/>
        <v>0</v>
      </c>
    </row>
    <row r="703" spans="1:27" s="268" customFormat="1">
      <c r="A703" s="268" t="s">
        <v>1222</v>
      </c>
      <c r="B703" s="74" t="s">
        <v>2100</v>
      </c>
      <c r="C703" s="74" t="s">
        <v>2099</v>
      </c>
      <c r="D703" s="74" t="s">
        <v>1979</v>
      </c>
      <c r="E703" s="269" t="s">
        <v>1223</v>
      </c>
      <c r="F703" s="74">
        <v>3.7499999999999999E-2</v>
      </c>
      <c r="G703" s="74">
        <v>0</v>
      </c>
      <c r="H703" s="74">
        <v>2.23</v>
      </c>
      <c r="I703" s="267" t="s">
        <v>47</v>
      </c>
      <c r="J703" t="s">
        <v>1137</v>
      </c>
      <c r="T703" s="292" t="s">
        <v>1756</v>
      </c>
      <c r="U703" s="283" t="s">
        <v>2367</v>
      </c>
      <c r="V703" s="285" t="s">
        <v>1772</v>
      </c>
      <c r="W703" s="293" t="str">
        <f t="shared" si="22"/>
        <v>H17</v>
      </c>
      <c r="X703" s="284" t="str">
        <f t="shared" si="22"/>
        <v>AEG</v>
      </c>
      <c r="Y703" s="271"/>
      <c r="Z703" s="283">
        <f t="shared" si="26"/>
        <v>3.7499999999999999E-2</v>
      </c>
      <c r="AA703" s="340">
        <f t="shared" si="26"/>
        <v>0</v>
      </c>
    </row>
    <row r="704" spans="1:27">
      <c r="A704" s="74" t="s">
        <v>1224</v>
      </c>
      <c r="B704" s="74" t="s">
        <v>2100</v>
      </c>
      <c r="C704" s="74" t="s">
        <v>2099</v>
      </c>
      <c r="D704" s="74" t="s">
        <v>1979</v>
      </c>
      <c r="E704" s="74" t="s">
        <v>2093</v>
      </c>
      <c r="F704" s="74">
        <v>6.7500000000000004E-2</v>
      </c>
      <c r="G704" s="74">
        <v>0</v>
      </c>
      <c r="H704" s="74">
        <v>2.23</v>
      </c>
      <c r="I704" s="13" t="s">
        <v>47</v>
      </c>
      <c r="J704" t="s">
        <v>1939</v>
      </c>
      <c r="T704" s="292" t="s">
        <v>1756</v>
      </c>
      <c r="U704" s="283" t="s">
        <v>2367</v>
      </c>
      <c r="V704" s="285" t="s">
        <v>1772</v>
      </c>
      <c r="W704" s="293" t="str">
        <f t="shared" si="22"/>
        <v>H17</v>
      </c>
      <c r="X704" s="284" t="str">
        <f t="shared" si="22"/>
        <v>BEG</v>
      </c>
      <c r="Y704" s="271" t="s">
        <v>2398</v>
      </c>
      <c r="Z704" s="283">
        <f t="shared" si="26"/>
        <v>6.7500000000000004E-2</v>
      </c>
      <c r="AA704" s="340">
        <f t="shared" si="26"/>
        <v>0</v>
      </c>
    </row>
    <row r="705" spans="1:34">
      <c r="A705" s="74" t="s">
        <v>1225</v>
      </c>
      <c r="B705" s="74" t="s">
        <v>2100</v>
      </c>
      <c r="C705" s="74" t="s">
        <v>2099</v>
      </c>
      <c r="D705" s="74" t="s">
        <v>1979</v>
      </c>
      <c r="E705" s="74" t="s">
        <v>2094</v>
      </c>
      <c r="F705" s="74">
        <v>6.7500000000000004E-2</v>
      </c>
      <c r="G705" s="74">
        <v>0</v>
      </c>
      <c r="H705" s="74">
        <v>2.23</v>
      </c>
      <c r="I705" s="13" t="s">
        <v>47</v>
      </c>
      <c r="J705" t="s">
        <v>1938</v>
      </c>
      <c r="T705" s="292" t="s">
        <v>1756</v>
      </c>
      <c r="U705" s="283" t="s">
        <v>2367</v>
      </c>
      <c r="V705" s="285" t="s">
        <v>1772</v>
      </c>
      <c r="W705" s="293" t="str">
        <f t="shared" si="22"/>
        <v>H17</v>
      </c>
      <c r="X705" s="284" t="str">
        <f t="shared" si="22"/>
        <v>BFG</v>
      </c>
      <c r="Y705" s="271" t="s">
        <v>2398</v>
      </c>
      <c r="Z705" s="283">
        <f t="shared" si="26"/>
        <v>6.7500000000000004E-2</v>
      </c>
      <c r="AA705" s="340">
        <f t="shared" si="26"/>
        <v>0</v>
      </c>
    </row>
    <row r="706" spans="1:34" s="268" customFormat="1">
      <c r="A706" s="268" t="s">
        <v>1226</v>
      </c>
      <c r="B706" s="74" t="s">
        <v>2100</v>
      </c>
      <c r="C706" s="74" t="s">
        <v>2099</v>
      </c>
      <c r="D706" s="74" t="s">
        <v>1979</v>
      </c>
      <c r="E706" s="269" t="s">
        <v>2095</v>
      </c>
      <c r="F706" s="74">
        <v>3.7499999999999999E-2</v>
      </c>
      <c r="G706" s="74">
        <v>0</v>
      </c>
      <c r="H706" s="74">
        <v>2.23</v>
      </c>
      <c r="I706" s="267" t="s">
        <v>47</v>
      </c>
      <c r="J706" t="s">
        <v>1941</v>
      </c>
      <c r="T706" s="292" t="s">
        <v>1756</v>
      </c>
      <c r="U706" s="283" t="s">
        <v>2367</v>
      </c>
      <c r="V706" s="285" t="s">
        <v>1772</v>
      </c>
      <c r="W706" s="293" t="str">
        <f t="shared" si="22"/>
        <v>H17</v>
      </c>
      <c r="X706" s="284" t="str">
        <f t="shared" si="22"/>
        <v>CEG</v>
      </c>
      <c r="Y706" s="271" t="s">
        <v>2261</v>
      </c>
      <c r="Z706" s="283">
        <f t="shared" si="26"/>
        <v>3.7499999999999999E-2</v>
      </c>
      <c r="AA706" s="340">
        <f t="shared" si="26"/>
        <v>0</v>
      </c>
    </row>
    <row r="707" spans="1:34">
      <c r="A707" s="74" t="s">
        <v>1227</v>
      </c>
      <c r="B707" s="74" t="s">
        <v>2100</v>
      </c>
      <c r="C707" s="74" t="s">
        <v>2099</v>
      </c>
      <c r="D707" s="74" t="s">
        <v>1979</v>
      </c>
      <c r="E707" s="74" t="s">
        <v>2096</v>
      </c>
      <c r="F707" s="74">
        <v>3.7499999999999999E-2</v>
      </c>
      <c r="G707" s="74">
        <v>0</v>
      </c>
      <c r="H707" s="74">
        <v>2.23</v>
      </c>
      <c r="I707" s="13" t="s">
        <v>47</v>
      </c>
      <c r="J707" t="s">
        <v>1940</v>
      </c>
      <c r="T707" s="292" t="s">
        <v>1756</v>
      </c>
      <c r="U707" s="283" t="s">
        <v>2367</v>
      </c>
      <c r="V707" s="285" t="s">
        <v>1772</v>
      </c>
      <c r="W707" s="293" t="str">
        <f t="shared" si="22"/>
        <v>H17</v>
      </c>
      <c r="X707" s="284" t="str">
        <f t="shared" si="22"/>
        <v>CFG</v>
      </c>
      <c r="Y707" s="271" t="s">
        <v>2261</v>
      </c>
      <c r="Z707" s="283">
        <f t="shared" si="26"/>
        <v>3.7499999999999999E-2</v>
      </c>
      <c r="AA707" s="340">
        <f t="shared" si="26"/>
        <v>0</v>
      </c>
      <c r="AC707" s="250"/>
      <c r="AD707" s="250"/>
      <c r="AE707" s="250"/>
      <c r="AF707" s="250"/>
      <c r="AG707" s="250"/>
      <c r="AH707" s="250"/>
    </row>
    <row r="708" spans="1:34">
      <c r="A708" s="74" t="s">
        <v>1228</v>
      </c>
      <c r="B708" s="74" t="s">
        <v>2100</v>
      </c>
      <c r="C708" s="74" t="s">
        <v>2099</v>
      </c>
      <c r="D708" s="74" t="s">
        <v>1979</v>
      </c>
      <c r="E708" s="74" t="s">
        <v>2097</v>
      </c>
      <c r="F708" s="74">
        <v>1.8749999999999999E-2</v>
      </c>
      <c r="G708" s="74">
        <v>0</v>
      </c>
      <c r="H708" s="74">
        <v>2.23</v>
      </c>
      <c r="I708" s="13" t="s">
        <v>47</v>
      </c>
      <c r="J708" t="s">
        <v>2408</v>
      </c>
      <c r="T708" s="292" t="s">
        <v>1756</v>
      </c>
      <c r="U708" s="283" t="s">
        <v>2367</v>
      </c>
      <c r="V708" s="285" t="s">
        <v>1772</v>
      </c>
      <c r="W708" s="293" t="str">
        <f t="shared" si="22"/>
        <v>H17</v>
      </c>
      <c r="X708" s="284" t="str">
        <f t="shared" si="22"/>
        <v>DEG</v>
      </c>
      <c r="Y708" s="271" t="s">
        <v>2262</v>
      </c>
      <c r="Z708" s="283">
        <f t="shared" si="26"/>
        <v>1.8749999999999999E-2</v>
      </c>
      <c r="AA708" s="340">
        <f t="shared" si="26"/>
        <v>0</v>
      </c>
      <c r="AC708" s="250"/>
      <c r="AD708" s="250"/>
      <c r="AE708" s="250"/>
      <c r="AF708" s="250"/>
      <c r="AG708" s="250"/>
      <c r="AH708" s="250"/>
    </row>
    <row r="709" spans="1:34">
      <c r="A709" s="268" t="s">
        <v>1229</v>
      </c>
      <c r="B709" s="268" t="s">
        <v>2100</v>
      </c>
      <c r="C709" s="74" t="s">
        <v>2099</v>
      </c>
      <c r="D709" s="268" t="s">
        <v>1979</v>
      </c>
      <c r="E709" s="269" t="s">
        <v>2098</v>
      </c>
      <c r="F709" s="74">
        <v>1.8749999999999999E-2</v>
      </c>
      <c r="G709" s="74">
        <v>0</v>
      </c>
      <c r="H709" s="74">
        <v>2.23</v>
      </c>
      <c r="I709" s="267" t="s">
        <v>47</v>
      </c>
      <c r="J709" t="s">
        <v>2409</v>
      </c>
      <c r="K709" s="268"/>
      <c r="L709" s="268"/>
      <c r="M709" s="268"/>
      <c r="N709" s="268"/>
      <c r="O709" s="268"/>
      <c r="P709" s="268"/>
      <c r="Q709" s="268"/>
      <c r="R709" s="268"/>
      <c r="S709" s="268"/>
      <c r="T709" s="292" t="s">
        <v>1756</v>
      </c>
      <c r="U709" s="283" t="s">
        <v>2367</v>
      </c>
      <c r="V709" s="285" t="s">
        <v>1772</v>
      </c>
      <c r="W709" s="293" t="str">
        <f t="shared" si="22"/>
        <v>H17</v>
      </c>
      <c r="X709" s="284" t="str">
        <f t="shared" si="22"/>
        <v>DFG</v>
      </c>
      <c r="Y709" s="271" t="s">
        <v>2262</v>
      </c>
      <c r="Z709" s="283">
        <f t="shared" si="26"/>
        <v>1.8749999999999999E-2</v>
      </c>
      <c r="AA709" s="340">
        <f t="shared" si="26"/>
        <v>0</v>
      </c>
      <c r="AC709" s="250"/>
      <c r="AD709" s="250"/>
      <c r="AE709" s="250"/>
      <c r="AF709" s="250"/>
      <c r="AG709" s="250"/>
      <c r="AH709" s="250"/>
    </row>
    <row r="710" spans="1:34" s="250" customFormat="1">
      <c r="A710" s="250" t="s">
        <v>1230</v>
      </c>
      <c r="B710" s="250" t="s">
        <v>2100</v>
      </c>
      <c r="C710" s="250" t="s">
        <v>2099</v>
      </c>
      <c r="D710" s="251" t="s">
        <v>1979</v>
      </c>
      <c r="E710" s="251" t="s">
        <v>1231</v>
      </c>
      <c r="F710" s="250">
        <v>6.7500000000000004E-2</v>
      </c>
      <c r="G710" s="250">
        <v>0</v>
      </c>
      <c r="H710" s="74">
        <v>2.23</v>
      </c>
      <c r="I710" s="252" t="s">
        <v>47</v>
      </c>
      <c r="J710" s="250" t="s">
        <v>240</v>
      </c>
      <c r="T710" s="292" t="s">
        <v>1756</v>
      </c>
      <c r="U710" s="283" t="s">
        <v>2367</v>
      </c>
      <c r="V710" s="285" t="s">
        <v>2394</v>
      </c>
      <c r="W710" s="293" t="str">
        <f t="shared" si="22"/>
        <v>H17</v>
      </c>
      <c r="X710" s="284" t="str">
        <f t="shared" si="22"/>
        <v>NEG</v>
      </c>
      <c r="Y710" s="271" t="s">
        <v>2398</v>
      </c>
      <c r="Z710" s="283">
        <f t="shared" si="26"/>
        <v>6.7500000000000004E-2</v>
      </c>
      <c r="AA710" s="340">
        <f t="shared" si="26"/>
        <v>0</v>
      </c>
    </row>
    <row r="711" spans="1:34" s="250" customFormat="1">
      <c r="A711" s="250" t="s">
        <v>1232</v>
      </c>
      <c r="B711" s="250" t="s">
        <v>2100</v>
      </c>
      <c r="C711" s="250" t="s">
        <v>2099</v>
      </c>
      <c r="D711" s="251" t="s">
        <v>1979</v>
      </c>
      <c r="E711" s="251" t="s">
        <v>1233</v>
      </c>
      <c r="F711" s="250">
        <v>6.7500000000000004E-2</v>
      </c>
      <c r="G711" s="250">
        <v>0</v>
      </c>
      <c r="H711" s="74">
        <v>2.23</v>
      </c>
      <c r="I711" s="13" t="s">
        <v>47</v>
      </c>
      <c r="J711" s="251"/>
      <c r="T711" s="292" t="s">
        <v>1756</v>
      </c>
      <c r="U711" s="283" t="s">
        <v>2367</v>
      </c>
      <c r="V711" s="285" t="s">
        <v>2394</v>
      </c>
      <c r="W711" s="293" t="str">
        <f t="shared" si="22"/>
        <v>H17</v>
      </c>
      <c r="X711" s="284" t="str">
        <f t="shared" si="22"/>
        <v>NFG</v>
      </c>
      <c r="Y711" s="271" t="s">
        <v>2398</v>
      </c>
      <c r="Z711" s="283">
        <f t="shared" si="26"/>
        <v>6.7500000000000004E-2</v>
      </c>
      <c r="AA711" s="340">
        <f t="shared" si="26"/>
        <v>0</v>
      </c>
    </row>
    <row r="712" spans="1:34" s="268" customFormat="1">
      <c r="A712" s="268" t="s">
        <v>1234</v>
      </c>
      <c r="B712" s="250" t="s">
        <v>2100</v>
      </c>
      <c r="C712" s="250" t="s">
        <v>2099</v>
      </c>
      <c r="D712" s="251" t="s">
        <v>1979</v>
      </c>
      <c r="E712" s="269" t="s">
        <v>1235</v>
      </c>
      <c r="F712" s="250">
        <v>7.4999999999999997E-2</v>
      </c>
      <c r="G712" s="250">
        <v>0</v>
      </c>
      <c r="H712" s="74">
        <v>2.23</v>
      </c>
      <c r="I712" s="267" t="s">
        <v>47</v>
      </c>
      <c r="J712" t="s">
        <v>240</v>
      </c>
      <c r="T712" s="292" t="s">
        <v>1756</v>
      </c>
      <c r="U712" s="283" t="s">
        <v>2367</v>
      </c>
      <c r="V712" s="285" t="s">
        <v>2394</v>
      </c>
      <c r="W712" s="293" t="str">
        <f t="shared" si="22"/>
        <v>H17</v>
      </c>
      <c r="X712" s="284" t="str">
        <f t="shared" si="22"/>
        <v>PEG</v>
      </c>
      <c r="Y712" s="271" t="s">
        <v>2401</v>
      </c>
      <c r="Z712" s="283">
        <f t="shared" si="26"/>
        <v>7.4999999999999997E-2</v>
      </c>
      <c r="AA712" s="340">
        <f t="shared" si="26"/>
        <v>0</v>
      </c>
    </row>
    <row r="713" spans="1:34" s="250" customFormat="1">
      <c r="A713" s="250" t="s">
        <v>1236</v>
      </c>
      <c r="B713" s="250" t="s">
        <v>2100</v>
      </c>
      <c r="C713" s="250" t="s">
        <v>2099</v>
      </c>
      <c r="D713" s="251" t="s">
        <v>1979</v>
      </c>
      <c r="E713" s="251" t="s">
        <v>1237</v>
      </c>
      <c r="F713" s="250">
        <v>7.4999999999999997E-2</v>
      </c>
      <c r="G713" s="250">
        <v>0</v>
      </c>
      <c r="H713" s="74">
        <v>2.23</v>
      </c>
      <c r="I713" s="252" t="s">
        <v>47</v>
      </c>
      <c r="J713" s="251"/>
      <c r="T713" s="292" t="s">
        <v>1756</v>
      </c>
      <c r="U713" s="283" t="s">
        <v>2367</v>
      </c>
      <c r="V713" s="285" t="s">
        <v>2394</v>
      </c>
      <c r="W713" s="293" t="str">
        <f t="shared" si="22"/>
        <v>H17</v>
      </c>
      <c r="X713" s="284" t="str">
        <f t="shared" si="22"/>
        <v>PFG</v>
      </c>
      <c r="Y713" s="271" t="s">
        <v>2401</v>
      </c>
      <c r="Z713" s="283">
        <f t="shared" si="26"/>
        <v>7.4999999999999997E-2</v>
      </c>
      <c r="AA713" s="340">
        <f t="shared" si="26"/>
        <v>0</v>
      </c>
    </row>
    <row r="714" spans="1:34" s="250" customFormat="1">
      <c r="A714" s="250" t="s">
        <v>1238</v>
      </c>
      <c r="B714" s="250" t="s">
        <v>2100</v>
      </c>
      <c r="C714" s="250" t="s">
        <v>2099</v>
      </c>
      <c r="D714" s="251" t="s">
        <v>2382</v>
      </c>
      <c r="E714" s="251" t="s">
        <v>1239</v>
      </c>
      <c r="F714" s="250">
        <v>2.5000000000000001E-2</v>
      </c>
      <c r="G714" s="250">
        <v>0</v>
      </c>
      <c r="H714" s="74">
        <v>2.23</v>
      </c>
      <c r="I714" s="13" t="s">
        <v>47</v>
      </c>
      <c r="J714" s="251"/>
      <c r="T714" s="292" t="s">
        <v>1756</v>
      </c>
      <c r="U714" s="283" t="s">
        <v>2367</v>
      </c>
      <c r="V714" s="285" t="s">
        <v>2394</v>
      </c>
      <c r="W714" s="293" t="str">
        <f t="shared" si="22"/>
        <v>H21</v>
      </c>
      <c r="X714" s="284" t="str">
        <f t="shared" si="22"/>
        <v>LFG</v>
      </c>
      <c r="Y714" s="271"/>
      <c r="Z714" s="283">
        <f t="shared" si="26"/>
        <v>2.5000000000000001E-2</v>
      </c>
      <c r="AA714" s="340">
        <f t="shared" si="26"/>
        <v>0</v>
      </c>
    </row>
    <row r="715" spans="1:34" s="268" customFormat="1">
      <c r="A715" s="268" t="s">
        <v>1240</v>
      </c>
      <c r="B715" s="250" t="s">
        <v>2100</v>
      </c>
      <c r="C715" s="250" t="s">
        <v>2099</v>
      </c>
      <c r="D715" s="251" t="s">
        <v>2382</v>
      </c>
      <c r="E715" s="269" t="s">
        <v>1241</v>
      </c>
      <c r="F715" s="250">
        <v>1.2500000000000001E-2</v>
      </c>
      <c r="G715" s="250">
        <v>0</v>
      </c>
      <c r="H715" s="74">
        <v>2.23</v>
      </c>
      <c r="I715" s="267" t="s">
        <v>47</v>
      </c>
      <c r="J715" t="s">
        <v>240</v>
      </c>
      <c r="T715" s="292" t="s">
        <v>1756</v>
      </c>
      <c r="U715" s="283" t="s">
        <v>2367</v>
      </c>
      <c r="V715" s="285" t="s">
        <v>2394</v>
      </c>
      <c r="W715" s="293" t="str">
        <f t="shared" si="22"/>
        <v>H21</v>
      </c>
      <c r="X715" s="284" t="str">
        <f t="shared" si="22"/>
        <v>LEG</v>
      </c>
      <c r="Y715" s="271"/>
      <c r="Z715" s="283">
        <f t="shared" si="26"/>
        <v>1.2500000000000001E-2</v>
      </c>
      <c r="AA715" s="340">
        <f t="shared" si="26"/>
        <v>0</v>
      </c>
    </row>
    <row r="716" spans="1:34" s="250" customFormat="1">
      <c r="A716" s="250" t="s">
        <v>1242</v>
      </c>
      <c r="B716" s="250" t="s">
        <v>2100</v>
      </c>
      <c r="C716" s="250" t="s">
        <v>2099</v>
      </c>
      <c r="D716" s="251" t="s">
        <v>2382</v>
      </c>
      <c r="E716" s="251" t="s">
        <v>1243</v>
      </c>
      <c r="F716" s="250">
        <v>1.2500000000000001E-2</v>
      </c>
      <c r="G716" s="250">
        <v>0</v>
      </c>
      <c r="H716" s="74">
        <v>2.23</v>
      </c>
      <c r="I716" s="252" t="s">
        <v>47</v>
      </c>
      <c r="J716" s="251" t="s">
        <v>2261</v>
      </c>
      <c r="T716" s="292" t="s">
        <v>1756</v>
      </c>
      <c r="U716" s="283" t="s">
        <v>2367</v>
      </c>
      <c r="V716" s="285" t="s">
        <v>2394</v>
      </c>
      <c r="W716" s="293" t="str">
        <f t="shared" ref="W716:X789" si="27">D716</f>
        <v>H21</v>
      </c>
      <c r="X716" s="284" t="str">
        <f t="shared" si="27"/>
        <v>MFG</v>
      </c>
      <c r="Y716" s="271" t="s">
        <v>2261</v>
      </c>
      <c r="Z716" s="283">
        <f t="shared" si="26"/>
        <v>1.2500000000000001E-2</v>
      </c>
      <c r="AA716" s="340">
        <f t="shared" si="26"/>
        <v>0</v>
      </c>
      <c r="AC716" s="74"/>
      <c r="AD716" s="74"/>
      <c r="AE716" s="74"/>
      <c r="AF716" s="74"/>
      <c r="AG716" s="74"/>
      <c r="AH716" s="74"/>
    </row>
    <row r="717" spans="1:34" s="250" customFormat="1">
      <c r="A717" s="250" t="s">
        <v>1244</v>
      </c>
      <c r="B717" s="250" t="s">
        <v>2100</v>
      </c>
      <c r="C717" s="250" t="s">
        <v>2099</v>
      </c>
      <c r="D717" s="251" t="s">
        <v>2382</v>
      </c>
      <c r="E717" s="251" t="s">
        <v>1245</v>
      </c>
      <c r="F717" s="250">
        <v>1.2500000000000001E-2</v>
      </c>
      <c r="G717" s="250">
        <v>0</v>
      </c>
      <c r="H717" s="74">
        <v>2.23</v>
      </c>
      <c r="I717" s="13" t="s">
        <v>47</v>
      </c>
      <c r="J717" s="251" t="s">
        <v>2385</v>
      </c>
      <c r="T717" s="292" t="s">
        <v>1756</v>
      </c>
      <c r="U717" s="283" t="s">
        <v>2367</v>
      </c>
      <c r="V717" s="285" t="s">
        <v>2394</v>
      </c>
      <c r="W717" s="293" t="str">
        <f t="shared" si="27"/>
        <v>H21</v>
      </c>
      <c r="X717" s="284" t="str">
        <f t="shared" si="27"/>
        <v>MEG</v>
      </c>
      <c r="Y717" s="271" t="s">
        <v>2261</v>
      </c>
      <c r="Z717" s="283">
        <f t="shared" si="26"/>
        <v>1.2500000000000001E-2</v>
      </c>
      <c r="AA717" s="340">
        <f t="shared" si="26"/>
        <v>0</v>
      </c>
      <c r="AC717" s="74"/>
      <c r="AD717" s="74"/>
      <c r="AE717" s="74"/>
      <c r="AF717" s="74"/>
      <c r="AG717" s="74"/>
      <c r="AH717" s="74"/>
    </row>
    <row r="718" spans="1:34" s="268" customFormat="1">
      <c r="A718" s="268" t="s">
        <v>1246</v>
      </c>
      <c r="B718" s="250" t="s">
        <v>2100</v>
      </c>
      <c r="C718" s="250" t="s">
        <v>2099</v>
      </c>
      <c r="D718" s="251" t="s">
        <v>2382</v>
      </c>
      <c r="E718" s="269" t="s">
        <v>1247</v>
      </c>
      <c r="F718" s="250">
        <v>6.2500000000000003E-3</v>
      </c>
      <c r="G718" s="250">
        <v>0</v>
      </c>
      <c r="H718" s="74">
        <v>2.23</v>
      </c>
      <c r="I718" s="267" t="s">
        <v>47</v>
      </c>
      <c r="J718" t="s">
        <v>2262</v>
      </c>
      <c r="T718" s="292" t="s">
        <v>1756</v>
      </c>
      <c r="U718" s="283" t="s">
        <v>2367</v>
      </c>
      <c r="V718" s="285" t="s">
        <v>2394</v>
      </c>
      <c r="W718" s="293" t="str">
        <f t="shared" si="27"/>
        <v>H21</v>
      </c>
      <c r="X718" s="284" t="str">
        <f t="shared" si="27"/>
        <v>RFG</v>
      </c>
      <c r="Y718" s="271" t="s">
        <v>2262</v>
      </c>
      <c r="Z718" s="283">
        <f t="shared" si="26"/>
        <v>6.2500000000000003E-3</v>
      </c>
      <c r="AA718" s="340">
        <f t="shared" si="26"/>
        <v>0</v>
      </c>
    </row>
    <row r="719" spans="1:34">
      <c r="A719" s="74" t="s">
        <v>1248</v>
      </c>
      <c r="B719" s="74" t="s">
        <v>2100</v>
      </c>
      <c r="C719" s="74" t="s">
        <v>2099</v>
      </c>
      <c r="D719" s="74" t="s">
        <v>2382</v>
      </c>
      <c r="E719" s="74" t="s">
        <v>1249</v>
      </c>
      <c r="F719" s="74">
        <v>6.2500000000000003E-3</v>
      </c>
      <c r="G719" s="74">
        <v>0</v>
      </c>
      <c r="H719" s="74">
        <v>2.23</v>
      </c>
      <c r="I719" s="13" t="s">
        <v>47</v>
      </c>
      <c r="J719" s="74" t="s">
        <v>2389</v>
      </c>
      <c r="T719" s="292" t="s">
        <v>1756</v>
      </c>
      <c r="U719" s="283" t="s">
        <v>2367</v>
      </c>
      <c r="V719" s="285" t="s">
        <v>2394</v>
      </c>
      <c r="W719" s="293" t="str">
        <f t="shared" si="27"/>
        <v>H21</v>
      </c>
      <c r="X719" s="284" t="str">
        <f t="shared" si="27"/>
        <v>REG</v>
      </c>
      <c r="Y719" s="271" t="s">
        <v>2262</v>
      </c>
      <c r="Z719" s="283">
        <f t="shared" si="26"/>
        <v>6.2500000000000003E-3</v>
      </c>
      <c r="AA719" s="340">
        <f t="shared" si="26"/>
        <v>0</v>
      </c>
    </row>
    <row r="720" spans="1:34">
      <c r="A720" s="74" t="s">
        <v>1250</v>
      </c>
      <c r="B720" s="74" t="s">
        <v>2100</v>
      </c>
      <c r="C720" s="74" t="s">
        <v>2099</v>
      </c>
      <c r="D720" s="74" t="s">
        <v>2390</v>
      </c>
      <c r="E720" s="74" t="s">
        <v>1251</v>
      </c>
      <c r="F720" s="74">
        <v>2.5000000000000001E-2</v>
      </c>
      <c r="G720" s="74">
        <v>0</v>
      </c>
      <c r="H720" s="74">
        <v>2.23</v>
      </c>
      <c r="I720" s="13" t="s">
        <v>47</v>
      </c>
      <c r="T720" s="292" t="s">
        <v>1756</v>
      </c>
      <c r="U720" s="283" t="s">
        <v>2367</v>
      </c>
      <c r="V720" s="285" t="s">
        <v>2394</v>
      </c>
      <c r="W720" s="293" t="str">
        <f t="shared" si="27"/>
        <v>H22</v>
      </c>
      <c r="X720" s="284" t="str">
        <f t="shared" si="27"/>
        <v>SFG</v>
      </c>
      <c r="Y720" s="271"/>
      <c r="Z720" s="283">
        <f t="shared" si="26"/>
        <v>2.5000000000000001E-2</v>
      </c>
      <c r="AA720" s="340">
        <f t="shared" si="26"/>
        <v>0</v>
      </c>
    </row>
    <row r="721" spans="1:27">
      <c r="A721" s="74" t="s">
        <v>1252</v>
      </c>
      <c r="B721" s="74" t="s">
        <v>2100</v>
      </c>
      <c r="C721" s="74" t="s">
        <v>2099</v>
      </c>
      <c r="D721" s="74" t="s">
        <v>2390</v>
      </c>
      <c r="E721" s="74" t="s">
        <v>1253</v>
      </c>
      <c r="F721" s="74">
        <v>1.2500000000000001E-2</v>
      </c>
      <c r="G721" s="74">
        <v>0</v>
      </c>
      <c r="H721" s="74">
        <v>2.23</v>
      </c>
      <c r="I721" s="13" t="s">
        <v>47</v>
      </c>
      <c r="J721" s="74" t="s">
        <v>240</v>
      </c>
      <c r="T721" s="292" t="s">
        <v>1756</v>
      </c>
      <c r="U721" s="283" t="s">
        <v>2367</v>
      </c>
      <c r="V721" s="285" t="s">
        <v>2394</v>
      </c>
      <c r="W721" s="293" t="str">
        <f t="shared" si="27"/>
        <v>H22</v>
      </c>
      <c r="X721" s="284" t="str">
        <f t="shared" si="27"/>
        <v>SEG</v>
      </c>
      <c r="Y721" s="271"/>
      <c r="Z721" s="283">
        <f t="shared" si="26"/>
        <v>1.2500000000000001E-2</v>
      </c>
      <c r="AA721" s="340">
        <f t="shared" si="26"/>
        <v>0</v>
      </c>
    </row>
    <row r="722" spans="1:27">
      <c r="A722" s="74" t="s">
        <v>1254</v>
      </c>
      <c r="B722" s="74" t="s">
        <v>2100</v>
      </c>
      <c r="C722" s="74" t="s">
        <v>2099</v>
      </c>
      <c r="D722" s="74" t="s">
        <v>2390</v>
      </c>
      <c r="E722" s="74" t="s">
        <v>1255</v>
      </c>
      <c r="F722" s="74">
        <v>2.2499999999999999E-2</v>
      </c>
      <c r="G722" s="74">
        <v>0</v>
      </c>
      <c r="H722" s="74">
        <v>2.23</v>
      </c>
      <c r="I722" s="13" t="s">
        <v>47</v>
      </c>
      <c r="J722" s="74" t="s">
        <v>1938</v>
      </c>
      <c r="T722" s="292" t="s">
        <v>1760</v>
      </c>
      <c r="U722" s="283" t="s">
        <v>1134</v>
      </c>
      <c r="V722" s="285" t="s">
        <v>2394</v>
      </c>
      <c r="W722" s="293" t="s">
        <v>2390</v>
      </c>
      <c r="X722" s="284" t="s">
        <v>1255</v>
      </c>
      <c r="Y722" s="271" t="s">
        <v>1762</v>
      </c>
      <c r="Z722" s="283">
        <v>2.2499999999999999E-2</v>
      </c>
      <c r="AA722" s="340">
        <v>0</v>
      </c>
    </row>
    <row r="723" spans="1:27">
      <c r="A723" s="74" t="s">
        <v>1256</v>
      </c>
      <c r="B723" s="74" t="s">
        <v>2100</v>
      </c>
      <c r="C723" s="74" t="s">
        <v>2099</v>
      </c>
      <c r="D723" s="74" t="s">
        <v>2390</v>
      </c>
      <c r="E723" s="74" t="s">
        <v>1257</v>
      </c>
      <c r="F723" s="74">
        <v>2.2499999999999999E-2</v>
      </c>
      <c r="G723" s="74">
        <v>0</v>
      </c>
      <c r="H723" s="74">
        <v>2.23</v>
      </c>
      <c r="I723" s="13" t="s">
        <v>47</v>
      </c>
      <c r="J723" s="74" t="s">
        <v>1939</v>
      </c>
      <c r="T723" s="292" t="s">
        <v>1760</v>
      </c>
      <c r="U723" s="283" t="s">
        <v>1134</v>
      </c>
      <c r="V723" s="285" t="s">
        <v>2394</v>
      </c>
      <c r="W723" s="293" t="s">
        <v>2390</v>
      </c>
      <c r="X723" s="284" t="s">
        <v>1257</v>
      </c>
      <c r="Y723" s="271" t="s">
        <v>1762</v>
      </c>
      <c r="Z723" s="283">
        <v>2.2499999999999999E-2</v>
      </c>
      <c r="AA723" s="340">
        <v>0</v>
      </c>
    </row>
    <row r="724" spans="1:27">
      <c r="A724" s="74" t="s">
        <v>2380</v>
      </c>
      <c r="B724" s="74" t="s">
        <v>2100</v>
      </c>
      <c r="C724" s="74" t="s">
        <v>2099</v>
      </c>
      <c r="D724" s="74" t="s">
        <v>2382</v>
      </c>
      <c r="E724" s="74" t="s">
        <v>2368</v>
      </c>
      <c r="F724" s="74">
        <v>2.2499999999999999E-2</v>
      </c>
      <c r="G724" s="74">
        <v>0</v>
      </c>
      <c r="H724" s="74">
        <v>2.23</v>
      </c>
      <c r="I724" s="13" t="s">
        <v>47</v>
      </c>
      <c r="J724" s="74" t="s">
        <v>1938</v>
      </c>
      <c r="T724" s="292" t="s">
        <v>1760</v>
      </c>
      <c r="U724" s="283" t="s">
        <v>1134</v>
      </c>
      <c r="V724" s="285" t="s">
        <v>2394</v>
      </c>
      <c r="W724" s="293" t="s">
        <v>2382</v>
      </c>
      <c r="X724" s="284" t="s">
        <v>2368</v>
      </c>
      <c r="Y724" s="271" t="s">
        <v>1762</v>
      </c>
      <c r="Z724" s="283">
        <v>2.2499999999999999E-2</v>
      </c>
      <c r="AA724" s="340">
        <v>0</v>
      </c>
    </row>
    <row r="725" spans="1:27">
      <c r="A725" s="74" t="s">
        <v>2381</v>
      </c>
      <c r="B725" s="74" t="s">
        <v>2100</v>
      </c>
      <c r="C725" s="74" t="s">
        <v>2099</v>
      </c>
      <c r="D725" s="74" t="s">
        <v>2382</v>
      </c>
      <c r="E725" s="74" t="s">
        <v>2369</v>
      </c>
      <c r="F725" s="74">
        <v>2.2499999999999999E-2</v>
      </c>
      <c r="G725" s="74">
        <v>0</v>
      </c>
      <c r="H725" s="74">
        <v>2.23</v>
      </c>
      <c r="I725" s="13" t="s">
        <v>47</v>
      </c>
      <c r="J725" s="74" t="s">
        <v>1939</v>
      </c>
      <c r="T725" s="292" t="s">
        <v>1760</v>
      </c>
      <c r="U725" s="283" t="s">
        <v>1134</v>
      </c>
      <c r="V725" s="285" t="s">
        <v>2394</v>
      </c>
      <c r="W725" s="293" t="s">
        <v>2382</v>
      </c>
      <c r="X725" s="284" t="s">
        <v>2369</v>
      </c>
      <c r="Y725" s="271" t="s">
        <v>1762</v>
      </c>
      <c r="Z725" s="283">
        <v>2.2499999999999999E-2</v>
      </c>
      <c r="AA725" s="340">
        <v>0</v>
      </c>
    </row>
    <row r="726" spans="1:27">
      <c r="A726" s="74" t="s">
        <v>1258</v>
      </c>
      <c r="B726" s="74" t="s">
        <v>2102</v>
      </c>
      <c r="C726" s="74" t="s">
        <v>2101</v>
      </c>
      <c r="D726" s="74" t="s">
        <v>16</v>
      </c>
      <c r="E726" s="74" t="s">
        <v>84</v>
      </c>
      <c r="F726" s="74">
        <v>0.105</v>
      </c>
      <c r="G726" s="74">
        <v>0</v>
      </c>
      <c r="H726" s="74">
        <v>1.37</v>
      </c>
      <c r="I726" s="13" t="s">
        <v>1259</v>
      </c>
      <c r="J726" s="74" t="s">
        <v>1260</v>
      </c>
      <c r="T726" s="292" t="s">
        <v>1756</v>
      </c>
      <c r="U726" s="283" t="s">
        <v>1791</v>
      </c>
      <c r="V726" s="285" t="s">
        <v>1764</v>
      </c>
      <c r="W726" s="293" t="str">
        <f t="shared" si="27"/>
        <v>H14</v>
      </c>
      <c r="X726" s="284" t="str">
        <f t="shared" si="27"/>
        <v>TP</v>
      </c>
      <c r="Y726" s="271" t="s">
        <v>1765</v>
      </c>
      <c r="Z726" s="283">
        <f t="shared" si="26"/>
        <v>0.105</v>
      </c>
      <c r="AA726" s="340">
        <f t="shared" si="26"/>
        <v>0</v>
      </c>
    </row>
    <row r="727" spans="1:27">
      <c r="A727" s="74" t="s">
        <v>1261</v>
      </c>
      <c r="B727" s="74" t="s">
        <v>2102</v>
      </c>
      <c r="C727" s="74" t="s">
        <v>2101</v>
      </c>
      <c r="D727" s="74" t="s">
        <v>16</v>
      </c>
      <c r="E727" s="74" t="s">
        <v>76</v>
      </c>
      <c r="F727" s="74">
        <v>7.0000000000000007E-2</v>
      </c>
      <c r="G727" s="74">
        <v>0</v>
      </c>
      <c r="H727" s="74">
        <v>1.37</v>
      </c>
      <c r="I727" s="13" t="s">
        <v>1259</v>
      </c>
      <c r="J727" s="74" t="s">
        <v>1262</v>
      </c>
      <c r="T727" s="292" t="s">
        <v>1756</v>
      </c>
      <c r="U727" s="283" t="s">
        <v>1791</v>
      </c>
      <c r="V727" s="285" t="s">
        <v>1764</v>
      </c>
      <c r="W727" s="293" t="str">
        <f t="shared" si="27"/>
        <v>H14</v>
      </c>
      <c r="X727" s="284" t="str">
        <f t="shared" si="27"/>
        <v>LP</v>
      </c>
      <c r="Y727" s="271" t="s">
        <v>1766</v>
      </c>
      <c r="Z727" s="283">
        <f t="shared" si="26"/>
        <v>7.0000000000000007E-2</v>
      </c>
      <c r="AA727" s="340">
        <f t="shared" si="26"/>
        <v>0</v>
      </c>
    </row>
    <row r="728" spans="1:27">
      <c r="A728" s="74" t="s">
        <v>1263</v>
      </c>
      <c r="B728" s="74" t="s">
        <v>2102</v>
      </c>
      <c r="C728" s="74" t="s">
        <v>2101</v>
      </c>
      <c r="D728" s="74" t="s">
        <v>16</v>
      </c>
      <c r="E728" s="74" t="s">
        <v>91</v>
      </c>
      <c r="F728" s="74">
        <v>3.5000000000000003E-2</v>
      </c>
      <c r="G728" s="74">
        <v>0</v>
      </c>
      <c r="H728" s="74">
        <v>1.37</v>
      </c>
      <c r="I728" s="13" t="s">
        <v>1259</v>
      </c>
      <c r="J728" s="74" t="s">
        <v>1264</v>
      </c>
      <c r="T728" s="292" t="s">
        <v>1756</v>
      </c>
      <c r="U728" s="283" t="s">
        <v>1791</v>
      </c>
      <c r="V728" s="285" t="s">
        <v>1764</v>
      </c>
      <c r="W728" s="293" t="str">
        <f t="shared" si="27"/>
        <v>H14</v>
      </c>
      <c r="X728" s="284" t="str">
        <f t="shared" si="27"/>
        <v>UP</v>
      </c>
      <c r="Y728" s="271" t="s">
        <v>1767</v>
      </c>
      <c r="Z728" s="283">
        <f t="shared" si="26"/>
        <v>3.5000000000000003E-2</v>
      </c>
      <c r="AA728" s="340">
        <f t="shared" si="26"/>
        <v>0</v>
      </c>
    </row>
    <row r="729" spans="1:27">
      <c r="A729" s="74" t="s">
        <v>1265</v>
      </c>
      <c r="B729" s="74" t="s">
        <v>2102</v>
      </c>
      <c r="C729" s="74" t="s">
        <v>2101</v>
      </c>
      <c r="D729" s="74" t="s">
        <v>1979</v>
      </c>
      <c r="E729" s="74" t="s">
        <v>1266</v>
      </c>
      <c r="F729" s="74">
        <v>7.0000000000000007E-2</v>
      </c>
      <c r="G729" s="74">
        <v>0</v>
      </c>
      <c r="H729" s="74">
        <v>1.37</v>
      </c>
      <c r="I729" s="13" t="s">
        <v>1259</v>
      </c>
      <c r="J729" s="74" t="s">
        <v>1267</v>
      </c>
      <c r="T729" s="292" t="s">
        <v>1756</v>
      </c>
      <c r="U729" s="283" t="s">
        <v>1791</v>
      </c>
      <c r="V729" s="285" t="s">
        <v>1764</v>
      </c>
      <c r="W729" s="293" t="str">
        <f t="shared" si="27"/>
        <v>H17</v>
      </c>
      <c r="X729" s="284" t="str">
        <f t="shared" si="27"/>
        <v>AHE</v>
      </c>
      <c r="Y729" s="271"/>
      <c r="Z729" s="283">
        <f t="shared" si="26"/>
        <v>7.0000000000000007E-2</v>
      </c>
      <c r="AA729" s="340">
        <f t="shared" si="26"/>
        <v>0</v>
      </c>
    </row>
    <row r="730" spans="1:27">
      <c r="A730" s="74" t="s">
        <v>1268</v>
      </c>
      <c r="B730" s="74" t="s">
        <v>2102</v>
      </c>
      <c r="C730" s="74" t="s">
        <v>2101</v>
      </c>
      <c r="D730" s="74" t="s">
        <v>1979</v>
      </c>
      <c r="E730" s="74" t="s">
        <v>1269</v>
      </c>
      <c r="F730" s="74">
        <v>3.5000000000000003E-2</v>
      </c>
      <c r="G730" s="74">
        <v>0</v>
      </c>
      <c r="H730" s="74">
        <v>1.37</v>
      </c>
      <c r="I730" s="13" t="s">
        <v>1259</v>
      </c>
      <c r="J730" s="74" t="s">
        <v>1270</v>
      </c>
      <c r="T730" s="292" t="s">
        <v>1756</v>
      </c>
      <c r="U730" s="283" t="s">
        <v>1791</v>
      </c>
      <c r="V730" s="285" t="s">
        <v>1764</v>
      </c>
      <c r="W730" s="293" t="str">
        <f t="shared" si="27"/>
        <v>H17</v>
      </c>
      <c r="X730" s="284" t="str">
        <f t="shared" si="27"/>
        <v>AGE</v>
      </c>
      <c r="Y730" s="271"/>
      <c r="Z730" s="283">
        <f t="shared" si="26"/>
        <v>3.5000000000000003E-2</v>
      </c>
      <c r="AA730" s="340">
        <f t="shared" si="26"/>
        <v>0</v>
      </c>
    </row>
    <row r="731" spans="1:27">
      <c r="A731" s="74" t="s">
        <v>1271</v>
      </c>
      <c r="B731" s="74" t="s">
        <v>2102</v>
      </c>
      <c r="C731" s="74" t="s">
        <v>2101</v>
      </c>
      <c r="D731" s="74" t="s">
        <v>1979</v>
      </c>
      <c r="E731" s="74" t="s">
        <v>1272</v>
      </c>
      <c r="F731" s="74">
        <v>6.3000000000000014E-2</v>
      </c>
      <c r="G731" s="74">
        <v>0</v>
      </c>
      <c r="H731" s="74">
        <v>1.37</v>
      </c>
      <c r="I731" s="13" t="s">
        <v>1259</v>
      </c>
      <c r="J731" s="74" t="s">
        <v>1944</v>
      </c>
      <c r="T731" s="292" t="s">
        <v>1756</v>
      </c>
      <c r="U731" s="283" t="s">
        <v>1791</v>
      </c>
      <c r="V731" s="285" t="s">
        <v>1764</v>
      </c>
      <c r="W731" s="293" t="str">
        <f t="shared" si="27"/>
        <v>H17</v>
      </c>
      <c r="X731" s="284" t="str">
        <f t="shared" si="27"/>
        <v>BGE</v>
      </c>
      <c r="Y731" s="271" t="s">
        <v>2398</v>
      </c>
      <c r="Z731" s="283">
        <f t="shared" si="26"/>
        <v>6.3000000000000014E-2</v>
      </c>
      <c r="AA731" s="340">
        <f t="shared" si="26"/>
        <v>0</v>
      </c>
    </row>
    <row r="732" spans="1:27">
      <c r="A732" s="74" t="s">
        <v>1273</v>
      </c>
      <c r="B732" s="74" t="s">
        <v>2102</v>
      </c>
      <c r="C732" s="74" t="s">
        <v>2101</v>
      </c>
      <c r="D732" s="74" t="s">
        <v>1979</v>
      </c>
      <c r="E732" s="74" t="s">
        <v>1274</v>
      </c>
      <c r="F732" s="74">
        <v>6.3000000000000014E-2</v>
      </c>
      <c r="G732" s="74">
        <v>0</v>
      </c>
      <c r="H732" s="74">
        <v>1.37</v>
      </c>
      <c r="I732" s="13" t="s">
        <v>1259</v>
      </c>
      <c r="J732" s="74" t="s">
        <v>1943</v>
      </c>
      <c r="T732" s="292" t="s">
        <v>1756</v>
      </c>
      <c r="U732" s="283" t="s">
        <v>1791</v>
      </c>
      <c r="V732" s="285" t="s">
        <v>1764</v>
      </c>
      <c r="W732" s="293" t="str">
        <f t="shared" si="27"/>
        <v>H17</v>
      </c>
      <c r="X732" s="284" t="str">
        <f t="shared" si="27"/>
        <v>BHE</v>
      </c>
      <c r="Y732" s="271" t="s">
        <v>2398</v>
      </c>
      <c r="Z732" s="283">
        <f t="shared" si="26"/>
        <v>6.3000000000000014E-2</v>
      </c>
      <c r="AA732" s="340">
        <f t="shared" si="26"/>
        <v>0</v>
      </c>
    </row>
    <row r="733" spans="1:27">
      <c r="A733" s="74" t="s">
        <v>1275</v>
      </c>
      <c r="B733" s="74" t="s">
        <v>2102</v>
      </c>
      <c r="C733" s="74" t="s">
        <v>2101</v>
      </c>
      <c r="D733" s="74" t="s">
        <v>1979</v>
      </c>
      <c r="E733" s="74" t="s">
        <v>1915</v>
      </c>
      <c r="F733" s="74">
        <v>3.5000000000000003E-2</v>
      </c>
      <c r="G733" s="74">
        <v>0</v>
      </c>
      <c r="H733" s="74">
        <v>1.37</v>
      </c>
      <c r="I733" s="13" t="s">
        <v>1259</v>
      </c>
      <c r="J733" s="74" t="s">
        <v>1960</v>
      </c>
      <c r="T733" s="292" t="s">
        <v>1756</v>
      </c>
      <c r="U733" s="283" t="s">
        <v>1791</v>
      </c>
      <c r="V733" s="285" t="s">
        <v>1764</v>
      </c>
      <c r="W733" s="293" t="str">
        <f t="shared" si="27"/>
        <v>H17</v>
      </c>
      <c r="X733" s="284" t="str">
        <f t="shared" si="27"/>
        <v>CGE</v>
      </c>
      <c r="Y733" s="271" t="s">
        <v>2261</v>
      </c>
      <c r="Z733" s="283">
        <f t="shared" si="26"/>
        <v>3.5000000000000003E-2</v>
      </c>
      <c r="AA733" s="340">
        <f t="shared" si="26"/>
        <v>0</v>
      </c>
    </row>
    <row r="734" spans="1:27">
      <c r="A734" s="74" t="s">
        <v>1276</v>
      </c>
      <c r="B734" s="74" t="s">
        <v>2102</v>
      </c>
      <c r="C734" s="74" t="s">
        <v>2101</v>
      </c>
      <c r="D734" s="74" t="s">
        <v>1979</v>
      </c>
      <c r="E734" s="74" t="s">
        <v>1919</v>
      </c>
      <c r="F734" s="74">
        <v>3.5000000000000003E-2</v>
      </c>
      <c r="G734" s="74">
        <v>0</v>
      </c>
      <c r="H734" s="74">
        <v>1.37</v>
      </c>
      <c r="I734" s="13" t="s">
        <v>1259</v>
      </c>
      <c r="J734" s="74" t="s">
        <v>1959</v>
      </c>
      <c r="T734" s="292" t="s">
        <v>1756</v>
      </c>
      <c r="U734" s="283" t="s">
        <v>1791</v>
      </c>
      <c r="V734" s="285" t="s">
        <v>1764</v>
      </c>
      <c r="W734" s="293" t="str">
        <f t="shared" si="27"/>
        <v>H17</v>
      </c>
      <c r="X734" s="284" t="str">
        <f t="shared" si="27"/>
        <v>CHE</v>
      </c>
      <c r="Y734" s="271" t="s">
        <v>2261</v>
      </c>
      <c r="Z734" s="283">
        <f t="shared" si="26"/>
        <v>3.5000000000000003E-2</v>
      </c>
      <c r="AA734" s="340">
        <f t="shared" si="26"/>
        <v>0</v>
      </c>
    </row>
    <row r="735" spans="1:27">
      <c r="A735" s="74" t="s">
        <v>1277</v>
      </c>
      <c r="B735" s="74" t="s">
        <v>2102</v>
      </c>
      <c r="C735" s="74" t="s">
        <v>2101</v>
      </c>
      <c r="D735" s="74" t="s">
        <v>1979</v>
      </c>
      <c r="E735" s="74" t="s">
        <v>1926</v>
      </c>
      <c r="F735" s="74">
        <v>1.7500000000000002E-2</v>
      </c>
      <c r="G735" s="74">
        <v>0</v>
      </c>
      <c r="H735" s="74">
        <v>1.37</v>
      </c>
      <c r="I735" s="13" t="s">
        <v>1259</v>
      </c>
      <c r="J735" s="74" t="s">
        <v>2410</v>
      </c>
      <c r="T735" s="292" t="s">
        <v>1756</v>
      </c>
      <c r="U735" s="283" t="s">
        <v>1791</v>
      </c>
      <c r="V735" s="285" t="s">
        <v>1764</v>
      </c>
      <c r="W735" s="293" t="str">
        <f t="shared" si="27"/>
        <v>H17</v>
      </c>
      <c r="X735" s="284" t="str">
        <f t="shared" si="27"/>
        <v>DGE</v>
      </c>
      <c r="Y735" s="271" t="s">
        <v>2262</v>
      </c>
      <c r="Z735" s="283">
        <f t="shared" si="26"/>
        <v>1.7500000000000002E-2</v>
      </c>
      <c r="AA735" s="340">
        <f t="shared" si="26"/>
        <v>0</v>
      </c>
    </row>
    <row r="736" spans="1:27" s="268" customFormat="1">
      <c r="A736" s="270" t="s">
        <v>1278</v>
      </c>
      <c r="B736" s="268" t="s">
        <v>2102</v>
      </c>
      <c r="C736" s="268" t="s">
        <v>2101</v>
      </c>
      <c r="D736" s="268" t="s">
        <v>1979</v>
      </c>
      <c r="E736" s="270" t="s">
        <v>1930</v>
      </c>
      <c r="F736" s="268">
        <v>1.7500000000000002E-2</v>
      </c>
      <c r="G736" s="268">
        <v>0</v>
      </c>
      <c r="H736" s="268">
        <v>1.37</v>
      </c>
      <c r="I736" s="267" t="s">
        <v>1259</v>
      </c>
      <c r="J736" s="269" t="s">
        <v>2411</v>
      </c>
      <c r="T736" s="292" t="s">
        <v>1756</v>
      </c>
      <c r="U736" s="283" t="s">
        <v>1791</v>
      </c>
      <c r="V736" s="285" t="s">
        <v>1764</v>
      </c>
      <c r="W736" s="293" t="str">
        <f t="shared" si="27"/>
        <v>H17</v>
      </c>
      <c r="X736" s="284" t="str">
        <f t="shared" si="27"/>
        <v>DHE</v>
      </c>
      <c r="Y736" s="271" t="s">
        <v>2262</v>
      </c>
      <c r="Z736" s="283">
        <f t="shared" si="26"/>
        <v>1.7500000000000002E-2</v>
      </c>
      <c r="AA736" s="340">
        <f t="shared" si="26"/>
        <v>0</v>
      </c>
    </row>
    <row r="737" spans="1:34">
      <c r="A737" s="74" t="s">
        <v>1279</v>
      </c>
      <c r="B737" s="74" t="s">
        <v>2102</v>
      </c>
      <c r="C737" s="74" t="s">
        <v>2101</v>
      </c>
      <c r="D737" s="74" t="s">
        <v>2382</v>
      </c>
      <c r="E737" s="74" t="s">
        <v>1280</v>
      </c>
      <c r="F737" s="74">
        <v>0.04</v>
      </c>
      <c r="G737" s="74">
        <v>0</v>
      </c>
      <c r="H737" s="74">
        <v>1.37</v>
      </c>
      <c r="I737" s="13" t="s">
        <v>1259</v>
      </c>
      <c r="J737"/>
      <c r="T737" s="292" t="s">
        <v>1756</v>
      </c>
      <c r="U737" s="283" t="s">
        <v>1791</v>
      </c>
      <c r="V737" s="285" t="s">
        <v>2397</v>
      </c>
      <c r="W737" s="293" t="str">
        <f t="shared" si="27"/>
        <v>H21</v>
      </c>
      <c r="X737" s="284" t="str">
        <f t="shared" si="27"/>
        <v>LHE</v>
      </c>
      <c r="Y737" s="271"/>
      <c r="Z737" s="283">
        <f t="shared" si="26"/>
        <v>0.04</v>
      </c>
      <c r="AA737" s="340">
        <f t="shared" si="26"/>
        <v>0</v>
      </c>
    </row>
    <row r="738" spans="1:34">
      <c r="A738" s="74" t="s">
        <v>1281</v>
      </c>
      <c r="B738" s="74" t="s">
        <v>2102</v>
      </c>
      <c r="C738" s="74" t="s">
        <v>2101</v>
      </c>
      <c r="D738" s="74" t="s">
        <v>2382</v>
      </c>
      <c r="E738" s="74" t="s">
        <v>1282</v>
      </c>
      <c r="F738" s="74">
        <v>0.02</v>
      </c>
      <c r="G738" s="74">
        <v>0</v>
      </c>
      <c r="H738" s="74">
        <v>1.37</v>
      </c>
      <c r="I738" s="13" t="s">
        <v>1259</v>
      </c>
      <c r="J738" t="s">
        <v>240</v>
      </c>
      <c r="T738" s="292" t="s">
        <v>1756</v>
      </c>
      <c r="U738" s="283" t="s">
        <v>1791</v>
      </c>
      <c r="V738" s="285" t="s">
        <v>2397</v>
      </c>
      <c r="W738" s="293" t="str">
        <f t="shared" si="27"/>
        <v>H21</v>
      </c>
      <c r="X738" s="284" t="str">
        <f t="shared" si="27"/>
        <v>LGE</v>
      </c>
      <c r="Y738" s="271"/>
      <c r="Z738" s="283">
        <f t="shared" si="26"/>
        <v>0.02</v>
      </c>
      <c r="AA738" s="340">
        <f t="shared" si="26"/>
        <v>0</v>
      </c>
    </row>
    <row r="739" spans="1:34" s="268" customFormat="1">
      <c r="A739" s="270" t="s">
        <v>1283</v>
      </c>
      <c r="B739" s="268" t="s">
        <v>2102</v>
      </c>
      <c r="C739" s="268" t="s">
        <v>2101</v>
      </c>
      <c r="D739" s="268" t="s">
        <v>2382</v>
      </c>
      <c r="E739" s="270" t="s">
        <v>1284</v>
      </c>
      <c r="F739" s="268">
        <v>0.02</v>
      </c>
      <c r="G739" s="268">
        <v>0</v>
      </c>
      <c r="H739" s="268">
        <v>1.37</v>
      </c>
      <c r="I739" s="267" t="s">
        <v>1259</v>
      </c>
      <c r="J739" s="269" t="s">
        <v>2261</v>
      </c>
      <c r="T739" s="292" t="s">
        <v>1756</v>
      </c>
      <c r="U739" s="283" t="s">
        <v>1791</v>
      </c>
      <c r="V739" s="285" t="s">
        <v>2397</v>
      </c>
      <c r="W739" s="293" t="str">
        <f t="shared" si="27"/>
        <v>H21</v>
      </c>
      <c r="X739" s="284" t="str">
        <f t="shared" si="27"/>
        <v>MHE</v>
      </c>
      <c r="Y739" s="271" t="s">
        <v>2261</v>
      </c>
      <c r="Z739" s="283">
        <f t="shared" si="26"/>
        <v>0.02</v>
      </c>
      <c r="AA739" s="340">
        <f t="shared" si="26"/>
        <v>0</v>
      </c>
    </row>
    <row r="740" spans="1:34">
      <c r="A740" s="74" t="s">
        <v>1285</v>
      </c>
      <c r="B740" s="74" t="s">
        <v>2102</v>
      </c>
      <c r="C740" s="74" t="s">
        <v>2101</v>
      </c>
      <c r="D740" s="74" t="s">
        <v>2382</v>
      </c>
      <c r="E740" s="74" t="s">
        <v>1286</v>
      </c>
      <c r="F740" s="74">
        <v>0.02</v>
      </c>
      <c r="G740" s="74">
        <v>0</v>
      </c>
      <c r="H740" s="74">
        <v>1.37</v>
      </c>
      <c r="I740" s="13" t="s">
        <v>1259</v>
      </c>
      <c r="J740" t="s">
        <v>2385</v>
      </c>
      <c r="T740" s="292" t="s">
        <v>1756</v>
      </c>
      <c r="U740" s="283" t="s">
        <v>1791</v>
      </c>
      <c r="V740" s="285" t="s">
        <v>2397</v>
      </c>
      <c r="W740" s="293" t="str">
        <f t="shared" si="27"/>
        <v>H21</v>
      </c>
      <c r="X740" s="284" t="str">
        <f t="shared" si="27"/>
        <v>MGE</v>
      </c>
      <c r="Y740" s="271" t="s">
        <v>2261</v>
      </c>
      <c r="Z740" s="283">
        <f t="shared" si="26"/>
        <v>0.02</v>
      </c>
      <c r="AA740" s="340">
        <f t="shared" si="26"/>
        <v>0</v>
      </c>
      <c r="AC740" s="250"/>
      <c r="AD740" s="250"/>
      <c r="AE740" s="250"/>
      <c r="AF740" s="250"/>
      <c r="AG740" s="250"/>
      <c r="AH740" s="250"/>
    </row>
    <row r="741" spans="1:34">
      <c r="A741" s="74" t="s">
        <v>1287</v>
      </c>
      <c r="B741" s="74" t="s">
        <v>2102</v>
      </c>
      <c r="C741" s="74" t="s">
        <v>2101</v>
      </c>
      <c r="D741" s="74" t="s">
        <v>2382</v>
      </c>
      <c r="E741" s="74" t="s">
        <v>1288</v>
      </c>
      <c r="F741" s="74">
        <v>0.01</v>
      </c>
      <c r="G741" s="74">
        <v>0</v>
      </c>
      <c r="H741" s="74">
        <v>1.37</v>
      </c>
      <c r="I741" s="13" t="s">
        <v>1259</v>
      </c>
      <c r="J741" t="s">
        <v>2262</v>
      </c>
      <c r="T741" s="292" t="s">
        <v>1756</v>
      </c>
      <c r="U741" s="283" t="s">
        <v>1791</v>
      </c>
      <c r="V741" s="285" t="s">
        <v>2397</v>
      </c>
      <c r="W741" s="293" t="str">
        <f t="shared" si="27"/>
        <v>H21</v>
      </c>
      <c r="X741" s="284" t="str">
        <f t="shared" si="27"/>
        <v>RHE</v>
      </c>
      <c r="Y741" s="271" t="s">
        <v>2262</v>
      </c>
      <c r="Z741" s="283">
        <f t="shared" si="26"/>
        <v>0.01</v>
      </c>
      <c r="AA741" s="340">
        <f t="shared" si="26"/>
        <v>0</v>
      </c>
      <c r="AC741" s="250"/>
      <c r="AD741" s="250"/>
      <c r="AE741" s="250"/>
      <c r="AF741" s="250"/>
      <c r="AG741" s="250"/>
      <c r="AH741" s="250"/>
    </row>
    <row r="742" spans="1:34" s="268" customFormat="1">
      <c r="A742" s="270" t="s">
        <v>1289</v>
      </c>
      <c r="B742" s="268" t="s">
        <v>2102</v>
      </c>
      <c r="C742" s="268" t="s">
        <v>2101</v>
      </c>
      <c r="D742" s="268" t="s">
        <v>2382</v>
      </c>
      <c r="E742" s="270" t="s">
        <v>1290</v>
      </c>
      <c r="F742" s="268">
        <v>0.01</v>
      </c>
      <c r="G742" s="268">
        <v>0</v>
      </c>
      <c r="H742" s="268">
        <v>1.37</v>
      </c>
      <c r="I742" s="267" t="s">
        <v>1259</v>
      </c>
      <c r="J742" s="269" t="s">
        <v>2386</v>
      </c>
      <c r="T742" s="292" t="s">
        <v>1756</v>
      </c>
      <c r="U742" s="283" t="s">
        <v>1791</v>
      </c>
      <c r="V742" s="285" t="s">
        <v>2397</v>
      </c>
      <c r="W742" s="293" t="str">
        <f t="shared" si="27"/>
        <v>H21</v>
      </c>
      <c r="X742" s="284" t="str">
        <f t="shared" si="27"/>
        <v>RGE</v>
      </c>
      <c r="Y742" s="271" t="s">
        <v>2262</v>
      </c>
      <c r="Z742" s="283">
        <f t="shared" si="26"/>
        <v>0.01</v>
      </c>
      <c r="AA742" s="340">
        <f t="shared" si="26"/>
        <v>0</v>
      </c>
    </row>
    <row r="743" spans="1:34" s="250" customFormat="1">
      <c r="A743" s="250" t="s">
        <v>1291</v>
      </c>
      <c r="B743" s="250" t="s">
        <v>2102</v>
      </c>
      <c r="C743" s="250" t="s">
        <v>2101</v>
      </c>
      <c r="D743" s="251" t="s">
        <v>2382</v>
      </c>
      <c r="E743" s="251" t="s">
        <v>1292</v>
      </c>
      <c r="F743" s="250">
        <v>3.6000000000000004E-2</v>
      </c>
      <c r="G743" s="74">
        <v>0</v>
      </c>
      <c r="H743" s="74">
        <v>1.37</v>
      </c>
      <c r="I743" s="252" t="s">
        <v>1259</v>
      </c>
      <c r="J743" s="250" t="s">
        <v>1943</v>
      </c>
      <c r="T743" s="292" t="s">
        <v>1760</v>
      </c>
      <c r="U743" s="283" t="s">
        <v>1267</v>
      </c>
      <c r="V743" s="285" t="s">
        <v>2397</v>
      </c>
      <c r="W743" s="293" t="s">
        <v>2382</v>
      </c>
      <c r="X743" s="284" t="s">
        <v>1292</v>
      </c>
      <c r="Y743" s="271" t="s">
        <v>1762</v>
      </c>
      <c r="Z743" s="283">
        <v>3.6000000000000004E-2</v>
      </c>
      <c r="AA743" s="340">
        <v>0</v>
      </c>
    </row>
    <row r="744" spans="1:34" s="250" customFormat="1">
      <c r="A744" s="250" t="s">
        <v>1293</v>
      </c>
      <c r="B744" s="250" t="s">
        <v>2102</v>
      </c>
      <c r="C744" s="250" t="s">
        <v>2101</v>
      </c>
      <c r="D744" s="251" t="s">
        <v>2382</v>
      </c>
      <c r="E744" s="251" t="s">
        <v>1294</v>
      </c>
      <c r="F744" s="250">
        <v>3.6000000000000004E-2</v>
      </c>
      <c r="G744" s="268">
        <v>0</v>
      </c>
      <c r="H744" s="268">
        <v>1.37</v>
      </c>
      <c r="I744" s="252" t="s">
        <v>1259</v>
      </c>
      <c r="J744" s="251" t="s">
        <v>1944</v>
      </c>
      <c r="T744" s="292" t="s">
        <v>1760</v>
      </c>
      <c r="U744" s="283" t="s">
        <v>1267</v>
      </c>
      <c r="V744" s="285" t="s">
        <v>2397</v>
      </c>
      <c r="W744" s="293" t="s">
        <v>2382</v>
      </c>
      <c r="X744" s="284" t="s">
        <v>1294</v>
      </c>
      <c r="Y744" s="271" t="s">
        <v>1762</v>
      </c>
      <c r="Z744" s="283">
        <v>3.6000000000000004E-2</v>
      </c>
      <c r="AA744" s="340">
        <v>0</v>
      </c>
    </row>
    <row r="745" spans="1:34" s="268" customFormat="1">
      <c r="A745" s="268" t="s">
        <v>1295</v>
      </c>
      <c r="B745" s="268" t="s">
        <v>2104</v>
      </c>
      <c r="C745" s="268" t="s">
        <v>2103</v>
      </c>
      <c r="D745" s="269" t="s">
        <v>20</v>
      </c>
      <c r="E745" s="269" t="s">
        <v>85</v>
      </c>
      <c r="F745" s="268">
        <v>0.18375</v>
      </c>
      <c r="G745" s="268">
        <v>0</v>
      </c>
      <c r="H745" s="268">
        <v>1.37</v>
      </c>
      <c r="I745" s="267" t="s">
        <v>1259</v>
      </c>
      <c r="J745" s="269" t="s">
        <v>1260</v>
      </c>
      <c r="T745" s="292" t="s">
        <v>1756</v>
      </c>
      <c r="U745" s="283" t="s">
        <v>1791</v>
      </c>
      <c r="V745" s="285" t="s">
        <v>2356</v>
      </c>
      <c r="W745" s="293" t="str">
        <f t="shared" si="27"/>
        <v>H15</v>
      </c>
      <c r="X745" s="284" t="str">
        <f t="shared" si="27"/>
        <v>TQ</v>
      </c>
      <c r="Y745" s="271" t="s">
        <v>1765</v>
      </c>
      <c r="Z745" s="283">
        <f t="shared" si="26"/>
        <v>0.18375</v>
      </c>
      <c r="AA745" s="340">
        <f t="shared" si="26"/>
        <v>0</v>
      </c>
    </row>
    <row r="746" spans="1:34" s="250" customFormat="1">
      <c r="A746" s="250" t="s">
        <v>1296</v>
      </c>
      <c r="B746" s="250" t="s">
        <v>2104</v>
      </c>
      <c r="C746" s="250" t="s">
        <v>2103</v>
      </c>
      <c r="D746" s="251" t="s">
        <v>20</v>
      </c>
      <c r="E746" s="251" t="s">
        <v>77</v>
      </c>
      <c r="F746" s="250">
        <v>0.1225</v>
      </c>
      <c r="G746" s="268">
        <v>0</v>
      </c>
      <c r="H746" s="268">
        <v>1.37</v>
      </c>
      <c r="I746" s="252" t="s">
        <v>1259</v>
      </c>
      <c r="J746" s="251" t="s">
        <v>1262</v>
      </c>
      <c r="T746" s="292" t="s">
        <v>1756</v>
      </c>
      <c r="U746" s="283" t="s">
        <v>1791</v>
      </c>
      <c r="V746" s="285" t="s">
        <v>2356</v>
      </c>
      <c r="W746" s="293" t="str">
        <f t="shared" si="27"/>
        <v>H15</v>
      </c>
      <c r="X746" s="284" t="str">
        <f t="shared" si="27"/>
        <v>LQ</v>
      </c>
      <c r="Y746" s="271" t="s">
        <v>1766</v>
      </c>
      <c r="Z746" s="283">
        <f t="shared" si="26"/>
        <v>0.1225</v>
      </c>
      <c r="AA746" s="340">
        <f t="shared" si="26"/>
        <v>0</v>
      </c>
    </row>
    <row r="747" spans="1:34" s="250" customFormat="1">
      <c r="A747" s="250" t="s">
        <v>1297</v>
      </c>
      <c r="B747" s="250" t="s">
        <v>2104</v>
      </c>
      <c r="C747" s="250" t="s">
        <v>2103</v>
      </c>
      <c r="D747" s="251" t="s">
        <v>20</v>
      </c>
      <c r="E747" s="251" t="s">
        <v>92</v>
      </c>
      <c r="F747" s="250">
        <v>6.1249999999999999E-2</v>
      </c>
      <c r="G747" s="74">
        <v>0</v>
      </c>
      <c r="H747" s="74">
        <v>1.37</v>
      </c>
      <c r="I747" s="252" t="s">
        <v>1259</v>
      </c>
      <c r="J747" s="251" t="s">
        <v>1264</v>
      </c>
      <c r="T747" s="292" t="s">
        <v>1756</v>
      </c>
      <c r="U747" s="283" t="s">
        <v>1791</v>
      </c>
      <c r="V747" s="285" t="s">
        <v>2356</v>
      </c>
      <c r="W747" s="293" t="str">
        <f t="shared" si="27"/>
        <v>H15</v>
      </c>
      <c r="X747" s="284" t="str">
        <f t="shared" si="27"/>
        <v>UQ</v>
      </c>
      <c r="Y747" s="271" t="s">
        <v>1767</v>
      </c>
      <c r="Z747" s="283">
        <f t="shared" si="26"/>
        <v>6.1249999999999999E-2</v>
      </c>
      <c r="AA747" s="340">
        <f t="shared" si="26"/>
        <v>0</v>
      </c>
    </row>
    <row r="748" spans="1:34" s="268" customFormat="1">
      <c r="A748" s="268" t="s">
        <v>1298</v>
      </c>
      <c r="B748" s="268" t="s">
        <v>2104</v>
      </c>
      <c r="C748" s="268" t="s">
        <v>2103</v>
      </c>
      <c r="D748" s="269" t="s">
        <v>1979</v>
      </c>
      <c r="E748" s="269" t="s">
        <v>1299</v>
      </c>
      <c r="F748" s="268">
        <v>0.125</v>
      </c>
      <c r="G748" s="268">
        <v>0</v>
      </c>
      <c r="H748" s="268">
        <v>1.37</v>
      </c>
      <c r="I748" s="267" t="s">
        <v>1259</v>
      </c>
      <c r="J748" s="269" t="s">
        <v>1267</v>
      </c>
      <c r="T748" s="292" t="s">
        <v>1756</v>
      </c>
      <c r="U748" s="283" t="s">
        <v>1791</v>
      </c>
      <c r="V748" s="285" t="s">
        <v>2356</v>
      </c>
      <c r="W748" s="293" t="str">
        <f t="shared" si="27"/>
        <v>H17</v>
      </c>
      <c r="X748" s="284" t="str">
        <f t="shared" si="27"/>
        <v>AHF</v>
      </c>
      <c r="Y748" s="271"/>
      <c r="Z748" s="283">
        <f t="shared" si="26"/>
        <v>0.125</v>
      </c>
      <c r="AA748" s="340">
        <f t="shared" si="26"/>
        <v>0</v>
      </c>
    </row>
    <row r="749" spans="1:34" s="250" customFormat="1">
      <c r="A749" s="250" t="s">
        <v>1300</v>
      </c>
      <c r="B749" s="250" t="s">
        <v>2104</v>
      </c>
      <c r="C749" s="250" t="s">
        <v>2103</v>
      </c>
      <c r="D749" s="251" t="s">
        <v>1979</v>
      </c>
      <c r="E749" s="251" t="s">
        <v>1301</v>
      </c>
      <c r="F749" s="250">
        <v>6.25E-2</v>
      </c>
      <c r="G749" s="74">
        <v>0</v>
      </c>
      <c r="H749" s="74">
        <v>1.37</v>
      </c>
      <c r="I749" s="252" t="s">
        <v>1259</v>
      </c>
      <c r="J749" s="251" t="s">
        <v>1270</v>
      </c>
      <c r="T749" s="292" t="s">
        <v>1756</v>
      </c>
      <c r="U749" s="283" t="s">
        <v>1791</v>
      </c>
      <c r="V749" s="285" t="s">
        <v>2356</v>
      </c>
      <c r="W749" s="293" t="str">
        <f t="shared" si="27"/>
        <v>H17</v>
      </c>
      <c r="X749" s="284" t="str">
        <f t="shared" si="27"/>
        <v>AGF</v>
      </c>
      <c r="Y749" s="271"/>
      <c r="Z749" s="283">
        <f t="shared" si="26"/>
        <v>6.25E-2</v>
      </c>
      <c r="AA749" s="340">
        <f t="shared" si="26"/>
        <v>0</v>
      </c>
      <c r="AC749" s="74"/>
      <c r="AD749" s="74"/>
      <c r="AE749" s="74"/>
      <c r="AF749" s="74"/>
      <c r="AG749" s="74"/>
      <c r="AH749" s="74"/>
    </row>
    <row r="750" spans="1:34" s="250" customFormat="1">
      <c r="A750" s="250" t="s">
        <v>1302</v>
      </c>
      <c r="B750" s="250" t="s">
        <v>2104</v>
      </c>
      <c r="C750" s="250" t="s">
        <v>2103</v>
      </c>
      <c r="D750" s="251" t="s">
        <v>1979</v>
      </c>
      <c r="E750" s="251" t="s">
        <v>1303</v>
      </c>
      <c r="F750" s="250">
        <v>0.1125</v>
      </c>
      <c r="G750" s="268">
        <v>0</v>
      </c>
      <c r="H750" s="268">
        <v>1.37</v>
      </c>
      <c r="I750" s="252" t="s">
        <v>1259</v>
      </c>
      <c r="J750" s="251" t="s">
        <v>1944</v>
      </c>
      <c r="T750" s="292" t="s">
        <v>1756</v>
      </c>
      <c r="U750" s="283" t="s">
        <v>1791</v>
      </c>
      <c r="V750" s="285" t="s">
        <v>2356</v>
      </c>
      <c r="W750" s="293" t="str">
        <f t="shared" si="27"/>
        <v>H17</v>
      </c>
      <c r="X750" s="284" t="str">
        <f t="shared" si="27"/>
        <v>BGF</v>
      </c>
      <c r="Y750" s="271" t="s">
        <v>2398</v>
      </c>
      <c r="Z750" s="283">
        <f t="shared" si="26"/>
        <v>0.1125</v>
      </c>
      <c r="AA750" s="340">
        <f t="shared" si="26"/>
        <v>0</v>
      </c>
      <c r="AC750" s="74"/>
      <c r="AD750" s="74"/>
      <c r="AE750" s="74"/>
      <c r="AF750" s="74"/>
      <c r="AG750" s="74"/>
      <c r="AH750" s="74"/>
    </row>
    <row r="751" spans="1:34" s="268" customFormat="1">
      <c r="A751" s="268" t="s">
        <v>1304</v>
      </c>
      <c r="B751" s="268" t="s">
        <v>2104</v>
      </c>
      <c r="C751" s="268" t="s">
        <v>2103</v>
      </c>
      <c r="D751" s="269" t="s">
        <v>1979</v>
      </c>
      <c r="E751" s="269" t="s">
        <v>1305</v>
      </c>
      <c r="F751" s="268">
        <v>0.1125</v>
      </c>
      <c r="G751" s="268">
        <v>0</v>
      </c>
      <c r="H751" s="268">
        <v>1.37</v>
      </c>
      <c r="I751" s="267" t="s">
        <v>1259</v>
      </c>
      <c r="J751" s="269" t="s">
        <v>1943</v>
      </c>
      <c r="T751" s="292" t="s">
        <v>1756</v>
      </c>
      <c r="U751" s="283" t="s">
        <v>1791</v>
      </c>
      <c r="V751" s="285" t="s">
        <v>2356</v>
      </c>
      <c r="W751" s="293" t="str">
        <f t="shared" si="27"/>
        <v>H17</v>
      </c>
      <c r="X751" s="284" t="str">
        <f t="shared" si="27"/>
        <v>BHF</v>
      </c>
      <c r="Y751" s="271" t="s">
        <v>2398</v>
      </c>
      <c r="Z751" s="283">
        <f t="shared" si="26"/>
        <v>0.1125</v>
      </c>
      <c r="AA751" s="340">
        <f t="shared" si="26"/>
        <v>0</v>
      </c>
    </row>
    <row r="752" spans="1:34">
      <c r="A752" s="74" t="s">
        <v>1306</v>
      </c>
      <c r="B752" s="74" t="s">
        <v>2104</v>
      </c>
      <c r="C752" s="74" t="s">
        <v>2103</v>
      </c>
      <c r="D752" s="74" t="s">
        <v>1979</v>
      </c>
      <c r="E752" s="74" t="s">
        <v>1916</v>
      </c>
      <c r="F752" s="74">
        <v>6.25E-2</v>
      </c>
      <c r="G752" s="74">
        <v>0</v>
      </c>
      <c r="H752" s="74">
        <v>1.37</v>
      </c>
      <c r="I752" s="13" t="s">
        <v>1259</v>
      </c>
      <c r="J752" s="74" t="s">
        <v>1960</v>
      </c>
      <c r="T752" s="292" t="s">
        <v>1756</v>
      </c>
      <c r="U752" s="283" t="s">
        <v>1791</v>
      </c>
      <c r="V752" s="285" t="s">
        <v>2356</v>
      </c>
      <c r="W752" s="293" t="str">
        <f t="shared" si="27"/>
        <v>H17</v>
      </c>
      <c r="X752" s="284" t="str">
        <f t="shared" si="27"/>
        <v>CGF</v>
      </c>
      <c r="Y752" s="271" t="s">
        <v>2261</v>
      </c>
      <c r="Z752" s="283">
        <f t="shared" si="26"/>
        <v>6.25E-2</v>
      </c>
      <c r="AA752" s="340">
        <f t="shared" si="26"/>
        <v>0</v>
      </c>
    </row>
    <row r="753" spans="1:27">
      <c r="A753" s="74" t="s">
        <v>1307</v>
      </c>
      <c r="B753" s="74" t="s">
        <v>2104</v>
      </c>
      <c r="C753" s="74" t="s">
        <v>2103</v>
      </c>
      <c r="D753" s="74" t="s">
        <v>1979</v>
      </c>
      <c r="E753" s="74" t="s">
        <v>1920</v>
      </c>
      <c r="F753" s="74">
        <v>6.25E-2</v>
      </c>
      <c r="G753" s="74">
        <v>0</v>
      </c>
      <c r="H753" s="74">
        <v>1.37</v>
      </c>
      <c r="I753" s="13" t="s">
        <v>1259</v>
      </c>
      <c r="J753" s="74" t="s">
        <v>1959</v>
      </c>
      <c r="T753" s="292" t="s">
        <v>1756</v>
      </c>
      <c r="U753" s="283" t="s">
        <v>1791</v>
      </c>
      <c r="V753" s="285" t="s">
        <v>2356</v>
      </c>
      <c r="W753" s="293" t="str">
        <f t="shared" si="27"/>
        <v>H17</v>
      </c>
      <c r="X753" s="284" t="str">
        <f t="shared" si="27"/>
        <v>CHF</v>
      </c>
      <c r="Y753" s="271" t="s">
        <v>2261</v>
      </c>
      <c r="Z753" s="283">
        <f t="shared" si="26"/>
        <v>6.25E-2</v>
      </c>
      <c r="AA753" s="340">
        <f t="shared" si="26"/>
        <v>0</v>
      </c>
    </row>
    <row r="754" spans="1:27">
      <c r="A754" s="74" t="s">
        <v>1308</v>
      </c>
      <c r="B754" s="74" t="s">
        <v>2104</v>
      </c>
      <c r="C754" s="74" t="s">
        <v>2103</v>
      </c>
      <c r="D754" s="74" t="s">
        <v>1979</v>
      </c>
      <c r="E754" s="74" t="s">
        <v>1927</v>
      </c>
      <c r="F754" s="74">
        <v>3.125E-2</v>
      </c>
      <c r="G754" s="74">
        <v>0</v>
      </c>
      <c r="H754" s="74">
        <v>1.37</v>
      </c>
      <c r="I754" s="13" t="s">
        <v>1259</v>
      </c>
      <c r="J754" s="74" t="s">
        <v>2410</v>
      </c>
      <c r="T754" s="292" t="s">
        <v>1756</v>
      </c>
      <c r="U754" s="283" t="s">
        <v>1791</v>
      </c>
      <c r="V754" s="285" t="s">
        <v>2356</v>
      </c>
      <c r="W754" s="293" t="str">
        <f t="shared" si="27"/>
        <v>H17</v>
      </c>
      <c r="X754" s="284" t="str">
        <f t="shared" si="27"/>
        <v>DGF</v>
      </c>
      <c r="Y754" s="271" t="s">
        <v>2262</v>
      </c>
      <c r="Z754" s="283">
        <f t="shared" si="26"/>
        <v>3.125E-2</v>
      </c>
      <c r="AA754" s="340">
        <f t="shared" si="26"/>
        <v>0</v>
      </c>
    </row>
    <row r="755" spans="1:27">
      <c r="A755" s="74" t="s">
        <v>1309</v>
      </c>
      <c r="B755" s="74" t="s">
        <v>2104</v>
      </c>
      <c r="C755" s="74" t="s">
        <v>2103</v>
      </c>
      <c r="D755" s="74" t="s">
        <v>1979</v>
      </c>
      <c r="E755" s="74" t="s">
        <v>1931</v>
      </c>
      <c r="F755" s="74">
        <v>3.125E-2</v>
      </c>
      <c r="G755" s="74">
        <v>0</v>
      </c>
      <c r="H755" s="74">
        <v>1.37</v>
      </c>
      <c r="I755" s="13" t="s">
        <v>1259</v>
      </c>
      <c r="J755" s="74" t="s">
        <v>2411</v>
      </c>
      <c r="T755" s="292" t="s">
        <v>1756</v>
      </c>
      <c r="U755" s="283" t="s">
        <v>1791</v>
      </c>
      <c r="V755" s="285" t="s">
        <v>2356</v>
      </c>
      <c r="W755" s="293" t="str">
        <f t="shared" si="27"/>
        <v>H17</v>
      </c>
      <c r="X755" s="284" t="str">
        <f t="shared" si="27"/>
        <v>DHF</v>
      </c>
      <c r="Y755" s="271" t="s">
        <v>2262</v>
      </c>
      <c r="Z755" s="283">
        <f t="shared" si="26"/>
        <v>3.125E-2</v>
      </c>
      <c r="AA755" s="340">
        <f t="shared" si="26"/>
        <v>0</v>
      </c>
    </row>
    <row r="756" spans="1:27">
      <c r="A756" s="74" t="s">
        <v>1310</v>
      </c>
      <c r="B756" s="74" t="s">
        <v>2104</v>
      </c>
      <c r="C756" s="74" t="s">
        <v>2103</v>
      </c>
      <c r="D756" s="74" t="s">
        <v>2382</v>
      </c>
      <c r="E756" s="74" t="s">
        <v>1311</v>
      </c>
      <c r="F756" s="74">
        <v>7.4999999999999997E-2</v>
      </c>
      <c r="G756" s="74">
        <v>0</v>
      </c>
      <c r="H756" s="74">
        <v>1.37</v>
      </c>
      <c r="I756" s="13" t="s">
        <v>1259</v>
      </c>
      <c r="T756" s="292" t="s">
        <v>1756</v>
      </c>
      <c r="U756" s="283" t="s">
        <v>1791</v>
      </c>
      <c r="V756" s="285" t="s">
        <v>2396</v>
      </c>
      <c r="W756" s="293" t="str">
        <f t="shared" si="27"/>
        <v>H21</v>
      </c>
      <c r="X756" s="284" t="str">
        <f t="shared" si="27"/>
        <v>LHF</v>
      </c>
      <c r="Y756" s="271"/>
      <c r="Z756" s="283">
        <f t="shared" si="26"/>
        <v>7.4999999999999997E-2</v>
      </c>
      <c r="AA756" s="340">
        <f t="shared" si="26"/>
        <v>0</v>
      </c>
    </row>
    <row r="757" spans="1:27">
      <c r="A757" s="74" t="s">
        <v>1312</v>
      </c>
      <c r="B757" s="74" t="s">
        <v>2104</v>
      </c>
      <c r="C757" s="74" t="s">
        <v>2103</v>
      </c>
      <c r="D757" s="74" t="s">
        <v>2382</v>
      </c>
      <c r="E757" s="74" t="s">
        <v>1313</v>
      </c>
      <c r="F757" s="74">
        <v>3.7499999999999999E-2</v>
      </c>
      <c r="G757" s="74">
        <v>0</v>
      </c>
      <c r="H757" s="74">
        <v>1.37</v>
      </c>
      <c r="I757" s="13" t="s">
        <v>1259</v>
      </c>
      <c r="J757" s="74" t="s">
        <v>240</v>
      </c>
      <c r="T757" s="292" t="s">
        <v>1756</v>
      </c>
      <c r="U757" s="283" t="s">
        <v>1791</v>
      </c>
      <c r="V757" s="285" t="s">
        <v>2396</v>
      </c>
      <c r="W757" s="293" t="str">
        <f t="shared" si="27"/>
        <v>H21</v>
      </c>
      <c r="X757" s="284" t="str">
        <f t="shared" si="27"/>
        <v>LGF</v>
      </c>
      <c r="Y757" s="271"/>
      <c r="Z757" s="283">
        <f t="shared" si="26"/>
        <v>3.7499999999999999E-2</v>
      </c>
      <c r="AA757" s="340">
        <f t="shared" si="26"/>
        <v>0</v>
      </c>
    </row>
    <row r="758" spans="1:27">
      <c r="A758" s="74" t="s">
        <v>1314</v>
      </c>
      <c r="B758" s="74" t="s">
        <v>2104</v>
      </c>
      <c r="C758" s="74" t="s">
        <v>2103</v>
      </c>
      <c r="D758" s="74" t="s">
        <v>2382</v>
      </c>
      <c r="E758" s="74" t="s">
        <v>1315</v>
      </c>
      <c r="F758" s="74">
        <v>3.7499999999999999E-2</v>
      </c>
      <c r="G758" s="74">
        <v>0</v>
      </c>
      <c r="H758" s="74">
        <v>1.37</v>
      </c>
      <c r="I758" s="13" t="s">
        <v>1259</v>
      </c>
      <c r="J758" s="74" t="s">
        <v>2261</v>
      </c>
      <c r="T758" s="292" t="s">
        <v>1756</v>
      </c>
      <c r="U758" s="283" t="s">
        <v>1791</v>
      </c>
      <c r="V758" s="285" t="s">
        <v>2396</v>
      </c>
      <c r="W758" s="293" t="str">
        <f t="shared" si="27"/>
        <v>H21</v>
      </c>
      <c r="X758" s="284" t="str">
        <f t="shared" si="27"/>
        <v>MHF</v>
      </c>
      <c r="Y758" s="271" t="s">
        <v>2261</v>
      </c>
      <c r="Z758" s="283">
        <f t="shared" si="26"/>
        <v>3.7499999999999999E-2</v>
      </c>
      <c r="AA758" s="340">
        <f t="shared" si="26"/>
        <v>0</v>
      </c>
    </row>
    <row r="759" spans="1:27">
      <c r="A759" s="74" t="s">
        <v>1316</v>
      </c>
      <c r="B759" s="74" t="s">
        <v>2104</v>
      </c>
      <c r="C759" s="74" t="s">
        <v>2103</v>
      </c>
      <c r="D759" s="74" t="s">
        <v>2382</v>
      </c>
      <c r="E759" s="74" t="s">
        <v>1317</v>
      </c>
      <c r="F759" s="74">
        <v>3.7499999999999999E-2</v>
      </c>
      <c r="G759" s="74">
        <v>0</v>
      </c>
      <c r="H759" s="74">
        <v>1.37</v>
      </c>
      <c r="I759" s="13" t="s">
        <v>1259</v>
      </c>
      <c r="J759" s="74" t="s">
        <v>2385</v>
      </c>
      <c r="T759" s="292" t="s">
        <v>1756</v>
      </c>
      <c r="U759" s="283" t="s">
        <v>1791</v>
      </c>
      <c r="V759" s="285" t="s">
        <v>2396</v>
      </c>
      <c r="W759" s="293" t="str">
        <f t="shared" si="27"/>
        <v>H21</v>
      </c>
      <c r="X759" s="284" t="str">
        <f t="shared" si="27"/>
        <v>MGF</v>
      </c>
      <c r="Y759" s="271" t="s">
        <v>2261</v>
      </c>
      <c r="Z759" s="283">
        <f t="shared" si="26"/>
        <v>3.7499999999999999E-2</v>
      </c>
      <c r="AA759" s="340">
        <f t="shared" si="26"/>
        <v>0</v>
      </c>
    </row>
    <row r="760" spans="1:27">
      <c r="A760" s="74" t="s">
        <v>1318</v>
      </c>
      <c r="B760" s="74" t="s">
        <v>2104</v>
      </c>
      <c r="C760" s="74" t="s">
        <v>2103</v>
      </c>
      <c r="D760" s="74" t="s">
        <v>2382</v>
      </c>
      <c r="E760" s="74" t="s">
        <v>1319</v>
      </c>
      <c r="F760" s="74">
        <v>1.8749999999999999E-2</v>
      </c>
      <c r="G760" s="74">
        <v>0</v>
      </c>
      <c r="H760" s="74">
        <v>1.37</v>
      </c>
      <c r="I760" s="13" t="s">
        <v>1259</v>
      </c>
      <c r="J760" s="74" t="s">
        <v>2262</v>
      </c>
      <c r="T760" s="292" t="s">
        <v>1756</v>
      </c>
      <c r="U760" s="283" t="s">
        <v>1791</v>
      </c>
      <c r="V760" s="285" t="s">
        <v>2396</v>
      </c>
      <c r="W760" s="293" t="str">
        <f t="shared" si="27"/>
        <v>H21</v>
      </c>
      <c r="X760" s="284" t="str">
        <f t="shared" si="27"/>
        <v>RHF</v>
      </c>
      <c r="Y760" s="271" t="s">
        <v>2262</v>
      </c>
      <c r="Z760" s="283">
        <f t="shared" si="26"/>
        <v>1.8749999999999999E-2</v>
      </c>
      <c r="AA760" s="340">
        <f t="shared" si="26"/>
        <v>0</v>
      </c>
    </row>
    <row r="761" spans="1:27">
      <c r="A761" s="74" t="s">
        <v>1320</v>
      </c>
      <c r="B761" s="74" t="s">
        <v>2104</v>
      </c>
      <c r="C761" s="74" t="s">
        <v>2103</v>
      </c>
      <c r="D761" s="74" t="s">
        <v>2382</v>
      </c>
      <c r="E761" s="74" t="s">
        <v>1321</v>
      </c>
      <c r="F761" s="74">
        <v>1.8749999999999999E-2</v>
      </c>
      <c r="G761" s="74">
        <v>0</v>
      </c>
      <c r="H761" s="74">
        <v>1.37</v>
      </c>
      <c r="I761" s="13" t="s">
        <v>1259</v>
      </c>
      <c r="J761" s="74" t="s">
        <v>2386</v>
      </c>
      <c r="T761" s="292" t="s">
        <v>1756</v>
      </c>
      <c r="U761" s="283" t="s">
        <v>1791</v>
      </c>
      <c r="V761" s="285" t="s">
        <v>2396</v>
      </c>
      <c r="W761" s="293" t="str">
        <f t="shared" si="27"/>
        <v>H21</v>
      </c>
      <c r="X761" s="284" t="str">
        <f t="shared" si="27"/>
        <v>RGF</v>
      </c>
      <c r="Y761" s="271" t="s">
        <v>2262</v>
      </c>
      <c r="Z761" s="283">
        <f t="shared" si="26"/>
        <v>1.8749999999999999E-2</v>
      </c>
      <c r="AA761" s="340">
        <f t="shared" si="26"/>
        <v>0</v>
      </c>
    </row>
    <row r="762" spans="1:27">
      <c r="A762" s="74" t="s">
        <v>1322</v>
      </c>
      <c r="B762" s="74" t="s">
        <v>2104</v>
      </c>
      <c r="C762" s="74" t="s">
        <v>2103</v>
      </c>
      <c r="D762" s="74" t="s">
        <v>2382</v>
      </c>
      <c r="E762" s="74" t="s">
        <v>1323</v>
      </c>
      <c r="F762" s="74">
        <v>6.7500000000000004E-2</v>
      </c>
      <c r="G762" s="74">
        <v>0</v>
      </c>
      <c r="H762" s="74">
        <v>1.37</v>
      </c>
      <c r="I762" s="13" t="s">
        <v>1259</v>
      </c>
      <c r="J762" s="74" t="s">
        <v>1943</v>
      </c>
      <c r="T762" s="292" t="s">
        <v>1760</v>
      </c>
      <c r="U762" s="283" t="s">
        <v>1267</v>
      </c>
      <c r="V762" s="285" t="s">
        <v>2396</v>
      </c>
      <c r="W762" s="293" t="s">
        <v>2382</v>
      </c>
      <c r="X762" s="284" t="s">
        <v>1323</v>
      </c>
      <c r="Y762" s="271" t="s">
        <v>1762</v>
      </c>
      <c r="Z762" s="283">
        <v>6.7500000000000004E-2</v>
      </c>
      <c r="AA762" s="340">
        <v>0</v>
      </c>
    </row>
    <row r="763" spans="1:27">
      <c r="A763" s="74" t="s">
        <v>1324</v>
      </c>
      <c r="B763" s="74" t="s">
        <v>2104</v>
      </c>
      <c r="C763" s="74" t="s">
        <v>2103</v>
      </c>
      <c r="D763" s="74" t="s">
        <v>2382</v>
      </c>
      <c r="E763" s="74" t="s">
        <v>1325</v>
      </c>
      <c r="F763" s="74">
        <v>6.7500000000000004E-2</v>
      </c>
      <c r="G763" s="74">
        <v>0</v>
      </c>
      <c r="H763" s="74">
        <v>1.37</v>
      </c>
      <c r="I763" s="13" t="s">
        <v>1259</v>
      </c>
      <c r="J763" s="74" t="s">
        <v>1944</v>
      </c>
      <c r="T763" s="292" t="s">
        <v>1760</v>
      </c>
      <c r="U763" s="283" t="s">
        <v>1267</v>
      </c>
      <c r="V763" s="285" t="s">
        <v>2396</v>
      </c>
      <c r="W763" s="293" t="s">
        <v>2382</v>
      </c>
      <c r="X763" s="284" t="s">
        <v>1325</v>
      </c>
      <c r="Y763" s="271" t="s">
        <v>1762</v>
      </c>
      <c r="Z763" s="283">
        <v>6.7500000000000004E-2</v>
      </c>
      <c r="AA763" s="340">
        <v>0</v>
      </c>
    </row>
    <row r="764" spans="1:27">
      <c r="A764" s="74" t="s">
        <v>1326</v>
      </c>
      <c r="B764" s="74" t="s">
        <v>2106</v>
      </c>
      <c r="C764" s="74" t="s">
        <v>2105</v>
      </c>
      <c r="D764" s="74" t="s">
        <v>20</v>
      </c>
      <c r="E764" s="74" t="s">
        <v>85</v>
      </c>
      <c r="F764" s="74">
        <v>0.18375</v>
      </c>
      <c r="G764" s="74">
        <v>0</v>
      </c>
      <c r="H764" s="74">
        <v>1.37</v>
      </c>
      <c r="I764" s="13" t="s">
        <v>1259</v>
      </c>
      <c r="J764" s="74" t="s">
        <v>1260</v>
      </c>
      <c r="T764" s="292" t="s">
        <v>1756</v>
      </c>
      <c r="U764" s="283" t="s">
        <v>1791</v>
      </c>
      <c r="V764" s="285" t="s">
        <v>1771</v>
      </c>
      <c r="W764" s="293" t="str">
        <f t="shared" si="27"/>
        <v>H15</v>
      </c>
      <c r="X764" s="284" t="str">
        <f t="shared" si="27"/>
        <v>TQ</v>
      </c>
      <c r="Y764" s="271" t="s">
        <v>1765</v>
      </c>
      <c r="Z764" s="283">
        <f t="shared" si="26"/>
        <v>0.18375</v>
      </c>
      <c r="AA764" s="340">
        <f t="shared" si="26"/>
        <v>0</v>
      </c>
    </row>
    <row r="765" spans="1:27">
      <c r="A765" s="74" t="s">
        <v>1327</v>
      </c>
      <c r="B765" s="74" t="s">
        <v>2106</v>
      </c>
      <c r="C765" s="74" t="s">
        <v>2105</v>
      </c>
      <c r="D765" s="74" t="s">
        <v>20</v>
      </c>
      <c r="E765" s="74" t="s">
        <v>77</v>
      </c>
      <c r="F765" s="74">
        <v>0.1225</v>
      </c>
      <c r="G765" s="74">
        <v>0</v>
      </c>
      <c r="H765" s="74">
        <v>1.37</v>
      </c>
      <c r="I765" s="13" t="s">
        <v>1259</v>
      </c>
      <c r="J765" s="74" t="s">
        <v>1262</v>
      </c>
      <c r="T765" s="292" t="s">
        <v>1756</v>
      </c>
      <c r="U765" s="283" t="s">
        <v>1791</v>
      </c>
      <c r="V765" s="285" t="s">
        <v>1771</v>
      </c>
      <c r="W765" s="293" t="str">
        <f t="shared" si="27"/>
        <v>H15</v>
      </c>
      <c r="X765" s="284" t="str">
        <f t="shared" si="27"/>
        <v>LQ</v>
      </c>
      <c r="Y765" s="271" t="s">
        <v>1766</v>
      </c>
      <c r="Z765" s="283">
        <f t="shared" si="26"/>
        <v>0.1225</v>
      </c>
      <c r="AA765" s="340">
        <f t="shared" si="26"/>
        <v>0</v>
      </c>
    </row>
    <row r="766" spans="1:27">
      <c r="A766" s="74" t="s">
        <v>1328</v>
      </c>
      <c r="B766" s="74" t="s">
        <v>2106</v>
      </c>
      <c r="C766" s="74" t="s">
        <v>2105</v>
      </c>
      <c r="D766" s="74" t="s">
        <v>20</v>
      </c>
      <c r="E766" s="74" t="s">
        <v>92</v>
      </c>
      <c r="F766" s="74">
        <v>6.1249999999999999E-2</v>
      </c>
      <c r="G766" s="74">
        <v>0</v>
      </c>
      <c r="H766" s="74">
        <v>1.37</v>
      </c>
      <c r="I766" s="13" t="s">
        <v>1259</v>
      </c>
      <c r="J766" s="74" t="s">
        <v>1264</v>
      </c>
      <c r="T766" s="292" t="s">
        <v>1756</v>
      </c>
      <c r="U766" s="283" t="s">
        <v>1791</v>
      </c>
      <c r="V766" s="285" t="s">
        <v>1771</v>
      </c>
      <c r="W766" s="293" t="str">
        <f t="shared" si="27"/>
        <v>H15</v>
      </c>
      <c r="X766" s="284" t="str">
        <f t="shared" si="27"/>
        <v>UQ</v>
      </c>
      <c r="Y766" s="271" t="s">
        <v>1767</v>
      </c>
      <c r="Z766" s="283">
        <f t="shared" si="26"/>
        <v>6.1249999999999999E-2</v>
      </c>
      <c r="AA766" s="340">
        <f t="shared" si="26"/>
        <v>0</v>
      </c>
    </row>
    <row r="767" spans="1:27">
      <c r="A767" s="74" t="s">
        <v>1329</v>
      </c>
      <c r="B767" s="74" t="s">
        <v>2106</v>
      </c>
      <c r="C767" s="74" t="s">
        <v>2105</v>
      </c>
      <c r="D767" s="74" t="s">
        <v>1979</v>
      </c>
      <c r="E767" s="74" t="s">
        <v>1299</v>
      </c>
      <c r="F767" s="74">
        <v>0.125</v>
      </c>
      <c r="G767" s="74">
        <v>0</v>
      </c>
      <c r="H767" s="74">
        <v>1.37</v>
      </c>
      <c r="I767" s="13" t="s">
        <v>1259</v>
      </c>
      <c r="J767" s="74" t="s">
        <v>1267</v>
      </c>
      <c r="T767" s="292" t="s">
        <v>1756</v>
      </c>
      <c r="U767" s="283" t="s">
        <v>1791</v>
      </c>
      <c r="V767" s="285" t="s">
        <v>1771</v>
      </c>
      <c r="W767" s="293" t="str">
        <f t="shared" si="27"/>
        <v>H17</v>
      </c>
      <c r="X767" s="284" t="str">
        <f t="shared" si="27"/>
        <v>AHF</v>
      </c>
      <c r="Y767" s="271"/>
      <c r="Z767" s="283">
        <f t="shared" si="26"/>
        <v>0.125</v>
      </c>
      <c r="AA767" s="340">
        <f t="shared" si="26"/>
        <v>0</v>
      </c>
    </row>
    <row r="768" spans="1:27">
      <c r="A768" s="74" t="s">
        <v>1330</v>
      </c>
      <c r="B768" s="74" t="s">
        <v>2106</v>
      </c>
      <c r="C768" s="74" t="s">
        <v>2105</v>
      </c>
      <c r="D768" s="74" t="s">
        <v>1979</v>
      </c>
      <c r="E768" s="74" t="s">
        <v>1301</v>
      </c>
      <c r="F768" s="74">
        <v>6.25E-2</v>
      </c>
      <c r="G768" s="74">
        <v>0</v>
      </c>
      <c r="H768" s="74">
        <v>1.37</v>
      </c>
      <c r="I768" s="13" t="s">
        <v>1259</v>
      </c>
      <c r="J768" s="74" t="s">
        <v>1270</v>
      </c>
      <c r="T768" s="292" t="s">
        <v>1756</v>
      </c>
      <c r="U768" s="283" t="s">
        <v>1791</v>
      </c>
      <c r="V768" s="285" t="s">
        <v>1771</v>
      </c>
      <c r="W768" s="293" t="str">
        <f t="shared" si="27"/>
        <v>H17</v>
      </c>
      <c r="X768" s="284" t="str">
        <f t="shared" si="27"/>
        <v>AGF</v>
      </c>
      <c r="Y768" s="271"/>
      <c r="Z768" s="283">
        <f t="shared" si="26"/>
        <v>6.25E-2</v>
      </c>
      <c r="AA768" s="340">
        <f t="shared" si="26"/>
        <v>0</v>
      </c>
    </row>
    <row r="769" spans="1:27">
      <c r="A769" s="74" t="s">
        <v>1331</v>
      </c>
      <c r="B769" s="74" t="s">
        <v>2106</v>
      </c>
      <c r="C769" s="74" t="s">
        <v>2105</v>
      </c>
      <c r="D769" s="74" t="s">
        <v>1979</v>
      </c>
      <c r="E769" s="74" t="s">
        <v>1303</v>
      </c>
      <c r="F769" s="74">
        <v>0.1125</v>
      </c>
      <c r="G769" s="74">
        <v>0</v>
      </c>
      <c r="H769" s="74">
        <v>1.37</v>
      </c>
      <c r="I769" s="13" t="s">
        <v>1259</v>
      </c>
      <c r="J769" s="74" t="s">
        <v>1944</v>
      </c>
      <c r="T769" s="292" t="s">
        <v>1756</v>
      </c>
      <c r="U769" s="283" t="s">
        <v>1791</v>
      </c>
      <c r="V769" s="285" t="s">
        <v>1771</v>
      </c>
      <c r="W769" s="293" t="str">
        <f t="shared" si="27"/>
        <v>H17</v>
      </c>
      <c r="X769" s="284" t="str">
        <f t="shared" si="27"/>
        <v>BGF</v>
      </c>
      <c r="Y769" s="271" t="s">
        <v>2398</v>
      </c>
      <c r="Z769" s="283">
        <f t="shared" si="26"/>
        <v>0.1125</v>
      </c>
      <c r="AA769" s="340">
        <f t="shared" si="26"/>
        <v>0</v>
      </c>
    </row>
    <row r="770" spans="1:27">
      <c r="A770" s="74" t="s">
        <v>1332</v>
      </c>
      <c r="B770" s="74" t="s">
        <v>2106</v>
      </c>
      <c r="C770" s="74" t="s">
        <v>2105</v>
      </c>
      <c r="D770" s="74" t="s">
        <v>1979</v>
      </c>
      <c r="E770" s="74" t="s">
        <v>1305</v>
      </c>
      <c r="F770" s="74">
        <v>0.1125</v>
      </c>
      <c r="G770" s="74">
        <v>0</v>
      </c>
      <c r="H770" s="74">
        <v>1.37</v>
      </c>
      <c r="I770" s="13" t="s">
        <v>1259</v>
      </c>
      <c r="J770" s="74" t="s">
        <v>1943</v>
      </c>
      <c r="T770" s="292" t="s">
        <v>1756</v>
      </c>
      <c r="U770" s="283" t="s">
        <v>1791</v>
      </c>
      <c r="V770" s="285" t="s">
        <v>1771</v>
      </c>
      <c r="W770" s="293" t="str">
        <f t="shared" si="27"/>
        <v>H17</v>
      </c>
      <c r="X770" s="284" t="str">
        <f t="shared" si="27"/>
        <v>BHF</v>
      </c>
      <c r="Y770" s="271" t="s">
        <v>2398</v>
      </c>
      <c r="Z770" s="283">
        <f t="shared" si="26"/>
        <v>0.1125</v>
      </c>
      <c r="AA770" s="340">
        <f t="shared" si="26"/>
        <v>0</v>
      </c>
    </row>
    <row r="771" spans="1:27">
      <c r="A771" s="74" t="s">
        <v>1333</v>
      </c>
      <c r="B771" s="74" t="s">
        <v>2106</v>
      </c>
      <c r="C771" s="74" t="s">
        <v>2105</v>
      </c>
      <c r="D771" s="74" t="s">
        <v>1979</v>
      </c>
      <c r="E771" s="74" t="s">
        <v>1916</v>
      </c>
      <c r="F771" s="74">
        <v>6.25E-2</v>
      </c>
      <c r="G771" s="74">
        <v>0</v>
      </c>
      <c r="H771" s="74">
        <v>1.37</v>
      </c>
      <c r="I771" s="13" t="s">
        <v>1259</v>
      </c>
      <c r="J771" s="74" t="s">
        <v>1960</v>
      </c>
      <c r="T771" s="292" t="s">
        <v>1756</v>
      </c>
      <c r="U771" s="283" t="s">
        <v>1791</v>
      </c>
      <c r="V771" s="285" t="s">
        <v>1771</v>
      </c>
      <c r="W771" s="293" t="str">
        <f t="shared" si="27"/>
        <v>H17</v>
      </c>
      <c r="X771" s="284" t="str">
        <f t="shared" si="27"/>
        <v>CGF</v>
      </c>
      <c r="Y771" s="271" t="s">
        <v>2261</v>
      </c>
      <c r="Z771" s="283">
        <f t="shared" si="26"/>
        <v>6.25E-2</v>
      </c>
      <c r="AA771" s="340">
        <f t="shared" si="26"/>
        <v>0</v>
      </c>
    </row>
    <row r="772" spans="1:27">
      <c r="A772" s="74" t="s">
        <v>1334</v>
      </c>
      <c r="B772" s="74" t="s">
        <v>2106</v>
      </c>
      <c r="C772" s="74" t="s">
        <v>2105</v>
      </c>
      <c r="D772" s="74" t="s">
        <v>1979</v>
      </c>
      <c r="E772" s="74" t="s">
        <v>1920</v>
      </c>
      <c r="F772" s="74">
        <v>6.25E-2</v>
      </c>
      <c r="G772" s="74">
        <v>0</v>
      </c>
      <c r="H772" s="74">
        <v>1.37</v>
      </c>
      <c r="I772" s="13" t="s">
        <v>1259</v>
      </c>
      <c r="J772" s="74" t="s">
        <v>1959</v>
      </c>
      <c r="T772" s="292" t="s">
        <v>1756</v>
      </c>
      <c r="U772" s="283" t="s">
        <v>1791</v>
      </c>
      <c r="V772" s="285" t="s">
        <v>1771</v>
      </c>
      <c r="W772" s="293" t="str">
        <f t="shared" si="27"/>
        <v>H17</v>
      </c>
      <c r="X772" s="284" t="str">
        <f t="shared" si="27"/>
        <v>CHF</v>
      </c>
      <c r="Y772" s="271" t="s">
        <v>2261</v>
      </c>
      <c r="Z772" s="283">
        <f t="shared" si="26"/>
        <v>6.25E-2</v>
      </c>
      <c r="AA772" s="340">
        <f t="shared" si="26"/>
        <v>0</v>
      </c>
    </row>
    <row r="773" spans="1:27">
      <c r="A773" s="74" t="s">
        <v>1335</v>
      </c>
      <c r="B773" s="74" t="s">
        <v>2106</v>
      </c>
      <c r="C773" s="74" t="s">
        <v>2105</v>
      </c>
      <c r="D773" s="74" t="s">
        <v>1979</v>
      </c>
      <c r="E773" s="74" t="s">
        <v>1927</v>
      </c>
      <c r="F773" s="74">
        <v>3.125E-2</v>
      </c>
      <c r="G773" s="74">
        <v>0</v>
      </c>
      <c r="H773" s="74">
        <v>1.37</v>
      </c>
      <c r="I773" s="13" t="s">
        <v>1259</v>
      </c>
      <c r="J773" s="74" t="s">
        <v>2410</v>
      </c>
      <c r="T773" s="292" t="s">
        <v>1756</v>
      </c>
      <c r="U773" s="283" t="s">
        <v>1791</v>
      </c>
      <c r="V773" s="285" t="s">
        <v>1771</v>
      </c>
      <c r="W773" s="293" t="str">
        <f t="shared" si="27"/>
        <v>H17</v>
      </c>
      <c r="X773" s="284" t="str">
        <f t="shared" si="27"/>
        <v>DGF</v>
      </c>
      <c r="Y773" s="271" t="s">
        <v>2262</v>
      </c>
      <c r="Z773" s="283">
        <f t="shared" si="26"/>
        <v>3.125E-2</v>
      </c>
      <c r="AA773" s="340">
        <f t="shared" si="26"/>
        <v>0</v>
      </c>
    </row>
    <row r="774" spans="1:27">
      <c r="A774" s="74" t="s">
        <v>1336</v>
      </c>
      <c r="B774" s="74" t="s">
        <v>2106</v>
      </c>
      <c r="C774" s="74" t="s">
        <v>2105</v>
      </c>
      <c r="D774" s="74" t="s">
        <v>1979</v>
      </c>
      <c r="E774" s="74" t="s">
        <v>1931</v>
      </c>
      <c r="F774" s="74">
        <v>3.125E-2</v>
      </c>
      <c r="G774" s="74">
        <v>0</v>
      </c>
      <c r="H774" s="74">
        <v>1.37</v>
      </c>
      <c r="I774" s="13" t="s">
        <v>1259</v>
      </c>
      <c r="J774" s="74" t="s">
        <v>2411</v>
      </c>
      <c r="T774" s="292" t="s">
        <v>1756</v>
      </c>
      <c r="U774" s="283" t="s">
        <v>1791</v>
      </c>
      <c r="V774" s="285" t="s">
        <v>1771</v>
      </c>
      <c r="W774" s="293" t="str">
        <f t="shared" si="27"/>
        <v>H17</v>
      </c>
      <c r="X774" s="284" t="str">
        <f t="shared" si="27"/>
        <v>DHF</v>
      </c>
      <c r="Y774" s="271" t="s">
        <v>2262</v>
      </c>
      <c r="Z774" s="283">
        <f t="shared" ref="Z774:AA856" si="28">F774</f>
        <v>3.125E-2</v>
      </c>
      <c r="AA774" s="340">
        <f t="shared" si="28"/>
        <v>0</v>
      </c>
    </row>
    <row r="775" spans="1:27">
      <c r="A775" s="74" t="s">
        <v>1337</v>
      </c>
      <c r="B775" s="74" t="s">
        <v>2106</v>
      </c>
      <c r="C775" s="74" t="s">
        <v>2105</v>
      </c>
      <c r="D775" s="74" t="s">
        <v>2382</v>
      </c>
      <c r="E775" s="74" t="s">
        <v>1311</v>
      </c>
      <c r="F775" s="74">
        <v>7.4999999999999997E-2</v>
      </c>
      <c r="G775" s="74">
        <v>0</v>
      </c>
      <c r="H775" s="74">
        <v>1.37</v>
      </c>
      <c r="I775" s="13" t="s">
        <v>1259</v>
      </c>
      <c r="T775" s="292" t="s">
        <v>1756</v>
      </c>
      <c r="U775" s="283" t="s">
        <v>1791</v>
      </c>
      <c r="V775" s="285" t="s">
        <v>2395</v>
      </c>
      <c r="W775" s="293" t="str">
        <f t="shared" si="27"/>
        <v>H21</v>
      </c>
      <c r="X775" s="284" t="str">
        <f t="shared" si="27"/>
        <v>LHF</v>
      </c>
      <c r="Y775" s="271"/>
      <c r="Z775" s="283">
        <f t="shared" si="28"/>
        <v>7.4999999999999997E-2</v>
      </c>
      <c r="AA775" s="340">
        <f t="shared" si="28"/>
        <v>0</v>
      </c>
    </row>
    <row r="776" spans="1:27">
      <c r="A776" s="74" t="s">
        <v>1338</v>
      </c>
      <c r="B776" s="74" t="s">
        <v>2106</v>
      </c>
      <c r="C776" s="74" t="s">
        <v>2105</v>
      </c>
      <c r="D776" s="74" t="s">
        <v>2382</v>
      </c>
      <c r="E776" s="74" t="s">
        <v>1313</v>
      </c>
      <c r="F776" s="74">
        <v>3.7499999999999999E-2</v>
      </c>
      <c r="G776" s="74">
        <v>0</v>
      </c>
      <c r="H776" s="74">
        <v>1.37</v>
      </c>
      <c r="I776" s="13" t="s">
        <v>1259</v>
      </c>
      <c r="J776" s="74" t="s">
        <v>240</v>
      </c>
      <c r="T776" s="292" t="s">
        <v>1756</v>
      </c>
      <c r="U776" s="283" t="s">
        <v>1791</v>
      </c>
      <c r="V776" s="285" t="s">
        <v>2395</v>
      </c>
      <c r="W776" s="293" t="str">
        <f t="shared" si="27"/>
        <v>H21</v>
      </c>
      <c r="X776" s="284" t="str">
        <f t="shared" si="27"/>
        <v>LGF</v>
      </c>
      <c r="Y776" s="271"/>
      <c r="Z776" s="283">
        <f t="shared" si="28"/>
        <v>3.7499999999999999E-2</v>
      </c>
      <c r="AA776" s="340">
        <f t="shared" si="28"/>
        <v>0</v>
      </c>
    </row>
    <row r="777" spans="1:27">
      <c r="A777" s="74" t="s">
        <v>1339</v>
      </c>
      <c r="B777" s="74" t="s">
        <v>2106</v>
      </c>
      <c r="C777" s="74" t="s">
        <v>2105</v>
      </c>
      <c r="D777" s="74" t="s">
        <v>2382</v>
      </c>
      <c r="E777" s="74" t="s">
        <v>1315</v>
      </c>
      <c r="F777" s="74">
        <v>3.7499999999999999E-2</v>
      </c>
      <c r="G777" s="74">
        <v>0</v>
      </c>
      <c r="H777" s="74">
        <v>1.37</v>
      </c>
      <c r="I777" s="13" t="s">
        <v>1259</v>
      </c>
      <c r="J777" s="74" t="s">
        <v>2261</v>
      </c>
      <c r="T777" s="292" t="s">
        <v>1756</v>
      </c>
      <c r="U777" s="283" t="s">
        <v>1791</v>
      </c>
      <c r="V777" s="285" t="s">
        <v>2395</v>
      </c>
      <c r="W777" s="293" t="str">
        <f t="shared" si="27"/>
        <v>H21</v>
      </c>
      <c r="X777" s="284" t="str">
        <f t="shared" si="27"/>
        <v>MHF</v>
      </c>
      <c r="Y777" s="271" t="s">
        <v>2261</v>
      </c>
      <c r="Z777" s="283">
        <f t="shared" si="28"/>
        <v>3.7499999999999999E-2</v>
      </c>
      <c r="AA777" s="340">
        <f t="shared" si="28"/>
        <v>0</v>
      </c>
    </row>
    <row r="778" spans="1:27">
      <c r="A778" s="74" t="s">
        <v>1340</v>
      </c>
      <c r="B778" s="74" t="s">
        <v>2106</v>
      </c>
      <c r="C778" s="74" t="s">
        <v>2105</v>
      </c>
      <c r="D778" s="74" t="s">
        <v>2382</v>
      </c>
      <c r="E778" s="74" t="s">
        <v>1317</v>
      </c>
      <c r="F778" s="74">
        <v>3.7499999999999999E-2</v>
      </c>
      <c r="G778" s="74">
        <v>0</v>
      </c>
      <c r="H778" s="74">
        <v>1.37</v>
      </c>
      <c r="I778" s="13" t="s">
        <v>1259</v>
      </c>
      <c r="J778" s="74" t="s">
        <v>2391</v>
      </c>
      <c r="T778" s="292" t="s">
        <v>1756</v>
      </c>
      <c r="U778" s="283" t="s">
        <v>1791</v>
      </c>
      <c r="V778" s="285" t="s">
        <v>2395</v>
      </c>
      <c r="W778" s="293" t="str">
        <f t="shared" si="27"/>
        <v>H21</v>
      </c>
      <c r="X778" s="284" t="str">
        <f t="shared" si="27"/>
        <v>MGF</v>
      </c>
      <c r="Y778" s="271" t="s">
        <v>2261</v>
      </c>
      <c r="Z778" s="283">
        <f t="shared" si="28"/>
        <v>3.7499999999999999E-2</v>
      </c>
      <c r="AA778" s="340">
        <f t="shared" si="28"/>
        <v>0</v>
      </c>
    </row>
    <row r="779" spans="1:27">
      <c r="A779" s="74" t="s">
        <v>1341</v>
      </c>
      <c r="B779" s="74" t="s">
        <v>2106</v>
      </c>
      <c r="C779" s="74" t="s">
        <v>2105</v>
      </c>
      <c r="D779" s="74" t="s">
        <v>2382</v>
      </c>
      <c r="E779" s="74" t="s">
        <v>1319</v>
      </c>
      <c r="F779" s="74">
        <v>1.8749999999999999E-2</v>
      </c>
      <c r="G779" s="74">
        <v>0</v>
      </c>
      <c r="H779" s="74">
        <v>1.37</v>
      </c>
      <c r="I779" s="13" t="s">
        <v>1259</v>
      </c>
      <c r="J779" s="74" t="s">
        <v>2262</v>
      </c>
      <c r="T779" s="292" t="s">
        <v>1756</v>
      </c>
      <c r="U779" s="283" t="s">
        <v>1791</v>
      </c>
      <c r="V779" s="285" t="s">
        <v>2395</v>
      </c>
      <c r="W779" s="293" t="str">
        <f t="shared" si="27"/>
        <v>H21</v>
      </c>
      <c r="X779" s="284" t="str">
        <f t="shared" si="27"/>
        <v>RHF</v>
      </c>
      <c r="Y779" s="271" t="s">
        <v>2262</v>
      </c>
      <c r="Z779" s="283">
        <f t="shared" si="28"/>
        <v>1.8749999999999999E-2</v>
      </c>
      <c r="AA779" s="340">
        <f t="shared" si="28"/>
        <v>0</v>
      </c>
    </row>
    <row r="780" spans="1:27">
      <c r="A780" s="74" t="s">
        <v>1342</v>
      </c>
      <c r="B780" s="74" t="s">
        <v>2106</v>
      </c>
      <c r="C780" s="74" t="s">
        <v>2105</v>
      </c>
      <c r="D780" s="74" t="s">
        <v>2382</v>
      </c>
      <c r="E780" s="74" t="s">
        <v>1321</v>
      </c>
      <c r="F780" s="74">
        <v>1.8749999999999999E-2</v>
      </c>
      <c r="G780" s="74">
        <v>0</v>
      </c>
      <c r="H780" s="74">
        <v>1.37</v>
      </c>
      <c r="I780" s="13" t="s">
        <v>1259</v>
      </c>
      <c r="J780" s="74" t="s">
        <v>2386</v>
      </c>
      <c r="T780" s="292" t="s">
        <v>1756</v>
      </c>
      <c r="U780" s="283" t="s">
        <v>1791</v>
      </c>
      <c r="V780" s="285" t="s">
        <v>2395</v>
      </c>
      <c r="W780" s="293" t="str">
        <f t="shared" si="27"/>
        <v>H21</v>
      </c>
      <c r="X780" s="284" t="str">
        <f t="shared" si="27"/>
        <v>RGF</v>
      </c>
      <c r="Y780" s="271" t="s">
        <v>2262</v>
      </c>
      <c r="Z780" s="283">
        <f t="shared" si="28"/>
        <v>1.8749999999999999E-2</v>
      </c>
      <c r="AA780" s="340">
        <f t="shared" si="28"/>
        <v>0</v>
      </c>
    </row>
    <row r="781" spans="1:27">
      <c r="A781" s="74" t="s">
        <v>1343</v>
      </c>
      <c r="B781" s="74" t="s">
        <v>2106</v>
      </c>
      <c r="C781" s="74" t="s">
        <v>2105</v>
      </c>
      <c r="D781" s="74" t="s">
        <v>2382</v>
      </c>
      <c r="E781" s="74" t="s">
        <v>1323</v>
      </c>
      <c r="F781" s="74">
        <v>6.7500000000000004E-2</v>
      </c>
      <c r="G781" s="74">
        <v>0</v>
      </c>
      <c r="H781" s="74">
        <v>1.37</v>
      </c>
      <c r="I781" s="13" t="s">
        <v>1259</v>
      </c>
      <c r="J781" s="74" t="s">
        <v>1943</v>
      </c>
      <c r="T781" s="292" t="s">
        <v>1760</v>
      </c>
      <c r="U781" s="283" t="s">
        <v>1267</v>
      </c>
      <c r="V781" s="285" t="s">
        <v>2395</v>
      </c>
      <c r="W781" s="293" t="s">
        <v>2382</v>
      </c>
      <c r="X781" s="284" t="s">
        <v>1323</v>
      </c>
      <c r="Y781" s="271" t="s">
        <v>1762</v>
      </c>
      <c r="Z781" s="283">
        <v>6.7500000000000004E-2</v>
      </c>
      <c r="AA781" s="340">
        <v>0</v>
      </c>
    </row>
    <row r="782" spans="1:27">
      <c r="A782" s="74" t="s">
        <v>1344</v>
      </c>
      <c r="B782" s="74" t="s">
        <v>2106</v>
      </c>
      <c r="C782" s="74" t="s">
        <v>2105</v>
      </c>
      <c r="D782" s="74" t="s">
        <v>2382</v>
      </c>
      <c r="E782" s="74" t="s">
        <v>1325</v>
      </c>
      <c r="F782" s="74">
        <v>6.7500000000000004E-2</v>
      </c>
      <c r="G782" s="74">
        <v>0</v>
      </c>
      <c r="H782" s="74">
        <v>1.37</v>
      </c>
      <c r="I782" s="13" t="s">
        <v>1259</v>
      </c>
      <c r="J782" s="74" t="s">
        <v>1944</v>
      </c>
      <c r="T782" s="292" t="s">
        <v>1760</v>
      </c>
      <c r="U782" s="283" t="s">
        <v>1267</v>
      </c>
      <c r="V782" s="285" t="s">
        <v>2395</v>
      </c>
      <c r="W782" s="293" t="s">
        <v>2382</v>
      </c>
      <c r="X782" s="284" t="s">
        <v>1325</v>
      </c>
      <c r="Y782" s="271" t="s">
        <v>1762</v>
      </c>
      <c r="Z782" s="283">
        <v>6.7500000000000004E-2</v>
      </c>
      <c r="AA782" s="340">
        <v>0</v>
      </c>
    </row>
    <row r="783" spans="1:27">
      <c r="A783" s="74" t="s">
        <v>1345</v>
      </c>
      <c r="B783" s="74" t="s">
        <v>2108</v>
      </c>
      <c r="C783" s="74" t="s">
        <v>2107</v>
      </c>
      <c r="D783" s="74" t="s">
        <v>29</v>
      </c>
      <c r="E783" s="74" t="s">
        <v>1215</v>
      </c>
      <c r="F783" s="74">
        <v>9.7500000000000003E-2</v>
      </c>
      <c r="G783" s="74">
        <v>0</v>
      </c>
      <c r="H783" s="74">
        <v>1.37</v>
      </c>
      <c r="I783" s="13" t="s">
        <v>1259</v>
      </c>
      <c r="J783" s="74" t="s">
        <v>1260</v>
      </c>
      <c r="T783" s="292" t="s">
        <v>1756</v>
      </c>
      <c r="U783" s="283" t="s">
        <v>1791</v>
      </c>
      <c r="V783" s="285" t="s">
        <v>1772</v>
      </c>
      <c r="W783" s="293" t="str">
        <f t="shared" si="27"/>
        <v>H15,H16</v>
      </c>
      <c r="X783" s="284" t="str">
        <f t="shared" si="27"/>
        <v>TR</v>
      </c>
      <c r="Y783" s="271" t="s">
        <v>1765</v>
      </c>
      <c r="Z783" s="283">
        <f t="shared" si="28"/>
        <v>9.7500000000000003E-2</v>
      </c>
      <c r="AA783" s="340">
        <f t="shared" si="28"/>
        <v>0</v>
      </c>
    </row>
    <row r="784" spans="1:27">
      <c r="A784" s="74" t="s">
        <v>1346</v>
      </c>
      <c r="B784" s="74" t="s">
        <v>2108</v>
      </c>
      <c r="C784" s="74" t="s">
        <v>2107</v>
      </c>
      <c r="D784" s="74" t="s">
        <v>29</v>
      </c>
      <c r="E784" s="74" t="s">
        <v>1217</v>
      </c>
      <c r="F784" s="74">
        <v>6.5000000000000002E-2</v>
      </c>
      <c r="G784" s="74">
        <v>0</v>
      </c>
      <c r="H784" s="74">
        <v>1.37</v>
      </c>
      <c r="I784" s="13" t="s">
        <v>1259</v>
      </c>
      <c r="J784" s="74" t="s">
        <v>1262</v>
      </c>
      <c r="T784" s="292" t="s">
        <v>1756</v>
      </c>
      <c r="U784" s="283" t="s">
        <v>1791</v>
      </c>
      <c r="V784" s="285" t="s">
        <v>1772</v>
      </c>
      <c r="W784" s="293" t="str">
        <f t="shared" si="27"/>
        <v>H15,H16</v>
      </c>
      <c r="X784" s="284" t="str">
        <f t="shared" si="27"/>
        <v>LR</v>
      </c>
      <c r="Y784" s="271" t="s">
        <v>1766</v>
      </c>
      <c r="Z784" s="283">
        <f t="shared" si="28"/>
        <v>6.5000000000000002E-2</v>
      </c>
      <c r="AA784" s="340">
        <f t="shared" si="28"/>
        <v>0</v>
      </c>
    </row>
    <row r="785" spans="1:34">
      <c r="A785" s="74" t="s">
        <v>1347</v>
      </c>
      <c r="B785" s="74" t="s">
        <v>2108</v>
      </c>
      <c r="C785" s="74" t="s">
        <v>2107</v>
      </c>
      <c r="D785" s="74" t="s">
        <v>29</v>
      </c>
      <c r="E785" s="74" t="s">
        <v>1219</v>
      </c>
      <c r="F785" s="74">
        <v>3.2500000000000001E-2</v>
      </c>
      <c r="G785" s="74">
        <v>0</v>
      </c>
      <c r="H785" s="74">
        <v>1.37</v>
      </c>
      <c r="I785" s="13" t="s">
        <v>1259</v>
      </c>
      <c r="J785" s="74" t="s">
        <v>1264</v>
      </c>
      <c r="T785" s="292" t="s">
        <v>1756</v>
      </c>
      <c r="U785" s="283" t="s">
        <v>1791</v>
      </c>
      <c r="V785" s="285" t="s">
        <v>1772</v>
      </c>
      <c r="W785" s="293" t="str">
        <f t="shared" si="27"/>
        <v>H15,H16</v>
      </c>
      <c r="X785" s="284" t="str">
        <f t="shared" si="27"/>
        <v>UR</v>
      </c>
      <c r="Y785" s="271" t="s">
        <v>1767</v>
      </c>
      <c r="Z785" s="283">
        <f t="shared" si="28"/>
        <v>3.2500000000000001E-2</v>
      </c>
      <c r="AA785" s="340">
        <f t="shared" si="28"/>
        <v>0</v>
      </c>
    </row>
    <row r="786" spans="1:34">
      <c r="A786" s="74" t="s">
        <v>1348</v>
      </c>
      <c r="B786" s="74" t="s">
        <v>2108</v>
      </c>
      <c r="C786" s="74" t="s">
        <v>2107</v>
      </c>
      <c r="D786" s="74" t="s">
        <v>1979</v>
      </c>
      <c r="E786" s="74" t="s">
        <v>1349</v>
      </c>
      <c r="F786" s="74">
        <v>7.4999999999999997E-2</v>
      </c>
      <c r="G786" s="74">
        <v>0</v>
      </c>
      <c r="H786" s="74">
        <v>1.37</v>
      </c>
      <c r="I786" s="13" t="s">
        <v>1259</v>
      </c>
      <c r="J786" s="74" t="s">
        <v>1267</v>
      </c>
      <c r="T786" s="292" t="s">
        <v>1756</v>
      </c>
      <c r="U786" s="283" t="s">
        <v>1791</v>
      </c>
      <c r="V786" s="285" t="s">
        <v>1772</v>
      </c>
      <c r="W786" s="293" t="str">
        <f t="shared" si="27"/>
        <v>H17</v>
      </c>
      <c r="X786" s="284" t="str">
        <f t="shared" si="27"/>
        <v>AHG</v>
      </c>
      <c r="Y786" s="271"/>
      <c r="Z786" s="283">
        <f t="shared" si="28"/>
        <v>7.4999999999999997E-2</v>
      </c>
      <c r="AA786" s="340">
        <f t="shared" si="28"/>
        <v>0</v>
      </c>
    </row>
    <row r="787" spans="1:34">
      <c r="A787" s="74" t="s">
        <v>1350</v>
      </c>
      <c r="B787" s="74" t="s">
        <v>2108</v>
      </c>
      <c r="C787" s="74" t="s">
        <v>2107</v>
      </c>
      <c r="D787" s="74" t="s">
        <v>1979</v>
      </c>
      <c r="E787" s="74" t="s">
        <v>1351</v>
      </c>
      <c r="F787" s="74">
        <v>3.7499999999999999E-2</v>
      </c>
      <c r="G787" s="74">
        <v>0</v>
      </c>
      <c r="H787" s="74">
        <v>1.37</v>
      </c>
      <c r="I787" s="13" t="s">
        <v>1259</v>
      </c>
      <c r="J787" s="74" t="s">
        <v>1270</v>
      </c>
      <c r="T787" s="292" t="s">
        <v>1756</v>
      </c>
      <c r="U787" s="283" t="s">
        <v>1791</v>
      </c>
      <c r="V787" s="285" t="s">
        <v>1772</v>
      </c>
      <c r="W787" s="293" t="str">
        <f t="shared" si="27"/>
        <v>H17</v>
      </c>
      <c r="X787" s="284" t="str">
        <f t="shared" si="27"/>
        <v>AGG</v>
      </c>
      <c r="Y787" s="271"/>
      <c r="Z787" s="283">
        <f t="shared" si="28"/>
        <v>3.7499999999999999E-2</v>
      </c>
      <c r="AA787" s="340">
        <f t="shared" si="28"/>
        <v>0</v>
      </c>
    </row>
    <row r="788" spans="1:34">
      <c r="A788" s="74" t="s">
        <v>1352</v>
      </c>
      <c r="B788" s="74" t="s">
        <v>2108</v>
      </c>
      <c r="C788" s="74" t="s">
        <v>2107</v>
      </c>
      <c r="D788" s="74" t="s">
        <v>1979</v>
      </c>
      <c r="E788" s="74" t="s">
        <v>1353</v>
      </c>
      <c r="F788" s="74">
        <v>6.7500000000000004E-2</v>
      </c>
      <c r="G788" s="74">
        <v>0</v>
      </c>
      <c r="H788" s="74">
        <v>1.37</v>
      </c>
      <c r="I788" s="13" t="s">
        <v>1259</v>
      </c>
      <c r="J788" s="74" t="s">
        <v>1944</v>
      </c>
      <c r="T788" s="292" t="s">
        <v>1756</v>
      </c>
      <c r="U788" s="283" t="s">
        <v>1791</v>
      </c>
      <c r="V788" s="285" t="s">
        <v>1772</v>
      </c>
      <c r="W788" s="293" t="str">
        <f t="shared" si="27"/>
        <v>H17</v>
      </c>
      <c r="X788" s="284" t="str">
        <f t="shared" si="27"/>
        <v>BGG</v>
      </c>
      <c r="Y788" s="271" t="s">
        <v>2398</v>
      </c>
      <c r="Z788" s="283">
        <f t="shared" si="28"/>
        <v>6.7500000000000004E-2</v>
      </c>
      <c r="AA788" s="340">
        <f t="shared" si="28"/>
        <v>0</v>
      </c>
    </row>
    <row r="789" spans="1:34">
      <c r="A789" s="74" t="s">
        <v>1354</v>
      </c>
      <c r="B789" s="74" t="s">
        <v>2108</v>
      </c>
      <c r="C789" s="74" t="s">
        <v>2107</v>
      </c>
      <c r="D789" s="74" t="s">
        <v>1979</v>
      </c>
      <c r="E789" s="74" t="s">
        <v>1355</v>
      </c>
      <c r="F789" s="74">
        <v>6.7500000000000004E-2</v>
      </c>
      <c r="G789" s="74">
        <v>0</v>
      </c>
      <c r="H789" s="74">
        <v>1.37</v>
      </c>
      <c r="I789" s="13" t="s">
        <v>1259</v>
      </c>
      <c r="J789" s="74" t="s">
        <v>1943</v>
      </c>
      <c r="T789" s="292" t="s">
        <v>1756</v>
      </c>
      <c r="U789" s="283" t="s">
        <v>1791</v>
      </c>
      <c r="V789" s="285" t="s">
        <v>1772</v>
      </c>
      <c r="W789" s="293" t="str">
        <f t="shared" si="27"/>
        <v>H17</v>
      </c>
      <c r="X789" s="284" t="str">
        <f t="shared" si="27"/>
        <v>BHG</v>
      </c>
      <c r="Y789" s="271" t="s">
        <v>2398</v>
      </c>
      <c r="Z789" s="283">
        <f t="shared" si="28"/>
        <v>6.7500000000000004E-2</v>
      </c>
      <c r="AA789" s="340">
        <f t="shared" si="28"/>
        <v>0</v>
      </c>
    </row>
    <row r="790" spans="1:34">
      <c r="A790" s="74" t="s">
        <v>1356</v>
      </c>
      <c r="B790" s="74" t="s">
        <v>2108</v>
      </c>
      <c r="C790" s="74" t="s">
        <v>2107</v>
      </c>
      <c r="D790" s="74" t="s">
        <v>1979</v>
      </c>
      <c r="E790" s="74" t="s">
        <v>1917</v>
      </c>
      <c r="F790" s="74">
        <v>3.7499999999999999E-2</v>
      </c>
      <c r="G790" s="74">
        <v>0</v>
      </c>
      <c r="H790" s="74">
        <v>1.37</v>
      </c>
      <c r="I790" s="13" t="s">
        <v>1259</v>
      </c>
      <c r="J790" s="74" t="s">
        <v>1960</v>
      </c>
      <c r="T790" s="292" t="s">
        <v>1756</v>
      </c>
      <c r="U790" s="283" t="s">
        <v>1791</v>
      </c>
      <c r="V790" s="285" t="s">
        <v>1772</v>
      </c>
      <c r="W790" s="293" t="str">
        <f t="shared" ref="W790:X867" si="29">D790</f>
        <v>H17</v>
      </c>
      <c r="X790" s="284" t="str">
        <f t="shared" si="29"/>
        <v>CGG</v>
      </c>
      <c r="Y790" s="271" t="s">
        <v>2261</v>
      </c>
      <c r="Z790" s="283">
        <f t="shared" si="28"/>
        <v>3.7499999999999999E-2</v>
      </c>
      <c r="AA790" s="340">
        <f t="shared" si="28"/>
        <v>0</v>
      </c>
    </row>
    <row r="791" spans="1:34">
      <c r="A791" s="74" t="s">
        <v>1357</v>
      </c>
      <c r="B791" s="74" t="s">
        <v>2108</v>
      </c>
      <c r="C791" s="74" t="s">
        <v>2107</v>
      </c>
      <c r="D791" s="74" t="s">
        <v>1979</v>
      </c>
      <c r="E791" s="74" t="s">
        <v>1921</v>
      </c>
      <c r="F791" s="74">
        <v>3.7499999999999999E-2</v>
      </c>
      <c r="G791" s="74">
        <v>0</v>
      </c>
      <c r="H791" s="74">
        <v>1.37</v>
      </c>
      <c r="I791" s="13" t="s">
        <v>1259</v>
      </c>
      <c r="J791" s="74" t="s">
        <v>1959</v>
      </c>
      <c r="S791" s="265"/>
      <c r="T791" s="292" t="s">
        <v>1756</v>
      </c>
      <c r="U791" s="283" t="s">
        <v>1791</v>
      </c>
      <c r="V791" s="285" t="s">
        <v>1772</v>
      </c>
      <c r="W791" s="293" t="str">
        <f t="shared" si="29"/>
        <v>H17</v>
      </c>
      <c r="X791" s="284" t="str">
        <f t="shared" si="29"/>
        <v>CHG</v>
      </c>
      <c r="Y791" s="271" t="s">
        <v>2261</v>
      </c>
      <c r="Z791" s="283">
        <f t="shared" si="28"/>
        <v>3.7499999999999999E-2</v>
      </c>
      <c r="AA791" s="340">
        <f t="shared" si="28"/>
        <v>0</v>
      </c>
    </row>
    <row r="792" spans="1:34">
      <c r="A792" s="74" t="s">
        <v>1358</v>
      </c>
      <c r="B792" s="74" t="s">
        <v>2108</v>
      </c>
      <c r="C792" s="74" t="s">
        <v>2107</v>
      </c>
      <c r="D792" s="74" t="s">
        <v>1979</v>
      </c>
      <c r="E792" s="74" t="s">
        <v>1928</v>
      </c>
      <c r="F792" s="74">
        <v>1.8749999999999999E-2</v>
      </c>
      <c r="G792" s="74">
        <v>0</v>
      </c>
      <c r="H792" s="74">
        <v>1.37</v>
      </c>
      <c r="I792" s="13" t="s">
        <v>1259</v>
      </c>
      <c r="J792" s="74" t="s">
        <v>2410</v>
      </c>
      <c r="T792" s="292" t="s">
        <v>1756</v>
      </c>
      <c r="U792" s="283" t="s">
        <v>1791</v>
      </c>
      <c r="V792" s="285" t="s">
        <v>1772</v>
      </c>
      <c r="W792" s="293" t="str">
        <f t="shared" si="29"/>
        <v>H17</v>
      </c>
      <c r="X792" s="284" t="str">
        <f t="shared" si="29"/>
        <v>DGG</v>
      </c>
      <c r="Y792" s="271" t="s">
        <v>2262</v>
      </c>
      <c r="Z792" s="283">
        <f t="shared" si="28"/>
        <v>1.8749999999999999E-2</v>
      </c>
      <c r="AA792" s="340">
        <f t="shared" si="28"/>
        <v>0</v>
      </c>
      <c r="AC792" s="268"/>
      <c r="AD792" s="268"/>
      <c r="AE792" s="268"/>
      <c r="AF792" s="268"/>
      <c r="AG792" s="268"/>
      <c r="AH792" s="268"/>
    </row>
    <row r="793" spans="1:34">
      <c r="A793" s="74" t="s">
        <v>1359</v>
      </c>
      <c r="B793" s="74" t="s">
        <v>2108</v>
      </c>
      <c r="C793" s="74" t="s">
        <v>2107</v>
      </c>
      <c r="D793" s="74" t="s">
        <v>1979</v>
      </c>
      <c r="E793" s="74" t="s">
        <v>1932</v>
      </c>
      <c r="F793" s="74">
        <v>1.8749999999999999E-2</v>
      </c>
      <c r="G793" s="74">
        <v>0</v>
      </c>
      <c r="H793" s="74">
        <v>1.37</v>
      </c>
      <c r="I793" s="13" t="s">
        <v>1259</v>
      </c>
      <c r="J793" s="74" t="s">
        <v>2411</v>
      </c>
      <c r="T793" s="292" t="s">
        <v>1756</v>
      </c>
      <c r="U793" s="283" t="s">
        <v>1791</v>
      </c>
      <c r="V793" s="285" t="s">
        <v>1772</v>
      </c>
      <c r="W793" s="293" t="str">
        <f t="shared" si="29"/>
        <v>H17</v>
      </c>
      <c r="X793" s="284" t="str">
        <f t="shared" si="29"/>
        <v>DHG</v>
      </c>
      <c r="Y793" s="271" t="s">
        <v>2262</v>
      </c>
      <c r="Z793" s="283">
        <f t="shared" si="28"/>
        <v>1.8749999999999999E-2</v>
      </c>
      <c r="AA793" s="340">
        <f t="shared" si="28"/>
        <v>0</v>
      </c>
      <c r="AC793" s="268"/>
      <c r="AD793" s="268"/>
      <c r="AE793" s="268"/>
      <c r="AF793" s="268"/>
      <c r="AG793" s="268"/>
      <c r="AH793" s="268"/>
    </row>
    <row r="794" spans="1:34">
      <c r="A794" s="74" t="s">
        <v>1360</v>
      </c>
      <c r="B794" s="74" t="s">
        <v>2108</v>
      </c>
      <c r="C794" s="74" t="s">
        <v>2107</v>
      </c>
      <c r="D794" s="74" t="s">
        <v>2382</v>
      </c>
      <c r="E794" s="74" t="s">
        <v>1361</v>
      </c>
      <c r="F794" s="74">
        <v>2.5000000000000001E-2</v>
      </c>
      <c r="G794" s="74">
        <v>0</v>
      </c>
      <c r="H794" s="74">
        <v>1.37</v>
      </c>
      <c r="I794" s="13" t="s">
        <v>1259</v>
      </c>
      <c r="T794" s="292" t="s">
        <v>1756</v>
      </c>
      <c r="U794" s="283" t="s">
        <v>1791</v>
      </c>
      <c r="V794" s="285" t="s">
        <v>2394</v>
      </c>
      <c r="W794" s="293" t="str">
        <f t="shared" si="29"/>
        <v>H21</v>
      </c>
      <c r="X794" s="284" t="str">
        <f t="shared" si="29"/>
        <v>LHG</v>
      </c>
      <c r="Y794" s="271"/>
      <c r="Z794" s="283">
        <f t="shared" si="28"/>
        <v>2.5000000000000001E-2</v>
      </c>
      <c r="AA794" s="340">
        <f t="shared" si="28"/>
        <v>0</v>
      </c>
      <c r="AC794" s="268"/>
      <c r="AD794" s="268"/>
      <c r="AE794" s="268"/>
      <c r="AF794" s="268"/>
      <c r="AG794" s="268"/>
      <c r="AH794" s="268"/>
    </row>
    <row r="795" spans="1:34">
      <c r="A795" s="74" t="s">
        <v>1362</v>
      </c>
      <c r="B795" s="74" t="s">
        <v>2108</v>
      </c>
      <c r="C795" s="74" t="s">
        <v>2107</v>
      </c>
      <c r="D795" s="74" t="s">
        <v>2382</v>
      </c>
      <c r="E795" s="74" t="s">
        <v>1363</v>
      </c>
      <c r="F795" s="74">
        <v>1.2500000000000001E-2</v>
      </c>
      <c r="G795" s="74">
        <v>0</v>
      </c>
      <c r="H795" s="74">
        <v>1.37</v>
      </c>
      <c r="I795" s="13" t="s">
        <v>1259</v>
      </c>
      <c r="J795" s="74" t="s">
        <v>240</v>
      </c>
      <c r="T795" s="292" t="s">
        <v>1756</v>
      </c>
      <c r="U795" s="283" t="s">
        <v>1791</v>
      </c>
      <c r="V795" s="285" t="s">
        <v>2394</v>
      </c>
      <c r="W795" s="293" t="str">
        <f t="shared" si="29"/>
        <v>H21</v>
      </c>
      <c r="X795" s="284" t="str">
        <f t="shared" si="29"/>
        <v>LGG</v>
      </c>
      <c r="Y795" s="271"/>
      <c r="Z795" s="283">
        <f t="shared" si="28"/>
        <v>1.2500000000000001E-2</v>
      </c>
      <c r="AA795" s="340">
        <f t="shared" si="28"/>
        <v>0</v>
      </c>
      <c r="AC795" s="268"/>
      <c r="AD795" s="268"/>
      <c r="AE795" s="268"/>
      <c r="AF795" s="268"/>
      <c r="AG795" s="268"/>
      <c r="AH795" s="268"/>
    </row>
    <row r="796" spans="1:34" s="268" customFormat="1">
      <c r="A796" s="270" t="s">
        <v>1364</v>
      </c>
      <c r="B796" s="268" t="s">
        <v>2108</v>
      </c>
      <c r="C796" s="268" t="s">
        <v>2107</v>
      </c>
      <c r="D796" s="268" t="s">
        <v>2382</v>
      </c>
      <c r="E796" s="269" t="s">
        <v>1365</v>
      </c>
      <c r="F796" s="268">
        <v>1.2500000000000001E-2</v>
      </c>
      <c r="G796" s="268">
        <v>0</v>
      </c>
      <c r="H796" s="268">
        <v>1.37</v>
      </c>
      <c r="I796" s="267" t="s">
        <v>1259</v>
      </c>
      <c r="J796" s="269" t="s">
        <v>2261</v>
      </c>
      <c r="T796" s="292" t="s">
        <v>1756</v>
      </c>
      <c r="U796" s="283" t="s">
        <v>1791</v>
      </c>
      <c r="V796" s="285" t="s">
        <v>2394</v>
      </c>
      <c r="W796" s="293" t="str">
        <f t="shared" si="29"/>
        <v>H21</v>
      </c>
      <c r="X796" s="284" t="str">
        <f t="shared" si="29"/>
        <v>MHG</v>
      </c>
      <c r="Y796" s="271" t="s">
        <v>2261</v>
      </c>
      <c r="Z796" s="283">
        <f t="shared" si="28"/>
        <v>1.2500000000000001E-2</v>
      </c>
      <c r="AA796" s="340">
        <f t="shared" si="28"/>
        <v>0</v>
      </c>
    </row>
    <row r="797" spans="1:34" s="268" customFormat="1">
      <c r="A797" s="270" t="s">
        <v>1366</v>
      </c>
      <c r="B797" s="268" t="s">
        <v>2108</v>
      </c>
      <c r="C797" s="268" t="s">
        <v>2107</v>
      </c>
      <c r="D797" s="268" t="s">
        <v>2382</v>
      </c>
      <c r="E797" s="269" t="s">
        <v>1367</v>
      </c>
      <c r="F797" s="268">
        <v>1.2500000000000001E-2</v>
      </c>
      <c r="G797" s="268">
        <v>0</v>
      </c>
      <c r="H797" s="268">
        <v>1.37</v>
      </c>
      <c r="I797" s="267" t="s">
        <v>1259</v>
      </c>
      <c r="J797" s="269" t="s">
        <v>2391</v>
      </c>
      <c r="T797" s="292" t="s">
        <v>1756</v>
      </c>
      <c r="U797" s="283" t="s">
        <v>1791</v>
      </c>
      <c r="V797" s="285" t="s">
        <v>2394</v>
      </c>
      <c r="W797" s="293" t="str">
        <f t="shared" si="29"/>
        <v>H21</v>
      </c>
      <c r="X797" s="284" t="str">
        <f t="shared" si="29"/>
        <v>MGG</v>
      </c>
      <c r="Y797" s="271" t="s">
        <v>2261</v>
      </c>
      <c r="Z797" s="283">
        <f t="shared" si="28"/>
        <v>1.2500000000000001E-2</v>
      </c>
      <c r="AA797" s="340">
        <f t="shared" si="28"/>
        <v>0</v>
      </c>
    </row>
    <row r="798" spans="1:34">
      <c r="A798" s="275" t="s">
        <v>1368</v>
      </c>
      <c r="B798" s="74" t="s">
        <v>2108</v>
      </c>
      <c r="C798" s="74" t="s">
        <v>2107</v>
      </c>
      <c r="D798" s="74" t="s">
        <v>2382</v>
      </c>
      <c r="E798" s="74" t="s">
        <v>1369</v>
      </c>
      <c r="F798" s="74">
        <v>6.2500000000000003E-3</v>
      </c>
      <c r="G798" s="74">
        <v>0</v>
      </c>
      <c r="H798" s="74">
        <v>1.37</v>
      </c>
      <c r="I798" s="13" t="s">
        <v>1259</v>
      </c>
      <c r="J798" t="s">
        <v>2262</v>
      </c>
      <c r="T798" s="292" t="s">
        <v>1756</v>
      </c>
      <c r="U798" s="283" t="s">
        <v>1791</v>
      </c>
      <c r="V798" s="285" t="s">
        <v>2394</v>
      </c>
      <c r="W798" s="293" t="str">
        <f t="shared" si="29"/>
        <v>H21</v>
      </c>
      <c r="X798" s="284" t="str">
        <f t="shared" si="29"/>
        <v>RHG</v>
      </c>
      <c r="Y798" s="271" t="s">
        <v>2262</v>
      </c>
      <c r="Z798" s="283">
        <f t="shared" si="28"/>
        <v>6.2500000000000003E-3</v>
      </c>
      <c r="AA798" s="340">
        <f t="shared" si="28"/>
        <v>0</v>
      </c>
      <c r="AC798" s="268"/>
      <c r="AD798" s="268"/>
      <c r="AE798" s="268"/>
      <c r="AF798" s="268"/>
      <c r="AG798" s="268"/>
      <c r="AH798" s="268"/>
    </row>
    <row r="799" spans="1:34">
      <c r="A799" s="275" t="s">
        <v>1370</v>
      </c>
      <c r="B799" s="74" t="s">
        <v>2108</v>
      </c>
      <c r="C799" s="74" t="s">
        <v>2107</v>
      </c>
      <c r="D799" s="74" t="s">
        <v>2382</v>
      </c>
      <c r="E799" s="74" t="s">
        <v>1371</v>
      </c>
      <c r="F799" s="74">
        <v>6.2500000000000003E-3</v>
      </c>
      <c r="G799" s="74">
        <v>0</v>
      </c>
      <c r="H799" s="74">
        <v>1.37</v>
      </c>
      <c r="I799" s="13" t="s">
        <v>1259</v>
      </c>
      <c r="J799" t="s">
        <v>2386</v>
      </c>
      <c r="T799" s="292" t="s">
        <v>1756</v>
      </c>
      <c r="U799" s="283" t="s">
        <v>1791</v>
      </c>
      <c r="V799" s="285" t="s">
        <v>2394</v>
      </c>
      <c r="W799" s="293" t="str">
        <f t="shared" si="29"/>
        <v>H21</v>
      </c>
      <c r="X799" s="284" t="str">
        <f t="shared" si="29"/>
        <v>RGG</v>
      </c>
      <c r="Y799" s="271" t="s">
        <v>2262</v>
      </c>
      <c r="Z799" s="283">
        <f t="shared" si="28"/>
        <v>6.2500000000000003E-3</v>
      </c>
      <c r="AA799" s="340">
        <f t="shared" si="28"/>
        <v>0</v>
      </c>
      <c r="AC799" s="268"/>
      <c r="AD799" s="268"/>
      <c r="AE799" s="268"/>
      <c r="AF799" s="268"/>
      <c r="AG799" s="268"/>
      <c r="AH799" s="268"/>
    </row>
    <row r="800" spans="1:34">
      <c r="A800" s="275" t="s">
        <v>1372</v>
      </c>
      <c r="B800" s="74" t="s">
        <v>2108</v>
      </c>
      <c r="C800" s="74" t="s">
        <v>2107</v>
      </c>
      <c r="D800" s="74" t="s">
        <v>2382</v>
      </c>
      <c r="E800" s="74" t="s">
        <v>1373</v>
      </c>
      <c r="F800" s="74">
        <v>2.2499999999999999E-2</v>
      </c>
      <c r="G800" s="74">
        <v>0</v>
      </c>
      <c r="H800" s="74">
        <v>1.37</v>
      </c>
      <c r="I800" s="13" t="s">
        <v>1259</v>
      </c>
      <c r="J800" t="s">
        <v>1943</v>
      </c>
      <c r="T800" s="292" t="s">
        <v>1760</v>
      </c>
      <c r="U800" s="283" t="s">
        <v>1267</v>
      </c>
      <c r="V800" s="285" t="s">
        <v>2394</v>
      </c>
      <c r="W800" s="293" t="s">
        <v>2382</v>
      </c>
      <c r="X800" s="284" t="s">
        <v>1373</v>
      </c>
      <c r="Y800" s="271" t="s">
        <v>1762</v>
      </c>
      <c r="Z800" s="283">
        <v>2.2499999999999999E-2</v>
      </c>
      <c r="AA800" s="340">
        <v>0</v>
      </c>
      <c r="AC800" s="268"/>
      <c r="AD800" s="268"/>
      <c r="AE800" s="268"/>
      <c r="AF800" s="268"/>
      <c r="AG800" s="268"/>
      <c r="AH800" s="268"/>
    </row>
    <row r="801" spans="1:34">
      <c r="A801" s="275" t="s">
        <v>1374</v>
      </c>
      <c r="B801" s="74" t="s">
        <v>2108</v>
      </c>
      <c r="C801" s="74" t="s">
        <v>2107</v>
      </c>
      <c r="D801" s="74" t="s">
        <v>2382</v>
      </c>
      <c r="E801" s="74" t="s">
        <v>1375</v>
      </c>
      <c r="F801" s="74">
        <v>2.2499999999999999E-2</v>
      </c>
      <c r="G801" s="74">
        <v>0</v>
      </c>
      <c r="H801" s="74">
        <v>1.37</v>
      </c>
      <c r="I801" s="13" t="s">
        <v>1259</v>
      </c>
      <c r="J801" t="s">
        <v>1944</v>
      </c>
      <c r="T801" s="292" t="s">
        <v>1760</v>
      </c>
      <c r="U801" s="283" t="s">
        <v>1267</v>
      </c>
      <c r="V801" s="285" t="s">
        <v>2394</v>
      </c>
      <c r="W801" s="293" t="s">
        <v>2382</v>
      </c>
      <c r="X801" s="284" t="s">
        <v>1375</v>
      </c>
      <c r="Y801" s="271" t="s">
        <v>1762</v>
      </c>
      <c r="Z801" s="283">
        <v>2.2499999999999999E-2</v>
      </c>
      <c r="AA801" s="340">
        <v>0</v>
      </c>
      <c r="AC801" s="268"/>
      <c r="AD801" s="268"/>
      <c r="AE801" s="268"/>
      <c r="AF801" s="268"/>
      <c r="AG801" s="268"/>
      <c r="AH801" s="268"/>
    </row>
    <row r="802" spans="1:34" s="268" customFormat="1">
      <c r="A802" s="270" t="s">
        <v>1376</v>
      </c>
      <c r="B802" s="268" t="s">
        <v>2108</v>
      </c>
      <c r="C802" s="268" t="s">
        <v>2107</v>
      </c>
      <c r="D802" s="268" t="s">
        <v>2390</v>
      </c>
      <c r="E802" s="269" t="s">
        <v>1377</v>
      </c>
      <c r="F802" s="268">
        <v>2.5000000000000001E-2</v>
      </c>
      <c r="G802" s="268">
        <v>0</v>
      </c>
      <c r="H802" s="268">
        <v>1.37</v>
      </c>
      <c r="I802" s="267" t="s">
        <v>1259</v>
      </c>
      <c r="J802" s="269"/>
      <c r="T802" s="292" t="s">
        <v>1756</v>
      </c>
      <c r="U802" s="283" t="s">
        <v>1791</v>
      </c>
      <c r="V802" s="285" t="s">
        <v>2394</v>
      </c>
      <c r="W802" s="293" t="str">
        <f t="shared" si="29"/>
        <v>H22</v>
      </c>
      <c r="X802" s="284" t="str">
        <f t="shared" si="29"/>
        <v>SHG</v>
      </c>
      <c r="Y802" s="271"/>
      <c r="Z802" s="283">
        <f t="shared" si="28"/>
        <v>2.5000000000000001E-2</v>
      </c>
      <c r="AA802" s="340">
        <f t="shared" si="28"/>
        <v>0</v>
      </c>
    </row>
    <row r="803" spans="1:34" s="268" customFormat="1">
      <c r="A803" s="270" t="s">
        <v>1378</v>
      </c>
      <c r="B803" s="268" t="s">
        <v>2108</v>
      </c>
      <c r="C803" s="268" t="s">
        <v>2107</v>
      </c>
      <c r="D803" s="268" t="s">
        <v>2390</v>
      </c>
      <c r="E803" s="269" t="s">
        <v>1379</v>
      </c>
      <c r="F803" s="268">
        <v>1.2500000000000001E-2</v>
      </c>
      <c r="G803" s="268">
        <v>0</v>
      </c>
      <c r="H803" s="268">
        <v>1.37</v>
      </c>
      <c r="I803" s="267" t="s">
        <v>1259</v>
      </c>
      <c r="J803" s="269" t="s">
        <v>240</v>
      </c>
      <c r="T803" s="292" t="s">
        <v>1756</v>
      </c>
      <c r="U803" s="283" t="s">
        <v>1791</v>
      </c>
      <c r="V803" s="285" t="s">
        <v>2394</v>
      </c>
      <c r="W803" s="293" t="str">
        <f t="shared" si="29"/>
        <v>H22</v>
      </c>
      <c r="X803" s="284" t="str">
        <f t="shared" si="29"/>
        <v>SGG</v>
      </c>
      <c r="Y803" s="271"/>
      <c r="Z803" s="283">
        <f t="shared" si="28"/>
        <v>1.2500000000000001E-2</v>
      </c>
      <c r="AA803" s="340">
        <f t="shared" si="28"/>
        <v>0</v>
      </c>
    </row>
    <row r="804" spans="1:34">
      <c r="A804" s="275" t="s">
        <v>1380</v>
      </c>
      <c r="B804" s="74" t="s">
        <v>2108</v>
      </c>
      <c r="C804" s="74" t="s">
        <v>2107</v>
      </c>
      <c r="D804" s="74" t="s">
        <v>2390</v>
      </c>
      <c r="E804" s="74" t="s">
        <v>1381</v>
      </c>
      <c r="F804" s="74">
        <v>2.2499999999999999E-2</v>
      </c>
      <c r="G804" s="74">
        <v>0</v>
      </c>
      <c r="H804" s="74">
        <v>1.37</v>
      </c>
      <c r="I804" s="13" t="s">
        <v>1259</v>
      </c>
      <c r="J804" t="s">
        <v>1943</v>
      </c>
      <c r="T804" s="292" t="s">
        <v>1760</v>
      </c>
      <c r="U804" s="283" t="s">
        <v>1267</v>
      </c>
      <c r="V804" s="285" t="s">
        <v>2394</v>
      </c>
      <c r="W804" s="293" t="s">
        <v>2390</v>
      </c>
      <c r="X804" s="284" t="s">
        <v>1381</v>
      </c>
      <c r="Y804" s="271" t="s">
        <v>1762</v>
      </c>
      <c r="Z804" s="283">
        <v>2.2499999999999999E-2</v>
      </c>
      <c r="AA804" s="340">
        <v>0</v>
      </c>
      <c r="AC804" s="268"/>
      <c r="AD804" s="268"/>
      <c r="AE804" s="268"/>
      <c r="AF804" s="268"/>
      <c r="AG804" s="268"/>
      <c r="AH804" s="268"/>
    </row>
    <row r="805" spans="1:34">
      <c r="A805" s="275" t="s">
        <v>1382</v>
      </c>
      <c r="B805" s="74" t="s">
        <v>2108</v>
      </c>
      <c r="C805" s="74" t="s">
        <v>2107</v>
      </c>
      <c r="D805" s="74" t="s">
        <v>2390</v>
      </c>
      <c r="E805" s="74" t="s">
        <v>1383</v>
      </c>
      <c r="F805" s="74">
        <v>2.2499999999999999E-2</v>
      </c>
      <c r="G805" s="74">
        <v>0</v>
      </c>
      <c r="H805" s="74">
        <v>1.37</v>
      </c>
      <c r="I805" s="13" t="s">
        <v>1259</v>
      </c>
      <c r="J805" t="s">
        <v>1944</v>
      </c>
      <c r="T805" s="292" t="s">
        <v>1760</v>
      </c>
      <c r="U805" s="283" t="s">
        <v>1267</v>
      </c>
      <c r="V805" s="285" t="s">
        <v>2394</v>
      </c>
      <c r="W805" s="293" t="s">
        <v>2390</v>
      </c>
      <c r="X805" s="284" t="s">
        <v>1383</v>
      </c>
      <c r="Y805" s="271" t="s">
        <v>1762</v>
      </c>
      <c r="Z805" s="283">
        <v>2.2499999999999999E-2</v>
      </c>
      <c r="AA805" s="340">
        <v>0</v>
      </c>
      <c r="AC805" s="268"/>
      <c r="AD805" s="268"/>
      <c r="AE805" s="268"/>
      <c r="AF805" s="268"/>
      <c r="AG805" s="268"/>
      <c r="AH805" s="268"/>
    </row>
    <row r="806" spans="1:34">
      <c r="A806" s="275" t="s">
        <v>1384</v>
      </c>
      <c r="B806" s="74" t="s">
        <v>2115</v>
      </c>
      <c r="C806" s="74" t="s">
        <v>2114</v>
      </c>
      <c r="D806" s="74" t="s">
        <v>2456</v>
      </c>
      <c r="E806" s="74" t="s">
        <v>2457</v>
      </c>
      <c r="F806" s="74">
        <v>2.1800000000000002</v>
      </c>
      <c r="G806" s="74">
        <v>0</v>
      </c>
      <c r="H806" s="74">
        <v>2.3199999999999998</v>
      </c>
      <c r="I806" s="13" t="s">
        <v>232</v>
      </c>
      <c r="J806"/>
      <c r="T806" s="292" t="s">
        <v>1961</v>
      </c>
      <c r="U806" s="283" t="s">
        <v>1757</v>
      </c>
      <c r="V806" s="283" t="s">
        <v>2420</v>
      </c>
      <c r="W806" s="293" t="str">
        <f t="shared" si="29"/>
        <v>S50前</v>
      </c>
      <c r="X806" s="284" t="str">
        <f t="shared" si="29"/>
        <v>-</v>
      </c>
      <c r="Y806" s="271"/>
      <c r="Z806" s="283">
        <f t="shared" si="28"/>
        <v>2.1800000000000002</v>
      </c>
      <c r="AA806" s="340">
        <f t="shared" si="28"/>
        <v>0</v>
      </c>
      <c r="AC806" s="268"/>
      <c r="AD806" s="268"/>
      <c r="AE806" s="268"/>
      <c r="AF806" s="268"/>
      <c r="AG806" s="268"/>
      <c r="AH806" s="268"/>
    </row>
    <row r="807" spans="1:34">
      <c r="A807" s="275" t="s">
        <v>1385</v>
      </c>
      <c r="B807" s="74" t="s">
        <v>2115</v>
      </c>
      <c r="C807" s="74" t="s">
        <v>2114</v>
      </c>
      <c r="D807" s="74" t="s">
        <v>2459</v>
      </c>
      <c r="E807" s="74" t="s">
        <v>35</v>
      </c>
      <c r="F807" s="74">
        <v>1.2</v>
      </c>
      <c r="G807" s="74">
        <v>0</v>
      </c>
      <c r="H807" s="74">
        <v>2.3199999999999998</v>
      </c>
      <c r="I807" s="13" t="s">
        <v>232</v>
      </c>
      <c r="J807"/>
      <c r="T807" s="292" t="s">
        <v>1961</v>
      </c>
      <c r="U807" s="283" t="s">
        <v>1757</v>
      </c>
      <c r="V807" s="283" t="s">
        <v>2420</v>
      </c>
      <c r="W807" s="293" t="str">
        <f t="shared" si="29"/>
        <v>S50</v>
      </c>
      <c r="X807" s="284" t="str">
        <f t="shared" si="29"/>
        <v>A</v>
      </c>
      <c r="Y807" s="271"/>
      <c r="Z807" s="283">
        <f t="shared" si="28"/>
        <v>1.2</v>
      </c>
      <c r="AA807" s="340">
        <f t="shared" si="28"/>
        <v>0</v>
      </c>
      <c r="AC807" s="268"/>
      <c r="AD807" s="268"/>
      <c r="AE807" s="268"/>
      <c r="AF807" s="268"/>
      <c r="AG807" s="268"/>
      <c r="AH807" s="268"/>
    </row>
    <row r="808" spans="1:34" s="268" customFormat="1">
      <c r="A808" s="270" t="s">
        <v>1386</v>
      </c>
      <c r="B808" s="268" t="s">
        <v>2115</v>
      </c>
      <c r="C808" s="268" t="s">
        <v>2114</v>
      </c>
      <c r="D808" s="268" t="s">
        <v>37</v>
      </c>
      <c r="E808" s="269" t="s">
        <v>46</v>
      </c>
      <c r="F808" s="268">
        <v>0.6</v>
      </c>
      <c r="G808" s="268">
        <v>0</v>
      </c>
      <c r="H808" s="268">
        <v>2.3199999999999998</v>
      </c>
      <c r="I808" s="267" t="s">
        <v>232</v>
      </c>
      <c r="J808" s="269"/>
      <c r="T808" s="292" t="s">
        <v>1961</v>
      </c>
      <c r="U808" s="283" t="s">
        <v>1757</v>
      </c>
      <c r="V808" s="283" t="s">
        <v>2420</v>
      </c>
      <c r="W808" s="293" t="str">
        <f t="shared" si="29"/>
        <v>S51</v>
      </c>
      <c r="X808" s="284" t="str">
        <f t="shared" si="29"/>
        <v>B</v>
      </c>
      <c r="Y808" s="271"/>
      <c r="Z808" s="283">
        <f t="shared" si="28"/>
        <v>0.6</v>
      </c>
      <c r="AA808" s="340">
        <f t="shared" si="28"/>
        <v>0</v>
      </c>
    </row>
    <row r="809" spans="1:34" s="268" customFormat="1">
      <c r="A809" s="270" t="s">
        <v>1387</v>
      </c>
      <c r="B809" s="268" t="s">
        <v>2115</v>
      </c>
      <c r="C809" s="268" t="s">
        <v>2114</v>
      </c>
      <c r="D809" s="268" t="s">
        <v>37</v>
      </c>
      <c r="E809" s="269" t="s">
        <v>47</v>
      </c>
      <c r="F809" s="268">
        <v>0.6</v>
      </c>
      <c r="G809" s="268">
        <v>0</v>
      </c>
      <c r="H809" s="268">
        <v>2.3199999999999998</v>
      </c>
      <c r="I809" s="267" t="s">
        <v>232</v>
      </c>
      <c r="J809" s="269"/>
      <c r="T809" s="292" t="s">
        <v>1961</v>
      </c>
      <c r="U809" s="283" t="s">
        <v>1757</v>
      </c>
      <c r="V809" s="283" t="s">
        <v>2420</v>
      </c>
      <c r="W809" s="293" t="str">
        <f t="shared" si="29"/>
        <v>S51</v>
      </c>
      <c r="X809" s="284" t="str">
        <f t="shared" si="29"/>
        <v>C</v>
      </c>
      <c r="Y809" s="271"/>
      <c r="Z809" s="283">
        <f t="shared" si="28"/>
        <v>0.6</v>
      </c>
      <c r="AA809" s="340">
        <f t="shared" si="28"/>
        <v>0</v>
      </c>
    </row>
    <row r="810" spans="1:34" s="250" customFormat="1">
      <c r="A810" s="250" t="s">
        <v>1388</v>
      </c>
      <c r="B810" s="250" t="s">
        <v>2115</v>
      </c>
      <c r="C810" s="250" t="s">
        <v>2114</v>
      </c>
      <c r="D810" s="251" t="s">
        <v>38</v>
      </c>
      <c r="E810" s="251" t="s">
        <v>48</v>
      </c>
      <c r="F810" s="250">
        <v>0.25</v>
      </c>
      <c r="G810" s="250">
        <v>0</v>
      </c>
      <c r="H810" s="74">
        <v>2.3199999999999998</v>
      </c>
      <c r="I810" s="252" t="s">
        <v>232</v>
      </c>
      <c r="T810" s="292" t="s">
        <v>1961</v>
      </c>
      <c r="U810" s="283" t="s">
        <v>1757</v>
      </c>
      <c r="V810" s="283" t="s">
        <v>2420</v>
      </c>
      <c r="W810" s="293" t="str">
        <f t="shared" si="29"/>
        <v>S53,H10</v>
      </c>
      <c r="X810" s="284" t="str">
        <f t="shared" si="29"/>
        <v>E</v>
      </c>
      <c r="Y810" s="271"/>
      <c r="Z810" s="283">
        <f t="shared" si="28"/>
        <v>0.25</v>
      </c>
      <c r="AA810" s="340">
        <f t="shared" si="28"/>
        <v>0</v>
      </c>
    </row>
    <row r="811" spans="1:34" s="268" customFormat="1">
      <c r="A811" s="270" t="s">
        <v>1389</v>
      </c>
      <c r="B811" s="268" t="s">
        <v>2115</v>
      </c>
      <c r="C811" s="268" t="s">
        <v>2114</v>
      </c>
      <c r="D811" s="269" t="s">
        <v>38</v>
      </c>
      <c r="E811" s="269" t="s">
        <v>53</v>
      </c>
      <c r="F811" s="268">
        <v>0.25</v>
      </c>
      <c r="G811" s="268">
        <v>0</v>
      </c>
      <c r="H811" s="268">
        <v>2.3199999999999998</v>
      </c>
      <c r="I811" s="267" t="s">
        <v>232</v>
      </c>
      <c r="T811" s="292" t="s">
        <v>1961</v>
      </c>
      <c r="U811" s="283" t="s">
        <v>1757</v>
      </c>
      <c r="V811" s="283" t="s">
        <v>2420</v>
      </c>
      <c r="W811" s="293" t="str">
        <f t="shared" si="29"/>
        <v>S53,H10</v>
      </c>
      <c r="X811" s="284" t="str">
        <f t="shared" si="29"/>
        <v>GF</v>
      </c>
      <c r="Y811" s="271"/>
      <c r="Z811" s="283">
        <f t="shared" si="28"/>
        <v>0.25</v>
      </c>
      <c r="AA811" s="340">
        <f t="shared" si="28"/>
        <v>0</v>
      </c>
    </row>
    <row r="812" spans="1:34" s="250" customFormat="1">
      <c r="A812" s="250" t="s">
        <v>1390</v>
      </c>
      <c r="B812" s="250" t="s">
        <v>2115</v>
      </c>
      <c r="C812" s="250" t="s">
        <v>2114</v>
      </c>
      <c r="D812" s="251" t="s">
        <v>38</v>
      </c>
      <c r="E812" s="251" t="s">
        <v>61</v>
      </c>
      <c r="F812" s="250">
        <v>0.125</v>
      </c>
      <c r="G812" s="250">
        <v>0</v>
      </c>
      <c r="H812" s="74">
        <v>2.3199999999999998</v>
      </c>
      <c r="I812" s="252" t="s">
        <v>239</v>
      </c>
      <c r="J812" s="251" t="s">
        <v>240</v>
      </c>
      <c r="T812" s="292" t="s">
        <v>1961</v>
      </c>
      <c r="U812" s="283" t="s">
        <v>1757</v>
      </c>
      <c r="V812" s="283" t="s">
        <v>2420</v>
      </c>
      <c r="W812" s="293" t="str">
        <f t="shared" si="29"/>
        <v>S53,H10</v>
      </c>
      <c r="X812" s="284" t="str">
        <f t="shared" si="29"/>
        <v>HK</v>
      </c>
      <c r="Y812" s="271"/>
      <c r="Z812" s="283">
        <f t="shared" si="28"/>
        <v>0.125</v>
      </c>
      <c r="AA812" s="340">
        <f t="shared" si="28"/>
        <v>0</v>
      </c>
    </row>
    <row r="813" spans="1:34" s="268" customFormat="1">
      <c r="A813" s="270" t="s">
        <v>1391</v>
      </c>
      <c r="B813" s="268" t="s">
        <v>2115</v>
      </c>
      <c r="C813" s="268" t="s">
        <v>2114</v>
      </c>
      <c r="D813" s="269" t="s">
        <v>15</v>
      </c>
      <c r="E813" s="269" t="s">
        <v>55</v>
      </c>
      <c r="F813" s="268">
        <v>0.08</v>
      </c>
      <c r="G813" s="268">
        <v>0</v>
      </c>
      <c r="H813" s="268">
        <v>2.3199999999999998</v>
      </c>
      <c r="I813" s="267" t="s">
        <v>232</v>
      </c>
      <c r="J813" s="269"/>
      <c r="T813" s="292" t="s">
        <v>1961</v>
      </c>
      <c r="U813" s="283" t="s">
        <v>1757</v>
      </c>
      <c r="V813" s="283" t="s">
        <v>2420</v>
      </c>
      <c r="W813" s="293" t="str">
        <f t="shared" si="29"/>
        <v>H12</v>
      </c>
      <c r="X813" s="284" t="str">
        <f t="shared" si="29"/>
        <v>GH</v>
      </c>
      <c r="Y813" s="271"/>
      <c r="Z813" s="283">
        <f t="shared" si="28"/>
        <v>0.08</v>
      </c>
      <c r="AA813" s="340">
        <f t="shared" si="28"/>
        <v>0</v>
      </c>
    </row>
    <row r="814" spans="1:34" s="268" customFormat="1">
      <c r="A814" s="268" t="s">
        <v>1392</v>
      </c>
      <c r="B814" s="268" t="s">
        <v>2115</v>
      </c>
      <c r="C814" s="268" t="s">
        <v>2114</v>
      </c>
      <c r="D814" s="269" t="s">
        <v>15</v>
      </c>
      <c r="E814" s="269" t="s">
        <v>63</v>
      </c>
      <c r="F814" s="268">
        <v>0.04</v>
      </c>
      <c r="G814" s="268">
        <v>0</v>
      </c>
      <c r="H814" s="268">
        <v>2.3199999999999998</v>
      </c>
      <c r="I814" s="267" t="s">
        <v>239</v>
      </c>
      <c r="J814" s="269" t="s">
        <v>240</v>
      </c>
      <c r="T814" s="292" t="s">
        <v>1961</v>
      </c>
      <c r="U814" s="283" t="s">
        <v>1757</v>
      </c>
      <c r="V814" s="283" t="s">
        <v>2420</v>
      </c>
      <c r="W814" s="293" t="str">
        <f t="shared" si="29"/>
        <v>H12</v>
      </c>
      <c r="X814" s="284" t="str">
        <f t="shared" si="29"/>
        <v>HN</v>
      </c>
      <c r="Y814" s="271"/>
      <c r="Z814" s="283">
        <f t="shared" si="28"/>
        <v>0.04</v>
      </c>
      <c r="AA814" s="340">
        <f t="shared" si="28"/>
        <v>0</v>
      </c>
    </row>
    <row r="815" spans="1:34" s="268" customFormat="1">
      <c r="A815" s="270" t="s">
        <v>1393</v>
      </c>
      <c r="B815" s="268" t="s">
        <v>2115</v>
      </c>
      <c r="C815" s="268" t="s">
        <v>2114</v>
      </c>
      <c r="D815" s="269" t="s">
        <v>15</v>
      </c>
      <c r="E815" s="269" t="s">
        <v>79</v>
      </c>
      <c r="F815" s="268">
        <v>0.06</v>
      </c>
      <c r="G815" s="268">
        <v>0</v>
      </c>
      <c r="H815" s="268">
        <v>2.3199999999999998</v>
      </c>
      <c r="I815" s="267" t="s">
        <v>232</v>
      </c>
      <c r="J815" s="269" t="s">
        <v>244</v>
      </c>
      <c r="T815" s="292" t="s">
        <v>1961</v>
      </c>
      <c r="U815" s="283" t="s">
        <v>1757</v>
      </c>
      <c r="V815" s="283" t="s">
        <v>2420</v>
      </c>
      <c r="W815" s="293" t="str">
        <f t="shared" si="29"/>
        <v>H12</v>
      </c>
      <c r="X815" s="284" t="str">
        <f t="shared" si="29"/>
        <v>TA</v>
      </c>
      <c r="Y815" s="271" t="s">
        <v>1765</v>
      </c>
      <c r="Z815" s="283">
        <f t="shared" si="28"/>
        <v>0.06</v>
      </c>
      <c r="AA815" s="340">
        <f t="shared" si="28"/>
        <v>0</v>
      </c>
    </row>
    <row r="816" spans="1:34" s="250" customFormat="1">
      <c r="A816" s="250" t="s">
        <v>1394</v>
      </c>
      <c r="B816" s="250" t="s">
        <v>2115</v>
      </c>
      <c r="C816" s="250" t="s">
        <v>2114</v>
      </c>
      <c r="D816" s="251" t="s">
        <v>15</v>
      </c>
      <c r="E816" s="251" t="s">
        <v>93</v>
      </c>
      <c r="F816" s="250">
        <v>0.06</v>
      </c>
      <c r="G816" s="250">
        <v>0</v>
      </c>
      <c r="H816" s="74">
        <v>2.3199999999999998</v>
      </c>
      <c r="I816" s="13" t="s">
        <v>239</v>
      </c>
      <c r="J816" s="251" t="s">
        <v>2134</v>
      </c>
      <c r="T816" s="292" t="s">
        <v>1961</v>
      </c>
      <c r="U816" s="283" t="s">
        <v>1757</v>
      </c>
      <c r="V816" s="283" t="s">
        <v>2420</v>
      </c>
      <c r="W816" s="293" t="str">
        <f t="shared" si="29"/>
        <v>H12</v>
      </c>
      <c r="X816" s="284" t="str">
        <f t="shared" si="29"/>
        <v>XA</v>
      </c>
      <c r="Y816" s="271" t="s">
        <v>1765</v>
      </c>
      <c r="Z816" s="283">
        <f t="shared" si="28"/>
        <v>0.06</v>
      </c>
      <c r="AA816" s="340">
        <f t="shared" si="28"/>
        <v>0</v>
      </c>
    </row>
    <row r="817" spans="1:34" s="268" customFormat="1">
      <c r="A817" s="270" t="s">
        <v>1395</v>
      </c>
      <c r="B817" s="268" t="s">
        <v>2115</v>
      </c>
      <c r="C817" s="268" t="s">
        <v>2114</v>
      </c>
      <c r="D817" s="269" t="s">
        <v>15</v>
      </c>
      <c r="E817" s="269" t="s">
        <v>70</v>
      </c>
      <c r="F817" s="268">
        <v>0.04</v>
      </c>
      <c r="G817" s="268">
        <v>0</v>
      </c>
      <c r="H817" s="268">
        <v>2.3199999999999998</v>
      </c>
      <c r="I817" s="267" t="s">
        <v>232</v>
      </c>
      <c r="J817" s="269" t="s">
        <v>247</v>
      </c>
      <c r="T817" s="292" t="s">
        <v>1961</v>
      </c>
      <c r="U817" s="283" t="s">
        <v>1757</v>
      </c>
      <c r="V817" s="283" t="s">
        <v>2420</v>
      </c>
      <c r="W817" s="293" t="str">
        <f t="shared" si="29"/>
        <v>H12</v>
      </c>
      <c r="X817" s="284" t="str">
        <f t="shared" si="29"/>
        <v>LA</v>
      </c>
      <c r="Y817" s="271" t="s">
        <v>1766</v>
      </c>
      <c r="Z817" s="283">
        <f t="shared" si="28"/>
        <v>0.04</v>
      </c>
      <c r="AA817" s="340">
        <f t="shared" si="28"/>
        <v>0</v>
      </c>
    </row>
    <row r="818" spans="1:34" s="250" customFormat="1">
      <c r="A818" s="250" t="s">
        <v>1396</v>
      </c>
      <c r="B818" s="250" t="s">
        <v>2115</v>
      </c>
      <c r="C818" s="250" t="s">
        <v>2114</v>
      </c>
      <c r="D818" s="251" t="s">
        <v>15</v>
      </c>
      <c r="E818" s="251" t="s">
        <v>97</v>
      </c>
      <c r="F818" s="250">
        <v>0.04</v>
      </c>
      <c r="G818" s="250">
        <v>0</v>
      </c>
      <c r="H818" s="74">
        <v>2.3199999999999998</v>
      </c>
      <c r="I818" s="13" t="s">
        <v>239</v>
      </c>
      <c r="J818" s="251" t="s">
        <v>2135</v>
      </c>
      <c r="T818" s="292" t="s">
        <v>1961</v>
      </c>
      <c r="U818" s="283" t="s">
        <v>1757</v>
      </c>
      <c r="V818" s="283" t="s">
        <v>2420</v>
      </c>
      <c r="W818" s="293" t="str">
        <f t="shared" si="29"/>
        <v>H12</v>
      </c>
      <c r="X818" s="284" t="str">
        <f t="shared" si="29"/>
        <v>YA</v>
      </c>
      <c r="Y818" s="271" t="s">
        <v>1766</v>
      </c>
      <c r="Z818" s="283">
        <f t="shared" si="28"/>
        <v>0.04</v>
      </c>
      <c r="AA818" s="340">
        <f t="shared" si="28"/>
        <v>0</v>
      </c>
    </row>
    <row r="819" spans="1:34" s="268" customFormat="1">
      <c r="A819" s="270" t="s">
        <v>1397</v>
      </c>
      <c r="B819" s="268" t="s">
        <v>2115</v>
      </c>
      <c r="C819" s="268" t="s">
        <v>2114</v>
      </c>
      <c r="D819" s="269" t="s">
        <v>15</v>
      </c>
      <c r="E819" s="269" t="s">
        <v>86</v>
      </c>
      <c r="F819" s="268">
        <v>0.02</v>
      </c>
      <c r="G819" s="268">
        <v>0</v>
      </c>
      <c r="H819" s="268">
        <v>2.3199999999999998</v>
      </c>
      <c r="I819" s="267" t="s">
        <v>232</v>
      </c>
      <c r="J819" s="269" t="s">
        <v>250</v>
      </c>
      <c r="T819" s="292" t="s">
        <v>1961</v>
      </c>
      <c r="U819" s="283" t="s">
        <v>1757</v>
      </c>
      <c r="V819" s="283" t="s">
        <v>2420</v>
      </c>
      <c r="W819" s="293" t="str">
        <f t="shared" si="29"/>
        <v>H12</v>
      </c>
      <c r="X819" s="284" t="str">
        <f t="shared" si="29"/>
        <v>UA</v>
      </c>
      <c r="Y819" s="271" t="s">
        <v>1767</v>
      </c>
      <c r="Z819" s="283">
        <f t="shared" si="28"/>
        <v>0.02</v>
      </c>
      <c r="AA819" s="340">
        <f t="shared" si="28"/>
        <v>0</v>
      </c>
    </row>
    <row r="820" spans="1:34" s="268" customFormat="1">
      <c r="A820" s="268" t="s">
        <v>1398</v>
      </c>
      <c r="B820" s="268" t="s">
        <v>2115</v>
      </c>
      <c r="C820" s="268" t="s">
        <v>2114</v>
      </c>
      <c r="D820" s="269" t="s">
        <v>15</v>
      </c>
      <c r="E820" s="269" t="s">
        <v>101</v>
      </c>
      <c r="F820" s="268">
        <v>0.02</v>
      </c>
      <c r="G820" s="268">
        <v>0</v>
      </c>
      <c r="H820" s="268">
        <v>2.3199999999999998</v>
      </c>
      <c r="I820" s="267" t="s">
        <v>239</v>
      </c>
      <c r="J820" s="269" t="s">
        <v>2136</v>
      </c>
      <c r="T820" s="292" t="s">
        <v>1961</v>
      </c>
      <c r="U820" s="283" t="s">
        <v>1757</v>
      </c>
      <c r="V820" s="283" t="s">
        <v>2420</v>
      </c>
      <c r="W820" s="293" t="str">
        <f t="shared" si="29"/>
        <v>H12</v>
      </c>
      <c r="X820" s="284" t="str">
        <f t="shared" si="29"/>
        <v>ZA</v>
      </c>
      <c r="Y820" s="271" t="s">
        <v>1767</v>
      </c>
      <c r="Z820" s="283">
        <f t="shared" si="28"/>
        <v>0.02</v>
      </c>
      <c r="AA820" s="340">
        <f t="shared" si="28"/>
        <v>0</v>
      </c>
    </row>
    <row r="821" spans="1:34" s="268" customFormat="1">
      <c r="A821" s="270" t="s">
        <v>1399</v>
      </c>
      <c r="B821" s="268" t="s">
        <v>2115</v>
      </c>
      <c r="C821" s="268" t="s">
        <v>2114</v>
      </c>
      <c r="D821" s="269" t="s">
        <v>1979</v>
      </c>
      <c r="E821" s="269" t="s">
        <v>1400</v>
      </c>
      <c r="F821" s="268">
        <v>0.05</v>
      </c>
      <c r="G821" s="268">
        <v>0</v>
      </c>
      <c r="H821" s="268">
        <v>2.3199999999999998</v>
      </c>
      <c r="I821" s="267" t="s">
        <v>232</v>
      </c>
      <c r="J821" s="269"/>
      <c r="T821" s="292" t="s">
        <v>1961</v>
      </c>
      <c r="U821" s="283" t="s">
        <v>1757</v>
      </c>
      <c r="V821" s="283" t="s">
        <v>2420</v>
      </c>
      <c r="W821" s="293" t="str">
        <f t="shared" si="29"/>
        <v>H17</v>
      </c>
      <c r="X821" s="284" t="str">
        <f t="shared" si="29"/>
        <v>ABA</v>
      </c>
      <c r="Y821" s="271"/>
      <c r="Z821" s="283">
        <f t="shared" si="28"/>
        <v>0.05</v>
      </c>
      <c r="AA821" s="340">
        <f t="shared" si="28"/>
        <v>0</v>
      </c>
    </row>
    <row r="822" spans="1:34" s="250" customFormat="1">
      <c r="A822" s="250" t="s">
        <v>1401</v>
      </c>
      <c r="B822" s="250" t="s">
        <v>2115</v>
      </c>
      <c r="C822" s="250" t="s">
        <v>2114</v>
      </c>
      <c r="D822" s="251" t="s">
        <v>1979</v>
      </c>
      <c r="E822" s="251" t="s">
        <v>1402</v>
      </c>
      <c r="F822" s="250">
        <v>2.5000000000000001E-2</v>
      </c>
      <c r="G822" s="250">
        <v>0</v>
      </c>
      <c r="H822" s="74">
        <v>2.3199999999999998</v>
      </c>
      <c r="I822" s="13" t="s">
        <v>239</v>
      </c>
      <c r="J822" s="251" t="s">
        <v>240</v>
      </c>
      <c r="T822" s="292" t="s">
        <v>1961</v>
      </c>
      <c r="U822" s="283" t="s">
        <v>1757</v>
      </c>
      <c r="V822" s="283" t="s">
        <v>2420</v>
      </c>
      <c r="W822" s="293" t="str">
        <f t="shared" si="29"/>
        <v>H17</v>
      </c>
      <c r="X822" s="284" t="str">
        <f t="shared" si="29"/>
        <v>AAA</v>
      </c>
      <c r="Y822" s="271"/>
      <c r="Z822" s="283">
        <f t="shared" si="28"/>
        <v>2.5000000000000001E-2</v>
      </c>
      <c r="AA822" s="340">
        <f t="shared" si="28"/>
        <v>0</v>
      </c>
    </row>
    <row r="823" spans="1:34" s="268" customFormat="1">
      <c r="A823" s="270" t="s">
        <v>1403</v>
      </c>
      <c r="B823" s="268" t="s">
        <v>2115</v>
      </c>
      <c r="C823" s="268" t="s">
        <v>2114</v>
      </c>
      <c r="D823" s="269" t="s">
        <v>1979</v>
      </c>
      <c r="E823" s="269" t="s">
        <v>1404</v>
      </c>
      <c r="F823" s="268">
        <v>1.2500000000000001E-2</v>
      </c>
      <c r="G823" s="268">
        <v>0</v>
      </c>
      <c r="H823" s="268">
        <v>2.3199999999999998</v>
      </c>
      <c r="I823" s="267" t="s">
        <v>1405</v>
      </c>
      <c r="J823" s="269" t="s">
        <v>1406</v>
      </c>
      <c r="T823" s="292" t="s">
        <v>1961</v>
      </c>
      <c r="U823" s="283" t="s">
        <v>1757</v>
      </c>
      <c r="V823" s="283" t="s">
        <v>2420</v>
      </c>
      <c r="W823" s="293" t="str">
        <f t="shared" si="29"/>
        <v>H17</v>
      </c>
      <c r="X823" s="284" t="str">
        <f t="shared" si="29"/>
        <v>ALA</v>
      </c>
      <c r="Y823" s="271"/>
      <c r="Z823" s="283">
        <f t="shared" si="28"/>
        <v>1.2500000000000001E-2</v>
      </c>
      <c r="AA823" s="340">
        <f t="shared" si="28"/>
        <v>0</v>
      </c>
    </row>
    <row r="824" spans="1:34" s="250" customFormat="1">
      <c r="A824" s="250" t="s">
        <v>1407</v>
      </c>
      <c r="B824" s="250" t="s">
        <v>2115</v>
      </c>
      <c r="C824" s="250" t="s">
        <v>2114</v>
      </c>
      <c r="D824" s="251" t="s">
        <v>1979</v>
      </c>
      <c r="E824" s="251" t="s">
        <v>2109</v>
      </c>
      <c r="F824" s="250">
        <v>2.5000000000000001E-2</v>
      </c>
      <c r="G824" s="250">
        <v>0</v>
      </c>
      <c r="H824" s="74">
        <v>2.3199999999999998</v>
      </c>
      <c r="I824" s="13" t="s">
        <v>239</v>
      </c>
      <c r="J824" s="251" t="s">
        <v>2136</v>
      </c>
      <c r="T824" s="292" t="s">
        <v>1961</v>
      </c>
      <c r="U824" s="283" t="s">
        <v>1757</v>
      </c>
      <c r="V824" s="283" t="s">
        <v>2420</v>
      </c>
      <c r="W824" s="293" t="str">
        <f t="shared" si="29"/>
        <v>H17</v>
      </c>
      <c r="X824" s="284" t="str">
        <f t="shared" si="29"/>
        <v>CAA</v>
      </c>
      <c r="Y824" s="271" t="s">
        <v>2261</v>
      </c>
      <c r="Z824" s="283">
        <f t="shared" si="28"/>
        <v>2.5000000000000001E-2</v>
      </c>
      <c r="AA824" s="340">
        <f t="shared" si="28"/>
        <v>0</v>
      </c>
      <c r="AC824" s="74"/>
      <c r="AD824" s="74"/>
      <c r="AE824" s="74"/>
      <c r="AF824" s="74"/>
      <c r="AG824" s="74"/>
      <c r="AH824" s="74"/>
    </row>
    <row r="825" spans="1:34" s="268" customFormat="1">
      <c r="A825" s="270" t="s">
        <v>1408</v>
      </c>
      <c r="B825" s="268" t="s">
        <v>2115</v>
      </c>
      <c r="C825" s="268" t="s">
        <v>2114</v>
      </c>
      <c r="D825" s="269" t="s">
        <v>1979</v>
      </c>
      <c r="E825" s="269" t="s">
        <v>2110</v>
      </c>
      <c r="F825" s="268">
        <v>2.5000000000000001E-2</v>
      </c>
      <c r="G825" s="268">
        <v>0</v>
      </c>
      <c r="H825" s="268">
        <v>2.3199999999999998</v>
      </c>
      <c r="I825" s="267" t="s">
        <v>260</v>
      </c>
      <c r="J825" s="269" t="s">
        <v>250</v>
      </c>
      <c r="T825" s="292" t="s">
        <v>1961</v>
      </c>
      <c r="U825" s="283" t="s">
        <v>1757</v>
      </c>
      <c r="V825" s="283" t="s">
        <v>2420</v>
      </c>
      <c r="W825" s="293" t="str">
        <f t="shared" si="29"/>
        <v>H17</v>
      </c>
      <c r="X825" s="284" t="str">
        <f t="shared" si="29"/>
        <v>CBA</v>
      </c>
      <c r="Y825" s="271" t="s">
        <v>2261</v>
      </c>
      <c r="Z825" s="283">
        <f t="shared" si="28"/>
        <v>2.5000000000000001E-2</v>
      </c>
      <c r="AA825" s="340">
        <f t="shared" si="28"/>
        <v>0</v>
      </c>
    </row>
    <row r="826" spans="1:34" s="268" customFormat="1">
      <c r="A826" s="268" t="s">
        <v>1409</v>
      </c>
      <c r="B826" s="268" t="s">
        <v>2115</v>
      </c>
      <c r="C826" s="268" t="s">
        <v>2114</v>
      </c>
      <c r="D826" s="269" t="s">
        <v>1979</v>
      </c>
      <c r="E826" s="269" t="s">
        <v>1410</v>
      </c>
      <c r="F826" s="268">
        <v>2.5000000000000001E-2</v>
      </c>
      <c r="G826" s="268">
        <v>0</v>
      </c>
      <c r="H826" s="268">
        <v>2.3199999999999998</v>
      </c>
      <c r="I826" s="267" t="s">
        <v>1405</v>
      </c>
      <c r="J826" s="269" t="s">
        <v>2415</v>
      </c>
      <c r="T826" s="292" t="s">
        <v>1961</v>
      </c>
      <c r="U826" s="283" t="s">
        <v>1757</v>
      </c>
      <c r="V826" s="283" t="s">
        <v>2420</v>
      </c>
      <c r="W826" s="293" t="str">
        <f t="shared" si="29"/>
        <v>H17</v>
      </c>
      <c r="X826" s="284" t="str">
        <f t="shared" si="29"/>
        <v>CLA</v>
      </c>
      <c r="Y826" s="271" t="s">
        <v>2261</v>
      </c>
      <c r="Z826" s="283">
        <f t="shared" si="28"/>
        <v>2.5000000000000001E-2</v>
      </c>
      <c r="AA826" s="340">
        <f t="shared" si="28"/>
        <v>0</v>
      </c>
    </row>
    <row r="827" spans="1:34" s="268" customFormat="1">
      <c r="A827" s="270" t="s">
        <v>1411</v>
      </c>
      <c r="B827" s="268" t="s">
        <v>2115</v>
      </c>
      <c r="C827" s="268" t="s">
        <v>2114</v>
      </c>
      <c r="D827" s="269" t="s">
        <v>1979</v>
      </c>
      <c r="E827" s="269" t="s">
        <v>2111</v>
      </c>
      <c r="F827" s="268">
        <v>1.2500000000000001E-2</v>
      </c>
      <c r="G827" s="268">
        <v>0</v>
      </c>
      <c r="H827" s="268">
        <v>2.3199999999999998</v>
      </c>
      <c r="I827" s="267" t="s">
        <v>239</v>
      </c>
      <c r="J827" s="269" t="s">
        <v>2406</v>
      </c>
      <c r="T827" s="292" t="s">
        <v>1961</v>
      </c>
      <c r="U827" s="283" t="s">
        <v>1757</v>
      </c>
      <c r="V827" s="283" t="s">
        <v>2420</v>
      </c>
      <c r="W827" s="293" t="str">
        <f t="shared" si="29"/>
        <v>H17</v>
      </c>
      <c r="X827" s="284" t="str">
        <f t="shared" si="29"/>
        <v>DAA</v>
      </c>
      <c r="Y827" s="271" t="s">
        <v>2262</v>
      </c>
      <c r="Z827" s="283">
        <f t="shared" si="28"/>
        <v>1.2500000000000001E-2</v>
      </c>
      <c r="AA827" s="340">
        <f t="shared" si="28"/>
        <v>0</v>
      </c>
    </row>
    <row r="828" spans="1:34">
      <c r="A828" s="74" t="s">
        <v>1412</v>
      </c>
      <c r="B828" s="74" t="s">
        <v>2115</v>
      </c>
      <c r="C828" s="74" t="s">
        <v>2114</v>
      </c>
      <c r="D828" s="74" t="s">
        <v>1979</v>
      </c>
      <c r="E828" s="74" t="s">
        <v>2112</v>
      </c>
      <c r="F828" s="74">
        <v>1.2500000000000001E-2</v>
      </c>
      <c r="G828" s="74">
        <v>0</v>
      </c>
      <c r="H828" s="74">
        <v>2.3199999999999998</v>
      </c>
      <c r="I828" s="13" t="s">
        <v>263</v>
      </c>
      <c r="J828" s="74" t="s">
        <v>586</v>
      </c>
      <c r="T828" s="292" t="s">
        <v>1961</v>
      </c>
      <c r="U828" s="283" t="s">
        <v>1757</v>
      </c>
      <c r="V828" s="283" t="s">
        <v>2420</v>
      </c>
      <c r="W828" s="293" t="str">
        <f t="shared" si="29"/>
        <v>H17</v>
      </c>
      <c r="X828" s="284" t="str">
        <f t="shared" si="29"/>
        <v>DBA</v>
      </c>
      <c r="Y828" s="271" t="s">
        <v>2262</v>
      </c>
      <c r="Z828" s="283">
        <f t="shared" si="28"/>
        <v>1.2500000000000001E-2</v>
      </c>
      <c r="AA828" s="340">
        <f t="shared" si="28"/>
        <v>0</v>
      </c>
    </row>
    <row r="829" spans="1:34">
      <c r="A829" s="74" t="s">
        <v>1413</v>
      </c>
      <c r="B829" s="74" t="s">
        <v>2115</v>
      </c>
      <c r="C829" s="74" t="s">
        <v>2114</v>
      </c>
      <c r="D829" s="74" t="s">
        <v>1979</v>
      </c>
      <c r="E829" s="74" t="s">
        <v>1414</v>
      </c>
      <c r="F829" s="74">
        <v>1.2500000000000001E-2</v>
      </c>
      <c r="G829" s="74">
        <v>0</v>
      </c>
      <c r="H829" s="74">
        <v>2.3199999999999998</v>
      </c>
      <c r="I829" s="13" t="s">
        <v>1405</v>
      </c>
      <c r="J829" s="74" t="s">
        <v>2414</v>
      </c>
      <c r="T829" s="292" t="s">
        <v>1961</v>
      </c>
      <c r="U829" s="283" t="s">
        <v>1757</v>
      </c>
      <c r="V829" s="283" t="s">
        <v>2420</v>
      </c>
      <c r="W829" s="293" t="str">
        <f t="shared" si="29"/>
        <v>H17</v>
      </c>
      <c r="X829" s="286" t="s">
        <v>2370</v>
      </c>
      <c r="Y829" s="271" t="s">
        <v>2262</v>
      </c>
      <c r="Z829" s="283">
        <f t="shared" si="28"/>
        <v>1.2500000000000001E-2</v>
      </c>
      <c r="AA829" s="340">
        <f>G829</f>
        <v>0</v>
      </c>
    </row>
    <row r="830" spans="1:34">
      <c r="A830" s="74" t="s">
        <v>1415</v>
      </c>
      <c r="B830" s="74" t="s">
        <v>2115</v>
      </c>
      <c r="C830" s="74" t="s">
        <v>2114</v>
      </c>
      <c r="D830" s="74" t="s">
        <v>2382</v>
      </c>
      <c r="E830" s="74" t="s">
        <v>1416</v>
      </c>
      <c r="F830" s="74">
        <v>0.05</v>
      </c>
      <c r="G830" s="74">
        <v>0</v>
      </c>
      <c r="H830" s="74">
        <v>2.3199999999999998</v>
      </c>
      <c r="I830" s="13" t="s">
        <v>232</v>
      </c>
      <c r="T830" s="292" t="s">
        <v>1961</v>
      </c>
      <c r="U830" s="283" t="s">
        <v>1757</v>
      </c>
      <c r="V830" s="283" t="s">
        <v>2420</v>
      </c>
      <c r="W830" s="293" t="str">
        <f>D830</f>
        <v>H21</v>
      </c>
      <c r="X830" s="284" t="str">
        <f t="shared" ref="X830:X838" si="30">E830</f>
        <v>LBA</v>
      </c>
      <c r="Y830" s="271"/>
      <c r="Z830" s="283">
        <f t="shared" si="28"/>
        <v>0.05</v>
      </c>
      <c r="AA830" s="340">
        <f t="shared" si="28"/>
        <v>0</v>
      </c>
      <c r="AC830" s="268"/>
      <c r="AD830" s="268"/>
      <c r="AE830" s="268"/>
      <c r="AF830" s="268"/>
      <c r="AG830" s="268"/>
      <c r="AH830" s="268"/>
    </row>
    <row r="831" spans="1:34">
      <c r="A831" s="74" t="s">
        <v>1417</v>
      </c>
      <c r="B831" s="74" t="s">
        <v>2115</v>
      </c>
      <c r="C831" s="74" t="s">
        <v>2114</v>
      </c>
      <c r="D831" s="74" t="s">
        <v>2382</v>
      </c>
      <c r="E831" s="74" t="s">
        <v>1418</v>
      </c>
      <c r="F831" s="74">
        <v>2.5000000000000001E-2</v>
      </c>
      <c r="G831" s="74">
        <v>0</v>
      </c>
      <c r="H831" s="74">
        <v>2.3199999999999998</v>
      </c>
      <c r="I831" s="13" t="s">
        <v>239</v>
      </c>
      <c r="J831" s="74" t="s">
        <v>240</v>
      </c>
      <c r="T831" s="292" t="s">
        <v>1961</v>
      </c>
      <c r="U831" s="283" t="s">
        <v>1757</v>
      </c>
      <c r="V831" s="283" t="s">
        <v>2420</v>
      </c>
      <c r="W831" s="293" t="str">
        <f>D831</f>
        <v>H21</v>
      </c>
      <c r="X831" s="284" t="str">
        <f t="shared" si="30"/>
        <v>LAA</v>
      </c>
      <c r="Y831" s="271"/>
      <c r="Z831" s="283">
        <f t="shared" si="28"/>
        <v>2.5000000000000001E-2</v>
      </c>
      <c r="AA831" s="340">
        <f t="shared" si="28"/>
        <v>0</v>
      </c>
    </row>
    <row r="832" spans="1:34" s="268" customFormat="1">
      <c r="A832" s="268" t="s">
        <v>1419</v>
      </c>
      <c r="B832" s="268" t="s">
        <v>2115</v>
      </c>
      <c r="C832" s="268" t="s">
        <v>2114</v>
      </c>
      <c r="D832" s="270" t="s">
        <v>2382</v>
      </c>
      <c r="E832" s="269" t="s">
        <v>1420</v>
      </c>
      <c r="F832" s="268">
        <v>1.2500000000000001E-2</v>
      </c>
      <c r="G832" s="268">
        <v>0</v>
      </c>
      <c r="H832" s="268">
        <v>2.3199999999999998</v>
      </c>
      <c r="I832" s="267" t="s">
        <v>1405</v>
      </c>
      <c r="J832" s="268" t="s">
        <v>1406</v>
      </c>
      <c r="T832" s="292" t="s">
        <v>1961</v>
      </c>
      <c r="U832" s="283" t="s">
        <v>1757</v>
      </c>
      <c r="V832" s="283" t="s">
        <v>2420</v>
      </c>
      <c r="W832" s="293" t="str">
        <f t="shared" ref="W832:W838" si="31">D832</f>
        <v>H21</v>
      </c>
      <c r="X832" s="284" t="str">
        <f t="shared" si="30"/>
        <v>LLA</v>
      </c>
      <c r="Y832" s="271"/>
      <c r="Z832" s="283">
        <f t="shared" si="28"/>
        <v>1.2500000000000001E-2</v>
      </c>
      <c r="AA832" s="340">
        <f t="shared" si="28"/>
        <v>0</v>
      </c>
    </row>
    <row r="833" spans="1:34">
      <c r="A833" s="74" t="s">
        <v>1421</v>
      </c>
      <c r="B833" s="74" t="s">
        <v>2115</v>
      </c>
      <c r="C833" s="74" t="s">
        <v>2114</v>
      </c>
      <c r="D833" s="74" t="s">
        <v>2382</v>
      </c>
      <c r="E833" s="74" t="s">
        <v>1422</v>
      </c>
      <c r="F833" s="74">
        <v>2.5000000000000001E-2</v>
      </c>
      <c r="G833" s="74">
        <v>0</v>
      </c>
      <c r="H833" s="74">
        <v>2.3199999999999998</v>
      </c>
      <c r="I833" s="13" t="s">
        <v>260</v>
      </c>
      <c r="J833" s="74" t="s">
        <v>2261</v>
      </c>
      <c r="T833" s="292" t="s">
        <v>1961</v>
      </c>
      <c r="U833" s="283" t="s">
        <v>1757</v>
      </c>
      <c r="V833" s="283" t="s">
        <v>2420</v>
      </c>
      <c r="W833" s="293" t="str">
        <f t="shared" si="31"/>
        <v>H21</v>
      </c>
      <c r="X833" s="284" t="str">
        <f t="shared" si="30"/>
        <v>MBA</v>
      </c>
      <c r="Y833" s="271" t="s">
        <v>2261</v>
      </c>
      <c r="Z833" s="283">
        <f t="shared" si="28"/>
        <v>2.5000000000000001E-2</v>
      </c>
      <c r="AA833" s="340">
        <f t="shared" si="28"/>
        <v>0</v>
      </c>
    </row>
    <row r="834" spans="1:34" s="268" customFormat="1">
      <c r="A834" s="268" t="s">
        <v>1423</v>
      </c>
      <c r="B834" s="268" t="s">
        <v>2115</v>
      </c>
      <c r="C834" s="268" t="s">
        <v>2114</v>
      </c>
      <c r="D834" s="270" t="s">
        <v>2382</v>
      </c>
      <c r="E834" s="269" t="s">
        <v>1424</v>
      </c>
      <c r="F834" s="268">
        <v>2.5000000000000001E-2</v>
      </c>
      <c r="G834" s="268">
        <v>0</v>
      </c>
      <c r="H834" s="268">
        <v>2.3199999999999998</v>
      </c>
      <c r="I834" s="267" t="s">
        <v>239</v>
      </c>
      <c r="J834" s="269" t="s">
        <v>2391</v>
      </c>
      <c r="T834" s="292" t="s">
        <v>1961</v>
      </c>
      <c r="U834" s="283" t="s">
        <v>1757</v>
      </c>
      <c r="V834" s="283" t="s">
        <v>2420</v>
      </c>
      <c r="W834" s="293" t="str">
        <f t="shared" si="31"/>
        <v>H21</v>
      </c>
      <c r="X834" s="284" t="str">
        <f t="shared" si="30"/>
        <v>MAA</v>
      </c>
      <c r="Y834" s="271" t="s">
        <v>2261</v>
      </c>
      <c r="Z834" s="283">
        <f t="shared" si="28"/>
        <v>2.5000000000000001E-2</v>
      </c>
      <c r="AA834" s="340">
        <f t="shared" si="28"/>
        <v>0</v>
      </c>
    </row>
    <row r="835" spans="1:34">
      <c r="A835" s="74" t="s">
        <v>1425</v>
      </c>
      <c r="B835" s="74" t="s">
        <v>2115</v>
      </c>
      <c r="C835" s="74" t="s">
        <v>2114</v>
      </c>
      <c r="D835" s="74" t="s">
        <v>2382</v>
      </c>
      <c r="E835" s="74" t="s">
        <v>1426</v>
      </c>
      <c r="F835" s="74">
        <v>2.5000000000000001E-2</v>
      </c>
      <c r="G835" s="74">
        <v>0</v>
      </c>
      <c r="H835" s="74">
        <v>2.3199999999999998</v>
      </c>
      <c r="I835" s="13" t="s">
        <v>1405</v>
      </c>
      <c r="J835" t="s">
        <v>2415</v>
      </c>
      <c r="T835" s="292" t="s">
        <v>1961</v>
      </c>
      <c r="U835" s="283" t="s">
        <v>1757</v>
      </c>
      <c r="V835" s="283" t="s">
        <v>2420</v>
      </c>
      <c r="W835" s="293" t="str">
        <f t="shared" si="31"/>
        <v>H21</v>
      </c>
      <c r="X835" s="284" t="str">
        <f t="shared" si="30"/>
        <v>MLA</v>
      </c>
      <c r="Y835" s="271" t="s">
        <v>2261</v>
      </c>
      <c r="Z835" s="283">
        <f t="shared" si="28"/>
        <v>2.5000000000000001E-2</v>
      </c>
      <c r="AA835" s="340">
        <f t="shared" si="28"/>
        <v>0</v>
      </c>
      <c r="AC835" s="268"/>
      <c r="AD835" s="268"/>
      <c r="AE835" s="268"/>
      <c r="AF835" s="268"/>
      <c r="AG835" s="268"/>
      <c r="AH835" s="268"/>
    </row>
    <row r="836" spans="1:34" s="265" customFormat="1">
      <c r="A836" s="265" t="s">
        <v>1427</v>
      </c>
      <c r="B836" s="265" t="s">
        <v>2115</v>
      </c>
      <c r="C836" s="265" t="s">
        <v>2114</v>
      </c>
      <c r="D836" s="272" t="s">
        <v>2382</v>
      </c>
      <c r="E836" s="265" t="s">
        <v>1428</v>
      </c>
      <c r="F836" s="265">
        <v>2.5000000000000001E-2</v>
      </c>
      <c r="G836" s="265">
        <v>0</v>
      </c>
      <c r="H836" s="265">
        <v>2.3199999999999998</v>
      </c>
      <c r="I836" s="203" t="s">
        <v>263</v>
      </c>
      <c r="J836" s="273" t="s">
        <v>2262</v>
      </c>
      <c r="T836" s="292" t="s">
        <v>1961</v>
      </c>
      <c r="U836" s="283" t="s">
        <v>1757</v>
      </c>
      <c r="V836" s="283" t="s">
        <v>2420</v>
      </c>
      <c r="W836" s="293" t="str">
        <f t="shared" si="31"/>
        <v>H21</v>
      </c>
      <c r="X836" s="284" t="str">
        <f t="shared" si="30"/>
        <v>RBA</v>
      </c>
      <c r="Y836" s="271" t="s">
        <v>2262</v>
      </c>
      <c r="Z836" s="283">
        <f t="shared" si="28"/>
        <v>2.5000000000000001E-2</v>
      </c>
      <c r="AA836" s="340">
        <f t="shared" si="28"/>
        <v>0</v>
      </c>
      <c r="AC836" s="268"/>
      <c r="AD836" s="268"/>
      <c r="AE836" s="268"/>
      <c r="AF836" s="268"/>
      <c r="AG836" s="268"/>
      <c r="AH836" s="268"/>
    </row>
    <row r="837" spans="1:34">
      <c r="A837" s="74" t="s">
        <v>1429</v>
      </c>
      <c r="B837" s="74" t="s">
        <v>2115</v>
      </c>
      <c r="C837" s="74" t="s">
        <v>2114</v>
      </c>
      <c r="D837" s="74" t="s">
        <v>2382</v>
      </c>
      <c r="E837" s="74" t="s">
        <v>1430</v>
      </c>
      <c r="F837" s="74">
        <v>2.5000000000000001E-2</v>
      </c>
      <c r="G837" s="74">
        <v>0</v>
      </c>
      <c r="H837" s="74">
        <v>2.3199999999999998</v>
      </c>
      <c r="I837" s="13" t="s">
        <v>239</v>
      </c>
      <c r="J837" t="s">
        <v>2386</v>
      </c>
      <c r="T837" s="292" t="s">
        <v>1961</v>
      </c>
      <c r="U837" s="283" t="s">
        <v>1757</v>
      </c>
      <c r="V837" s="283" t="s">
        <v>2420</v>
      </c>
      <c r="W837" s="293" t="str">
        <f t="shared" si="31"/>
        <v>H21</v>
      </c>
      <c r="X837" s="284" t="str">
        <f t="shared" si="30"/>
        <v>RAA</v>
      </c>
      <c r="Y837" s="271" t="s">
        <v>2262</v>
      </c>
      <c r="Z837" s="283">
        <f t="shared" si="28"/>
        <v>2.5000000000000001E-2</v>
      </c>
      <c r="AA837" s="340">
        <f t="shared" si="28"/>
        <v>0</v>
      </c>
      <c r="AC837" s="268"/>
      <c r="AD837" s="268"/>
      <c r="AE837" s="268"/>
      <c r="AF837" s="268"/>
      <c r="AG837" s="268"/>
      <c r="AH837" s="268"/>
    </row>
    <row r="838" spans="1:34" s="265" customFormat="1">
      <c r="A838" s="265" t="s">
        <v>1431</v>
      </c>
      <c r="B838" s="265" t="s">
        <v>2115</v>
      </c>
      <c r="C838" s="265" t="s">
        <v>2114</v>
      </c>
      <c r="D838" s="272" t="s">
        <v>2382</v>
      </c>
      <c r="E838" s="265" t="s">
        <v>1432</v>
      </c>
      <c r="F838" s="265">
        <v>2.5000000000000001E-2</v>
      </c>
      <c r="G838" s="265">
        <v>0</v>
      </c>
      <c r="H838" s="265">
        <v>2.3199999999999998</v>
      </c>
      <c r="I838" s="203" t="s">
        <v>1405</v>
      </c>
      <c r="J838" s="273" t="s">
        <v>2414</v>
      </c>
      <c r="T838" s="292" t="s">
        <v>1961</v>
      </c>
      <c r="U838" s="283" t="s">
        <v>1757</v>
      </c>
      <c r="V838" s="283" t="s">
        <v>2420</v>
      </c>
      <c r="W838" s="293" t="str">
        <f t="shared" si="31"/>
        <v>H21</v>
      </c>
      <c r="X838" s="284" t="str">
        <f t="shared" si="30"/>
        <v>RLA</v>
      </c>
      <c r="Y838" s="271" t="s">
        <v>2262</v>
      </c>
      <c r="Z838" s="283">
        <f t="shared" si="28"/>
        <v>2.5000000000000001E-2</v>
      </c>
      <c r="AA838" s="340">
        <f t="shared" si="28"/>
        <v>0</v>
      </c>
      <c r="AC838" s="268"/>
      <c r="AD838" s="268"/>
      <c r="AE838" s="268"/>
      <c r="AF838" s="268"/>
      <c r="AG838" s="268"/>
      <c r="AH838" s="268"/>
    </row>
    <row r="839" spans="1:34" s="250" customFormat="1">
      <c r="A839" s="250" t="s">
        <v>1433</v>
      </c>
      <c r="B839" s="250" t="s">
        <v>2115</v>
      </c>
      <c r="C839" s="250" t="s">
        <v>2114</v>
      </c>
      <c r="D839" s="251" t="s">
        <v>2382</v>
      </c>
      <c r="E839" s="251" t="s">
        <v>1434</v>
      </c>
      <c r="F839" s="250">
        <v>4.4999999999999998E-2</v>
      </c>
      <c r="G839" s="250">
        <v>0</v>
      </c>
      <c r="H839" s="250">
        <v>2.3199999999999998</v>
      </c>
      <c r="I839" s="252" t="s">
        <v>232</v>
      </c>
      <c r="J839" s="250" t="s">
        <v>2398</v>
      </c>
      <c r="T839" s="292" t="s">
        <v>1773</v>
      </c>
      <c r="U839" s="283" t="s">
        <v>1761</v>
      </c>
      <c r="V839" s="283" t="s">
        <v>1774</v>
      </c>
      <c r="W839" s="293" t="s">
        <v>2382</v>
      </c>
      <c r="X839" s="284" t="s">
        <v>1434</v>
      </c>
      <c r="Y839" s="271" t="s">
        <v>1762</v>
      </c>
      <c r="Z839" s="283">
        <v>4.4999999999999998E-2</v>
      </c>
      <c r="AA839" s="340">
        <v>0</v>
      </c>
    </row>
    <row r="840" spans="1:34" s="250" customFormat="1">
      <c r="A840" s="250" t="s">
        <v>1435</v>
      </c>
      <c r="B840" s="250" t="s">
        <v>2115</v>
      </c>
      <c r="C840" s="250" t="s">
        <v>2114</v>
      </c>
      <c r="D840" s="251" t="s">
        <v>2382</v>
      </c>
      <c r="E840" s="251" t="s">
        <v>1436</v>
      </c>
      <c r="F840" s="250">
        <v>4.4999999999999998E-2</v>
      </c>
      <c r="G840" s="250">
        <v>0</v>
      </c>
      <c r="H840" s="250">
        <v>2.3199999999999998</v>
      </c>
      <c r="I840" s="252" t="s">
        <v>239</v>
      </c>
      <c r="J840" s="251" t="s">
        <v>1437</v>
      </c>
      <c r="T840" s="292" t="s">
        <v>1773</v>
      </c>
      <c r="U840" s="283" t="s">
        <v>1761</v>
      </c>
      <c r="V840" s="283" t="s">
        <v>1774</v>
      </c>
      <c r="W840" s="293" t="s">
        <v>2382</v>
      </c>
      <c r="X840" s="284" t="s">
        <v>1436</v>
      </c>
      <c r="Y840" s="271" t="s">
        <v>1762</v>
      </c>
      <c r="Z840" s="283">
        <v>4.4999999999999998E-2</v>
      </c>
      <c r="AA840" s="340">
        <v>0</v>
      </c>
    </row>
    <row r="841" spans="1:34" s="250" customFormat="1">
      <c r="A841" s="250" t="s">
        <v>1438</v>
      </c>
      <c r="B841" s="250" t="s">
        <v>2115</v>
      </c>
      <c r="C841" s="250" t="s">
        <v>2114</v>
      </c>
      <c r="D841" s="251" t="s">
        <v>2382</v>
      </c>
      <c r="E841" s="251" t="s">
        <v>1439</v>
      </c>
      <c r="F841" s="250">
        <v>4.4999999999999998E-2</v>
      </c>
      <c r="G841" s="250">
        <v>0</v>
      </c>
      <c r="H841" s="250">
        <v>2.3199999999999998</v>
      </c>
      <c r="I841" s="252" t="s">
        <v>1405</v>
      </c>
      <c r="J841" s="251" t="s">
        <v>1440</v>
      </c>
      <c r="T841" s="292" t="s">
        <v>1773</v>
      </c>
      <c r="U841" s="283" t="s">
        <v>1761</v>
      </c>
      <c r="V841" s="283" t="s">
        <v>1774</v>
      </c>
      <c r="W841" s="293" t="s">
        <v>2382</v>
      </c>
      <c r="X841" s="284" t="s">
        <v>1439</v>
      </c>
      <c r="Y841" s="271" t="s">
        <v>1762</v>
      </c>
      <c r="Z841" s="283">
        <v>4.4999999999999998E-2</v>
      </c>
      <c r="AA841" s="340">
        <v>0</v>
      </c>
    </row>
    <row r="842" spans="1:34" s="250" customFormat="1">
      <c r="A842" s="250" t="s">
        <v>1441</v>
      </c>
      <c r="B842" s="250" t="s">
        <v>2115</v>
      </c>
      <c r="C842" s="250" t="s">
        <v>1937</v>
      </c>
      <c r="D842" s="251" t="s">
        <v>2456</v>
      </c>
      <c r="E842" s="251" t="s">
        <v>2457</v>
      </c>
      <c r="F842" s="250">
        <v>2.1800000000000002</v>
      </c>
      <c r="G842" s="250">
        <v>0</v>
      </c>
      <c r="H842" s="250">
        <v>3</v>
      </c>
      <c r="I842" s="252" t="s">
        <v>232</v>
      </c>
      <c r="J842" s="251"/>
      <c r="T842" s="292" t="s">
        <v>1961</v>
      </c>
      <c r="U842" s="283" t="s">
        <v>2355</v>
      </c>
      <c r="V842" s="283" t="s">
        <v>2420</v>
      </c>
      <c r="W842" s="293" t="str">
        <f t="shared" si="29"/>
        <v>S50前</v>
      </c>
      <c r="X842" s="284" t="str">
        <f t="shared" si="29"/>
        <v>-</v>
      </c>
      <c r="Y842" s="271"/>
      <c r="Z842" s="283">
        <f t="shared" si="28"/>
        <v>2.1800000000000002</v>
      </c>
      <c r="AA842" s="340">
        <f t="shared" si="28"/>
        <v>0</v>
      </c>
    </row>
    <row r="843" spans="1:34" s="250" customFormat="1">
      <c r="A843" s="250" t="s">
        <v>1442</v>
      </c>
      <c r="B843" s="250" t="s">
        <v>2115</v>
      </c>
      <c r="C843" s="250" t="s">
        <v>1937</v>
      </c>
      <c r="D843" s="251" t="s">
        <v>2459</v>
      </c>
      <c r="E843" s="251" t="s">
        <v>35</v>
      </c>
      <c r="F843" s="250">
        <v>1.2</v>
      </c>
      <c r="G843" s="250">
        <v>0</v>
      </c>
      <c r="H843" s="250">
        <v>3</v>
      </c>
      <c r="I843" s="252" t="s">
        <v>232</v>
      </c>
      <c r="J843" s="251"/>
      <c r="T843" s="292" t="s">
        <v>1961</v>
      </c>
      <c r="U843" s="283" t="s">
        <v>2355</v>
      </c>
      <c r="V843" s="283" t="s">
        <v>2420</v>
      </c>
      <c r="W843" s="293" t="str">
        <f t="shared" si="29"/>
        <v>S50</v>
      </c>
      <c r="X843" s="284" t="str">
        <f t="shared" si="29"/>
        <v>A</v>
      </c>
      <c r="Y843" s="271"/>
      <c r="Z843" s="283">
        <f t="shared" si="28"/>
        <v>1.2</v>
      </c>
      <c r="AA843" s="340">
        <f t="shared" si="28"/>
        <v>0</v>
      </c>
      <c r="AC843" s="74"/>
      <c r="AD843" s="74"/>
      <c r="AE843" s="74"/>
      <c r="AF843" s="74"/>
      <c r="AG843" s="74"/>
      <c r="AH843" s="74"/>
    </row>
    <row r="844" spans="1:34" s="250" customFormat="1">
      <c r="A844" s="250" t="s">
        <v>1443</v>
      </c>
      <c r="B844" s="250" t="s">
        <v>2115</v>
      </c>
      <c r="C844" s="250" t="s">
        <v>1937</v>
      </c>
      <c r="D844" s="251" t="s">
        <v>37</v>
      </c>
      <c r="E844" s="251" t="s">
        <v>46</v>
      </c>
      <c r="F844" s="250">
        <v>0.6</v>
      </c>
      <c r="G844" s="250">
        <v>0</v>
      </c>
      <c r="H844" s="250">
        <v>3</v>
      </c>
      <c r="I844" s="252" t="s">
        <v>232</v>
      </c>
      <c r="J844" s="251"/>
      <c r="T844" s="292" t="s">
        <v>1961</v>
      </c>
      <c r="U844" s="283" t="s">
        <v>2355</v>
      </c>
      <c r="V844" s="283" t="s">
        <v>2420</v>
      </c>
      <c r="W844" s="293" t="str">
        <f t="shared" si="29"/>
        <v>S51</v>
      </c>
      <c r="X844" s="284" t="str">
        <f t="shared" si="29"/>
        <v>B</v>
      </c>
      <c r="Y844" s="271"/>
      <c r="Z844" s="283">
        <f t="shared" si="28"/>
        <v>0.6</v>
      </c>
      <c r="AA844" s="340">
        <f t="shared" si="28"/>
        <v>0</v>
      </c>
      <c r="AC844" s="74"/>
      <c r="AD844" s="74"/>
      <c r="AE844" s="74"/>
      <c r="AF844" s="74"/>
      <c r="AG844" s="74"/>
      <c r="AH844" s="74"/>
    </row>
    <row r="845" spans="1:34">
      <c r="A845" s="74" t="s">
        <v>1444</v>
      </c>
      <c r="B845" s="74" t="s">
        <v>2115</v>
      </c>
      <c r="C845" s="74" t="s">
        <v>1937</v>
      </c>
      <c r="D845" s="74" t="s">
        <v>37</v>
      </c>
      <c r="E845" s="74" t="s">
        <v>47</v>
      </c>
      <c r="F845" s="74">
        <v>0.6</v>
      </c>
      <c r="G845" s="74">
        <v>0</v>
      </c>
      <c r="H845" s="74">
        <v>3</v>
      </c>
      <c r="I845" s="13" t="s">
        <v>232</v>
      </c>
      <c r="T845" s="292" t="s">
        <v>1961</v>
      </c>
      <c r="U845" s="283" t="s">
        <v>2355</v>
      </c>
      <c r="V845" s="283" t="s">
        <v>2420</v>
      </c>
      <c r="W845" s="293" t="str">
        <f t="shared" si="29"/>
        <v>S51</v>
      </c>
      <c r="X845" s="284" t="str">
        <f t="shared" si="29"/>
        <v>C</v>
      </c>
      <c r="Y845" s="271"/>
      <c r="Z845" s="283">
        <f t="shared" si="28"/>
        <v>0.6</v>
      </c>
      <c r="AA845" s="340">
        <f t="shared" si="28"/>
        <v>0</v>
      </c>
    </row>
    <row r="846" spans="1:34">
      <c r="A846" s="74" t="s">
        <v>1445</v>
      </c>
      <c r="B846" s="74" t="s">
        <v>2115</v>
      </c>
      <c r="C846" s="74" t="s">
        <v>1937</v>
      </c>
      <c r="D846" s="74" t="s">
        <v>38</v>
      </c>
      <c r="E846" s="74" t="s">
        <v>48</v>
      </c>
      <c r="F846" s="74">
        <v>0.25</v>
      </c>
      <c r="G846" s="74">
        <v>0</v>
      </c>
      <c r="H846" s="74">
        <v>3</v>
      </c>
      <c r="I846" s="13" t="s">
        <v>232</v>
      </c>
      <c r="T846" s="292" t="s">
        <v>1961</v>
      </c>
      <c r="U846" s="283" t="s">
        <v>2355</v>
      </c>
      <c r="V846" s="283" t="s">
        <v>2420</v>
      </c>
      <c r="W846" s="293" t="str">
        <f t="shared" si="29"/>
        <v>S53,H10</v>
      </c>
      <c r="X846" s="284" t="str">
        <f t="shared" si="29"/>
        <v>E</v>
      </c>
      <c r="Y846" s="271"/>
      <c r="Z846" s="283">
        <f t="shared" si="28"/>
        <v>0.25</v>
      </c>
      <c r="AA846" s="340">
        <f t="shared" si="28"/>
        <v>0</v>
      </c>
    </row>
    <row r="847" spans="1:34">
      <c r="A847" s="74" t="s">
        <v>1446</v>
      </c>
      <c r="B847" s="74" t="s">
        <v>2115</v>
      </c>
      <c r="C847" s="74" t="s">
        <v>1937</v>
      </c>
      <c r="D847" s="74" t="s">
        <v>38</v>
      </c>
      <c r="E847" s="74" t="s">
        <v>53</v>
      </c>
      <c r="F847" s="74">
        <v>0.25</v>
      </c>
      <c r="G847" s="74">
        <v>0</v>
      </c>
      <c r="H847" s="74">
        <v>3</v>
      </c>
      <c r="I847" s="13" t="s">
        <v>232</v>
      </c>
      <c r="T847" s="292" t="s">
        <v>1961</v>
      </c>
      <c r="U847" s="283" t="s">
        <v>2355</v>
      </c>
      <c r="V847" s="283" t="s">
        <v>2420</v>
      </c>
      <c r="W847" s="293" t="str">
        <f t="shared" si="29"/>
        <v>S53,H10</v>
      </c>
      <c r="X847" s="284" t="str">
        <f t="shared" si="29"/>
        <v>GF</v>
      </c>
      <c r="Y847" s="271"/>
      <c r="Z847" s="283">
        <f t="shared" si="28"/>
        <v>0.25</v>
      </c>
      <c r="AA847" s="340">
        <f t="shared" si="28"/>
        <v>0</v>
      </c>
    </row>
    <row r="848" spans="1:34">
      <c r="A848" s="74" t="s">
        <v>1447</v>
      </c>
      <c r="B848" s="74" t="s">
        <v>2115</v>
      </c>
      <c r="C848" s="74" t="s">
        <v>1937</v>
      </c>
      <c r="D848" s="74" t="s">
        <v>38</v>
      </c>
      <c r="E848" s="74" t="s">
        <v>61</v>
      </c>
      <c r="F848" s="74">
        <v>0.125</v>
      </c>
      <c r="G848" s="74">
        <v>0</v>
      </c>
      <c r="H848" s="74">
        <v>3</v>
      </c>
      <c r="I848" s="13" t="s">
        <v>239</v>
      </c>
      <c r="J848" s="74" t="s">
        <v>240</v>
      </c>
      <c r="T848" s="292" t="s">
        <v>1961</v>
      </c>
      <c r="U848" s="283" t="s">
        <v>2355</v>
      </c>
      <c r="V848" s="283" t="s">
        <v>2420</v>
      </c>
      <c r="W848" s="293" t="str">
        <f t="shared" si="29"/>
        <v>S53,H10</v>
      </c>
      <c r="X848" s="284" t="str">
        <f t="shared" si="29"/>
        <v>HK</v>
      </c>
      <c r="Y848" s="271"/>
      <c r="Z848" s="283">
        <f t="shared" si="28"/>
        <v>0.125</v>
      </c>
      <c r="AA848" s="340">
        <f t="shared" si="28"/>
        <v>0</v>
      </c>
    </row>
    <row r="849" spans="1:34">
      <c r="A849" s="74" t="s">
        <v>1448</v>
      </c>
      <c r="B849" s="74" t="s">
        <v>2115</v>
      </c>
      <c r="C849" s="74" t="s">
        <v>1937</v>
      </c>
      <c r="D849" s="74" t="s">
        <v>15</v>
      </c>
      <c r="E849" s="74" t="s">
        <v>55</v>
      </c>
      <c r="F849" s="74">
        <v>0.08</v>
      </c>
      <c r="G849" s="74">
        <v>0</v>
      </c>
      <c r="H849" s="74">
        <v>3</v>
      </c>
      <c r="I849" s="13" t="s">
        <v>232</v>
      </c>
      <c r="T849" s="292" t="s">
        <v>1961</v>
      </c>
      <c r="U849" s="283" t="s">
        <v>2355</v>
      </c>
      <c r="V849" s="283" t="s">
        <v>2420</v>
      </c>
      <c r="W849" s="293" t="str">
        <f t="shared" si="29"/>
        <v>H12</v>
      </c>
      <c r="X849" s="284" t="str">
        <f t="shared" si="29"/>
        <v>GH</v>
      </c>
      <c r="Y849" s="271"/>
      <c r="Z849" s="283">
        <f t="shared" si="28"/>
        <v>0.08</v>
      </c>
      <c r="AA849" s="340">
        <f t="shared" si="28"/>
        <v>0</v>
      </c>
    </row>
    <row r="850" spans="1:34">
      <c r="A850" s="74" t="s">
        <v>1449</v>
      </c>
      <c r="B850" s="74" t="s">
        <v>2115</v>
      </c>
      <c r="C850" s="74" t="s">
        <v>1937</v>
      </c>
      <c r="D850" s="74" t="s">
        <v>15</v>
      </c>
      <c r="E850" s="74" t="s">
        <v>63</v>
      </c>
      <c r="F850" s="74">
        <v>0.04</v>
      </c>
      <c r="G850" s="74">
        <v>0</v>
      </c>
      <c r="H850" s="74">
        <v>3</v>
      </c>
      <c r="I850" s="13" t="s">
        <v>239</v>
      </c>
      <c r="J850" t="s">
        <v>240</v>
      </c>
      <c r="T850" s="292" t="s">
        <v>1961</v>
      </c>
      <c r="U850" s="283" t="s">
        <v>2355</v>
      </c>
      <c r="V850" s="283" t="s">
        <v>2420</v>
      </c>
      <c r="W850" s="293" t="str">
        <f t="shared" si="29"/>
        <v>H12</v>
      </c>
      <c r="X850" s="284" t="str">
        <f t="shared" si="29"/>
        <v>HN</v>
      </c>
      <c r="Y850" s="271"/>
      <c r="Z850" s="283">
        <f t="shared" si="28"/>
        <v>0.04</v>
      </c>
      <c r="AA850" s="340">
        <f t="shared" si="28"/>
        <v>0</v>
      </c>
    </row>
    <row r="851" spans="1:34">
      <c r="A851" s="74" t="s">
        <v>1450</v>
      </c>
      <c r="B851" s="74" t="s">
        <v>2115</v>
      </c>
      <c r="C851" s="74" t="s">
        <v>1937</v>
      </c>
      <c r="D851" s="74" t="s">
        <v>15</v>
      </c>
      <c r="E851" s="74" t="s">
        <v>79</v>
      </c>
      <c r="F851" s="74">
        <v>0.06</v>
      </c>
      <c r="G851" s="74">
        <v>0</v>
      </c>
      <c r="H851" s="74">
        <v>3</v>
      </c>
      <c r="I851" s="13" t="s">
        <v>232</v>
      </c>
      <c r="J851" t="s">
        <v>244</v>
      </c>
      <c r="T851" s="292" t="s">
        <v>1961</v>
      </c>
      <c r="U851" s="283" t="s">
        <v>2355</v>
      </c>
      <c r="V851" s="283" t="s">
        <v>2420</v>
      </c>
      <c r="W851" s="293" t="str">
        <f t="shared" si="29"/>
        <v>H12</v>
      </c>
      <c r="X851" s="284" t="str">
        <f t="shared" si="29"/>
        <v>TA</v>
      </c>
      <c r="Y851" s="271" t="s">
        <v>1765</v>
      </c>
      <c r="Z851" s="283">
        <f t="shared" si="28"/>
        <v>0.06</v>
      </c>
      <c r="AA851" s="340">
        <f t="shared" si="28"/>
        <v>0</v>
      </c>
    </row>
    <row r="852" spans="1:34">
      <c r="A852" s="74" t="s">
        <v>1451</v>
      </c>
      <c r="B852" s="74" t="s">
        <v>2115</v>
      </c>
      <c r="C852" s="74" t="s">
        <v>1937</v>
      </c>
      <c r="D852" s="74" t="s">
        <v>15</v>
      </c>
      <c r="E852" s="74" t="s">
        <v>93</v>
      </c>
      <c r="F852" s="74">
        <v>0.06</v>
      </c>
      <c r="G852" s="74">
        <v>0</v>
      </c>
      <c r="H852" s="74">
        <v>3</v>
      </c>
      <c r="I852" s="13" t="s">
        <v>239</v>
      </c>
      <c r="J852" t="s">
        <v>2134</v>
      </c>
      <c r="T852" s="292" t="s">
        <v>1961</v>
      </c>
      <c r="U852" s="283" t="s">
        <v>2355</v>
      </c>
      <c r="V852" s="283" t="s">
        <v>2420</v>
      </c>
      <c r="W852" s="293" t="str">
        <f t="shared" si="29"/>
        <v>H12</v>
      </c>
      <c r="X852" s="284" t="str">
        <f t="shared" si="29"/>
        <v>XA</v>
      </c>
      <c r="Y852" s="271" t="s">
        <v>1765</v>
      </c>
      <c r="Z852" s="283">
        <f t="shared" si="28"/>
        <v>0.06</v>
      </c>
      <c r="AA852" s="340">
        <f t="shared" si="28"/>
        <v>0</v>
      </c>
      <c r="AC852" s="250"/>
      <c r="AD852" s="250"/>
      <c r="AE852" s="250"/>
      <c r="AF852" s="250"/>
      <c r="AG852" s="250"/>
      <c r="AH852" s="250"/>
    </row>
    <row r="853" spans="1:34">
      <c r="A853" s="74" t="s">
        <v>1452</v>
      </c>
      <c r="B853" s="74" t="s">
        <v>2115</v>
      </c>
      <c r="C853" s="74" t="s">
        <v>1937</v>
      </c>
      <c r="D853" s="74" t="s">
        <v>15</v>
      </c>
      <c r="E853" s="74" t="s">
        <v>70</v>
      </c>
      <c r="F853" s="74">
        <v>0.04</v>
      </c>
      <c r="G853" s="74">
        <v>0</v>
      </c>
      <c r="H853" s="74">
        <v>3</v>
      </c>
      <c r="I853" s="13" t="s">
        <v>232</v>
      </c>
      <c r="J853" t="s">
        <v>247</v>
      </c>
      <c r="T853" s="292" t="s">
        <v>1961</v>
      </c>
      <c r="U853" s="283" t="s">
        <v>2355</v>
      </c>
      <c r="V853" s="283" t="s">
        <v>2420</v>
      </c>
      <c r="W853" s="293" t="str">
        <f t="shared" si="29"/>
        <v>H12</v>
      </c>
      <c r="X853" s="284" t="str">
        <f t="shared" si="29"/>
        <v>LA</v>
      </c>
      <c r="Y853" s="271" t="s">
        <v>1766</v>
      </c>
      <c r="Z853" s="283">
        <f t="shared" si="28"/>
        <v>0.04</v>
      </c>
      <c r="AA853" s="340">
        <f t="shared" si="28"/>
        <v>0</v>
      </c>
      <c r="AC853" s="250"/>
      <c r="AD853" s="250"/>
      <c r="AE853" s="250"/>
      <c r="AF853" s="250"/>
      <c r="AG853" s="250"/>
      <c r="AH853" s="250"/>
    </row>
    <row r="854" spans="1:34" s="250" customFormat="1">
      <c r="A854" s="250" t="s">
        <v>1453</v>
      </c>
      <c r="B854" s="250" t="s">
        <v>2115</v>
      </c>
      <c r="C854" s="250" t="s">
        <v>1937</v>
      </c>
      <c r="D854" s="251" t="s">
        <v>15</v>
      </c>
      <c r="E854" s="251" t="s">
        <v>97</v>
      </c>
      <c r="F854" s="250">
        <v>0.04</v>
      </c>
      <c r="G854" s="250">
        <v>0</v>
      </c>
      <c r="H854" s="250">
        <v>3</v>
      </c>
      <c r="I854" s="252" t="s">
        <v>239</v>
      </c>
      <c r="J854" s="250" t="s">
        <v>2135</v>
      </c>
      <c r="T854" s="292" t="s">
        <v>1961</v>
      </c>
      <c r="U854" s="283" t="s">
        <v>2355</v>
      </c>
      <c r="V854" s="283" t="s">
        <v>2420</v>
      </c>
      <c r="W854" s="293" t="str">
        <f t="shared" si="29"/>
        <v>H12</v>
      </c>
      <c r="X854" s="284" t="str">
        <f t="shared" si="29"/>
        <v>YA</v>
      </c>
      <c r="Y854" s="271" t="s">
        <v>1766</v>
      </c>
      <c r="Z854" s="283">
        <f t="shared" si="28"/>
        <v>0.04</v>
      </c>
      <c r="AA854" s="340">
        <f t="shared" si="28"/>
        <v>0</v>
      </c>
    </row>
    <row r="855" spans="1:34" s="250" customFormat="1">
      <c r="A855" s="250" t="s">
        <v>1454</v>
      </c>
      <c r="B855" s="250" t="s">
        <v>2115</v>
      </c>
      <c r="C855" s="250" t="s">
        <v>1937</v>
      </c>
      <c r="D855" s="251" t="s">
        <v>15</v>
      </c>
      <c r="E855" s="251" t="s">
        <v>86</v>
      </c>
      <c r="F855" s="250">
        <v>0.02</v>
      </c>
      <c r="G855" s="250">
        <v>0</v>
      </c>
      <c r="H855" s="250">
        <v>3</v>
      </c>
      <c r="I855" s="252" t="s">
        <v>232</v>
      </c>
      <c r="J855" s="251" t="s">
        <v>250</v>
      </c>
      <c r="T855" s="292" t="s">
        <v>1961</v>
      </c>
      <c r="U855" s="283" t="s">
        <v>2355</v>
      </c>
      <c r="V855" s="283" t="s">
        <v>2420</v>
      </c>
      <c r="W855" s="293" t="str">
        <f t="shared" si="29"/>
        <v>H12</v>
      </c>
      <c r="X855" s="284" t="str">
        <f t="shared" si="29"/>
        <v>UA</v>
      </c>
      <c r="Y855" s="271" t="s">
        <v>1767</v>
      </c>
      <c r="Z855" s="283">
        <f t="shared" si="28"/>
        <v>0.02</v>
      </c>
      <c r="AA855" s="340">
        <f t="shared" si="28"/>
        <v>0</v>
      </c>
    </row>
    <row r="856" spans="1:34" s="250" customFormat="1">
      <c r="A856" s="250" t="s">
        <v>1455</v>
      </c>
      <c r="B856" s="250" t="s">
        <v>2115</v>
      </c>
      <c r="C856" s="250" t="s">
        <v>1937</v>
      </c>
      <c r="D856" s="251" t="s">
        <v>15</v>
      </c>
      <c r="E856" s="251" t="s">
        <v>101</v>
      </c>
      <c r="F856" s="250">
        <v>0.02</v>
      </c>
      <c r="G856" s="250">
        <v>0</v>
      </c>
      <c r="H856" s="250">
        <v>3</v>
      </c>
      <c r="I856" s="252" t="s">
        <v>239</v>
      </c>
      <c r="J856" s="251" t="s">
        <v>2136</v>
      </c>
      <c r="T856" s="292" t="s">
        <v>1961</v>
      </c>
      <c r="U856" s="283" t="s">
        <v>2355</v>
      </c>
      <c r="V856" s="283" t="s">
        <v>2420</v>
      </c>
      <c r="W856" s="293" t="str">
        <f t="shared" si="29"/>
        <v>H12</v>
      </c>
      <c r="X856" s="284" t="str">
        <f t="shared" si="29"/>
        <v>ZA</v>
      </c>
      <c r="Y856" s="271" t="s">
        <v>1767</v>
      </c>
      <c r="Z856" s="283">
        <f t="shared" si="28"/>
        <v>0.02</v>
      </c>
      <c r="AA856" s="340">
        <f t="shared" si="28"/>
        <v>0</v>
      </c>
    </row>
    <row r="857" spans="1:34" s="250" customFormat="1">
      <c r="A857" s="250" t="s">
        <v>1456</v>
      </c>
      <c r="B857" s="250" t="s">
        <v>2115</v>
      </c>
      <c r="C857" s="250" t="s">
        <v>1937</v>
      </c>
      <c r="D857" s="251" t="s">
        <v>1979</v>
      </c>
      <c r="E857" s="251" t="s">
        <v>1400</v>
      </c>
      <c r="F857" s="250">
        <v>0.05</v>
      </c>
      <c r="G857" s="250">
        <v>0</v>
      </c>
      <c r="H857" s="250">
        <v>3</v>
      </c>
      <c r="I857" s="252" t="s">
        <v>232</v>
      </c>
      <c r="J857" s="251"/>
      <c r="T857" s="292" t="s">
        <v>1961</v>
      </c>
      <c r="U857" s="283" t="s">
        <v>2355</v>
      </c>
      <c r="V857" s="283" t="s">
        <v>2420</v>
      </c>
      <c r="W857" s="293" t="str">
        <f t="shared" si="29"/>
        <v>H17</v>
      </c>
      <c r="X857" s="284" t="str">
        <f t="shared" si="29"/>
        <v>ABA</v>
      </c>
      <c r="Y857" s="271"/>
      <c r="Z857" s="283">
        <f t="shared" ref="Z857:AA891" si="32">F857</f>
        <v>0.05</v>
      </c>
      <c r="AA857" s="340">
        <f t="shared" si="32"/>
        <v>0</v>
      </c>
    </row>
    <row r="858" spans="1:34" s="250" customFormat="1">
      <c r="A858" s="250" t="s">
        <v>1457</v>
      </c>
      <c r="B858" s="250" t="s">
        <v>2115</v>
      </c>
      <c r="C858" s="250" t="s">
        <v>1937</v>
      </c>
      <c r="D858" s="251" t="s">
        <v>1979</v>
      </c>
      <c r="E858" s="251" t="s">
        <v>1402</v>
      </c>
      <c r="F858" s="250">
        <v>2.5000000000000001E-2</v>
      </c>
      <c r="G858" s="250">
        <v>0</v>
      </c>
      <c r="H858" s="250">
        <v>3</v>
      </c>
      <c r="I858" s="252" t="s">
        <v>239</v>
      </c>
      <c r="J858" s="251" t="s">
        <v>240</v>
      </c>
      <c r="T858" s="292" t="s">
        <v>1961</v>
      </c>
      <c r="U858" s="283" t="s">
        <v>2355</v>
      </c>
      <c r="V858" s="283" t="s">
        <v>2420</v>
      </c>
      <c r="W858" s="293" t="str">
        <f t="shared" si="29"/>
        <v>H17</v>
      </c>
      <c r="X858" s="284" t="str">
        <f t="shared" si="29"/>
        <v>AAA</v>
      </c>
      <c r="Y858" s="271"/>
      <c r="Z858" s="283">
        <f t="shared" si="32"/>
        <v>2.5000000000000001E-2</v>
      </c>
      <c r="AA858" s="340">
        <f t="shared" si="32"/>
        <v>0</v>
      </c>
      <c r="AC858" s="74"/>
      <c r="AD858" s="74"/>
      <c r="AE858" s="74"/>
      <c r="AF858" s="74"/>
      <c r="AG858" s="74"/>
      <c r="AH858" s="74"/>
    </row>
    <row r="859" spans="1:34" s="250" customFormat="1">
      <c r="A859" s="250" t="s">
        <v>1458</v>
      </c>
      <c r="B859" s="250" t="s">
        <v>2115</v>
      </c>
      <c r="C859" s="250" t="s">
        <v>1937</v>
      </c>
      <c r="D859" s="251" t="s">
        <v>1979</v>
      </c>
      <c r="E859" s="251" t="s">
        <v>1404</v>
      </c>
      <c r="F859" s="250">
        <v>1.2500000000000001E-2</v>
      </c>
      <c r="G859" s="250">
        <v>0</v>
      </c>
      <c r="H859" s="250">
        <v>3</v>
      </c>
      <c r="I859" s="252" t="s">
        <v>1405</v>
      </c>
      <c r="J859" s="251" t="s">
        <v>1406</v>
      </c>
      <c r="T859" s="292" t="s">
        <v>1961</v>
      </c>
      <c r="U859" s="283" t="s">
        <v>2355</v>
      </c>
      <c r="V859" s="283" t="s">
        <v>2420</v>
      </c>
      <c r="W859" s="293" t="str">
        <f t="shared" si="29"/>
        <v>H17</v>
      </c>
      <c r="X859" s="284" t="str">
        <f t="shared" si="29"/>
        <v>ALA</v>
      </c>
      <c r="Y859" s="271"/>
      <c r="Z859" s="283">
        <f t="shared" si="32"/>
        <v>1.2500000000000001E-2</v>
      </c>
      <c r="AA859" s="340">
        <f t="shared" si="32"/>
        <v>0</v>
      </c>
      <c r="AC859" s="74"/>
      <c r="AD859" s="74"/>
      <c r="AE859" s="74"/>
      <c r="AF859" s="74"/>
      <c r="AG859" s="74"/>
      <c r="AH859" s="74"/>
    </row>
    <row r="860" spans="1:34">
      <c r="A860" s="244" t="s">
        <v>1459</v>
      </c>
      <c r="B860" s="244" t="s">
        <v>2115</v>
      </c>
      <c r="C860" s="244" t="s">
        <v>1937</v>
      </c>
      <c r="D860" s="244" t="s">
        <v>1979</v>
      </c>
      <c r="E860" s="244" t="s">
        <v>2109</v>
      </c>
      <c r="F860" s="244">
        <v>2.5000000000000001E-2</v>
      </c>
      <c r="G860" s="244">
        <v>0</v>
      </c>
      <c r="H860" s="244">
        <v>3</v>
      </c>
      <c r="I860" s="13" t="s">
        <v>239</v>
      </c>
      <c r="J860" s="74" t="s">
        <v>2136</v>
      </c>
      <c r="T860" s="292" t="s">
        <v>1961</v>
      </c>
      <c r="U860" s="283" t="s">
        <v>2355</v>
      </c>
      <c r="V860" s="283" t="s">
        <v>2420</v>
      </c>
      <c r="W860" s="293" t="str">
        <f t="shared" si="29"/>
        <v>H17</v>
      </c>
      <c r="X860" s="284" t="str">
        <f t="shared" si="29"/>
        <v>CAA</v>
      </c>
      <c r="Y860" s="271" t="s">
        <v>2261</v>
      </c>
      <c r="Z860" s="283">
        <f t="shared" si="32"/>
        <v>2.5000000000000001E-2</v>
      </c>
      <c r="AA860" s="340">
        <f t="shared" si="32"/>
        <v>0</v>
      </c>
    </row>
    <row r="861" spans="1:34">
      <c r="A861" s="244" t="s">
        <v>1460</v>
      </c>
      <c r="B861" s="244" t="s">
        <v>2115</v>
      </c>
      <c r="C861" s="244" t="s">
        <v>1937</v>
      </c>
      <c r="D861" s="244" t="s">
        <v>1979</v>
      </c>
      <c r="E861" s="244" t="s">
        <v>2110</v>
      </c>
      <c r="F861" s="244">
        <v>2.5000000000000001E-2</v>
      </c>
      <c r="G861" s="244">
        <v>0</v>
      </c>
      <c r="H861" s="244">
        <v>3</v>
      </c>
      <c r="I861" s="13" t="s">
        <v>260</v>
      </c>
      <c r="J861" s="74" t="s">
        <v>250</v>
      </c>
      <c r="T861" s="292" t="s">
        <v>1961</v>
      </c>
      <c r="U861" s="283" t="s">
        <v>2355</v>
      </c>
      <c r="V861" s="283" t="s">
        <v>2420</v>
      </c>
      <c r="W861" s="293" t="str">
        <f t="shared" si="29"/>
        <v>H17</v>
      </c>
      <c r="X861" s="284" t="str">
        <f t="shared" si="29"/>
        <v>CBA</v>
      </c>
      <c r="Y861" s="271" t="s">
        <v>2261</v>
      </c>
      <c r="Z861" s="283">
        <f t="shared" si="32"/>
        <v>2.5000000000000001E-2</v>
      </c>
      <c r="AA861" s="340">
        <f t="shared" si="32"/>
        <v>0</v>
      </c>
    </row>
    <row r="862" spans="1:34">
      <c r="A862" s="244" t="s">
        <v>1461</v>
      </c>
      <c r="B862" s="244" t="s">
        <v>2115</v>
      </c>
      <c r="C862" s="244" t="s">
        <v>1937</v>
      </c>
      <c r="D862" s="244" t="s">
        <v>1979</v>
      </c>
      <c r="E862" s="244" t="s">
        <v>1410</v>
      </c>
      <c r="F862" s="244">
        <v>2.5000000000000001E-2</v>
      </c>
      <c r="G862" s="244">
        <v>0</v>
      </c>
      <c r="H862" s="244">
        <v>3</v>
      </c>
      <c r="I862" s="13" t="s">
        <v>1405</v>
      </c>
      <c r="J862" s="74" t="s">
        <v>2415</v>
      </c>
      <c r="T862" s="292" t="s">
        <v>1961</v>
      </c>
      <c r="U862" s="283" t="s">
        <v>2355</v>
      </c>
      <c r="V862" s="283" t="s">
        <v>2420</v>
      </c>
      <c r="W862" s="293" t="str">
        <f t="shared" si="29"/>
        <v>H17</v>
      </c>
      <c r="X862" s="284" t="str">
        <f t="shared" si="29"/>
        <v>CLA</v>
      </c>
      <c r="Y862" s="271" t="s">
        <v>2261</v>
      </c>
      <c r="Z862" s="283">
        <f t="shared" si="32"/>
        <v>2.5000000000000001E-2</v>
      </c>
      <c r="AA862" s="340">
        <f t="shared" si="32"/>
        <v>0</v>
      </c>
    </row>
    <row r="863" spans="1:34">
      <c r="A863" s="244" t="s">
        <v>1462</v>
      </c>
      <c r="B863" s="244" t="s">
        <v>2115</v>
      </c>
      <c r="C863" s="244" t="s">
        <v>1937</v>
      </c>
      <c r="D863" s="244" t="s">
        <v>1979</v>
      </c>
      <c r="E863" s="244" t="s">
        <v>2111</v>
      </c>
      <c r="F863" s="244">
        <v>1.2500000000000001E-2</v>
      </c>
      <c r="G863" s="244">
        <v>0</v>
      </c>
      <c r="H863" s="244">
        <v>3</v>
      </c>
      <c r="I863" s="13" t="s">
        <v>239</v>
      </c>
      <c r="J863" s="74" t="s">
        <v>2406</v>
      </c>
      <c r="T863" s="292" t="s">
        <v>1961</v>
      </c>
      <c r="U863" s="283" t="s">
        <v>2355</v>
      </c>
      <c r="V863" s="283" t="s">
        <v>2420</v>
      </c>
      <c r="W863" s="293" t="str">
        <f t="shared" si="29"/>
        <v>H17</v>
      </c>
      <c r="X863" s="284" t="str">
        <f t="shared" si="29"/>
        <v>DAA</v>
      </c>
      <c r="Y863" s="271" t="s">
        <v>2262</v>
      </c>
      <c r="Z863" s="283">
        <f t="shared" si="32"/>
        <v>1.2500000000000001E-2</v>
      </c>
      <c r="AA863" s="340">
        <f t="shared" si="32"/>
        <v>0</v>
      </c>
    </row>
    <row r="864" spans="1:34">
      <c r="A864" s="244" t="s">
        <v>1463</v>
      </c>
      <c r="B864" s="244" t="s">
        <v>2115</v>
      </c>
      <c r="C864" s="244" t="s">
        <v>1937</v>
      </c>
      <c r="D864" s="244" t="s">
        <v>1979</v>
      </c>
      <c r="E864" s="244" t="s">
        <v>2112</v>
      </c>
      <c r="F864" s="244">
        <v>1.2500000000000001E-2</v>
      </c>
      <c r="G864" s="244">
        <v>0</v>
      </c>
      <c r="H864" s="244">
        <v>3</v>
      </c>
      <c r="I864" s="13" t="s">
        <v>263</v>
      </c>
      <c r="J864" s="74" t="s">
        <v>586</v>
      </c>
      <c r="T864" s="292" t="s">
        <v>1961</v>
      </c>
      <c r="U864" s="283" t="s">
        <v>2355</v>
      </c>
      <c r="V864" s="283" t="s">
        <v>2420</v>
      </c>
      <c r="W864" s="293" t="str">
        <f t="shared" si="29"/>
        <v>H17</v>
      </c>
      <c r="X864" s="284" t="str">
        <f t="shared" si="29"/>
        <v>DBA</v>
      </c>
      <c r="Y864" s="271" t="s">
        <v>2262</v>
      </c>
      <c r="Z864" s="283">
        <f t="shared" si="32"/>
        <v>1.2500000000000001E-2</v>
      </c>
      <c r="AA864" s="340">
        <f t="shared" si="32"/>
        <v>0</v>
      </c>
    </row>
    <row r="865" spans="1:27">
      <c r="A865" s="74" t="s">
        <v>1464</v>
      </c>
      <c r="B865" s="74" t="s">
        <v>2115</v>
      </c>
      <c r="C865" s="74" t="s">
        <v>1937</v>
      </c>
      <c r="D865" s="74" t="s">
        <v>1979</v>
      </c>
      <c r="E865" s="74" t="s">
        <v>1414</v>
      </c>
      <c r="F865" s="74">
        <v>1.2500000000000001E-2</v>
      </c>
      <c r="G865" s="74">
        <v>0</v>
      </c>
      <c r="H865" s="74">
        <v>3</v>
      </c>
      <c r="I865" s="13" t="s">
        <v>1405</v>
      </c>
      <c r="J865" s="74" t="s">
        <v>2414</v>
      </c>
      <c r="T865" s="292" t="s">
        <v>1961</v>
      </c>
      <c r="U865" s="283" t="s">
        <v>2355</v>
      </c>
      <c r="V865" s="283" t="s">
        <v>2420</v>
      </c>
      <c r="W865" s="293" t="str">
        <f t="shared" si="29"/>
        <v>H17</v>
      </c>
      <c r="X865" s="284" t="str">
        <f t="shared" si="29"/>
        <v>DLA</v>
      </c>
      <c r="Y865" s="271" t="s">
        <v>2262</v>
      </c>
      <c r="Z865" s="283">
        <f t="shared" si="32"/>
        <v>1.2500000000000001E-2</v>
      </c>
      <c r="AA865" s="340">
        <f t="shared" si="32"/>
        <v>0</v>
      </c>
    </row>
    <row r="866" spans="1:27">
      <c r="A866" s="74" t="s">
        <v>1465</v>
      </c>
      <c r="B866" s="74" t="s">
        <v>2115</v>
      </c>
      <c r="C866" s="74" t="s">
        <v>1937</v>
      </c>
      <c r="D866" s="74" t="s">
        <v>2382</v>
      </c>
      <c r="E866" s="74" t="s">
        <v>1416</v>
      </c>
      <c r="F866" s="74">
        <v>0.05</v>
      </c>
      <c r="G866" s="74">
        <v>0</v>
      </c>
      <c r="H866" s="74">
        <v>3</v>
      </c>
      <c r="I866" s="13" t="s">
        <v>232</v>
      </c>
      <c r="T866" s="292" t="s">
        <v>1961</v>
      </c>
      <c r="U866" s="283" t="s">
        <v>2355</v>
      </c>
      <c r="V866" s="283" t="s">
        <v>2420</v>
      </c>
      <c r="W866" s="293" t="str">
        <f t="shared" si="29"/>
        <v>H21</v>
      </c>
      <c r="X866" s="284" t="str">
        <f t="shared" si="29"/>
        <v>LBA</v>
      </c>
      <c r="Y866" s="271"/>
      <c r="Z866" s="283">
        <f t="shared" si="32"/>
        <v>0.05</v>
      </c>
      <c r="AA866" s="340">
        <f t="shared" si="32"/>
        <v>0</v>
      </c>
    </row>
    <row r="867" spans="1:27">
      <c r="A867" s="74" t="s">
        <v>1466</v>
      </c>
      <c r="B867" s="74" t="s">
        <v>2115</v>
      </c>
      <c r="C867" s="74" t="s">
        <v>1937</v>
      </c>
      <c r="D867" s="74" t="s">
        <v>2382</v>
      </c>
      <c r="E867" s="74" t="s">
        <v>1418</v>
      </c>
      <c r="F867" s="74">
        <v>2.5000000000000001E-2</v>
      </c>
      <c r="G867" s="74">
        <v>0</v>
      </c>
      <c r="H867" s="74">
        <v>3</v>
      </c>
      <c r="I867" s="13" t="s">
        <v>239</v>
      </c>
      <c r="J867" s="74" t="s">
        <v>240</v>
      </c>
      <c r="T867" s="292" t="s">
        <v>1961</v>
      </c>
      <c r="U867" s="283" t="s">
        <v>2355</v>
      </c>
      <c r="V867" s="283" t="s">
        <v>2420</v>
      </c>
      <c r="W867" s="293" t="str">
        <f t="shared" si="29"/>
        <v>H21</v>
      </c>
      <c r="X867" s="284" t="str">
        <f t="shared" si="29"/>
        <v>LAA</v>
      </c>
      <c r="Y867" s="271"/>
      <c r="Z867" s="283">
        <f t="shared" si="32"/>
        <v>2.5000000000000001E-2</v>
      </c>
      <c r="AA867" s="340">
        <f t="shared" si="32"/>
        <v>0</v>
      </c>
    </row>
    <row r="868" spans="1:27">
      <c r="A868" s="74" t="s">
        <v>1467</v>
      </c>
      <c r="B868" s="74" t="s">
        <v>2115</v>
      </c>
      <c r="C868" s="74" t="s">
        <v>1937</v>
      </c>
      <c r="D868" s="74" t="s">
        <v>2382</v>
      </c>
      <c r="E868" s="74" t="s">
        <v>1420</v>
      </c>
      <c r="F868" s="74">
        <v>1.2500000000000001E-2</v>
      </c>
      <c r="G868" s="74">
        <v>0</v>
      </c>
      <c r="H868" s="74">
        <v>3</v>
      </c>
      <c r="I868" s="13" t="s">
        <v>1405</v>
      </c>
      <c r="J868" s="74" t="s">
        <v>1406</v>
      </c>
      <c r="T868" s="292" t="s">
        <v>1961</v>
      </c>
      <c r="U868" s="283" t="s">
        <v>2355</v>
      </c>
      <c r="V868" s="283" t="s">
        <v>2420</v>
      </c>
      <c r="W868" s="293" t="str">
        <f t="shared" ref="W868:X883" si="33">D868</f>
        <v>H21</v>
      </c>
      <c r="X868" s="284" t="str">
        <f t="shared" si="33"/>
        <v>LLA</v>
      </c>
      <c r="Y868" s="271"/>
      <c r="Z868" s="283">
        <f t="shared" si="32"/>
        <v>1.2500000000000001E-2</v>
      </c>
      <c r="AA868" s="340">
        <f t="shared" si="32"/>
        <v>0</v>
      </c>
    </row>
    <row r="869" spans="1:27">
      <c r="A869" s="74" t="s">
        <v>1468</v>
      </c>
      <c r="B869" s="74" t="s">
        <v>2115</v>
      </c>
      <c r="C869" s="74" t="s">
        <v>1937</v>
      </c>
      <c r="D869" s="74" t="s">
        <v>2382</v>
      </c>
      <c r="E869" s="74" t="s">
        <v>1422</v>
      </c>
      <c r="F869" s="74">
        <v>2.5000000000000001E-2</v>
      </c>
      <c r="G869" s="74">
        <v>0</v>
      </c>
      <c r="H869" s="74">
        <v>3</v>
      </c>
      <c r="I869" s="13" t="s">
        <v>260</v>
      </c>
      <c r="J869" s="74" t="s">
        <v>2261</v>
      </c>
      <c r="T869" s="292" t="s">
        <v>1961</v>
      </c>
      <c r="U869" s="283" t="s">
        <v>2355</v>
      </c>
      <c r="V869" s="283" t="s">
        <v>2420</v>
      </c>
      <c r="W869" s="293" t="str">
        <f t="shared" si="33"/>
        <v>H21</v>
      </c>
      <c r="X869" s="284" t="str">
        <f t="shared" si="33"/>
        <v>MBA</v>
      </c>
      <c r="Y869" s="271" t="s">
        <v>2261</v>
      </c>
      <c r="Z869" s="283">
        <f t="shared" si="32"/>
        <v>2.5000000000000001E-2</v>
      </c>
      <c r="AA869" s="340">
        <f t="shared" si="32"/>
        <v>0</v>
      </c>
    </row>
    <row r="870" spans="1:27">
      <c r="A870" s="74" t="s">
        <v>1469</v>
      </c>
      <c r="B870" s="74" t="s">
        <v>2115</v>
      </c>
      <c r="C870" s="74" t="s">
        <v>1937</v>
      </c>
      <c r="D870" s="74" t="s">
        <v>2382</v>
      </c>
      <c r="E870" s="74" t="s">
        <v>1424</v>
      </c>
      <c r="F870" s="74">
        <v>2.5000000000000001E-2</v>
      </c>
      <c r="G870" s="74">
        <v>0</v>
      </c>
      <c r="H870" s="74">
        <v>3</v>
      </c>
      <c r="I870" s="13" t="s">
        <v>239</v>
      </c>
      <c r="J870" s="74" t="s">
        <v>2391</v>
      </c>
      <c r="T870" s="292" t="s">
        <v>1961</v>
      </c>
      <c r="U870" s="283" t="s">
        <v>2355</v>
      </c>
      <c r="V870" s="283" t="s">
        <v>2420</v>
      </c>
      <c r="W870" s="293" t="str">
        <f t="shared" si="33"/>
        <v>H21</v>
      </c>
      <c r="X870" s="284" t="str">
        <f t="shared" si="33"/>
        <v>MAA</v>
      </c>
      <c r="Y870" s="271" t="s">
        <v>2261</v>
      </c>
      <c r="Z870" s="283">
        <f t="shared" si="32"/>
        <v>2.5000000000000001E-2</v>
      </c>
      <c r="AA870" s="340">
        <f t="shared" si="32"/>
        <v>0</v>
      </c>
    </row>
    <row r="871" spans="1:27">
      <c r="A871" s="74" t="s">
        <v>1470</v>
      </c>
      <c r="B871" s="74" t="s">
        <v>2115</v>
      </c>
      <c r="C871" s="74" t="s">
        <v>1937</v>
      </c>
      <c r="D871" s="74" t="s">
        <v>2382</v>
      </c>
      <c r="E871" s="74" t="s">
        <v>1426</v>
      </c>
      <c r="F871" s="74">
        <v>2.5000000000000001E-2</v>
      </c>
      <c r="G871" s="74">
        <v>0</v>
      </c>
      <c r="H871" s="74">
        <v>3</v>
      </c>
      <c r="I871" s="13" t="s">
        <v>1405</v>
      </c>
      <c r="J871" s="74" t="s">
        <v>2415</v>
      </c>
      <c r="T871" s="292" t="s">
        <v>1961</v>
      </c>
      <c r="U871" s="283" t="s">
        <v>2355</v>
      </c>
      <c r="V871" s="283" t="s">
        <v>2420</v>
      </c>
      <c r="W871" s="293" t="str">
        <f t="shared" si="33"/>
        <v>H21</v>
      </c>
      <c r="X871" s="284" t="str">
        <f t="shared" si="33"/>
        <v>MLA</v>
      </c>
      <c r="Y871" s="271" t="s">
        <v>2261</v>
      </c>
      <c r="Z871" s="283">
        <f t="shared" si="32"/>
        <v>2.5000000000000001E-2</v>
      </c>
      <c r="AA871" s="340">
        <f t="shared" si="32"/>
        <v>0</v>
      </c>
    </row>
    <row r="872" spans="1:27">
      <c r="A872" s="74" t="s">
        <v>1471</v>
      </c>
      <c r="B872" s="74" t="s">
        <v>2115</v>
      </c>
      <c r="C872" s="74" t="s">
        <v>1937</v>
      </c>
      <c r="D872" s="74" t="s">
        <v>2382</v>
      </c>
      <c r="E872" s="74" t="s">
        <v>1428</v>
      </c>
      <c r="F872" s="74">
        <v>1.2500000000000001E-2</v>
      </c>
      <c r="G872" s="74">
        <v>0</v>
      </c>
      <c r="H872" s="74">
        <v>3</v>
      </c>
      <c r="I872" s="13" t="s">
        <v>263</v>
      </c>
      <c r="J872" s="74" t="s">
        <v>2262</v>
      </c>
      <c r="T872" s="292" t="s">
        <v>1961</v>
      </c>
      <c r="U872" s="283" t="s">
        <v>2355</v>
      </c>
      <c r="V872" s="283" t="s">
        <v>2420</v>
      </c>
      <c r="W872" s="293" t="str">
        <f t="shared" si="33"/>
        <v>H21</v>
      </c>
      <c r="X872" s="284" t="str">
        <f t="shared" si="33"/>
        <v>RBA</v>
      </c>
      <c r="Y872" s="271" t="s">
        <v>2262</v>
      </c>
      <c r="Z872" s="283">
        <f t="shared" si="32"/>
        <v>1.2500000000000001E-2</v>
      </c>
      <c r="AA872" s="340">
        <f t="shared" si="32"/>
        <v>0</v>
      </c>
    </row>
    <row r="873" spans="1:27">
      <c r="A873" s="74" t="s">
        <v>1472</v>
      </c>
      <c r="B873" s="74" t="s">
        <v>2115</v>
      </c>
      <c r="C873" s="74" t="s">
        <v>1937</v>
      </c>
      <c r="D873" s="74" t="s">
        <v>2382</v>
      </c>
      <c r="E873" s="74" t="s">
        <v>1430</v>
      </c>
      <c r="F873" s="74">
        <v>1.2500000000000001E-2</v>
      </c>
      <c r="G873" s="74">
        <v>0</v>
      </c>
      <c r="H873" s="74">
        <v>3</v>
      </c>
      <c r="I873" s="13" t="s">
        <v>239</v>
      </c>
      <c r="J873" s="74" t="s">
        <v>2386</v>
      </c>
      <c r="T873" s="292" t="s">
        <v>1961</v>
      </c>
      <c r="U873" s="283" t="s">
        <v>2355</v>
      </c>
      <c r="V873" s="283" t="s">
        <v>2420</v>
      </c>
      <c r="W873" s="293" t="str">
        <f t="shared" si="33"/>
        <v>H21</v>
      </c>
      <c r="X873" s="284" t="str">
        <f t="shared" si="33"/>
        <v>RAA</v>
      </c>
      <c r="Y873" s="271" t="s">
        <v>2262</v>
      </c>
      <c r="Z873" s="283">
        <f t="shared" si="32"/>
        <v>1.2500000000000001E-2</v>
      </c>
      <c r="AA873" s="340">
        <f t="shared" si="32"/>
        <v>0</v>
      </c>
    </row>
    <row r="874" spans="1:27">
      <c r="A874" s="74" t="s">
        <v>1473</v>
      </c>
      <c r="B874" s="74" t="s">
        <v>2115</v>
      </c>
      <c r="C874" s="74" t="s">
        <v>1937</v>
      </c>
      <c r="D874" s="74" t="s">
        <v>2382</v>
      </c>
      <c r="E874" s="74" t="s">
        <v>1432</v>
      </c>
      <c r="F874" s="74">
        <v>1.2500000000000001E-2</v>
      </c>
      <c r="G874" s="74">
        <v>0</v>
      </c>
      <c r="H874" s="74">
        <v>3</v>
      </c>
      <c r="I874" s="13" t="s">
        <v>1405</v>
      </c>
      <c r="J874" s="74" t="s">
        <v>2414</v>
      </c>
      <c r="T874" s="292" t="s">
        <v>1961</v>
      </c>
      <c r="U874" s="283" t="s">
        <v>2355</v>
      </c>
      <c r="V874" s="283" t="s">
        <v>2420</v>
      </c>
      <c r="W874" s="293" t="str">
        <f t="shared" si="33"/>
        <v>H21</v>
      </c>
      <c r="X874" s="284" t="str">
        <f t="shared" si="33"/>
        <v>RLA</v>
      </c>
      <c r="Y874" s="271" t="s">
        <v>2262</v>
      </c>
      <c r="Z874" s="283">
        <f t="shared" si="32"/>
        <v>1.2500000000000001E-2</v>
      </c>
      <c r="AA874" s="340">
        <f t="shared" si="32"/>
        <v>0</v>
      </c>
    </row>
    <row r="875" spans="1:27">
      <c r="A875" s="74" t="s">
        <v>1474</v>
      </c>
      <c r="B875" s="74" t="s">
        <v>2115</v>
      </c>
      <c r="C875" s="74" t="s">
        <v>1937</v>
      </c>
      <c r="D875" s="74" t="s">
        <v>2382</v>
      </c>
      <c r="E875" s="74" t="s">
        <v>1434</v>
      </c>
      <c r="F875" s="74">
        <v>4.4999999999999998E-2</v>
      </c>
      <c r="G875" s="74">
        <v>0</v>
      </c>
      <c r="H875" s="74">
        <v>3</v>
      </c>
      <c r="I875" s="13" t="s">
        <v>232</v>
      </c>
      <c r="J875" s="74" t="s">
        <v>2398</v>
      </c>
      <c r="T875" s="292" t="s">
        <v>1773</v>
      </c>
      <c r="U875" s="283" t="s">
        <v>1051</v>
      </c>
      <c r="V875" s="283" t="s">
        <v>1774</v>
      </c>
      <c r="W875" s="293" t="s">
        <v>2382</v>
      </c>
      <c r="X875" s="284" t="s">
        <v>1434</v>
      </c>
      <c r="Y875" s="271" t="s">
        <v>1762</v>
      </c>
      <c r="Z875" s="283">
        <v>4.4999999999999998E-2</v>
      </c>
      <c r="AA875" s="340">
        <v>0</v>
      </c>
    </row>
    <row r="876" spans="1:27">
      <c r="A876" s="74" t="s">
        <v>1475</v>
      </c>
      <c r="B876" s="74" t="s">
        <v>2115</v>
      </c>
      <c r="C876" s="74" t="s">
        <v>1937</v>
      </c>
      <c r="D876" s="74" t="s">
        <v>2382</v>
      </c>
      <c r="E876" s="74" t="s">
        <v>1436</v>
      </c>
      <c r="F876" s="74">
        <v>4.4999999999999998E-2</v>
      </c>
      <c r="G876" s="74">
        <v>0</v>
      </c>
      <c r="H876" s="74">
        <v>3</v>
      </c>
      <c r="I876" s="13" t="s">
        <v>239</v>
      </c>
      <c r="J876" s="74" t="s">
        <v>1437</v>
      </c>
      <c r="T876" s="292" t="s">
        <v>1773</v>
      </c>
      <c r="U876" s="283" t="s">
        <v>1051</v>
      </c>
      <c r="V876" s="283" t="s">
        <v>1774</v>
      </c>
      <c r="W876" s="293" t="s">
        <v>2382</v>
      </c>
      <c r="X876" s="284" t="s">
        <v>1436</v>
      </c>
      <c r="Y876" s="271" t="s">
        <v>1762</v>
      </c>
      <c r="Z876" s="283">
        <v>4.4999999999999998E-2</v>
      </c>
      <c r="AA876" s="340">
        <v>0</v>
      </c>
    </row>
    <row r="877" spans="1:27">
      <c r="A877" s="74" t="s">
        <v>1476</v>
      </c>
      <c r="B877" s="74" t="s">
        <v>2115</v>
      </c>
      <c r="C877" s="74" t="s">
        <v>1937</v>
      </c>
      <c r="D877" s="74" t="s">
        <v>2382</v>
      </c>
      <c r="E877" s="74" t="s">
        <v>1439</v>
      </c>
      <c r="F877" s="74">
        <v>4.4999999999999998E-2</v>
      </c>
      <c r="G877" s="74">
        <v>0</v>
      </c>
      <c r="H877" s="74">
        <v>3</v>
      </c>
      <c r="I877" s="13" t="s">
        <v>1405</v>
      </c>
      <c r="J877" s="74" t="s">
        <v>1440</v>
      </c>
      <c r="T877" s="292" t="s">
        <v>1773</v>
      </c>
      <c r="U877" s="283" t="s">
        <v>1051</v>
      </c>
      <c r="V877" s="283" t="s">
        <v>1774</v>
      </c>
      <c r="W877" s="293" t="s">
        <v>2382</v>
      </c>
      <c r="X877" s="284" t="s">
        <v>1439</v>
      </c>
      <c r="Y877" s="271" t="s">
        <v>1762</v>
      </c>
      <c r="Z877" s="283">
        <v>4.4999999999999998E-2</v>
      </c>
      <c r="AA877" s="340">
        <v>0</v>
      </c>
    </row>
    <row r="878" spans="1:27">
      <c r="A878" s="74" t="s">
        <v>1477</v>
      </c>
      <c r="B878" s="74" t="s">
        <v>2125</v>
      </c>
      <c r="C878" s="74" t="s">
        <v>2116</v>
      </c>
      <c r="D878" s="74" t="s">
        <v>2458</v>
      </c>
      <c r="E878" s="74" t="s">
        <v>2457</v>
      </c>
      <c r="F878" s="74">
        <v>1.34</v>
      </c>
      <c r="G878" s="74">
        <v>0.2</v>
      </c>
      <c r="H878" s="74">
        <v>2.58</v>
      </c>
      <c r="I878" s="13" t="s">
        <v>1973</v>
      </c>
      <c r="T878" s="292" t="s">
        <v>1961</v>
      </c>
      <c r="U878" s="283" t="s">
        <v>2454</v>
      </c>
      <c r="V878" s="283" t="s">
        <v>2420</v>
      </c>
      <c r="W878" s="293" t="str">
        <f t="shared" ref="W878:X958" si="34">D878</f>
        <v>S54前</v>
      </c>
      <c r="X878" s="284" t="str">
        <f t="shared" si="33"/>
        <v>-</v>
      </c>
      <c r="Y878" s="271"/>
      <c r="Z878" s="283">
        <f t="shared" si="32"/>
        <v>1.34</v>
      </c>
      <c r="AA878" s="340">
        <f t="shared" si="32"/>
        <v>0.2</v>
      </c>
    </row>
    <row r="879" spans="1:27">
      <c r="A879" s="74" t="s">
        <v>1478</v>
      </c>
      <c r="B879" s="74" t="s">
        <v>2125</v>
      </c>
      <c r="C879" s="74" t="s">
        <v>2116</v>
      </c>
      <c r="D879" s="74" t="s">
        <v>0</v>
      </c>
      <c r="E879" s="74" t="s">
        <v>6</v>
      </c>
      <c r="F879" s="74">
        <v>1.2</v>
      </c>
      <c r="G879" s="74">
        <v>0.2</v>
      </c>
      <c r="H879" s="74">
        <v>2.58</v>
      </c>
      <c r="I879" s="13" t="s">
        <v>1973</v>
      </c>
      <c r="T879" s="292" t="s">
        <v>1961</v>
      </c>
      <c r="U879" s="283" t="s">
        <v>2454</v>
      </c>
      <c r="V879" s="283" t="s">
        <v>2420</v>
      </c>
      <c r="W879" s="293" t="str">
        <f t="shared" si="34"/>
        <v>S54</v>
      </c>
      <c r="X879" s="284" t="str">
        <f t="shared" si="33"/>
        <v>K</v>
      </c>
      <c r="Y879" s="271"/>
      <c r="Z879" s="283">
        <f t="shared" si="32"/>
        <v>1.2</v>
      </c>
      <c r="AA879" s="340">
        <f t="shared" si="32"/>
        <v>0.2</v>
      </c>
    </row>
    <row r="880" spans="1:27">
      <c r="A880" s="74" t="s">
        <v>1479</v>
      </c>
      <c r="B880" s="74" t="s">
        <v>2125</v>
      </c>
      <c r="C880" s="74" t="s">
        <v>2116</v>
      </c>
      <c r="D880" s="74" t="s">
        <v>8</v>
      </c>
      <c r="E880" s="74" t="s">
        <v>136</v>
      </c>
      <c r="F880" s="74">
        <v>1.02</v>
      </c>
      <c r="G880" s="74">
        <v>0.2</v>
      </c>
      <c r="H880" s="74">
        <v>2.58</v>
      </c>
      <c r="I880" s="13" t="s">
        <v>1973</v>
      </c>
      <c r="T880" s="292" t="s">
        <v>1961</v>
      </c>
      <c r="U880" s="283" t="s">
        <v>2454</v>
      </c>
      <c r="V880" s="283" t="s">
        <v>2420</v>
      </c>
      <c r="W880" s="293" t="str">
        <f t="shared" si="34"/>
        <v>S57,S58</v>
      </c>
      <c r="X880" s="284" t="str">
        <f t="shared" si="33"/>
        <v>N</v>
      </c>
      <c r="Y880" s="271"/>
      <c r="Z880" s="283">
        <f t="shared" si="32"/>
        <v>1.02</v>
      </c>
      <c r="AA880" s="340">
        <f t="shared" si="32"/>
        <v>0.2</v>
      </c>
    </row>
    <row r="881" spans="1:27">
      <c r="A881" s="74" t="s">
        <v>1480</v>
      </c>
      <c r="B881" s="74" t="s">
        <v>2125</v>
      </c>
      <c r="C881" s="74" t="s">
        <v>2116</v>
      </c>
      <c r="D881" s="74" t="s">
        <v>8</v>
      </c>
      <c r="E881" s="74" t="s">
        <v>137</v>
      </c>
      <c r="F881" s="74">
        <v>1.02</v>
      </c>
      <c r="G881" s="74">
        <v>0.2</v>
      </c>
      <c r="H881" s="74">
        <v>2.58</v>
      </c>
      <c r="I881" s="13" t="s">
        <v>1973</v>
      </c>
      <c r="T881" s="292" t="s">
        <v>1961</v>
      </c>
      <c r="U881" s="283" t="s">
        <v>2454</v>
      </c>
      <c r="V881" s="283" t="s">
        <v>2420</v>
      </c>
      <c r="W881" s="293" t="str">
        <f t="shared" si="34"/>
        <v>S57,S58</v>
      </c>
      <c r="X881" s="284" t="str">
        <f t="shared" si="33"/>
        <v>P</v>
      </c>
      <c r="Y881" s="271"/>
      <c r="Z881" s="283">
        <f t="shared" si="32"/>
        <v>1.02</v>
      </c>
      <c r="AA881" s="340">
        <f t="shared" si="32"/>
        <v>0.2</v>
      </c>
    </row>
    <row r="882" spans="1:27">
      <c r="A882" s="74" t="s">
        <v>1481</v>
      </c>
      <c r="B882" s="74" t="s">
        <v>2125</v>
      </c>
      <c r="C882" s="74" t="s">
        <v>2116</v>
      </c>
      <c r="D882" s="74" t="s">
        <v>30</v>
      </c>
      <c r="E882" s="74" t="s">
        <v>31</v>
      </c>
      <c r="F882" s="74">
        <v>0.7</v>
      </c>
      <c r="G882" s="74">
        <v>0.2</v>
      </c>
      <c r="H882" s="74">
        <v>2.58</v>
      </c>
      <c r="I882" s="13" t="s">
        <v>1973</v>
      </c>
      <c r="T882" s="292" t="s">
        <v>1961</v>
      </c>
      <c r="U882" s="283" t="s">
        <v>2454</v>
      </c>
      <c r="V882" s="283" t="s">
        <v>2420</v>
      </c>
      <c r="W882" s="293" t="str">
        <f t="shared" si="34"/>
        <v>S61,S62</v>
      </c>
      <c r="X882" s="284" t="str">
        <f t="shared" si="33"/>
        <v>Q</v>
      </c>
      <c r="Y882" s="271"/>
      <c r="Z882" s="283">
        <f t="shared" si="32"/>
        <v>0.7</v>
      </c>
      <c r="AA882" s="340">
        <f t="shared" si="32"/>
        <v>0.2</v>
      </c>
    </row>
    <row r="883" spans="1:27">
      <c r="A883" s="74" t="s">
        <v>1482</v>
      </c>
      <c r="B883" s="74" t="s">
        <v>2125</v>
      </c>
      <c r="C883" s="74" t="s">
        <v>2116</v>
      </c>
      <c r="D883" s="74" t="s">
        <v>32</v>
      </c>
      <c r="E883" s="74" t="s">
        <v>182</v>
      </c>
      <c r="F883" s="74">
        <v>0.5</v>
      </c>
      <c r="G883" s="74">
        <v>0.2</v>
      </c>
      <c r="H883" s="74">
        <v>2.58</v>
      </c>
      <c r="I883" s="13" t="s">
        <v>1973</v>
      </c>
      <c r="T883" s="292" t="s">
        <v>1961</v>
      </c>
      <c r="U883" s="283" t="s">
        <v>2454</v>
      </c>
      <c r="V883" s="283" t="s">
        <v>2420</v>
      </c>
      <c r="W883" s="293" t="str">
        <f t="shared" si="34"/>
        <v>H2,H4</v>
      </c>
      <c r="X883" s="284" t="str">
        <f t="shared" si="33"/>
        <v>X</v>
      </c>
      <c r="Y883" s="271"/>
      <c r="Z883" s="283">
        <f t="shared" si="32"/>
        <v>0.5</v>
      </c>
      <c r="AA883" s="340">
        <f t="shared" si="32"/>
        <v>0.2</v>
      </c>
    </row>
    <row r="884" spans="1:27">
      <c r="A884" s="74" t="s">
        <v>1483</v>
      </c>
      <c r="B884" s="74" t="s">
        <v>2125</v>
      </c>
      <c r="C884" s="74" t="s">
        <v>2116</v>
      </c>
      <c r="D884" s="74" t="s">
        <v>32</v>
      </c>
      <c r="E884" s="74" t="s">
        <v>188</v>
      </c>
      <c r="F884" s="74">
        <v>0.5</v>
      </c>
      <c r="G884" s="74">
        <v>0.2</v>
      </c>
      <c r="H884" s="74">
        <v>2.58</v>
      </c>
      <c r="I884" s="13" t="s">
        <v>1973</v>
      </c>
      <c r="T884" s="292" t="s">
        <v>1961</v>
      </c>
      <c r="U884" s="283" t="s">
        <v>2454</v>
      </c>
      <c r="V884" s="283" t="s">
        <v>2420</v>
      </c>
      <c r="W884" s="293" t="str">
        <f t="shared" si="34"/>
        <v>H2,H4</v>
      </c>
      <c r="X884" s="284" t="str">
        <f t="shared" si="34"/>
        <v>Y</v>
      </c>
      <c r="Y884" s="271"/>
      <c r="Z884" s="283">
        <f t="shared" si="32"/>
        <v>0.5</v>
      </c>
      <c r="AA884" s="340">
        <f t="shared" si="32"/>
        <v>0.2</v>
      </c>
    </row>
    <row r="885" spans="1:27">
      <c r="A885" s="74" t="s">
        <v>1484</v>
      </c>
      <c r="B885" s="74" t="s">
        <v>2125</v>
      </c>
      <c r="C885" s="74" t="s">
        <v>2116</v>
      </c>
      <c r="D885" s="74" t="s">
        <v>33</v>
      </c>
      <c r="E885" s="74" t="s">
        <v>34</v>
      </c>
      <c r="F885" s="74">
        <v>0.5</v>
      </c>
      <c r="G885" s="74">
        <v>0.2</v>
      </c>
      <c r="H885" s="74">
        <v>2.58</v>
      </c>
      <c r="I885" s="13" t="s">
        <v>1973</v>
      </c>
      <c r="T885" s="292" t="s">
        <v>1961</v>
      </c>
      <c r="U885" s="283" t="s">
        <v>2454</v>
      </c>
      <c r="V885" s="283" t="s">
        <v>2420</v>
      </c>
      <c r="W885" s="293" t="str">
        <f t="shared" si="34"/>
        <v>H6</v>
      </c>
      <c r="X885" s="284" t="str">
        <f t="shared" si="34"/>
        <v>KD</v>
      </c>
      <c r="Y885" s="271"/>
      <c r="Z885" s="283">
        <f t="shared" si="32"/>
        <v>0.5</v>
      </c>
      <c r="AA885" s="340">
        <f t="shared" si="32"/>
        <v>0.2</v>
      </c>
    </row>
    <row r="886" spans="1:27">
      <c r="A886" s="74" t="s">
        <v>1485</v>
      </c>
      <c r="B886" s="74" t="s">
        <v>2125</v>
      </c>
      <c r="C886" s="74" t="s">
        <v>2116</v>
      </c>
      <c r="D886" s="74" t="s">
        <v>36</v>
      </c>
      <c r="E886" s="74" t="s">
        <v>118</v>
      </c>
      <c r="F886" s="74">
        <v>0.4</v>
      </c>
      <c r="G886" s="74">
        <v>0.08</v>
      </c>
      <c r="H886" s="74">
        <v>2.58</v>
      </c>
      <c r="I886" s="13" t="s">
        <v>1973</v>
      </c>
      <c r="T886" s="292" t="s">
        <v>1961</v>
      </c>
      <c r="U886" s="283" t="s">
        <v>2454</v>
      </c>
      <c r="V886" s="283" t="s">
        <v>2420</v>
      </c>
      <c r="W886" s="293" t="str">
        <f t="shared" si="34"/>
        <v>H9,H10</v>
      </c>
      <c r="X886" s="284" t="str">
        <f t="shared" si="34"/>
        <v>KE</v>
      </c>
      <c r="Y886" s="271"/>
      <c r="Z886" s="283">
        <f t="shared" si="32"/>
        <v>0.4</v>
      </c>
      <c r="AA886" s="340">
        <f t="shared" si="32"/>
        <v>0.08</v>
      </c>
    </row>
    <row r="887" spans="1:27">
      <c r="A887" s="74" t="s">
        <v>1486</v>
      </c>
      <c r="B887" s="74" t="s">
        <v>2125</v>
      </c>
      <c r="C887" s="74" t="s">
        <v>2116</v>
      </c>
      <c r="D887" s="74" t="s">
        <v>36</v>
      </c>
      <c r="E887" s="74" t="s">
        <v>105</v>
      </c>
      <c r="F887" s="74">
        <v>0.2</v>
      </c>
      <c r="G887" s="74">
        <v>0.04</v>
      </c>
      <c r="H887" s="74">
        <v>2.58</v>
      </c>
      <c r="I887" s="13" t="s">
        <v>239</v>
      </c>
      <c r="J887" s="74" t="s">
        <v>240</v>
      </c>
      <c r="T887" s="292" t="s">
        <v>1961</v>
      </c>
      <c r="U887" s="283" t="s">
        <v>2454</v>
      </c>
      <c r="V887" s="283" t="s">
        <v>2420</v>
      </c>
      <c r="W887" s="293" t="str">
        <f t="shared" si="34"/>
        <v>H9,H10</v>
      </c>
      <c r="X887" s="284" t="str">
        <f t="shared" si="34"/>
        <v>HA</v>
      </c>
      <c r="Y887" s="271"/>
      <c r="Z887" s="283">
        <f t="shared" si="32"/>
        <v>0.2</v>
      </c>
      <c r="AA887" s="340">
        <f t="shared" si="32"/>
        <v>0.04</v>
      </c>
    </row>
    <row r="888" spans="1:27">
      <c r="A888" s="74" t="s">
        <v>1487</v>
      </c>
      <c r="B888" s="74" t="s">
        <v>2125</v>
      </c>
      <c r="C888" s="74" t="s">
        <v>2116</v>
      </c>
      <c r="D888" s="74" t="s">
        <v>36</v>
      </c>
      <c r="E888" s="74" t="s">
        <v>121</v>
      </c>
      <c r="F888" s="74">
        <v>0.4</v>
      </c>
      <c r="G888" s="74">
        <v>0.08</v>
      </c>
      <c r="H888" s="74">
        <v>2.58</v>
      </c>
      <c r="I888" s="13" t="s">
        <v>1973</v>
      </c>
      <c r="T888" s="292" t="s">
        <v>1961</v>
      </c>
      <c r="U888" s="283" t="s">
        <v>2454</v>
      </c>
      <c r="V888" s="283" t="s">
        <v>2420</v>
      </c>
      <c r="W888" s="293" t="str">
        <f t="shared" si="34"/>
        <v>H9,H10</v>
      </c>
      <c r="X888" s="284" t="str">
        <f t="shared" si="34"/>
        <v>KH</v>
      </c>
      <c r="Y888" s="271"/>
      <c r="Z888" s="283">
        <f t="shared" si="32"/>
        <v>0.4</v>
      </c>
      <c r="AA888" s="340">
        <f t="shared" si="32"/>
        <v>0.08</v>
      </c>
    </row>
    <row r="889" spans="1:27">
      <c r="A889" s="74" t="s">
        <v>1488</v>
      </c>
      <c r="B889" s="74" t="s">
        <v>2125</v>
      </c>
      <c r="C889" s="74" t="s">
        <v>2116</v>
      </c>
      <c r="D889" s="74" t="s">
        <v>36</v>
      </c>
      <c r="E889" s="74" t="s">
        <v>108</v>
      </c>
      <c r="F889" s="74">
        <v>0.2</v>
      </c>
      <c r="G889" s="74">
        <v>0.04</v>
      </c>
      <c r="H889" s="74">
        <v>2.58</v>
      </c>
      <c r="I889" s="13" t="s">
        <v>239</v>
      </c>
      <c r="J889" s="74" t="s">
        <v>240</v>
      </c>
      <c r="T889" s="292" t="s">
        <v>1961</v>
      </c>
      <c r="U889" s="283" t="s">
        <v>2454</v>
      </c>
      <c r="V889" s="283" t="s">
        <v>2420</v>
      </c>
      <c r="W889" s="293" t="str">
        <f t="shared" si="34"/>
        <v>H9,H10</v>
      </c>
      <c r="X889" s="284" t="str">
        <f t="shared" si="34"/>
        <v>HD</v>
      </c>
      <c r="Y889" s="271"/>
      <c r="Z889" s="283">
        <f t="shared" si="32"/>
        <v>0.2</v>
      </c>
      <c r="AA889" s="340">
        <f t="shared" si="32"/>
        <v>0.04</v>
      </c>
    </row>
    <row r="890" spans="1:27">
      <c r="A890" s="74" t="s">
        <v>1489</v>
      </c>
      <c r="B890" s="74" t="s">
        <v>2125</v>
      </c>
      <c r="C890" s="74" t="s">
        <v>2116</v>
      </c>
      <c r="D890" s="74" t="s">
        <v>36</v>
      </c>
      <c r="E890" s="74" t="s">
        <v>1490</v>
      </c>
      <c r="F890" s="74">
        <v>0.3</v>
      </c>
      <c r="G890" s="74">
        <v>0.06</v>
      </c>
      <c r="H890" s="74">
        <v>2.58</v>
      </c>
      <c r="I890" s="13" t="s">
        <v>1973</v>
      </c>
      <c r="J890" s="74" t="s">
        <v>244</v>
      </c>
      <c r="T890" s="292" t="s">
        <v>1961</v>
      </c>
      <c r="U890" s="283" t="s">
        <v>2454</v>
      </c>
      <c r="V890" s="283" t="s">
        <v>2420</v>
      </c>
      <c r="W890" s="293" t="str">
        <f t="shared" si="34"/>
        <v>H9,H10</v>
      </c>
      <c r="X890" s="284" t="str">
        <f t="shared" si="34"/>
        <v>DA</v>
      </c>
      <c r="Y890" s="271" t="s">
        <v>1765</v>
      </c>
      <c r="Z890" s="283">
        <f t="shared" si="32"/>
        <v>0.3</v>
      </c>
      <c r="AA890" s="340">
        <f t="shared" si="32"/>
        <v>0.06</v>
      </c>
    </row>
    <row r="891" spans="1:27">
      <c r="A891" s="74" t="s">
        <v>1491</v>
      </c>
      <c r="B891" s="74" t="s">
        <v>2125</v>
      </c>
      <c r="C891" s="74" t="s">
        <v>2116</v>
      </c>
      <c r="D891" s="74" t="s">
        <v>36</v>
      </c>
      <c r="E891" s="74" t="s">
        <v>1492</v>
      </c>
      <c r="F891" s="74">
        <v>0.3</v>
      </c>
      <c r="G891" s="74">
        <v>0.06</v>
      </c>
      <c r="H891" s="74">
        <v>2.58</v>
      </c>
      <c r="I891" s="13" t="s">
        <v>239</v>
      </c>
      <c r="J891" s="74" t="s">
        <v>2134</v>
      </c>
      <c r="T891" s="292" t="s">
        <v>1961</v>
      </c>
      <c r="U891" s="283" t="s">
        <v>2454</v>
      </c>
      <c r="V891" s="283" t="s">
        <v>2420</v>
      </c>
      <c r="W891" s="293" t="str">
        <f t="shared" si="34"/>
        <v>H9,H10</v>
      </c>
      <c r="X891" s="284" t="str">
        <f t="shared" si="34"/>
        <v>WA</v>
      </c>
      <c r="Y891" s="271" t="s">
        <v>1765</v>
      </c>
      <c r="Z891" s="283">
        <f t="shared" si="32"/>
        <v>0.3</v>
      </c>
      <c r="AA891" s="340">
        <f t="shared" si="32"/>
        <v>0.06</v>
      </c>
    </row>
    <row r="892" spans="1:27">
      <c r="A892" s="74" t="s">
        <v>1493</v>
      </c>
      <c r="B892" s="74" t="s">
        <v>2125</v>
      </c>
      <c r="C892" s="74" t="s">
        <v>2116</v>
      </c>
      <c r="D892" s="74" t="s">
        <v>36</v>
      </c>
      <c r="E892" s="74" t="s">
        <v>1494</v>
      </c>
      <c r="F892" s="74">
        <v>0.2</v>
      </c>
      <c r="G892" s="74">
        <v>0.04</v>
      </c>
      <c r="H892" s="74">
        <v>2.58</v>
      </c>
      <c r="I892" s="13" t="s">
        <v>1973</v>
      </c>
      <c r="J892" s="74" t="s">
        <v>247</v>
      </c>
      <c r="T892" s="292" t="s">
        <v>1961</v>
      </c>
      <c r="U892" s="283" t="s">
        <v>2454</v>
      </c>
      <c r="V892" s="283" t="s">
        <v>2420</v>
      </c>
      <c r="W892" s="293" t="str">
        <f t="shared" si="34"/>
        <v>H9,H10</v>
      </c>
      <c r="X892" s="284" t="str">
        <f t="shared" si="34"/>
        <v>DB</v>
      </c>
      <c r="Y892" s="271" t="s">
        <v>1766</v>
      </c>
      <c r="Z892" s="283">
        <f t="shared" ref="Z892:AA909" si="35">F892</f>
        <v>0.2</v>
      </c>
      <c r="AA892" s="340">
        <f t="shared" si="35"/>
        <v>0.04</v>
      </c>
    </row>
    <row r="893" spans="1:27">
      <c r="A893" s="74" t="s">
        <v>1495</v>
      </c>
      <c r="B893" s="74" t="s">
        <v>2125</v>
      </c>
      <c r="C893" s="74" t="s">
        <v>2116</v>
      </c>
      <c r="D893" s="74" t="s">
        <v>36</v>
      </c>
      <c r="E893" s="74" t="s">
        <v>1496</v>
      </c>
      <c r="F893" s="74">
        <v>0.2</v>
      </c>
      <c r="G893" s="74">
        <v>0.04</v>
      </c>
      <c r="H893" s="74">
        <v>2.58</v>
      </c>
      <c r="I893" s="13" t="s">
        <v>239</v>
      </c>
      <c r="J893" s="74" t="s">
        <v>2135</v>
      </c>
      <c r="T893" s="292" t="s">
        <v>1961</v>
      </c>
      <c r="U893" s="283" t="s">
        <v>2454</v>
      </c>
      <c r="V893" s="283" t="s">
        <v>2420</v>
      </c>
      <c r="W893" s="293" t="str">
        <f t="shared" si="34"/>
        <v>H9,H10</v>
      </c>
      <c r="X893" s="284" t="str">
        <f t="shared" si="34"/>
        <v>WB</v>
      </c>
      <c r="Y893" s="271" t="s">
        <v>1766</v>
      </c>
      <c r="Z893" s="283">
        <f t="shared" si="35"/>
        <v>0.2</v>
      </c>
      <c r="AA893" s="340">
        <f t="shared" si="35"/>
        <v>0.04</v>
      </c>
    </row>
    <row r="894" spans="1:27">
      <c r="A894" s="74" t="s">
        <v>1497</v>
      </c>
      <c r="B894" s="74" t="s">
        <v>2125</v>
      </c>
      <c r="C894" s="74" t="s">
        <v>2116</v>
      </c>
      <c r="D894" s="74" t="s">
        <v>36</v>
      </c>
      <c r="E894" s="74" t="s">
        <v>1498</v>
      </c>
      <c r="F894" s="74">
        <v>0.1</v>
      </c>
      <c r="G894" s="74">
        <v>0.02</v>
      </c>
      <c r="H894" s="74">
        <v>2.58</v>
      </c>
      <c r="I894" s="13" t="s">
        <v>1973</v>
      </c>
      <c r="J894" s="74" t="s">
        <v>250</v>
      </c>
      <c r="T894" s="292" t="s">
        <v>1961</v>
      </c>
      <c r="U894" s="283" t="s">
        <v>2454</v>
      </c>
      <c r="V894" s="283" t="s">
        <v>2420</v>
      </c>
      <c r="W894" s="293" t="str">
        <f t="shared" si="34"/>
        <v>H9,H10</v>
      </c>
      <c r="X894" s="284" t="str">
        <f t="shared" si="34"/>
        <v>DC</v>
      </c>
      <c r="Y894" s="271" t="s">
        <v>1767</v>
      </c>
      <c r="Z894" s="283">
        <f t="shared" si="35"/>
        <v>0.1</v>
      </c>
      <c r="AA894" s="340">
        <f t="shared" si="35"/>
        <v>0.02</v>
      </c>
    </row>
    <row r="895" spans="1:27">
      <c r="A895" s="74" t="s">
        <v>1499</v>
      </c>
      <c r="B895" s="74" t="s">
        <v>2125</v>
      </c>
      <c r="C895" s="74" t="s">
        <v>2116</v>
      </c>
      <c r="D895" s="74" t="s">
        <v>36</v>
      </c>
      <c r="E895" s="74" t="s">
        <v>1500</v>
      </c>
      <c r="F895" s="74">
        <v>0.1</v>
      </c>
      <c r="G895" s="74">
        <v>0.02</v>
      </c>
      <c r="H895" s="74">
        <v>2.58</v>
      </c>
      <c r="I895" s="13" t="s">
        <v>239</v>
      </c>
      <c r="J895" s="74" t="s">
        <v>2136</v>
      </c>
      <c r="T895" s="292" t="s">
        <v>1961</v>
      </c>
      <c r="U895" s="283" t="s">
        <v>2454</v>
      </c>
      <c r="V895" s="283" t="s">
        <v>2420</v>
      </c>
      <c r="W895" s="293" t="str">
        <f t="shared" si="34"/>
        <v>H9,H10</v>
      </c>
      <c r="X895" s="284" t="str">
        <f t="shared" si="34"/>
        <v>WC</v>
      </c>
      <c r="Y895" s="271" t="s">
        <v>1767</v>
      </c>
      <c r="Z895" s="283">
        <f t="shared" si="35"/>
        <v>0.1</v>
      </c>
      <c r="AA895" s="340">
        <f t="shared" si="35"/>
        <v>0.02</v>
      </c>
    </row>
    <row r="896" spans="1:27">
      <c r="A896" s="74" t="s">
        <v>1501</v>
      </c>
      <c r="B896" s="74" t="s">
        <v>2125</v>
      </c>
      <c r="C896" s="74" t="s">
        <v>2116</v>
      </c>
      <c r="D896" s="74" t="s">
        <v>36</v>
      </c>
      <c r="E896" s="74" t="s">
        <v>1502</v>
      </c>
      <c r="F896" s="74">
        <v>0.3</v>
      </c>
      <c r="G896" s="74">
        <v>0.06</v>
      </c>
      <c r="H896" s="74">
        <v>2.58</v>
      </c>
      <c r="I896" s="13" t="s">
        <v>1973</v>
      </c>
      <c r="J896" s="74" t="s">
        <v>244</v>
      </c>
      <c r="T896" s="292" t="s">
        <v>1961</v>
      </c>
      <c r="U896" s="283" t="s">
        <v>2454</v>
      </c>
      <c r="V896" s="283" t="s">
        <v>2420</v>
      </c>
      <c r="W896" s="293" t="str">
        <f t="shared" si="34"/>
        <v>H9,H10</v>
      </c>
      <c r="X896" s="284" t="str">
        <f t="shared" si="34"/>
        <v>DK</v>
      </c>
      <c r="Y896" s="271" t="s">
        <v>1765</v>
      </c>
      <c r="Z896" s="283">
        <f t="shared" si="35"/>
        <v>0.3</v>
      </c>
      <c r="AA896" s="340">
        <f t="shared" si="35"/>
        <v>0.06</v>
      </c>
    </row>
    <row r="897" spans="1:27">
      <c r="A897" s="74" t="s">
        <v>1503</v>
      </c>
      <c r="B897" s="74" t="s">
        <v>2125</v>
      </c>
      <c r="C897" s="74" t="s">
        <v>2116</v>
      </c>
      <c r="D897" s="74" t="s">
        <v>36</v>
      </c>
      <c r="E897" s="74" t="s">
        <v>1504</v>
      </c>
      <c r="F897" s="74">
        <v>0.3</v>
      </c>
      <c r="G897" s="74">
        <v>0.06</v>
      </c>
      <c r="H897" s="74">
        <v>2.58</v>
      </c>
      <c r="I897" s="13" t="s">
        <v>239</v>
      </c>
      <c r="J897" s="74" t="s">
        <v>2134</v>
      </c>
      <c r="T897" s="292" t="s">
        <v>1961</v>
      </c>
      <c r="U897" s="283" t="s">
        <v>2454</v>
      </c>
      <c r="V897" s="283" t="s">
        <v>2420</v>
      </c>
      <c r="W897" s="293" t="str">
        <f t="shared" si="34"/>
        <v>H9,H10</v>
      </c>
      <c r="X897" s="284" t="str">
        <f t="shared" si="34"/>
        <v>WK</v>
      </c>
      <c r="Y897" s="271" t="s">
        <v>1765</v>
      </c>
      <c r="Z897" s="283">
        <f t="shared" si="35"/>
        <v>0.3</v>
      </c>
      <c r="AA897" s="340">
        <f t="shared" si="35"/>
        <v>0.06</v>
      </c>
    </row>
    <row r="898" spans="1:27">
      <c r="A898" s="74" t="s">
        <v>1505</v>
      </c>
      <c r="B898" s="74" t="s">
        <v>2125</v>
      </c>
      <c r="C898" s="74" t="s">
        <v>2116</v>
      </c>
      <c r="D898" s="74" t="s">
        <v>36</v>
      </c>
      <c r="E898" s="74" t="s">
        <v>1506</v>
      </c>
      <c r="F898" s="74">
        <v>0.2</v>
      </c>
      <c r="G898" s="74">
        <v>0.04</v>
      </c>
      <c r="H898" s="74">
        <v>2.58</v>
      </c>
      <c r="I898" s="13" t="s">
        <v>1973</v>
      </c>
      <c r="J898" s="74" t="s">
        <v>247</v>
      </c>
      <c r="T898" s="292" t="s">
        <v>1961</v>
      </c>
      <c r="U898" s="283" t="s">
        <v>2454</v>
      </c>
      <c r="V898" s="283" t="s">
        <v>2420</v>
      </c>
      <c r="W898" s="293" t="str">
        <f t="shared" si="34"/>
        <v>H9,H10</v>
      </c>
      <c r="X898" s="284" t="str">
        <f t="shared" si="34"/>
        <v>DL</v>
      </c>
      <c r="Y898" s="271" t="s">
        <v>1766</v>
      </c>
      <c r="Z898" s="283">
        <f t="shared" si="35"/>
        <v>0.2</v>
      </c>
      <c r="AA898" s="340">
        <f t="shared" si="35"/>
        <v>0.04</v>
      </c>
    </row>
    <row r="899" spans="1:27">
      <c r="A899" s="74" t="s">
        <v>1507</v>
      </c>
      <c r="B899" s="74" t="s">
        <v>2125</v>
      </c>
      <c r="C899" s="74" t="s">
        <v>2116</v>
      </c>
      <c r="D899" s="74" t="s">
        <v>36</v>
      </c>
      <c r="E899" s="74" t="s">
        <v>1508</v>
      </c>
      <c r="F899" s="74">
        <v>0.2</v>
      </c>
      <c r="G899" s="74">
        <v>0.04</v>
      </c>
      <c r="H899" s="74">
        <v>2.58</v>
      </c>
      <c r="I899" s="13" t="s">
        <v>239</v>
      </c>
      <c r="J899" s="74" t="s">
        <v>2135</v>
      </c>
      <c r="T899" s="292" t="s">
        <v>1961</v>
      </c>
      <c r="U899" s="283" t="s">
        <v>2454</v>
      </c>
      <c r="V899" s="283" t="s">
        <v>2420</v>
      </c>
      <c r="W899" s="293" t="str">
        <f t="shared" si="34"/>
        <v>H9,H10</v>
      </c>
      <c r="X899" s="284" t="str">
        <f t="shared" si="34"/>
        <v>WL</v>
      </c>
      <c r="Y899" s="271" t="s">
        <v>1766</v>
      </c>
      <c r="Z899" s="283">
        <f t="shared" si="35"/>
        <v>0.2</v>
      </c>
      <c r="AA899" s="340">
        <f t="shared" si="35"/>
        <v>0.04</v>
      </c>
    </row>
    <row r="900" spans="1:27">
      <c r="A900" s="74" t="s">
        <v>1509</v>
      </c>
      <c r="B900" s="74" t="s">
        <v>2125</v>
      </c>
      <c r="C900" s="74" t="s">
        <v>2116</v>
      </c>
      <c r="D900" s="74" t="s">
        <v>36</v>
      </c>
      <c r="E900" s="74" t="s">
        <v>1510</v>
      </c>
      <c r="F900" s="74">
        <v>0.1</v>
      </c>
      <c r="G900" s="74">
        <v>0.02</v>
      </c>
      <c r="H900" s="74">
        <v>2.58</v>
      </c>
      <c r="I900" s="13" t="s">
        <v>1973</v>
      </c>
      <c r="J900" s="74" t="s">
        <v>250</v>
      </c>
      <c r="T900" s="292" t="s">
        <v>1961</v>
      </c>
      <c r="U900" s="283" t="s">
        <v>2454</v>
      </c>
      <c r="V900" s="283" t="s">
        <v>2420</v>
      </c>
      <c r="W900" s="293" t="str">
        <f t="shared" si="34"/>
        <v>H9,H10</v>
      </c>
      <c r="X900" s="284" t="str">
        <f t="shared" si="34"/>
        <v>DM</v>
      </c>
      <c r="Y900" s="271" t="s">
        <v>1767</v>
      </c>
      <c r="Z900" s="283">
        <f t="shared" si="35"/>
        <v>0.1</v>
      </c>
      <c r="AA900" s="340">
        <f t="shared" si="35"/>
        <v>0.02</v>
      </c>
    </row>
    <row r="901" spans="1:27">
      <c r="A901" s="74" t="s">
        <v>1511</v>
      </c>
      <c r="B901" s="74" t="s">
        <v>2125</v>
      </c>
      <c r="C901" s="74" t="s">
        <v>2116</v>
      </c>
      <c r="D901" s="74" t="s">
        <v>36</v>
      </c>
      <c r="E901" s="74" t="s">
        <v>1512</v>
      </c>
      <c r="F901" s="74">
        <v>0.1</v>
      </c>
      <c r="G901" s="74">
        <v>0.02</v>
      </c>
      <c r="H901" s="74">
        <v>2.58</v>
      </c>
      <c r="I901" s="13" t="s">
        <v>239</v>
      </c>
      <c r="J901" s="74" t="s">
        <v>2136</v>
      </c>
      <c r="T901" s="292" t="s">
        <v>1961</v>
      </c>
      <c r="U901" s="283" t="s">
        <v>2454</v>
      </c>
      <c r="V901" s="283" t="s">
        <v>2420</v>
      </c>
      <c r="W901" s="293" t="str">
        <f t="shared" si="34"/>
        <v>H9,H10</v>
      </c>
      <c r="X901" s="284" t="str">
        <f t="shared" si="34"/>
        <v>WM</v>
      </c>
      <c r="Y901" s="271" t="s">
        <v>1767</v>
      </c>
      <c r="Z901" s="283">
        <f t="shared" si="35"/>
        <v>0.1</v>
      </c>
      <c r="AA901" s="340">
        <f t="shared" si="35"/>
        <v>0.02</v>
      </c>
    </row>
    <row r="902" spans="1:27">
      <c r="A902" s="74" t="s">
        <v>1513</v>
      </c>
      <c r="B902" s="74" t="s">
        <v>2125</v>
      </c>
      <c r="C902" s="74" t="s">
        <v>2116</v>
      </c>
      <c r="D902" s="74" t="s">
        <v>16</v>
      </c>
      <c r="E902" s="74" t="s">
        <v>125</v>
      </c>
      <c r="F902" s="74">
        <v>0.28000000000000003</v>
      </c>
      <c r="G902" s="74">
        <v>5.1999999999999998E-2</v>
      </c>
      <c r="H902" s="74">
        <v>2.58</v>
      </c>
      <c r="I902" s="13" t="s">
        <v>1973</v>
      </c>
      <c r="T902" s="292" t="s">
        <v>1961</v>
      </c>
      <c r="U902" s="283" t="s">
        <v>2454</v>
      </c>
      <c r="V902" s="283" t="s">
        <v>2420</v>
      </c>
      <c r="W902" s="293" t="str">
        <f t="shared" si="34"/>
        <v>H14</v>
      </c>
      <c r="X902" s="284" t="str">
        <f t="shared" si="34"/>
        <v>KM</v>
      </c>
      <c r="Y902" s="271"/>
      <c r="Z902" s="283">
        <f t="shared" si="35"/>
        <v>0.28000000000000003</v>
      </c>
      <c r="AA902" s="340">
        <f t="shared" si="35"/>
        <v>5.1999999999999998E-2</v>
      </c>
    </row>
    <row r="903" spans="1:27">
      <c r="A903" s="74" t="s">
        <v>1514</v>
      </c>
      <c r="B903" s="74" t="s">
        <v>2125</v>
      </c>
      <c r="C903" s="74" t="s">
        <v>2116</v>
      </c>
      <c r="D903" s="74" t="s">
        <v>16</v>
      </c>
      <c r="E903" s="74" t="s">
        <v>112</v>
      </c>
      <c r="F903" s="74">
        <v>0.14000000000000001</v>
      </c>
      <c r="G903" s="74">
        <v>2.5999999999999999E-2</v>
      </c>
      <c r="H903" s="74">
        <v>2.58</v>
      </c>
      <c r="I903" s="13" t="s">
        <v>239</v>
      </c>
      <c r="J903" s="74" t="s">
        <v>240</v>
      </c>
      <c r="T903" s="292" t="s">
        <v>1961</v>
      </c>
      <c r="U903" s="283" t="s">
        <v>2454</v>
      </c>
      <c r="V903" s="283" t="s">
        <v>2420</v>
      </c>
      <c r="W903" s="293" t="str">
        <f t="shared" si="34"/>
        <v>H14</v>
      </c>
      <c r="X903" s="284" t="str">
        <f t="shared" si="34"/>
        <v>HT</v>
      </c>
      <c r="Y903" s="271"/>
      <c r="Z903" s="283">
        <f t="shared" si="35"/>
        <v>0.14000000000000001</v>
      </c>
      <c r="AA903" s="340">
        <f t="shared" si="35"/>
        <v>2.5999999999999999E-2</v>
      </c>
    </row>
    <row r="904" spans="1:27">
      <c r="A904" s="74" t="s">
        <v>1515</v>
      </c>
      <c r="B904" s="74" t="s">
        <v>2125</v>
      </c>
      <c r="C904" s="74" t="s">
        <v>2116</v>
      </c>
      <c r="D904" s="74" t="s">
        <v>16</v>
      </c>
      <c r="E904" s="74" t="s">
        <v>126</v>
      </c>
      <c r="F904" s="74">
        <v>0.28000000000000003</v>
      </c>
      <c r="G904" s="74">
        <v>5.1999999999999998E-2</v>
      </c>
      <c r="H904" s="74">
        <v>2.58</v>
      </c>
      <c r="I904" s="13" t="s">
        <v>1973</v>
      </c>
      <c r="T904" s="292" t="s">
        <v>1961</v>
      </c>
      <c r="U904" s="283" t="s">
        <v>2454</v>
      </c>
      <c r="V904" s="283" t="s">
        <v>2420</v>
      </c>
      <c r="W904" s="293" t="str">
        <f t="shared" si="34"/>
        <v>H14</v>
      </c>
      <c r="X904" s="284" t="str">
        <f t="shared" si="34"/>
        <v>KN</v>
      </c>
      <c r="Y904" s="271"/>
      <c r="Z904" s="283">
        <f t="shared" si="35"/>
        <v>0.28000000000000003</v>
      </c>
      <c r="AA904" s="340">
        <f t="shared" si="35"/>
        <v>5.1999999999999998E-2</v>
      </c>
    </row>
    <row r="905" spans="1:27">
      <c r="A905" s="74" t="s">
        <v>1516</v>
      </c>
      <c r="B905" s="74" t="s">
        <v>2125</v>
      </c>
      <c r="C905" s="74" t="s">
        <v>2116</v>
      </c>
      <c r="D905" s="74" t="s">
        <v>16</v>
      </c>
      <c r="E905" s="74" t="s">
        <v>113</v>
      </c>
      <c r="F905" s="74">
        <v>0.14000000000000001</v>
      </c>
      <c r="G905" s="74">
        <v>2.5999999999999999E-2</v>
      </c>
      <c r="H905" s="74">
        <v>2.58</v>
      </c>
      <c r="I905" s="13" t="s">
        <v>239</v>
      </c>
      <c r="J905" s="74" t="s">
        <v>240</v>
      </c>
      <c r="T905" s="292" t="s">
        <v>1961</v>
      </c>
      <c r="U905" s="283" t="s">
        <v>2454</v>
      </c>
      <c r="V905" s="283" t="s">
        <v>2420</v>
      </c>
      <c r="W905" s="293" t="str">
        <f t="shared" si="34"/>
        <v>H14</v>
      </c>
      <c r="X905" s="284" t="str">
        <f t="shared" si="34"/>
        <v>HU</v>
      </c>
      <c r="Y905" s="271"/>
      <c r="Z905" s="283">
        <f t="shared" si="35"/>
        <v>0.14000000000000001</v>
      </c>
      <c r="AA905" s="340">
        <f t="shared" si="35"/>
        <v>2.5999999999999999E-2</v>
      </c>
    </row>
    <row r="906" spans="1:27">
      <c r="A906" s="74" t="s">
        <v>1517</v>
      </c>
      <c r="B906" s="74" t="s">
        <v>2125</v>
      </c>
      <c r="C906" s="74" t="s">
        <v>2116</v>
      </c>
      <c r="D906" s="74" t="s">
        <v>16</v>
      </c>
      <c r="E906" s="74" t="s">
        <v>1518</v>
      </c>
      <c r="F906" s="74">
        <v>0.21</v>
      </c>
      <c r="G906" s="74">
        <v>3.9E-2</v>
      </c>
      <c r="H906" s="74">
        <v>2.58</v>
      </c>
      <c r="I906" s="13" t="s">
        <v>1973</v>
      </c>
      <c r="J906" s="74" t="s">
        <v>244</v>
      </c>
      <c r="T906" s="292" t="s">
        <v>1961</v>
      </c>
      <c r="U906" s="283" t="s">
        <v>2454</v>
      </c>
      <c r="V906" s="283" t="s">
        <v>2420</v>
      </c>
      <c r="W906" s="293" t="str">
        <f t="shared" si="34"/>
        <v>H14</v>
      </c>
      <c r="X906" s="284" t="str">
        <f t="shared" si="34"/>
        <v>TF</v>
      </c>
      <c r="Y906" s="271" t="s">
        <v>1765</v>
      </c>
      <c r="Z906" s="283">
        <f t="shared" si="35"/>
        <v>0.21</v>
      </c>
      <c r="AA906" s="340">
        <f t="shared" si="35"/>
        <v>3.9E-2</v>
      </c>
    </row>
    <row r="907" spans="1:27">
      <c r="A907" s="74" t="s">
        <v>1519</v>
      </c>
      <c r="B907" s="74" t="s">
        <v>2125</v>
      </c>
      <c r="C907" s="74" t="s">
        <v>2116</v>
      </c>
      <c r="D907" s="74" t="s">
        <v>16</v>
      </c>
      <c r="E907" s="74" t="s">
        <v>1520</v>
      </c>
      <c r="F907" s="74">
        <v>0.21</v>
      </c>
      <c r="G907" s="74">
        <v>3.9E-2</v>
      </c>
      <c r="H907" s="74">
        <v>2.58</v>
      </c>
      <c r="I907" s="13" t="s">
        <v>239</v>
      </c>
      <c r="J907" s="74" t="s">
        <v>2134</v>
      </c>
      <c r="T907" s="292" t="s">
        <v>1961</v>
      </c>
      <c r="U907" s="283" t="s">
        <v>2454</v>
      </c>
      <c r="V907" s="283" t="s">
        <v>2420</v>
      </c>
      <c r="W907" s="293" t="str">
        <f t="shared" si="34"/>
        <v>H14</v>
      </c>
      <c r="X907" s="284" t="str">
        <f t="shared" si="34"/>
        <v>XF</v>
      </c>
      <c r="Y907" s="271" t="s">
        <v>1765</v>
      </c>
      <c r="Z907" s="283">
        <f t="shared" si="35"/>
        <v>0.21</v>
      </c>
      <c r="AA907" s="340">
        <f t="shared" si="35"/>
        <v>3.9E-2</v>
      </c>
    </row>
    <row r="908" spans="1:27">
      <c r="A908" s="74" t="s">
        <v>1521</v>
      </c>
      <c r="B908" s="74" t="s">
        <v>2125</v>
      </c>
      <c r="C908" s="74" t="s">
        <v>2116</v>
      </c>
      <c r="D908" s="74" t="s">
        <v>16</v>
      </c>
      <c r="E908" s="74" t="s">
        <v>1522</v>
      </c>
      <c r="F908" s="74">
        <v>0.21</v>
      </c>
      <c r="G908" s="74">
        <v>3.9E-2</v>
      </c>
      <c r="H908" s="74">
        <v>2.58</v>
      </c>
      <c r="I908" s="13" t="s">
        <v>1973</v>
      </c>
      <c r="J908" s="74" t="s">
        <v>244</v>
      </c>
      <c r="T908" s="292" t="s">
        <v>1961</v>
      </c>
      <c r="U908" s="283" t="s">
        <v>2454</v>
      </c>
      <c r="V908" s="283" t="s">
        <v>2420</v>
      </c>
      <c r="W908" s="293" t="str">
        <f t="shared" si="34"/>
        <v>H14</v>
      </c>
      <c r="X908" s="284" t="str">
        <f t="shared" si="34"/>
        <v>TG</v>
      </c>
      <c r="Y908" s="271" t="s">
        <v>1765</v>
      </c>
      <c r="Z908" s="283">
        <f t="shared" si="35"/>
        <v>0.21</v>
      </c>
      <c r="AA908" s="340">
        <f t="shared" si="35"/>
        <v>3.9E-2</v>
      </c>
    </row>
    <row r="909" spans="1:27">
      <c r="A909" s="74" t="s">
        <v>1523</v>
      </c>
      <c r="B909" s="74" t="s">
        <v>2125</v>
      </c>
      <c r="C909" s="74" t="s">
        <v>2116</v>
      </c>
      <c r="D909" s="74" t="s">
        <v>16</v>
      </c>
      <c r="E909" s="74" t="s">
        <v>1524</v>
      </c>
      <c r="F909" s="74">
        <v>0.21</v>
      </c>
      <c r="G909" s="74">
        <v>3.9E-2</v>
      </c>
      <c r="H909" s="74">
        <v>2.58</v>
      </c>
      <c r="I909" s="13" t="s">
        <v>239</v>
      </c>
      <c r="J909" s="74" t="s">
        <v>2134</v>
      </c>
      <c r="T909" s="292" t="s">
        <v>1961</v>
      </c>
      <c r="U909" s="283" t="s">
        <v>2454</v>
      </c>
      <c r="V909" s="283" t="s">
        <v>2420</v>
      </c>
      <c r="W909" s="293" t="str">
        <f t="shared" si="34"/>
        <v>H14</v>
      </c>
      <c r="X909" s="284" t="str">
        <f t="shared" si="34"/>
        <v>XG</v>
      </c>
      <c r="Y909" s="271" t="s">
        <v>1765</v>
      </c>
      <c r="Z909" s="283">
        <f t="shared" si="35"/>
        <v>0.21</v>
      </c>
      <c r="AA909" s="340">
        <f t="shared" si="35"/>
        <v>3.9E-2</v>
      </c>
    </row>
    <row r="910" spans="1:27">
      <c r="A910" s="74" t="s">
        <v>1525</v>
      </c>
      <c r="B910" s="74" t="s">
        <v>2125</v>
      </c>
      <c r="C910" s="74" t="s">
        <v>2116</v>
      </c>
      <c r="D910" s="74" t="s">
        <v>16</v>
      </c>
      <c r="E910" s="74" t="s">
        <v>1526</v>
      </c>
      <c r="F910" s="74">
        <v>0.14000000000000001</v>
      </c>
      <c r="G910" s="74">
        <v>2.5999999999999999E-2</v>
      </c>
      <c r="H910" s="74">
        <v>2.58</v>
      </c>
      <c r="I910" s="13" t="s">
        <v>1973</v>
      </c>
      <c r="J910" s="74" t="s">
        <v>247</v>
      </c>
      <c r="T910" s="292" t="s">
        <v>1961</v>
      </c>
      <c r="U910" s="283" t="s">
        <v>2454</v>
      </c>
      <c r="V910" s="283" t="s">
        <v>2420</v>
      </c>
      <c r="W910" s="293" t="str">
        <f t="shared" si="34"/>
        <v>H14</v>
      </c>
      <c r="X910" s="284" t="str">
        <f t="shared" si="34"/>
        <v>LF</v>
      </c>
      <c r="Y910" s="271" t="s">
        <v>1766</v>
      </c>
      <c r="Z910" s="283">
        <f t="shared" ref="Z910:AA1010" si="36">F910</f>
        <v>0.14000000000000001</v>
      </c>
      <c r="AA910" s="340">
        <f t="shared" si="36"/>
        <v>2.5999999999999999E-2</v>
      </c>
    </row>
    <row r="911" spans="1:27">
      <c r="A911" s="74" t="s">
        <v>1527</v>
      </c>
      <c r="B911" s="74" t="s">
        <v>2125</v>
      </c>
      <c r="C911" s="74" t="s">
        <v>2116</v>
      </c>
      <c r="D911" s="74" t="s">
        <v>16</v>
      </c>
      <c r="E911" s="74" t="s">
        <v>1528</v>
      </c>
      <c r="F911" s="74">
        <v>0.14000000000000001</v>
      </c>
      <c r="G911" s="74">
        <v>2.5999999999999999E-2</v>
      </c>
      <c r="H911" s="74">
        <v>2.58</v>
      </c>
      <c r="I911" s="13" t="s">
        <v>239</v>
      </c>
      <c r="J911" s="74" t="s">
        <v>2135</v>
      </c>
      <c r="T911" s="292" t="s">
        <v>1961</v>
      </c>
      <c r="U911" s="283" t="s">
        <v>2454</v>
      </c>
      <c r="V911" s="283" t="s">
        <v>2420</v>
      </c>
      <c r="W911" s="293" t="str">
        <f t="shared" si="34"/>
        <v>H14</v>
      </c>
      <c r="X911" s="284" t="str">
        <f t="shared" si="34"/>
        <v>YF</v>
      </c>
      <c r="Y911" s="271" t="s">
        <v>1766</v>
      </c>
      <c r="Z911" s="283">
        <f t="shared" si="36"/>
        <v>0.14000000000000001</v>
      </c>
      <c r="AA911" s="340">
        <f t="shared" si="36"/>
        <v>2.5999999999999999E-2</v>
      </c>
    </row>
    <row r="912" spans="1:27">
      <c r="A912" s="74" t="s">
        <v>1529</v>
      </c>
      <c r="B912" s="74" t="s">
        <v>2125</v>
      </c>
      <c r="C912" s="74" t="s">
        <v>2116</v>
      </c>
      <c r="D912" s="74" t="s">
        <v>16</v>
      </c>
      <c r="E912" s="74" t="s">
        <v>1530</v>
      </c>
      <c r="F912" s="74">
        <v>0.14000000000000001</v>
      </c>
      <c r="G912" s="74">
        <v>2.5999999999999999E-2</v>
      </c>
      <c r="H912" s="74">
        <v>2.58</v>
      </c>
      <c r="I912" s="13" t="s">
        <v>1973</v>
      </c>
      <c r="J912" s="74" t="s">
        <v>247</v>
      </c>
      <c r="T912" s="292" t="s">
        <v>1961</v>
      </c>
      <c r="U912" s="283" t="s">
        <v>2454</v>
      </c>
      <c r="V912" s="283" t="s">
        <v>2420</v>
      </c>
      <c r="W912" s="293" t="str">
        <f t="shared" si="34"/>
        <v>H14</v>
      </c>
      <c r="X912" s="284" t="str">
        <f t="shared" si="34"/>
        <v>LG</v>
      </c>
      <c r="Y912" s="271" t="s">
        <v>1766</v>
      </c>
      <c r="Z912" s="283">
        <f t="shared" si="36"/>
        <v>0.14000000000000001</v>
      </c>
      <c r="AA912" s="340">
        <f t="shared" si="36"/>
        <v>2.5999999999999999E-2</v>
      </c>
    </row>
    <row r="913" spans="1:27">
      <c r="A913" s="74" t="s">
        <v>1531</v>
      </c>
      <c r="B913" s="74" t="s">
        <v>2125</v>
      </c>
      <c r="C913" s="74" t="s">
        <v>2116</v>
      </c>
      <c r="D913" s="74" t="s">
        <v>16</v>
      </c>
      <c r="E913" s="74" t="s">
        <v>1532</v>
      </c>
      <c r="F913" s="74">
        <v>0.14000000000000001</v>
      </c>
      <c r="G913" s="74">
        <v>2.5999999999999999E-2</v>
      </c>
      <c r="H913" s="74">
        <v>2.58</v>
      </c>
      <c r="I913" s="13" t="s">
        <v>239</v>
      </c>
      <c r="J913" s="74" t="s">
        <v>2135</v>
      </c>
      <c r="T913" s="292" t="s">
        <v>1961</v>
      </c>
      <c r="U913" s="283" t="s">
        <v>2454</v>
      </c>
      <c r="V913" s="283" t="s">
        <v>2420</v>
      </c>
      <c r="W913" s="293" t="str">
        <f t="shared" si="34"/>
        <v>H14</v>
      </c>
      <c r="X913" s="284" t="str">
        <f t="shared" si="34"/>
        <v>YG</v>
      </c>
      <c r="Y913" s="271" t="s">
        <v>1766</v>
      </c>
      <c r="Z913" s="283">
        <f t="shared" si="36"/>
        <v>0.14000000000000001</v>
      </c>
      <c r="AA913" s="340">
        <f t="shared" si="36"/>
        <v>2.5999999999999999E-2</v>
      </c>
    </row>
    <row r="914" spans="1:27">
      <c r="A914" s="74" t="s">
        <v>1533</v>
      </c>
      <c r="B914" s="74" t="s">
        <v>2125</v>
      </c>
      <c r="C914" s="74" t="s">
        <v>2116</v>
      </c>
      <c r="D914" s="74" t="s">
        <v>16</v>
      </c>
      <c r="E914" s="74" t="s">
        <v>1534</v>
      </c>
      <c r="F914" s="74">
        <v>7.0000000000000007E-2</v>
      </c>
      <c r="G914" s="74">
        <v>1.2999999999999999E-2</v>
      </c>
      <c r="H914" s="74">
        <v>2.58</v>
      </c>
      <c r="I914" s="13" t="s">
        <v>1973</v>
      </c>
      <c r="J914" s="74" t="s">
        <v>250</v>
      </c>
      <c r="T914" s="292" t="s">
        <v>1961</v>
      </c>
      <c r="U914" s="283" t="s">
        <v>2454</v>
      </c>
      <c r="V914" s="283" t="s">
        <v>2420</v>
      </c>
      <c r="W914" s="293" t="str">
        <f t="shared" si="34"/>
        <v>H14</v>
      </c>
      <c r="X914" s="284" t="str">
        <f t="shared" si="34"/>
        <v>UF</v>
      </c>
      <c r="Y914" s="271" t="s">
        <v>1767</v>
      </c>
      <c r="Z914" s="283">
        <f t="shared" si="36"/>
        <v>7.0000000000000007E-2</v>
      </c>
      <c r="AA914" s="340">
        <f t="shared" si="36"/>
        <v>1.2999999999999999E-2</v>
      </c>
    </row>
    <row r="915" spans="1:27">
      <c r="A915" s="74" t="s">
        <v>1535</v>
      </c>
      <c r="B915" s="74" t="s">
        <v>2125</v>
      </c>
      <c r="C915" s="74" t="s">
        <v>2116</v>
      </c>
      <c r="D915" s="74" t="s">
        <v>16</v>
      </c>
      <c r="E915" s="74" t="s">
        <v>1536</v>
      </c>
      <c r="F915" s="74">
        <v>7.0000000000000007E-2</v>
      </c>
      <c r="G915" s="74">
        <v>1.2999999999999999E-2</v>
      </c>
      <c r="H915" s="74">
        <v>2.58</v>
      </c>
      <c r="I915" s="13" t="s">
        <v>239</v>
      </c>
      <c r="J915" s="74" t="s">
        <v>2136</v>
      </c>
      <c r="T915" s="292" t="s">
        <v>1961</v>
      </c>
      <c r="U915" s="283" t="s">
        <v>2454</v>
      </c>
      <c r="V915" s="283" t="s">
        <v>2420</v>
      </c>
      <c r="W915" s="293" t="str">
        <f t="shared" si="34"/>
        <v>H14</v>
      </c>
      <c r="X915" s="284" t="str">
        <f t="shared" si="34"/>
        <v>ZF</v>
      </c>
      <c r="Y915" s="271" t="s">
        <v>1767</v>
      </c>
      <c r="Z915" s="283">
        <f t="shared" si="36"/>
        <v>7.0000000000000007E-2</v>
      </c>
      <c r="AA915" s="340">
        <f t="shared" si="36"/>
        <v>1.2999999999999999E-2</v>
      </c>
    </row>
    <row r="916" spans="1:27">
      <c r="A916" s="74" t="s">
        <v>1537</v>
      </c>
      <c r="B916" s="74" t="s">
        <v>2125</v>
      </c>
      <c r="C916" s="74" t="s">
        <v>2116</v>
      </c>
      <c r="D916" s="74" t="s">
        <v>16</v>
      </c>
      <c r="E916" s="74" t="s">
        <v>1538</v>
      </c>
      <c r="F916" s="74">
        <v>7.0000000000000007E-2</v>
      </c>
      <c r="G916" s="74">
        <v>1.2999999999999999E-2</v>
      </c>
      <c r="H916" s="74">
        <v>2.58</v>
      </c>
      <c r="I916" s="13" t="s">
        <v>1973</v>
      </c>
      <c r="J916" s="74" t="s">
        <v>250</v>
      </c>
      <c r="T916" s="292" t="s">
        <v>1961</v>
      </c>
      <c r="U916" s="283" t="s">
        <v>2454</v>
      </c>
      <c r="V916" s="283" t="s">
        <v>2420</v>
      </c>
      <c r="W916" s="293" t="str">
        <f t="shared" si="34"/>
        <v>H14</v>
      </c>
      <c r="X916" s="284" t="str">
        <f t="shared" si="34"/>
        <v>UG</v>
      </c>
      <c r="Y916" s="271" t="s">
        <v>1767</v>
      </c>
      <c r="Z916" s="283">
        <f t="shared" si="36"/>
        <v>7.0000000000000007E-2</v>
      </c>
      <c r="AA916" s="340">
        <f t="shared" si="36"/>
        <v>1.2999999999999999E-2</v>
      </c>
    </row>
    <row r="917" spans="1:27">
      <c r="A917" s="74" t="s">
        <v>1539</v>
      </c>
      <c r="B917" s="74" t="s">
        <v>2125</v>
      </c>
      <c r="C917" s="74" t="s">
        <v>2116</v>
      </c>
      <c r="D917" s="74" t="s">
        <v>16</v>
      </c>
      <c r="E917" s="74" t="s">
        <v>1540</v>
      </c>
      <c r="F917" s="74">
        <v>7.0000000000000007E-2</v>
      </c>
      <c r="G917" s="74">
        <v>1.2999999999999999E-2</v>
      </c>
      <c r="H917" s="74">
        <v>2.58</v>
      </c>
      <c r="I917" s="13" t="s">
        <v>239</v>
      </c>
      <c r="J917" s="74" t="s">
        <v>2136</v>
      </c>
      <c r="T917" s="292" t="s">
        <v>1961</v>
      </c>
      <c r="U917" s="283" t="s">
        <v>2454</v>
      </c>
      <c r="V917" s="283" t="s">
        <v>2420</v>
      </c>
      <c r="W917" s="293" t="str">
        <f t="shared" si="34"/>
        <v>H14</v>
      </c>
      <c r="X917" s="284" t="str">
        <f t="shared" si="34"/>
        <v>ZG</v>
      </c>
      <c r="Y917" s="271" t="s">
        <v>1767</v>
      </c>
      <c r="Z917" s="283">
        <f t="shared" si="36"/>
        <v>7.0000000000000007E-2</v>
      </c>
      <c r="AA917" s="340">
        <f t="shared" si="36"/>
        <v>1.2999999999999999E-2</v>
      </c>
    </row>
    <row r="918" spans="1:27">
      <c r="A918" s="74" t="s">
        <v>1541</v>
      </c>
      <c r="B918" s="74" t="s">
        <v>2125</v>
      </c>
      <c r="C918" s="74" t="s">
        <v>2116</v>
      </c>
      <c r="D918" s="74" t="s">
        <v>1979</v>
      </c>
      <c r="E918" s="74" t="s">
        <v>1542</v>
      </c>
      <c r="F918" s="74">
        <v>0.14000000000000001</v>
      </c>
      <c r="G918" s="74">
        <v>1.2999999999999999E-2</v>
      </c>
      <c r="H918" s="74">
        <v>2.58</v>
      </c>
      <c r="I918" s="13" t="s">
        <v>2340</v>
      </c>
      <c r="T918" s="292" t="s">
        <v>1961</v>
      </c>
      <c r="U918" s="283" t="s">
        <v>2454</v>
      </c>
      <c r="V918" s="283" t="s">
        <v>2420</v>
      </c>
      <c r="W918" s="293" t="str">
        <f t="shared" si="34"/>
        <v>H17</v>
      </c>
      <c r="X918" s="284" t="str">
        <f t="shared" si="34"/>
        <v>ADB</v>
      </c>
      <c r="Y918" s="271"/>
      <c r="Z918" s="283">
        <f t="shared" si="36"/>
        <v>0.14000000000000001</v>
      </c>
      <c r="AA918" s="340">
        <f t="shared" si="36"/>
        <v>1.2999999999999999E-2</v>
      </c>
    </row>
    <row r="919" spans="1:27">
      <c r="A919" s="74" t="s">
        <v>1543</v>
      </c>
      <c r="B919" s="74" t="s">
        <v>2125</v>
      </c>
      <c r="C919" s="74" t="s">
        <v>2116</v>
      </c>
      <c r="D919" s="74" t="s">
        <v>1979</v>
      </c>
      <c r="E919" s="74" t="s">
        <v>1544</v>
      </c>
      <c r="F919" s="74">
        <v>0.14000000000000001</v>
      </c>
      <c r="G919" s="74">
        <v>1.2999999999999999E-2</v>
      </c>
      <c r="H919" s="74">
        <v>2.58</v>
      </c>
      <c r="I919" s="13" t="s">
        <v>2340</v>
      </c>
      <c r="T919" s="292" t="s">
        <v>1961</v>
      </c>
      <c r="U919" s="283" t="s">
        <v>2454</v>
      </c>
      <c r="V919" s="283" t="s">
        <v>2420</v>
      </c>
      <c r="W919" s="293" t="str">
        <f t="shared" si="34"/>
        <v>H17</v>
      </c>
      <c r="X919" s="284" t="str">
        <f t="shared" si="34"/>
        <v>ADC</v>
      </c>
      <c r="Y919" s="271"/>
      <c r="Z919" s="283">
        <f t="shared" si="36"/>
        <v>0.14000000000000001</v>
      </c>
      <c r="AA919" s="340">
        <f t="shared" si="36"/>
        <v>1.2999999999999999E-2</v>
      </c>
    </row>
    <row r="920" spans="1:27">
      <c r="A920" s="74" t="s">
        <v>1545</v>
      </c>
      <c r="B920" s="74" t="s">
        <v>2125</v>
      </c>
      <c r="C920" s="74" t="s">
        <v>2116</v>
      </c>
      <c r="D920" s="74" t="s">
        <v>1979</v>
      </c>
      <c r="E920" s="74" t="s">
        <v>1546</v>
      </c>
      <c r="F920" s="74">
        <v>7.0000000000000007E-2</v>
      </c>
      <c r="G920" s="74">
        <v>6.4999999999999997E-3</v>
      </c>
      <c r="H920" s="74">
        <v>2.58</v>
      </c>
      <c r="I920" s="13" t="s">
        <v>239</v>
      </c>
      <c r="J920" s="74" t="s">
        <v>240</v>
      </c>
      <c r="T920" s="292" t="s">
        <v>1961</v>
      </c>
      <c r="U920" s="283" t="s">
        <v>2454</v>
      </c>
      <c r="V920" s="283" t="s">
        <v>2420</v>
      </c>
      <c r="W920" s="293" t="str">
        <f t="shared" si="34"/>
        <v>H17</v>
      </c>
      <c r="X920" s="284" t="str">
        <f t="shared" si="34"/>
        <v>ACB</v>
      </c>
      <c r="Y920" s="271"/>
      <c r="Z920" s="283">
        <f t="shared" si="36"/>
        <v>7.0000000000000007E-2</v>
      </c>
      <c r="AA920" s="340">
        <f t="shared" si="36"/>
        <v>6.4999999999999997E-3</v>
      </c>
    </row>
    <row r="921" spans="1:27">
      <c r="A921" s="74" t="s">
        <v>1547</v>
      </c>
      <c r="B921" s="74" t="s">
        <v>2125</v>
      </c>
      <c r="C921" s="74" t="s">
        <v>2116</v>
      </c>
      <c r="D921" s="74" t="s">
        <v>1979</v>
      </c>
      <c r="E921" s="74" t="s">
        <v>1548</v>
      </c>
      <c r="F921" s="74">
        <v>7.0000000000000007E-2</v>
      </c>
      <c r="G921" s="74">
        <v>6.4999999999999997E-3</v>
      </c>
      <c r="H921" s="74">
        <v>2.58</v>
      </c>
      <c r="I921" s="13" t="s">
        <v>239</v>
      </c>
      <c r="J921" s="74" t="s">
        <v>240</v>
      </c>
      <c r="T921" s="292" t="s">
        <v>1961</v>
      </c>
      <c r="U921" s="283" t="s">
        <v>2454</v>
      </c>
      <c r="V921" s="283" t="s">
        <v>2420</v>
      </c>
      <c r="W921" s="293" t="str">
        <f t="shared" si="34"/>
        <v>H17</v>
      </c>
      <c r="X921" s="284" t="str">
        <f t="shared" si="34"/>
        <v>ACC</v>
      </c>
      <c r="Y921" s="271"/>
      <c r="Z921" s="283">
        <f t="shared" si="36"/>
        <v>7.0000000000000007E-2</v>
      </c>
      <c r="AA921" s="340">
        <f t="shared" si="36"/>
        <v>6.4999999999999997E-3</v>
      </c>
    </row>
    <row r="922" spans="1:27">
      <c r="A922" s="74" t="s">
        <v>1549</v>
      </c>
      <c r="B922" s="74" t="s">
        <v>2125</v>
      </c>
      <c r="C922" s="74" t="s">
        <v>2116</v>
      </c>
      <c r="D922" s="74" t="s">
        <v>1979</v>
      </c>
      <c r="E922" s="74" t="s">
        <v>1550</v>
      </c>
      <c r="F922" s="74">
        <v>3.5000000000000003E-2</v>
      </c>
      <c r="G922" s="74">
        <v>3.2499999999999999E-3</v>
      </c>
      <c r="H922" s="74">
        <v>2.58</v>
      </c>
      <c r="I922" s="13" t="s">
        <v>1405</v>
      </c>
      <c r="J922" s="74" t="s">
        <v>1406</v>
      </c>
      <c r="T922" s="292" t="s">
        <v>1961</v>
      </c>
      <c r="U922" s="283" t="s">
        <v>2454</v>
      </c>
      <c r="V922" s="283" t="s">
        <v>2420</v>
      </c>
      <c r="W922" s="293" t="str">
        <f t="shared" si="34"/>
        <v>H17</v>
      </c>
      <c r="X922" s="284" t="str">
        <f t="shared" si="34"/>
        <v>AMB</v>
      </c>
      <c r="Y922" s="271"/>
      <c r="Z922" s="283">
        <f t="shared" si="36"/>
        <v>3.5000000000000003E-2</v>
      </c>
      <c r="AA922" s="340">
        <f t="shared" si="36"/>
        <v>3.2499999999999999E-3</v>
      </c>
    </row>
    <row r="923" spans="1:27">
      <c r="A923" s="74" t="s">
        <v>1551</v>
      </c>
      <c r="B923" s="74" t="s">
        <v>2125</v>
      </c>
      <c r="C923" s="74" t="s">
        <v>2116</v>
      </c>
      <c r="D923" s="74" t="s">
        <v>1979</v>
      </c>
      <c r="E923" s="74" t="s">
        <v>1552</v>
      </c>
      <c r="F923" s="74">
        <v>3.5000000000000003E-2</v>
      </c>
      <c r="G923" s="74">
        <v>3.2499999999999999E-3</v>
      </c>
      <c r="H923" s="74">
        <v>2.58</v>
      </c>
      <c r="I923" s="13" t="s">
        <v>1405</v>
      </c>
      <c r="J923" s="74" t="s">
        <v>1406</v>
      </c>
      <c r="T923" s="292" t="s">
        <v>1961</v>
      </c>
      <c r="U923" s="283" t="s">
        <v>2454</v>
      </c>
      <c r="V923" s="283" t="s">
        <v>2420</v>
      </c>
      <c r="W923" s="293" t="str">
        <f t="shared" si="34"/>
        <v>H17</v>
      </c>
      <c r="X923" s="284" t="str">
        <f t="shared" si="34"/>
        <v>AMC</v>
      </c>
      <c r="Y923" s="271"/>
      <c r="Z923" s="283">
        <f t="shared" si="36"/>
        <v>3.5000000000000003E-2</v>
      </c>
      <c r="AA923" s="340">
        <f t="shared" si="36"/>
        <v>3.2499999999999999E-3</v>
      </c>
    </row>
    <row r="924" spans="1:27">
      <c r="A924" s="74" t="s">
        <v>1553</v>
      </c>
      <c r="B924" s="74" t="s">
        <v>2125</v>
      </c>
      <c r="C924" s="74" t="s">
        <v>2116</v>
      </c>
      <c r="D924" s="74" t="s">
        <v>1979</v>
      </c>
      <c r="E924" s="74" t="s">
        <v>2117</v>
      </c>
      <c r="F924" s="74">
        <v>7.0000000000000007E-2</v>
      </c>
      <c r="G924" s="74">
        <v>6.4999999999999997E-3</v>
      </c>
      <c r="H924" s="74">
        <v>2.58</v>
      </c>
      <c r="I924" s="13" t="s">
        <v>239</v>
      </c>
      <c r="J924" s="74" t="s">
        <v>2136</v>
      </c>
      <c r="T924" s="292" t="s">
        <v>1961</v>
      </c>
      <c r="U924" s="283" t="s">
        <v>2454</v>
      </c>
      <c r="V924" s="283" t="s">
        <v>2420</v>
      </c>
      <c r="W924" s="293" t="str">
        <f t="shared" si="34"/>
        <v>H17</v>
      </c>
      <c r="X924" s="284" t="str">
        <f t="shared" si="34"/>
        <v>CCB</v>
      </c>
      <c r="Y924" s="271" t="s">
        <v>2261</v>
      </c>
      <c r="Z924" s="283">
        <f t="shared" si="36"/>
        <v>7.0000000000000007E-2</v>
      </c>
      <c r="AA924" s="340">
        <f t="shared" si="36"/>
        <v>6.4999999999999997E-3</v>
      </c>
    </row>
    <row r="925" spans="1:27">
      <c r="A925" s="74" t="s">
        <v>1554</v>
      </c>
      <c r="B925" s="74" t="s">
        <v>2125</v>
      </c>
      <c r="C925" s="74" t="s">
        <v>2116</v>
      </c>
      <c r="D925" s="74" t="s">
        <v>1979</v>
      </c>
      <c r="E925" s="74" t="s">
        <v>2118</v>
      </c>
      <c r="F925" s="74">
        <v>7.0000000000000007E-2</v>
      </c>
      <c r="G925" s="74">
        <v>6.4999999999999997E-3</v>
      </c>
      <c r="H925" s="74">
        <v>2.58</v>
      </c>
      <c r="I925" s="13" t="s">
        <v>239</v>
      </c>
      <c r="J925" s="74" t="s">
        <v>2136</v>
      </c>
      <c r="T925" s="292" t="s">
        <v>1961</v>
      </c>
      <c r="U925" s="283" t="s">
        <v>2454</v>
      </c>
      <c r="V925" s="283" t="s">
        <v>2420</v>
      </c>
      <c r="W925" s="293" t="str">
        <f t="shared" si="34"/>
        <v>H17</v>
      </c>
      <c r="X925" s="284" t="str">
        <f t="shared" si="34"/>
        <v>CCC</v>
      </c>
      <c r="Y925" s="271" t="s">
        <v>2261</v>
      </c>
      <c r="Z925" s="283">
        <f t="shared" si="36"/>
        <v>7.0000000000000007E-2</v>
      </c>
      <c r="AA925" s="340">
        <f t="shared" si="36"/>
        <v>6.4999999999999997E-3</v>
      </c>
    </row>
    <row r="926" spans="1:27">
      <c r="A926" s="74" t="s">
        <v>1555</v>
      </c>
      <c r="B926" s="74" t="s">
        <v>2125</v>
      </c>
      <c r="C926" s="74" t="s">
        <v>2116</v>
      </c>
      <c r="D926" s="74" t="s">
        <v>1979</v>
      </c>
      <c r="E926" s="74" t="s">
        <v>2119</v>
      </c>
      <c r="F926" s="74">
        <v>7.0000000000000007E-2</v>
      </c>
      <c r="G926" s="74">
        <v>6.4999999999999997E-3</v>
      </c>
      <c r="H926" s="74">
        <v>2.58</v>
      </c>
      <c r="I926" s="13" t="s">
        <v>2340</v>
      </c>
      <c r="J926" s="74" t="s">
        <v>250</v>
      </c>
      <c r="T926" s="292" t="s">
        <v>1961</v>
      </c>
      <c r="U926" s="283" t="s">
        <v>2454</v>
      </c>
      <c r="V926" s="283" t="s">
        <v>2420</v>
      </c>
      <c r="W926" s="293" t="str">
        <f t="shared" si="34"/>
        <v>H17</v>
      </c>
      <c r="X926" s="284" t="str">
        <f t="shared" si="34"/>
        <v>CDB</v>
      </c>
      <c r="Y926" s="271" t="s">
        <v>2261</v>
      </c>
      <c r="Z926" s="283">
        <f t="shared" si="36"/>
        <v>7.0000000000000007E-2</v>
      </c>
      <c r="AA926" s="340">
        <f t="shared" si="36"/>
        <v>6.4999999999999997E-3</v>
      </c>
    </row>
    <row r="927" spans="1:27">
      <c r="A927" s="74" t="s">
        <v>1556</v>
      </c>
      <c r="B927" s="74" t="s">
        <v>2125</v>
      </c>
      <c r="C927" s="74" t="s">
        <v>2116</v>
      </c>
      <c r="D927" s="74" t="s">
        <v>1979</v>
      </c>
      <c r="E927" s="74" t="s">
        <v>2120</v>
      </c>
      <c r="F927" s="74">
        <v>7.0000000000000007E-2</v>
      </c>
      <c r="G927" s="74">
        <v>6.4999999999999997E-3</v>
      </c>
      <c r="H927" s="74">
        <v>2.58</v>
      </c>
      <c r="I927" s="13" t="s">
        <v>2340</v>
      </c>
      <c r="J927" s="74" t="s">
        <v>250</v>
      </c>
      <c r="T927" s="292" t="s">
        <v>1961</v>
      </c>
      <c r="U927" s="283" t="s">
        <v>2454</v>
      </c>
      <c r="V927" s="283" t="s">
        <v>2420</v>
      </c>
      <c r="W927" s="293" t="str">
        <f t="shared" si="34"/>
        <v>H17</v>
      </c>
      <c r="X927" s="284" t="str">
        <f t="shared" si="34"/>
        <v>CDC</v>
      </c>
      <c r="Y927" s="271" t="s">
        <v>2261</v>
      </c>
      <c r="Z927" s="283">
        <f t="shared" si="36"/>
        <v>7.0000000000000007E-2</v>
      </c>
      <c r="AA927" s="340">
        <f t="shared" si="36"/>
        <v>6.4999999999999997E-3</v>
      </c>
    </row>
    <row r="928" spans="1:27">
      <c r="A928" s="74" t="s">
        <v>1557</v>
      </c>
      <c r="B928" s="74" t="s">
        <v>2125</v>
      </c>
      <c r="C928" s="74" t="s">
        <v>2116</v>
      </c>
      <c r="D928" s="74" t="s">
        <v>1979</v>
      </c>
      <c r="E928" s="74" t="s">
        <v>1558</v>
      </c>
      <c r="F928" s="74">
        <v>7.0000000000000007E-2</v>
      </c>
      <c r="G928" s="74">
        <v>6.4999999999999997E-3</v>
      </c>
      <c r="H928" s="74">
        <v>2.58</v>
      </c>
      <c r="I928" s="13" t="s">
        <v>1405</v>
      </c>
      <c r="J928" s="74" t="s">
        <v>2415</v>
      </c>
      <c r="T928" s="292" t="s">
        <v>1961</v>
      </c>
      <c r="U928" s="283" t="s">
        <v>2454</v>
      </c>
      <c r="V928" s="283" t="s">
        <v>2420</v>
      </c>
      <c r="W928" s="293" t="str">
        <f t="shared" si="34"/>
        <v>H17</v>
      </c>
      <c r="X928" s="284" t="str">
        <f t="shared" si="34"/>
        <v>CMB</v>
      </c>
      <c r="Y928" s="271" t="s">
        <v>2261</v>
      </c>
      <c r="Z928" s="283">
        <f t="shared" si="36"/>
        <v>7.0000000000000007E-2</v>
      </c>
      <c r="AA928" s="340">
        <f t="shared" si="36"/>
        <v>6.4999999999999997E-3</v>
      </c>
    </row>
    <row r="929" spans="1:27">
      <c r="A929" s="74" t="s">
        <v>1559</v>
      </c>
      <c r="B929" s="74" t="s">
        <v>2125</v>
      </c>
      <c r="C929" s="74" t="s">
        <v>2116</v>
      </c>
      <c r="D929" s="74" t="s">
        <v>1979</v>
      </c>
      <c r="E929" s="74" t="s">
        <v>1560</v>
      </c>
      <c r="F929" s="74">
        <v>7.0000000000000007E-2</v>
      </c>
      <c r="G929" s="74">
        <v>6.4999999999999997E-3</v>
      </c>
      <c r="H929" s="74">
        <v>2.58</v>
      </c>
      <c r="I929" s="13" t="s">
        <v>1405</v>
      </c>
      <c r="J929" s="74" t="s">
        <v>2415</v>
      </c>
      <c r="T929" s="292" t="s">
        <v>1961</v>
      </c>
      <c r="U929" s="283" t="s">
        <v>2454</v>
      </c>
      <c r="V929" s="283" t="s">
        <v>2420</v>
      </c>
      <c r="W929" s="293" t="str">
        <f t="shared" si="34"/>
        <v>H17</v>
      </c>
      <c r="X929" s="284" t="str">
        <f t="shared" si="34"/>
        <v>CMC</v>
      </c>
      <c r="Y929" s="271" t="s">
        <v>2261</v>
      </c>
      <c r="Z929" s="283">
        <f t="shared" si="36"/>
        <v>7.0000000000000007E-2</v>
      </c>
      <c r="AA929" s="340">
        <f t="shared" si="36"/>
        <v>6.4999999999999997E-3</v>
      </c>
    </row>
    <row r="930" spans="1:27">
      <c r="A930" s="74" t="s">
        <v>1561</v>
      </c>
      <c r="B930" s="74" t="s">
        <v>2125</v>
      </c>
      <c r="C930" s="74" t="s">
        <v>2116</v>
      </c>
      <c r="D930" s="74" t="s">
        <v>1979</v>
      </c>
      <c r="E930" s="74" t="s">
        <v>2121</v>
      </c>
      <c r="F930" s="74">
        <v>3.5000000000000003E-2</v>
      </c>
      <c r="G930" s="74">
        <v>3.2499999999999999E-3</v>
      </c>
      <c r="H930" s="74">
        <v>2.58</v>
      </c>
      <c r="I930" s="13" t="s">
        <v>239</v>
      </c>
      <c r="J930" s="74" t="s">
        <v>2406</v>
      </c>
      <c r="T930" s="292" t="s">
        <v>1961</v>
      </c>
      <c r="U930" s="283" t="s">
        <v>2454</v>
      </c>
      <c r="V930" s="283" t="s">
        <v>2420</v>
      </c>
      <c r="W930" s="293" t="str">
        <f t="shared" si="34"/>
        <v>H17</v>
      </c>
      <c r="X930" s="284" t="str">
        <f t="shared" si="34"/>
        <v>DCB</v>
      </c>
      <c r="Y930" s="271" t="s">
        <v>2262</v>
      </c>
      <c r="Z930" s="283">
        <f t="shared" si="36"/>
        <v>3.5000000000000003E-2</v>
      </c>
      <c r="AA930" s="340">
        <f t="shared" si="36"/>
        <v>3.2499999999999999E-3</v>
      </c>
    </row>
    <row r="931" spans="1:27">
      <c r="A931" s="74" t="s">
        <v>1562</v>
      </c>
      <c r="B931" s="74" t="s">
        <v>2125</v>
      </c>
      <c r="C931" s="74" t="s">
        <v>2116</v>
      </c>
      <c r="D931" s="74" t="s">
        <v>1979</v>
      </c>
      <c r="E931" s="74" t="s">
        <v>2122</v>
      </c>
      <c r="F931" s="74">
        <v>3.5000000000000003E-2</v>
      </c>
      <c r="G931" s="74">
        <v>3.2499999999999999E-3</v>
      </c>
      <c r="H931" s="74">
        <v>2.58</v>
      </c>
      <c r="I931" s="13" t="s">
        <v>239</v>
      </c>
      <c r="J931" s="74" t="s">
        <v>2406</v>
      </c>
      <c r="T931" s="292" t="s">
        <v>1961</v>
      </c>
      <c r="U931" s="283" t="s">
        <v>2454</v>
      </c>
      <c r="V931" s="283" t="s">
        <v>2420</v>
      </c>
      <c r="W931" s="293" t="str">
        <f t="shared" si="34"/>
        <v>H17</v>
      </c>
      <c r="X931" s="284" t="str">
        <f t="shared" si="34"/>
        <v>DCC</v>
      </c>
      <c r="Y931" s="271" t="s">
        <v>2262</v>
      </c>
      <c r="Z931" s="283">
        <f t="shared" si="36"/>
        <v>3.5000000000000003E-2</v>
      </c>
      <c r="AA931" s="340">
        <f t="shared" si="36"/>
        <v>3.2499999999999999E-3</v>
      </c>
    </row>
    <row r="932" spans="1:27">
      <c r="A932" s="74" t="s">
        <v>1563</v>
      </c>
      <c r="B932" s="74" t="s">
        <v>2125</v>
      </c>
      <c r="C932" s="74" t="s">
        <v>2116</v>
      </c>
      <c r="D932" s="74" t="s">
        <v>1979</v>
      </c>
      <c r="E932" s="74" t="s">
        <v>2123</v>
      </c>
      <c r="F932" s="74">
        <v>3.5000000000000003E-2</v>
      </c>
      <c r="G932" s="74">
        <v>3.2499999999999999E-3</v>
      </c>
      <c r="H932" s="74">
        <v>2.58</v>
      </c>
      <c r="I932" s="13" t="s">
        <v>2340</v>
      </c>
      <c r="J932" s="74" t="s">
        <v>586</v>
      </c>
      <c r="T932" s="292" t="s">
        <v>1961</v>
      </c>
      <c r="U932" s="283" t="s">
        <v>2454</v>
      </c>
      <c r="V932" s="283" t="s">
        <v>2420</v>
      </c>
      <c r="W932" s="293" t="str">
        <f t="shared" si="34"/>
        <v>H17</v>
      </c>
      <c r="X932" s="284" t="str">
        <f t="shared" si="34"/>
        <v>DDB</v>
      </c>
      <c r="Y932" s="271" t="s">
        <v>2262</v>
      </c>
      <c r="Z932" s="283">
        <f t="shared" si="36"/>
        <v>3.5000000000000003E-2</v>
      </c>
      <c r="AA932" s="340">
        <f t="shared" si="36"/>
        <v>3.2499999999999999E-3</v>
      </c>
    </row>
    <row r="933" spans="1:27">
      <c r="A933" s="74" t="s">
        <v>1564</v>
      </c>
      <c r="B933" s="74" t="s">
        <v>2125</v>
      </c>
      <c r="C933" s="74" t="s">
        <v>2116</v>
      </c>
      <c r="D933" s="74" t="s">
        <v>1979</v>
      </c>
      <c r="E933" s="74" t="s">
        <v>2124</v>
      </c>
      <c r="F933" s="74">
        <v>3.5000000000000003E-2</v>
      </c>
      <c r="G933" s="74">
        <v>3.2499999999999999E-3</v>
      </c>
      <c r="H933" s="74">
        <v>2.58</v>
      </c>
      <c r="I933" s="13" t="s">
        <v>2340</v>
      </c>
      <c r="J933" s="74" t="s">
        <v>586</v>
      </c>
      <c r="T933" s="292" t="s">
        <v>1961</v>
      </c>
      <c r="U933" s="283" t="s">
        <v>2454</v>
      </c>
      <c r="V933" s="283" t="s">
        <v>2420</v>
      </c>
      <c r="W933" s="293" t="str">
        <f t="shared" si="34"/>
        <v>H17</v>
      </c>
      <c r="X933" s="284" t="str">
        <f t="shared" si="34"/>
        <v>DDC</v>
      </c>
      <c r="Y933" s="271" t="s">
        <v>2262</v>
      </c>
      <c r="Z933" s="283">
        <f t="shared" si="36"/>
        <v>3.5000000000000003E-2</v>
      </c>
      <c r="AA933" s="340">
        <f t="shared" si="36"/>
        <v>3.2499999999999999E-3</v>
      </c>
    </row>
    <row r="934" spans="1:27">
      <c r="A934" s="74" t="s">
        <v>1565</v>
      </c>
      <c r="B934" s="74" t="s">
        <v>2125</v>
      </c>
      <c r="C934" s="74" t="s">
        <v>2116</v>
      </c>
      <c r="D934" s="74" t="s">
        <v>1979</v>
      </c>
      <c r="E934" s="74" t="s">
        <v>1566</v>
      </c>
      <c r="F934" s="74">
        <v>3.5000000000000003E-2</v>
      </c>
      <c r="G934" s="74">
        <v>3.2499999999999999E-3</v>
      </c>
      <c r="H934" s="74">
        <v>2.58</v>
      </c>
      <c r="I934" s="13" t="s">
        <v>1405</v>
      </c>
      <c r="J934" s="74" t="s">
        <v>2414</v>
      </c>
      <c r="T934" s="292" t="s">
        <v>1961</v>
      </c>
      <c r="U934" s="283" t="s">
        <v>2454</v>
      </c>
      <c r="V934" s="283" t="s">
        <v>2420</v>
      </c>
      <c r="W934" s="293" t="str">
        <f t="shared" si="34"/>
        <v>H17</v>
      </c>
      <c r="X934" s="284" t="str">
        <f t="shared" si="34"/>
        <v>DMB</v>
      </c>
      <c r="Y934" s="271" t="s">
        <v>2262</v>
      </c>
      <c r="Z934" s="283">
        <f t="shared" si="36"/>
        <v>3.5000000000000003E-2</v>
      </c>
      <c r="AA934" s="340">
        <f t="shared" si="36"/>
        <v>3.2499999999999999E-3</v>
      </c>
    </row>
    <row r="935" spans="1:27">
      <c r="A935" s="74" t="s">
        <v>1567</v>
      </c>
      <c r="B935" s="74" t="s">
        <v>2125</v>
      </c>
      <c r="C935" s="74" t="s">
        <v>2116</v>
      </c>
      <c r="D935" s="74" t="s">
        <v>1979</v>
      </c>
      <c r="E935" s="74" t="s">
        <v>1568</v>
      </c>
      <c r="F935" s="74">
        <v>3.5000000000000003E-2</v>
      </c>
      <c r="G935" s="74">
        <v>3.2499999999999999E-3</v>
      </c>
      <c r="H935" s="74">
        <v>2.58</v>
      </c>
      <c r="I935" s="13" t="s">
        <v>1405</v>
      </c>
      <c r="J935" s="74" t="s">
        <v>2414</v>
      </c>
      <c r="T935" s="292" t="s">
        <v>1961</v>
      </c>
      <c r="U935" s="283" t="s">
        <v>2454</v>
      </c>
      <c r="V935" s="283" t="s">
        <v>2420</v>
      </c>
      <c r="W935" s="293" t="str">
        <f t="shared" si="34"/>
        <v>H17</v>
      </c>
      <c r="X935" s="284" t="str">
        <f t="shared" si="34"/>
        <v>DMC</v>
      </c>
      <c r="Y935" s="271" t="s">
        <v>2262</v>
      </c>
      <c r="Z935" s="283">
        <f t="shared" si="36"/>
        <v>3.5000000000000003E-2</v>
      </c>
      <c r="AA935" s="340">
        <f t="shared" si="36"/>
        <v>3.2499999999999999E-3</v>
      </c>
    </row>
    <row r="936" spans="1:27">
      <c r="A936" s="74" t="s">
        <v>1569</v>
      </c>
      <c r="B936" s="74" t="s">
        <v>2125</v>
      </c>
      <c r="C936" s="74" t="s">
        <v>2116</v>
      </c>
      <c r="D936" s="74" t="s">
        <v>2382</v>
      </c>
      <c r="E936" s="74" t="s">
        <v>1570</v>
      </c>
      <c r="F936" s="74">
        <v>0.08</v>
      </c>
      <c r="G936" s="74">
        <v>5.0000000000000001E-3</v>
      </c>
      <c r="H936" s="74">
        <v>2.58</v>
      </c>
      <c r="I936" s="13" t="s">
        <v>607</v>
      </c>
      <c r="T936" s="292" t="s">
        <v>1773</v>
      </c>
      <c r="U936" s="283" t="s">
        <v>1768</v>
      </c>
      <c r="V936" s="283" t="s">
        <v>1774</v>
      </c>
      <c r="W936" s="293" t="s">
        <v>2382</v>
      </c>
      <c r="X936" s="284" t="s">
        <v>1570</v>
      </c>
      <c r="Y936" s="271"/>
      <c r="Z936" s="283">
        <v>0.08</v>
      </c>
      <c r="AA936" s="340">
        <v>5.0000000000000001E-3</v>
      </c>
    </row>
    <row r="937" spans="1:27">
      <c r="A937" s="74" t="s">
        <v>1571</v>
      </c>
      <c r="B937" s="74" t="s">
        <v>2125</v>
      </c>
      <c r="C937" s="74" t="s">
        <v>2116</v>
      </c>
      <c r="D937" s="74" t="s">
        <v>2382</v>
      </c>
      <c r="E937" s="74" t="s">
        <v>1572</v>
      </c>
      <c r="F937" s="74">
        <v>0.08</v>
      </c>
      <c r="G937" s="74">
        <v>5.0000000000000001E-3</v>
      </c>
      <c r="H937" s="74">
        <v>2.58</v>
      </c>
      <c r="I937" s="13" t="s">
        <v>607</v>
      </c>
      <c r="T937" s="292" t="s">
        <v>1961</v>
      </c>
      <c r="U937" s="283" t="s">
        <v>2454</v>
      </c>
      <c r="V937" s="283" t="s">
        <v>2420</v>
      </c>
      <c r="W937" s="293" t="str">
        <f t="shared" si="34"/>
        <v>H21</v>
      </c>
      <c r="X937" s="284" t="str">
        <f t="shared" si="34"/>
        <v>LDB</v>
      </c>
      <c r="Y937" s="271"/>
      <c r="Z937" s="283">
        <f t="shared" si="36"/>
        <v>0.08</v>
      </c>
      <c r="AA937" s="340">
        <f t="shared" si="36"/>
        <v>5.0000000000000001E-3</v>
      </c>
    </row>
    <row r="938" spans="1:27">
      <c r="A938" s="74" t="s">
        <v>1573</v>
      </c>
      <c r="B938" s="74" t="s">
        <v>2125</v>
      </c>
      <c r="C938" s="74" t="s">
        <v>2116</v>
      </c>
      <c r="D938" s="74" t="s">
        <v>2382</v>
      </c>
      <c r="E938" s="74" t="s">
        <v>1574</v>
      </c>
      <c r="F938" s="74">
        <v>0.08</v>
      </c>
      <c r="G938" s="74">
        <v>5.0000000000000001E-3</v>
      </c>
      <c r="H938" s="74">
        <v>2.58</v>
      </c>
      <c r="I938" s="13" t="s">
        <v>607</v>
      </c>
      <c r="T938" s="292" t="s">
        <v>1961</v>
      </c>
      <c r="U938" s="283" t="s">
        <v>2454</v>
      </c>
      <c r="V938" s="283" t="s">
        <v>2420</v>
      </c>
      <c r="W938" s="287" t="s">
        <v>2371</v>
      </c>
      <c r="X938" s="284" t="str">
        <f t="shared" si="34"/>
        <v>LDC</v>
      </c>
      <c r="Y938" s="271"/>
      <c r="Z938" s="283">
        <f t="shared" si="36"/>
        <v>0.08</v>
      </c>
      <c r="AA938" s="340">
        <f t="shared" si="36"/>
        <v>5.0000000000000001E-3</v>
      </c>
    </row>
    <row r="939" spans="1:27">
      <c r="A939" s="74" t="s">
        <v>1575</v>
      </c>
      <c r="B939" s="74" t="s">
        <v>2125</v>
      </c>
      <c r="C939" s="74" t="s">
        <v>2116</v>
      </c>
      <c r="D939" s="74" t="s">
        <v>2382</v>
      </c>
      <c r="E939" s="74" t="s">
        <v>1576</v>
      </c>
      <c r="F939" s="74">
        <v>0.04</v>
      </c>
      <c r="G939" s="74">
        <v>2.5000000000000001E-3</v>
      </c>
      <c r="H939" s="74">
        <v>2.58</v>
      </c>
      <c r="I939" s="13" t="s">
        <v>239</v>
      </c>
      <c r="J939" s="74" t="s">
        <v>240</v>
      </c>
      <c r="T939" s="292" t="s">
        <v>1773</v>
      </c>
      <c r="U939" s="283" t="s">
        <v>1768</v>
      </c>
      <c r="V939" s="283" t="s">
        <v>1774</v>
      </c>
      <c r="W939" s="287" t="s">
        <v>2382</v>
      </c>
      <c r="X939" s="284" t="s">
        <v>1576</v>
      </c>
      <c r="Y939" s="271"/>
      <c r="Z939" s="283">
        <v>0.04</v>
      </c>
      <c r="AA939" s="340">
        <v>2.5000000000000001E-3</v>
      </c>
    </row>
    <row r="940" spans="1:27">
      <c r="A940" s="74" t="s">
        <v>1577</v>
      </c>
      <c r="B940" s="74" t="s">
        <v>2125</v>
      </c>
      <c r="C940" s="74" t="s">
        <v>2116</v>
      </c>
      <c r="D940" s="74" t="s">
        <v>2382</v>
      </c>
      <c r="E940" s="74" t="s">
        <v>1578</v>
      </c>
      <c r="F940" s="74">
        <v>0.04</v>
      </c>
      <c r="G940" s="74">
        <v>2.5000000000000001E-3</v>
      </c>
      <c r="H940" s="74">
        <v>2.58</v>
      </c>
      <c r="I940" s="13" t="s">
        <v>239</v>
      </c>
      <c r="J940" s="74" t="s">
        <v>240</v>
      </c>
      <c r="T940" s="292" t="s">
        <v>1961</v>
      </c>
      <c r="U940" s="283" t="s">
        <v>2454</v>
      </c>
      <c r="V940" s="283" t="s">
        <v>2420</v>
      </c>
      <c r="W940" s="293" t="str">
        <f t="shared" si="34"/>
        <v>H21</v>
      </c>
      <c r="X940" s="284" t="str">
        <f t="shared" si="34"/>
        <v>LCB</v>
      </c>
      <c r="Y940" s="271"/>
      <c r="Z940" s="283">
        <f t="shared" si="36"/>
        <v>0.04</v>
      </c>
      <c r="AA940" s="340">
        <f t="shared" si="36"/>
        <v>2.5000000000000001E-3</v>
      </c>
    </row>
    <row r="941" spans="1:27">
      <c r="A941" s="74" t="s">
        <v>1579</v>
      </c>
      <c r="B941" s="74" t="s">
        <v>2125</v>
      </c>
      <c r="C941" s="74" t="s">
        <v>2116</v>
      </c>
      <c r="D941" s="74" t="s">
        <v>2382</v>
      </c>
      <c r="E941" s="74" t="s">
        <v>1580</v>
      </c>
      <c r="F941" s="74">
        <v>0.04</v>
      </c>
      <c r="G941" s="74">
        <v>2.5000000000000001E-3</v>
      </c>
      <c r="H941" s="74">
        <v>2.58</v>
      </c>
      <c r="I941" s="13" t="s">
        <v>239</v>
      </c>
      <c r="J941" s="74" t="s">
        <v>240</v>
      </c>
      <c r="T941" s="292" t="s">
        <v>1961</v>
      </c>
      <c r="U941" s="283" t="s">
        <v>2454</v>
      </c>
      <c r="V941" s="283" t="s">
        <v>2420</v>
      </c>
      <c r="W941" s="287" t="s">
        <v>1775</v>
      </c>
      <c r="X941" s="284" t="str">
        <f t="shared" si="34"/>
        <v>LCC</v>
      </c>
      <c r="Y941" s="271"/>
      <c r="Z941" s="283">
        <f t="shared" si="36"/>
        <v>0.04</v>
      </c>
      <c r="AA941" s="340">
        <f t="shared" si="36"/>
        <v>2.5000000000000001E-3</v>
      </c>
    </row>
    <row r="942" spans="1:27">
      <c r="A942" s="74" t="s">
        <v>1581</v>
      </c>
      <c r="B942" s="74" t="s">
        <v>2125</v>
      </c>
      <c r="C942" s="74" t="s">
        <v>2116</v>
      </c>
      <c r="D942" s="74" t="s">
        <v>2382</v>
      </c>
      <c r="E942" s="74" t="s">
        <v>1582</v>
      </c>
      <c r="F942" s="74">
        <v>0.02</v>
      </c>
      <c r="G942" s="74">
        <v>1.25E-3</v>
      </c>
      <c r="H942" s="74">
        <v>2.58</v>
      </c>
      <c r="I942" s="13" t="s">
        <v>1405</v>
      </c>
      <c r="J942" s="74" t="s">
        <v>1406</v>
      </c>
      <c r="T942" s="292" t="s">
        <v>1773</v>
      </c>
      <c r="U942" s="283" t="s">
        <v>1768</v>
      </c>
      <c r="V942" s="283" t="s">
        <v>1774</v>
      </c>
      <c r="W942" s="287" t="s">
        <v>2382</v>
      </c>
      <c r="X942" s="284" t="s">
        <v>1582</v>
      </c>
      <c r="Y942" s="271"/>
      <c r="Z942" s="283">
        <v>0.02</v>
      </c>
      <c r="AA942" s="340">
        <v>1.25E-3</v>
      </c>
    </row>
    <row r="943" spans="1:27">
      <c r="A943" s="74" t="s">
        <v>1583</v>
      </c>
      <c r="B943" s="74" t="s">
        <v>2125</v>
      </c>
      <c r="C943" s="74" t="s">
        <v>2116</v>
      </c>
      <c r="D943" s="74" t="s">
        <v>2382</v>
      </c>
      <c r="E943" s="74" t="s">
        <v>1584</v>
      </c>
      <c r="F943" s="74">
        <v>0.02</v>
      </c>
      <c r="G943" s="74">
        <v>1.25E-3</v>
      </c>
      <c r="H943" s="74">
        <v>2.58</v>
      </c>
      <c r="I943" s="13" t="s">
        <v>1405</v>
      </c>
      <c r="J943" s="74" t="s">
        <v>1406</v>
      </c>
      <c r="T943" s="292" t="s">
        <v>1961</v>
      </c>
      <c r="U943" s="283" t="s">
        <v>2454</v>
      </c>
      <c r="V943" s="283" t="s">
        <v>2420</v>
      </c>
      <c r="W943" s="293" t="str">
        <f t="shared" si="34"/>
        <v>H21</v>
      </c>
      <c r="X943" s="284" t="str">
        <f t="shared" si="34"/>
        <v>LMB</v>
      </c>
      <c r="Y943" s="271"/>
      <c r="Z943" s="283">
        <f t="shared" si="36"/>
        <v>0.02</v>
      </c>
      <c r="AA943" s="340">
        <f t="shared" si="36"/>
        <v>1.25E-3</v>
      </c>
    </row>
    <row r="944" spans="1:27">
      <c r="A944" s="74" t="s">
        <v>1585</v>
      </c>
      <c r="B944" s="74" t="s">
        <v>2125</v>
      </c>
      <c r="C944" s="74" t="s">
        <v>2116</v>
      </c>
      <c r="D944" s="74" t="s">
        <v>2382</v>
      </c>
      <c r="E944" s="74" t="s">
        <v>1586</v>
      </c>
      <c r="F944" s="74">
        <v>0.02</v>
      </c>
      <c r="G944" s="74">
        <v>1.25E-3</v>
      </c>
      <c r="H944" s="74">
        <v>2.58</v>
      </c>
      <c r="I944" s="13" t="s">
        <v>1405</v>
      </c>
      <c r="J944" s="74" t="s">
        <v>1406</v>
      </c>
      <c r="T944" s="292" t="s">
        <v>1961</v>
      </c>
      <c r="U944" s="283" t="s">
        <v>2454</v>
      </c>
      <c r="V944" s="283" t="s">
        <v>2420</v>
      </c>
      <c r="W944" s="287" t="s">
        <v>1776</v>
      </c>
      <c r="X944" s="284" t="str">
        <f t="shared" si="34"/>
        <v>LMC</v>
      </c>
      <c r="Y944" s="271"/>
      <c r="Z944" s="283">
        <f t="shared" si="36"/>
        <v>0.02</v>
      </c>
      <c r="AA944" s="340">
        <f t="shared" si="36"/>
        <v>1.25E-3</v>
      </c>
    </row>
    <row r="945" spans="1:27">
      <c r="A945" s="74" t="s">
        <v>1587</v>
      </c>
      <c r="B945" s="74" t="s">
        <v>2125</v>
      </c>
      <c r="C945" s="74" t="s">
        <v>2116</v>
      </c>
      <c r="D945" s="74" t="s">
        <v>2382</v>
      </c>
      <c r="E945" s="74" t="s">
        <v>1588</v>
      </c>
      <c r="F945" s="74">
        <v>0.08</v>
      </c>
      <c r="G945" s="74">
        <v>5.0000000000000001E-3</v>
      </c>
      <c r="H945" s="74">
        <v>2.58</v>
      </c>
      <c r="I945" s="13" t="s">
        <v>607</v>
      </c>
      <c r="T945" s="292" t="s">
        <v>1773</v>
      </c>
      <c r="U945" s="283" t="s">
        <v>1768</v>
      </c>
      <c r="V945" s="283" t="s">
        <v>1774</v>
      </c>
      <c r="W945" s="287" t="s">
        <v>2382</v>
      </c>
      <c r="X945" s="284" t="s">
        <v>1588</v>
      </c>
      <c r="Y945" s="271"/>
      <c r="Z945" s="283">
        <v>0.08</v>
      </c>
      <c r="AA945" s="340">
        <v>5.0000000000000001E-3</v>
      </c>
    </row>
    <row r="946" spans="1:27">
      <c r="A946" s="74" t="s">
        <v>1589</v>
      </c>
      <c r="B946" s="74" t="s">
        <v>2125</v>
      </c>
      <c r="C946" s="74" t="s">
        <v>2116</v>
      </c>
      <c r="D946" s="74" t="s">
        <v>2382</v>
      </c>
      <c r="E946" s="74" t="s">
        <v>1590</v>
      </c>
      <c r="F946" s="74">
        <v>0.08</v>
      </c>
      <c r="G946" s="74">
        <v>5.0000000000000001E-3</v>
      </c>
      <c r="H946" s="74">
        <v>2.58</v>
      </c>
      <c r="I946" s="13" t="s">
        <v>607</v>
      </c>
      <c r="T946" s="292" t="s">
        <v>1773</v>
      </c>
      <c r="U946" s="283" t="s">
        <v>1768</v>
      </c>
      <c r="V946" s="283" t="s">
        <v>1774</v>
      </c>
      <c r="W946" s="287" t="s">
        <v>2382</v>
      </c>
      <c r="X946" s="284" t="s">
        <v>1590</v>
      </c>
      <c r="Y946" s="271"/>
      <c r="Z946" s="283">
        <v>0.08</v>
      </c>
      <c r="AA946" s="340">
        <v>5.0000000000000001E-3</v>
      </c>
    </row>
    <row r="947" spans="1:27">
      <c r="A947" s="74" t="s">
        <v>1591</v>
      </c>
      <c r="B947" s="74" t="s">
        <v>2125</v>
      </c>
      <c r="C947" s="74" t="s">
        <v>2116</v>
      </c>
      <c r="D947" s="74" t="s">
        <v>2382</v>
      </c>
      <c r="E947" s="74" t="s">
        <v>1592</v>
      </c>
      <c r="F947" s="74">
        <v>0.08</v>
      </c>
      <c r="G947" s="74">
        <v>5.0000000000000001E-3</v>
      </c>
      <c r="H947" s="74">
        <v>2.58</v>
      </c>
      <c r="I947" s="13" t="s">
        <v>607</v>
      </c>
      <c r="T947" s="292" t="s">
        <v>1773</v>
      </c>
      <c r="U947" s="283" t="s">
        <v>1768</v>
      </c>
      <c r="V947" s="283" t="s">
        <v>1774</v>
      </c>
      <c r="W947" s="287" t="s">
        <v>2382</v>
      </c>
      <c r="X947" s="284" t="s">
        <v>1592</v>
      </c>
      <c r="Y947" s="271"/>
      <c r="Z947" s="283">
        <v>0.08</v>
      </c>
      <c r="AA947" s="340">
        <v>5.0000000000000001E-3</v>
      </c>
    </row>
    <row r="948" spans="1:27">
      <c r="A948" s="74" t="s">
        <v>1593</v>
      </c>
      <c r="B948" s="74" t="s">
        <v>2125</v>
      </c>
      <c r="C948" s="74" t="s">
        <v>2116</v>
      </c>
      <c r="D948" s="74" t="s">
        <v>2382</v>
      </c>
      <c r="E948" s="74" t="s">
        <v>1594</v>
      </c>
      <c r="F948" s="74">
        <v>0.04</v>
      </c>
      <c r="G948" s="74">
        <v>2.5000000000000001E-3</v>
      </c>
      <c r="H948" s="74">
        <v>2.58</v>
      </c>
      <c r="I948" s="13" t="s">
        <v>239</v>
      </c>
      <c r="J948" s="74" t="s">
        <v>240</v>
      </c>
      <c r="T948" s="292" t="s">
        <v>1773</v>
      </c>
      <c r="U948" s="283" t="s">
        <v>1768</v>
      </c>
      <c r="V948" s="283" t="s">
        <v>1774</v>
      </c>
      <c r="W948" s="287" t="s">
        <v>2382</v>
      </c>
      <c r="X948" s="284" t="s">
        <v>1594</v>
      </c>
      <c r="Y948" s="271"/>
      <c r="Z948" s="283">
        <v>0.04</v>
      </c>
      <c r="AA948" s="340">
        <v>2.5000000000000001E-3</v>
      </c>
    </row>
    <row r="949" spans="1:27">
      <c r="A949" s="74" t="s">
        <v>1595</v>
      </c>
      <c r="B949" s="74" t="s">
        <v>2125</v>
      </c>
      <c r="C949" s="74" t="s">
        <v>2116</v>
      </c>
      <c r="D949" s="74" t="s">
        <v>2382</v>
      </c>
      <c r="E949" s="74" t="s">
        <v>1596</v>
      </c>
      <c r="F949" s="74">
        <v>0.04</v>
      </c>
      <c r="G949" s="74">
        <v>2.5000000000000001E-3</v>
      </c>
      <c r="H949" s="74">
        <v>2.58</v>
      </c>
      <c r="I949" s="13" t="s">
        <v>239</v>
      </c>
      <c r="J949" s="74" t="s">
        <v>240</v>
      </c>
      <c r="T949" s="292" t="s">
        <v>1773</v>
      </c>
      <c r="U949" s="283" t="s">
        <v>1768</v>
      </c>
      <c r="V949" s="283" t="s">
        <v>1774</v>
      </c>
      <c r="W949" s="287" t="s">
        <v>2382</v>
      </c>
      <c r="X949" s="284" t="s">
        <v>1596</v>
      </c>
      <c r="Y949" s="271"/>
      <c r="Z949" s="283">
        <v>0.04</v>
      </c>
      <c r="AA949" s="340">
        <v>2.5000000000000001E-3</v>
      </c>
    </row>
    <row r="950" spans="1:27">
      <c r="A950" s="74" t="s">
        <v>1597</v>
      </c>
      <c r="B950" s="74" t="s">
        <v>2125</v>
      </c>
      <c r="C950" s="74" t="s">
        <v>2116</v>
      </c>
      <c r="D950" s="74" t="s">
        <v>2382</v>
      </c>
      <c r="E950" s="74" t="s">
        <v>1598</v>
      </c>
      <c r="F950" s="74">
        <v>0.04</v>
      </c>
      <c r="G950" s="74">
        <v>2.5000000000000001E-3</v>
      </c>
      <c r="H950" s="74">
        <v>2.58</v>
      </c>
      <c r="I950" s="13" t="s">
        <v>239</v>
      </c>
      <c r="J950" s="74" t="s">
        <v>240</v>
      </c>
      <c r="T950" s="292" t="s">
        <v>1773</v>
      </c>
      <c r="U950" s="283" t="s">
        <v>1768</v>
      </c>
      <c r="V950" s="283" t="s">
        <v>1774</v>
      </c>
      <c r="W950" s="287" t="s">
        <v>2382</v>
      </c>
      <c r="X950" s="284" t="s">
        <v>1598</v>
      </c>
      <c r="Y950" s="271"/>
      <c r="Z950" s="283">
        <v>0.04</v>
      </c>
      <c r="AA950" s="340">
        <v>2.5000000000000001E-3</v>
      </c>
    </row>
    <row r="951" spans="1:27">
      <c r="A951" s="74" t="s">
        <v>1599</v>
      </c>
      <c r="B951" s="74" t="s">
        <v>2125</v>
      </c>
      <c r="C951" s="74" t="s">
        <v>2116</v>
      </c>
      <c r="D951" s="74" t="s">
        <v>2382</v>
      </c>
      <c r="E951" s="74" t="s">
        <v>1600</v>
      </c>
      <c r="F951" s="74">
        <v>0.02</v>
      </c>
      <c r="G951" s="74">
        <v>1.25E-3</v>
      </c>
      <c r="H951" s="74">
        <v>2.58</v>
      </c>
      <c r="I951" s="13" t="s">
        <v>1405</v>
      </c>
      <c r="J951" s="74" t="s">
        <v>1406</v>
      </c>
      <c r="T951" s="292" t="s">
        <v>1773</v>
      </c>
      <c r="U951" s="283" t="s">
        <v>1768</v>
      </c>
      <c r="V951" s="283" t="s">
        <v>1774</v>
      </c>
      <c r="W951" s="287" t="s">
        <v>2382</v>
      </c>
      <c r="X951" s="284" t="s">
        <v>1600</v>
      </c>
      <c r="Y951" s="271"/>
      <c r="Z951" s="283">
        <v>0.02</v>
      </c>
      <c r="AA951" s="340">
        <v>1.25E-3</v>
      </c>
    </row>
    <row r="952" spans="1:27">
      <c r="A952" s="74" t="s">
        <v>1601</v>
      </c>
      <c r="B952" s="74" t="s">
        <v>2125</v>
      </c>
      <c r="C952" s="74" t="s">
        <v>2116</v>
      </c>
      <c r="D952" s="74" t="s">
        <v>2382</v>
      </c>
      <c r="E952" s="74" t="s">
        <v>1602</v>
      </c>
      <c r="F952" s="74">
        <v>0.02</v>
      </c>
      <c r="G952" s="74">
        <v>1.25E-3</v>
      </c>
      <c r="H952" s="74">
        <v>2.58</v>
      </c>
      <c r="I952" s="13" t="s">
        <v>1405</v>
      </c>
      <c r="J952" s="74" t="s">
        <v>1406</v>
      </c>
      <c r="T952" s="292" t="s">
        <v>1773</v>
      </c>
      <c r="U952" s="283" t="s">
        <v>1768</v>
      </c>
      <c r="V952" s="283" t="s">
        <v>1774</v>
      </c>
      <c r="W952" s="287" t="s">
        <v>2382</v>
      </c>
      <c r="X952" s="284" t="s">
        <v>1602</v>
      </c>
      <c r="Y952" s="271"/>
      <c r="Z952" s="283">
        <v>0.02</v>
      </c>
      <c r="AA952" s="340">
        <v>1.25E-3</v>
      </c>
    </row>
    <row r="953" spans="1:27">
      <c r="A953" s="74" t="s">
        <v>1603</v>
      </c>
      <c r="B953" s="74" t="s">
        <v>2125</v>
      </c>
      <c r="C953" s="74" t="s">
        <v>2116</v>
      </c>
      <c r="D953" s="74" t="s">
        <v>2382</v>
      </c>
      <c r="E953" s="74" t="s">
        <v>1604</v>
      </c>
      <c r="F953" s="74">
        <v>0.02</v>
      </c>
      <c r="G953" s="74">
        <v>1.25E-3</v>
      </c>
      <c r="H953" s="74">
        <v>2.58</v>
      </c>
      <c r="I953" s="13" t="s">
        <v>1405</v>
      </c>
      <c r="J953" s="74" t="s">
        <v>1406</v>
      </c>
      <c r="T953" s="292" t="s">
        <v>1773</v>
      </c>
      <c r="U953" s="283" t="s">
        <v>1768</v>
      </c>
      <c r="V953" s="283" t="s">
        <v>1774</v>
      </c>
      <c r="W953" s="287" t="s">
        <v>2382</v>
      </c>
      <c r="X953" s="284" t="s">
        <v>1604</v>
      </c>
      <c r="Y953" s="271"/>
      <c r="Z953" s="283">
        <v>0.02</v>
      </c>
      <c r="AA953" s="340">
        <v>1.25E-3</v>
      </c>
    </row>
    <row r="954" spans="1:27">
      <c r="A954" s="74" t="s">
        <v>1605</v>
      </c>
      <c r="B954" s="74" t="s">
        <v>2125</v>
      </c>
      <c r="C954" s="74" t="s">
        <v>2116</v>
      </c>
      <c r="D954" s="74" t="s">
        <v>2382</v>
      </c>
      <c r="E954" s="74" t="s">
        <v>1606</v>
      </c>
      <c r="F954" s="74">
        <v>0.04</v>
      </c>
      <c r="G954" s="74">
        <v>2.5000000000000001E-3</v>
      </c>
      <c r="H954" s="74">
        <v>2.58</v>
      </c>
      <c r="I954" s="13" t="s">
        <v>607</v>
      </c>
      <c r="J954" s="74" t="s">
        <v>2261</v>
      </c>
      <c r="T954" s="292" t="s">
        <v>1773</v>
      </c>
      <c r="U954" s="283" t="s">
        <v>1768</v>
      </c>
      <c r="V954" s="283" t="s">
        <v>1774</v>
      </c>
      <c r="W954" s="287" t="s">
        <v>2382</v>
      </c>
      <c r="X954" s="284" t="s">
        <v>1606</v>
      </c>
      <c r="Y954" s="271" t="s">
        <v>1769</v>
      </c>
      <c r="Z954" s="283">
        <v>0.04</v>
      </c>
      <c r="AA954" s="340">
        <v>2.5000000000000001E-3</v>
      </c>
    </row>
    <row r="955" spans="1:27">
      <c r="A955" s="74" t="s">
        <v>1607</v>
      </c>
      <c r="B955" s="74" t="s">
        <v>2125</v>
      </c>
      <c r="C955" s="74" t="s">
        <v>2116</v>
      </c>
      <c r="D955" s="74" t="s">
        <v>2382</v>
      </c>
      <c r="E955" s="74" t="s">
        <v>1608</v>
      </c>
      <c r="F955" s="74">
        <v>0.04</v>
      </c>
      <c r="G955" s="74">
        <v>2.5000000000000001E-3</v>
      </c>
      <c r="H955" s="74">
        <v>2.58</v>
      </c>
      <c r="I955" s="13" t="s">
        <v>607</v>
      </c>
      <c r="J955" s="74" t="s">
        <v>2261</v>
      </c>
      <c r="T955" s="292" t="s">
        <v>1961</v>
      </c>
      <c r="U955" s="283" t="s">
        <v>2454</v>
      </c>
      <c r="V955" s="283" t="s">
        <v>2420</v>
      </c>
      <c r="W955" s="293" t="str">
        <f t="shared" si="34"/>
        <v>H21</v>
      </c>
      <c r="X955" s="284" t="str">
        <f t="shared" si="34"/>
        <v>MDB</v>
      </c>
      <c r="Y955" s="271" t="s">
        <v>2261</v>
      </c>
      <c r="Z955" s="283">
        <f t="shared" si="36"/>
        <v>0.04</v>
      </c>
      <c r="AA955" s="340">
        <f t="shared" si="36"/>
        <v>2.5000000000000001E-3</v>
      </c>
    </row>
    <row r="956" spans="1:27">
      <c r="A956" s="74" t="s">
        <v>1609</v>
      </c>
      <c r="B956" s="74" t="s">
        <v>2125</v>
      </c>
      <c r="C956" s="74" t="s">
        <v>2116</v>
      </c>
      <c r="D956" s="74" t="s">
        <v>2382</v>
      </c>
      <c r="E956" s="74" t="s">
        <v>1610</v>
      </c>
      <c r="F956" s="74">
        <v>0.04</v>
      </c>
      <c r="G956" s="74">
        <v>2.5000000000000001E-3</v>
      </c>
      <c r="H956" s="74">
        <v>2.58</v>
      </c>
      <c r="I956" s="13" t="s">
        <v>607</v>
      </c>
      <c r="J956" s="74" t="s">
        <v>2261</v>
      </c>
      <c r="T956" s="292" t="s">
        <v>1961</v>
      </c>
      <c r="U956" s="283" t="s">
        <v>2454</v>
      </c>
      <c r="V956" s="283" t="s">
        <v>2420</v>
      </c>
      <c r="W956" s="293" t="str">
        <f t="shared" si="34"/>
        <v>H21</v>
      </c>
      <c r="X956" s="284" t="str">
        <f t="shared" si="34"/>
        <v>MDC</v>
      </c>
      <c r="Y956" s="271" t="s">
        <v>2261</v>
      </c>
      <c r="Z956" s="283">
        <f t="shared" si="36"/>
        <v>0.04</v>
      </c>
      <c r="AA956" s="340">
        <f t="shared" si="36"/>
        <v>2.5000000000000001E-3</v>
      </c>
    </row>
    <row r="957" spans="1:27">
      <c r="A957" s="74" t="s">
        <v>1611</v>
      </c>
      <c r="B957" s="74" t="s">
        <v>2125</v>
      </c>
      <c r="C957" s="74" t="s">
        <v>2116</v>
      </c>
      <c r="D957" s="74" t="s">
        <v>2382</v>
      </c>
      <c r="E957" s="74" t="s">
        <v>1612</v>
      </c>
      <c r="F957" s="74">
        <v>0.04</v>
      </c>
      <c r="G957" s="74">
        <v>2.5000000000000001E-3</v>
      </c>
      <c r="H957" s="74">
        <v>2.58</v>
      </c>
      <c r="I957" s="13" t="s">
        <v>239</v>
      </c>
      <c r="J957" s="74" t="s">
        <v>2391</v>
      </c>
      <c r="T957" s="292" t="s">
        <v>1773</v>
      </c>
      <c r="U957" s="283" t="s">
        <v>1768</v>
      </c>
      <c r="V957" s="283" t="s">
        <v>1774</v>
      </c>
      <c r="W957" s="293" t="str">
        <f t="shared" si="34"/>
        <v>H21</v>
      </c>
      <c r="X957" s="284" t="s">
        <v>1612</v>
      </c>
      <c r="Y957" s="271" t="s">
        <v>1769</v>
      </c>
      <c r="Z957" s="283">
        <v>0.04</v>
      </c>
      <c r="AA957" s="340">
        <v>2.5000000000000001E-3</v>
      </c>
    </row>
    <row r="958" spans="1:27">
      <c r="A958" s="74" t="s">
        <v>1613</v>
      </c>
      <c r="B958" s="74" t="s">
        <v>2125</v>
      </c>
      <c r="C958" s="74" t="s">
        <v>2116</v>
      </c>
      <c r="D958" s="74" t="s">
        <v>2382</v>
      </c>
      <c r="E958" s="74" t="s">
        <v>1614</v>
      </c>
      <c r="F958" s="74">
        <v>0.04</v>
      </c>
      <c r="G958" s="74">
        <v>2.5000000000000001E-3</v>
      </c>
      <c r="H958" s="74">
        <v>2.58</v>
      </c>
      <c r="I958" s="13" t="s">
        <v>239</v>
      </c>
      <c r="J958" s="74" t="s">
        <v>2391</v>
      </c>
      <c r="T958" s="292" t="s">
        <v>1961</v>
      </c>
      <c r="U958" s="283" t="s">
        <v>2454</v>
      </c>
      <c r="V958" s="283" t="s">
        <v>2420</v>
      </c>
      <c r="W958" s="293" t="str">
        <f t="shared" si="34"/>
        <v>H21</v>
      </c>
      <c r="X958" s="284" t="str">
        <f t="shared" si="34"/>
        <v>MCB</v>
      </c>
      <c r="Y958" s="271" t="s">
        <v>2261</v>
      </c>
      <c r="Z958" s="283">
        <f t="shared" si="36"/>
        <v>0.04</v>
      </c>
      <c r="AA958" s="340">
        <f t="shared" si="36"/>
        <v>2.5000000000000001E-3</v>
      </c>
    </row>
    <row r="959" spans="1:27">
      <c r="A959" s="74" t="s">
        <v>1615</v>
      </c>
      <c r="B959" s="74" t="s">
        <v>2125</v>
      </c>
      <c r="C959" s="74" t="s">
        <v>2116</v>
      </c>
      <c r="D959" s="74" t="s">
        <v>2382</v>
      </c>
      <c r="E959" s="74" t="s">
        <v>1616</v>
      </c>
      <c r="F959" s="74">
        <v>0.04</v>
      </c>
      <c r="G959" s="74">
        <v>2.5000000000000001E-3</v>
      </c>
      <c r="H959" s="74">
        <v>2.58</v>
      </c>
      <c r="I959" s="13" t="s">
        <v>239</v>
      </c>
      <c r="J959" s="74" t="s">
        <v>2391</v>
      </c>
      <c r="T959" s="292" t="s">
        <v>1961</v>
      </c>
      <c r="U959" s="283" t="s">
        <v>2454</v>
      </c>
      <c r="V959" s="283" t="s">
        <v>2420</v>
      </c>
      <c r="W959" s="293" t="str">
        <f t="shared" ref="W959:X971" si="37">D959</f>
        <v>H21</v>
      </c>
      <c r="X959" s="284" t="str">
        <f t="shared" si="37"/>
        <v>MCC</v>
      </c>
      <c r="Y959" s="271" t="s">
        <v>2261</v>
      </c>
      <c r="Z959" s="283">
        <f t="shared" si="36"/>
        <v>0.04</v>
      </c>
      <c r="AA959" s="340">
        <f t="shared" si="36"/>
        <v>2.5000000000000001E-3</v>
      </c>
    </row>
    <row r="960" spans="1:27">
      <c r="A960" s="74" t="s">
        <v>1617</v>
      </c>
      <c r="B960" s="74" t="s">
        <v>2125</v>
      </c>
      <c r="C960" s="74" t="s">
        <v>2116</v>
      </c>
      <c r="D960" s="74" t="s">
        <v>2382</v>
      </c>
      <c r="E960" s="74" t="s">
        <v>1618</v>
      </c>
      <c r="F960" s="74">
        <v>0.04</v>
      </c>
      <c r="G960" s="74">
        <v>2.5000000000000001E-3</v>
      </c>
      <c r="H960" s="74">
        <v>2.58</v>
      </c>
      <c r="I960" s="13" t="s">
        <v>1405</v>
      </c>
      <c r="J960" s="74" t="s">
        <v>2415</v>
      </c>
      <c r="T960" s="292" t="s">
        <v>1773</v>
      </c>
      <c r="U960" s="283" t="s">
        <v>1768</v>
      </c>
      <c r="V960" s="283" t="s">
        <v>1774</v>
      </c>
      <c r="W960" s="293" t="str">
        <f t="shared" si="37"/>
        <v>H21</v>
      </c>
      <c r="X960" s="284" t="s">
        <v>1618</v>
      </c>
      <c r="Y960" s="271" t="s">
        <v>1769</v>
      </c>
      <c r="Z960" s="283">
        <v>0.04</v>
      </c>
      <c r="AA960" s="340">
        <v>2.5000000000000001E-3</v>
      </c>
    </row>
    <row r="961" spans="1:27">
      <c r="A961" s="74" t="s">
        <v>1619</v>
      </c>
      <c r="B961" s="74" t="s">
        <v>2125</v>
      </c>
      <c r="C961" s="74" t="s">
        <v>2116</v>
      </c>
      <c r="D961" s="74" t="s">
        <v>2382</v>
      </c>
      <c r="E961" s="74" t="s">
        <v>1620</v>
      </c>
      <c r="F961" s="74">
        <v>0.04</v>
      </c>
      <c r="G961" s="74">
        <v>2.5000000000000001E-3</v>
      </c>
      <c r="H961" s="74">
        <v>2.58</v>
      </c>
      <c r="I961" s="13" t="s">
        <v>1405</v>
      </c>
      <c r="J961" s="74" t="s">
        <v>2415</v>
      </c>
      <c r="T961" s="292" t="s">
        <v>1961</v>
      </c>
      <c r="U961" s="283" t="s">
        <v>2454</v>
      </c>
      <c r="V961" s="283" t="s">
        <v>2420</v>
      </c>
      <c r="W961" s="293" t="str">
        <f t="shared" si="37"/>
        <v>H21</v>
      </c>
      <c r="X961" s="284" t="str">
        <f t="shared" si="37"/>
        <v>MMB</v>
      </c>
      <c r="Y961" s="271" t="s">
        <v>2261</v>
      </c>
      <c r="Z961" s="283">
        <f t="shared" si="36"/>
        <v>0.04</v>
      </c>
      <c r="AA961" s="340">
        <f t="shared" si="36"/>
        <v>2.5000000000000001E-3</v>
      </c>
    </row>
    <row r="962" spans="1:27">
      <c r="A962" s="74" t="s">
        <v>1621</v>
      </c>
      <c r="B962" s="74" t="s">
        <v>2125</v>
      </c>
      <c r="C962" s="74" t="s">
        <v>2116</v>
      </c>
      <c r="D962" s="74" t="s">
        <v>2382</v>
      </c>
      <c r="E962" s="74" t="s">
        <v>1622</v>
      </c>
      <c r="F962" s="74">
        <v>0.04</v>
      </c>
      <c r="G962" s="74">
        <v>2.5000000000000001E-3</v>
      </c>
      <c r="H962" s="74">
        <v>2.58</v>
      </c>
      <c r="I962" s="13" t="s">
        <v>1405</v>
      </c>
      <c r="J962" s="74" t="s">
        <v>2415</v>
      </c>
      <c r="T962" s="292" t="s">
        <v>1961</v>
      </c>
      <c r="U962" s="283" t="s">
        <v>2454</v>
      </c>
      <c r="V962" s="283" t="s">
        <v>2420</v>
      </c>
      <c r="W962" s="293" t="str">
        <f t="shared" si="37"/>
        <v>H21</v>
      </c>
      <c r="X962" s="284" t="str">
        <f t="shared" si="37"/>
        <v>MMC</v>
      </c>
      <c r="Y962" s="271" t="s">
        <v>2261</v>
      </c>
      <c r="Z962" s="283">
        <f t="shared" si="36"/>
        <v>0.04</v>
      </c>
      <c r="AA962" s="340">
        <f t="shared" si="36"/>
        <v>2.5000000000000001E-3</v>
      </c>
    </row>
    <row r="963" spans="1:27">
      <c r="A963" s="74" t="s">
        <v>1623</v>
      </c>
      <c r="B963" s="74" t="s">
        <v>2125</v>
      </c>
      <c r="C963" s="74" t="s">
        <v>2116</v>
      </c>
      <c r="D963" s="74" t="s">
        <v>2382</v>
      </c>
      <c r="E963" s="74" t="s">
        <v>1624</v>
      </c>
      <c r="F963" s="74">
        <v>0.02</v>
      </c>
      <c r="G963" s="74">
        <v>1.25E-3</v>
      </c>
      <c r="H963" s="74">
        <v>2.58</v>
      </c>
      <c r="I963" s="13" t="s">
        <v>607</v>
      </c>
      <c r="J963" s="74" t="s">
        <v>2262</v>
      </c>
      <c r="T963" s="292" t="s">
        <v>1773</v>
      </c>
      <c r="U963" s="283" t="s">
        <v>1768</v>
      </c>
      <c r="V963" s="283" t="s">
        <v>1774</v>
      </c>
      <c r="W963" s="293" t="str">
        <f t="shared" si="37"/>
        <v>H21</v>
      </c>
      <c r="X963" s="284" t="s">
        <v>1624</v>
      </c>
      <c r="Y963" s="271" t="s">
        <v>1770</v>
      </c>
      <c r="Z963" s="283">
        <v>0.02</v>
      </c>
      <c r="AA963" s="340">
        <v>1.25E-3</v>
      </c>
    </row>
    <row r="964" spans="1:27">
      <c r="A964" s="74" t="s">
        <v>1625</v>
      </c>
      <c r="B964" s="74" t="s">
        <v>2125</v>
      </c>
      <c r="C964" s="74" t="s">
        <v>2116</v>
      </c>
      <c r="D964" s="74" t="s">
        <v>2382</v>
      </c>
      <c r="E964" s="74" t="s">
        <v>1626</v>
      </c>
      <c r="F964" s="74">
        <v>0.02</v>
      </c>
      <c r="G964" s="74">
        <v>1.25E-3</v>
      </c>
      <c r="H964" s="74">
        <v>2.58</v>
      </c>
      <c r="I964" s="13" t="s">
        <v>607</v>
      </c>
      <c r="J964" s="74" t="s">
        <v>2262</v>
      </c>
      <c r="T964" s="292" t="s">
        <v>1961</v>
      </c>
      <c r="U964" s="283" t="s">
        <v>2454</v>
      </c>
      <c r="V964" s="283" t="s">
        <v>2420</v>
      </c>
      <c r="W964" s="293" t="str">
        <f t="shared" si="37"/>
        <v>H21</v>
      </c>
      <c r="X964" s="284" t="str">
        <f t="shared" si="37"/>
        <v>RDB</v>
      </c>
      <c r="Y964" s="271" t="s">
        <v>2262</v>
      </c>
      <c r="Z964" s="283">
        <f t="shared" si="36"/>
        <v>0.02</v>
      </c>
      <c r="AA964" s="340">
        <f t="shared" si="36"/>
        <v>1.25E-3</v>
      </c>
    </row>
    <row r="965" spans="1:27">
      <c r="A965" s="74" t="s">
        <v>1627</v>
      </c>
      <c r="B965" s="74" t="s">
        <v>2125</v>
      </c>
      <c r="C965" s="74" t="s">
        <v>2116</v>
      </c>
      <c r="D965" s="74" t="s">
        <v>2382</v>
      </c>
      <c r="E965" s="74" t="s">
        <v>1628</v>
      </c>
      <c r="F965" s="74">
        <v>0.02</v>
      </c>
      <c r="G965" s="74">
        <v>1.25E-3</v>
      </c>
      <c r="H965" s="74">
        <v>2.58</v>
      </c>
      <c r="I965" s="13" t="s">
        <v>607</v>
      </c>
      <c r="J965" s="74" t="s">
        <v>2262</v>
      </c>
      <c r="T965" s="292" t="s">
        <v>1961</v>
      </c>
      <c r="U965" s="283" t="s">
        <v>2454</v>
      </c>
      <c r="V965" s="283" t="s">
        <v>2420</v>
      </c>
      <c r="W965" s="293" t="str">
        <f t="shared" si="37"/>
        <v>H21</v>
      </c>
      <c r="X965" s="284" t="str">
        <f t="shared" si="37"/>
        <v>RDC</v>
      </c>
      <c r="Y965" s="271" t="s">
        <v>2262</v>
      </c>
      <c r="Z965" s="283">
        <f t="shared" si="36"/>
        <v>0.02</v>
      </c>
      <c r="AA965" s="340">
        <f t="shared" si="36"/>
        <v>1.25E-3</v>
      </c>
    </row>
    <row r="966" spans="1:27">
      <c r="A966" s="74" t="s">
        <v>1629</v>
      </c>
      <c r="B966" s="74" t="s">
        <v>2125</v>
      </c>
      <c r="C966" s="74" t="s">
        <v>2116</v>
      </c>
      <c r="D966" s="74" t="s">
        <v>2382</v>
      </c>
      <c r="E966" s="74" t="s">
        <v>1630</v>
      </c>
      <c r="F966" s="74">
        <v>0.02</v>
      </c>
      <c r="G966" s="74">
        <v>1.25E-3</v>
      </c>
      <c r="H966" s="74">
        <v>2.58</v>
      </c>
      <c r="I966" s="13" t="s">
        <v>239</v>
      </c>
      <c r="J966" s="74" t="s">
        <v>2389</v>
      </c>
      <c r="T966" s="292" t="s">
        <v>1773</v>
      </c>
      <c r="U966" s="283" t="s">
        <v>1768</v>
      </c>
      <c r="V966" s="283" t="s">
        <v>1774</v>
      </c>
      <c r="W966" s="293" t="str">
        <f t="shared" si="37"/>
        <v>H21</v>
      </c>
      <c r="X966" s="284" t="s">
        <v>1630</v>
      </c>
      <c r="Y966" s="271" t="s">
        <v>1770</v>
      </c>
      <c r="Z966" s="283">
        <v>0.02</v>
      </c>
      <c r="AA966" s="340">
        <v>1.25E-3</v>
      </c>
    </row>
    <row r="967" spans="1:27">
      <c r="A967" s="74" t="s">
        <v>1631</v>
      </c>
      <c r="B967" s="74" t="s">
        <v>2125</v>
      </c>
      <c r="C967" s="74" t="s">
        <v>2116</v>
      </c>
      <c r="D967" s="74" t="s">
        <v>2382</v>
      </c>
      <c r="E967" s="74" t="s">
        <v>1632</v>
      </c>
      <c r="F967" s="74">
        <v>0.02</v>
      </c>
      <c r="G967" s="74">
        <v>1.25E-3</v>
      </c>
      <c r="H967" s="74">
        <v>2.58</v>
      </c>
      <c r="I967" s="13" t="s">
        <v>239</v>
      </c>
      <c r="J967" s="74" t="s">
        <v>2389</v>
      </c>
      <c r="T967" s="292" t="s">
        <v>1961</v>
      </c>
      <c r="U967" s="283" t="s">
        <v>2454</v>
      </c>
      <c r="V967" s="283" t="s">
        <v>2420</v>
      </c>
      <c r="W967" s="293" t="str">
        <f t="shared" si="37"/>
        <v>H21</v>
      </c>
      <c r="X967" s="284" t="str">
        <f t="shared" si="37"/>
        <v>RCB</v>
      </c>
      <c r="Y967" s="271" t="s">
        <v>2262</v>
      </c>
      <c r="Z967" s="283">
        <f t="shared" si="36"/>
        <v>0.02</v>
      </c>
      <c r="AA967" s="340">
        <f t="shared" si="36"/>
        <v>1.25E-3</v>
      </c>
    </row>
    <row r="968" spans="1:27">
      <c r="A968" s="74" t="s">
        <v>1633</v>
      </c>
      <c r="B968" s="74" t="s">
        <v>2125</v>
      </c>
      <c r="C968" s="74" t="s">
        <v>2116</v>
      </c>
      <c r="D968" s="74" t="s">
        <v>2382</v>
      </c>
      <c r="E968" s="74" t="s">
        <v>1634</v>
      </c>
      <c r="F968" s="74">
        <v>0.02</v>
      </c>
      <c r="G968" s="74">
        <v>1.25E-3</v>
      </c>
      <c r="H968" s="74">
        <v>2.58</v>
      </c>
      <c r="I968" s="13" t="s">
        <v>239</v>
      </c>
      <c r="J968" s="74" t="s">
        <v>2389</v>
      </c>
      <c r="T968" s="292" t="s">
        <v>1961</v>
      </c>
      <c r="U968" s="283" t="s">
        <v>2454</v>
      </c>
      <c r="V968" s="283" t="s">
        <v>2420</v>
      </c>
      <c r="W968" s="293" t="str">
        <f t="shared" si="37"/>
        <v>H21</v>
      </c>
      <c r="X968" s="284" t="str">
        <f t="shared" si="37"/>
        <v>RCC</v>
      </c>
      <c r="Y968" s="271" t="s">
        <v>2262</v>
      </c>
      <c r="Z968" s="283">
        <f t="shared" si="36"/>
        <v>0.02</v>
      </c>
      <c r="AA968" s="340">
        <f t="shared" si="36"/>
        <v>1.25E-3</v>
      </c>
    </row>
    <row r="969" spans="1:27">
      <c r="A969" s="74" t="s">
        <v>1635</v>
      </c>
      <c r="B969" s="74" t="s">
        <v>2125</v>
      </c>
      <c r="C969" s="74" t="s">
        <v>2116</v>
      </c>
      <c r="D969" s="74" t="s">
        <v>2382</v>
      </c>
      <c r="E969" s="74" t="s">
        <v>1636</v>
      </c>
      <c r="F969" s="74">
        <v>0.02</v>
      </c>
      <c r="G969" s="74">
        <v>1.25E-3</v>
      </c>
      <c r="H969" s="74">
        <v>2.58</v>
      </c>
      <c r="I969" s="13" t="s">
        <v>1405</v>
      </c>
      <c r="J969" s="74" t="s">
        <v>2414</v>
      </c>
      <c r="T969" s="292" t="s">
        <v>1773</v>
      </c>
      <c r="U969" s="283" t="s">
        <v>1768</v>
      </c>
      <c r="V969" s="283" t="s">
        <v>1774</v>
      </c>
      <c r="W969" s="293" t="str">
        <f t="shared" si="37"/>
        <v>H21</v>
      </c>
      <c r="X969" s="284" t="s">
        <v>1636</v>
      </c>
      <c r="Y969" s="271" t="s">
        <v>1770</v>
      </c>
      <c r="Z969" s="283">
        <v>0.02</v>
      </c>
      <c r="AA969" s="340">
        <v>1.25E-3</v>
      </c>
    </row>
    <row r="970" spans="1:27">
      <c r="A970" s="74" t="s">
        <v>1637</v>
      </c>
      <c r="B970" s="74" t="s">
        <v>2125</v>
      </c>
      <c r="C970" s="74" t="s">
        <v>2116</v>
      </c>
      <c r="D970" s="74" t="s">
        <v>2382</v>
      </c>
      <c r="E970" s="74" t="s">
        <v>1638</v>
      </c>
      <c r="F970" s="74">
        <v>0.02</v>
      </c>
      <c r="G970" s="74">
        <v>1.25E-3</v>
      </c>
      <c r="H970" s="74">
        <v>2.58</v>
      </c>
      <c r="I970" s="13" t="s">
        <v>1405</v>
      </c>
      <c r="J970" s="74" t="s">
        <v>2414</v>
      </c>
      <c r="T970" s="292" t="s">
        <v>1961</v>
      </c>
      <c r="U970" s="283" t="s">
        <v>2454</v>
      </c>
      <c r="V970" s="283" t="s">
        <v>2420</v>
      </c>
      <c r="W970" s="293" t="str">
        <f t="shared" si="37"/>
        <v>H21</v>
      </c>
      <c r="X970" s="284" t="str">
        <f t="shared" si="37"/>
        <v>RMB</v>
      </c>
      <c r="Y970" s="271" t="s">
        <v>2262</v>
      </c>
      <c r="Z970" s="283">
        <f t="shared" si="36"/>
        <v>0.02</v>
      </c>
      <c r="AA970" s="340">
        <f t="shared" si="36"/>
        <v>1.25E-3</v>
      </c>
    </row>
    <row r="971" spans="1:27">
      <c r="A971" s="74" t="s">
        <v>1639</v>
      </c>
      <c r="B971" s="74" t="s">
        <v>2125</v>
      </c>
      <c r="C971" s="74" t="s">
        <v>2116</v>
      </c>
      <c r="D971" s="74" t="s">
        <v>2382</v>
      </c>
      <c r="E971" s="74" t="s">
        <v>1640</v>
      </c>
      <c r="F971" s="74">
        <v>0.02</v>
      </c>
      <c r="G971" s="74">
        <v>1.25E-3</v>
      </c>
      <c r="H971" s="74">
        <v>2.58</v>
      </c>
      <c r="I971" s="13" t="s">
        <v>1405</v>
      </c>
      <c r="J971" s="74" t="s">
        <v>2414</v>
      </c>
      <c r="T971" s="292" t="s">
        <v>1961</v>
      </c>
      <c r="U971" s="283" t="s">
        <v>2454</v>
      </c>
      <c r="V971" s="283" t="s">
        <v>2420</v>
      </c>
      <c r="W971" s="293" t="str">
        <f t="shared" si="37"/>
        <v>H21</v>
      </c>
      <c r="X971" s="284" t="str">
        <f t="shared" si="37"/>
        <v>RMC</v>
      </c>
      <c r="Y971" s="271" t="s">
        <v>2262</v>
      </c>
      <c r="Z971" s="283">
        <f t="shared" si="36"/>
        <v>0.02</v>
      </c>
      <c r="AA971" s="340">
        <f t="shared" si="36"/>
        <v>1.25E-3</v>
      </c>
    </row>
    <row r="972" spans="1:27">
      <c r="A972" s="74" t="s">
        <v>1641</v>
      </c>
      <c r="B972" s="74" t="s">
        <v>2125</v>
      </c>
      <c r="C972" s="74" t="s">
        <v>2116</v>
      </c>
      <c r="D972" s="74" t="s">
        <v>2382</v>
      </c>
      <c r="E972" s="74" t="s">
        <v>1642</v>
      </c>
      <c r="F972" s="74">
        <v>7.2000000000000008E-2</v>
      </c>
      <c r="G972" s="74">
        <v>4.5000000000000005E-3</v>
      </c>
      <c r="H972" s="74">
        <v>2.58</v>
      </c>
      <c r="I972" s="13" t="s">
        <v>607</v>
      </c>
      <c r="J972" s="74" t="s">
        <v>2398</v>
      </c>
      <c r="T972" s="292" t="s">
        <v>1773</v>
      </c>
      <c r="U972" s="283" t="s">
        <v>1768</v>
      </c>
      <c r="V972" s="283" t="s">
        <v>1774</v>
      </c>
      <c r="W972" s="287" t="s">
        <v>2382</v>
      </c>
      <c r="X972" s="284" t="s">
        <v>1642</v>
      </c>
      <c r="Y972" s="271" t="s">
        <v>1762</v>
      </c>
      <c r="Z972" s="283">
        <v>7.2000000000000008E-2</v>
      </c>
      <c r="AA972" s="340">
        <v>4.5000000000000005E-3</v>
      </c>
    </row>
    <row r="973" spans="1:27">
      <c r="A973" s="74" t="s">
        <v>1643</v>
      </c>
      <c r="B973" s="74" t="s">
        <v>2125</v>
      </c>
      <c r="C973" s="74" t="s">
        <v>2116</v>
      </c>
      <c r="D973" s="74" t="s">
        <v>2382</v>
      </c>
      <c r="E973" s="74" t="s">
        <v>1644</v>
      </c>
      <c r="F973" s="74">
        <v>7.2000000000000008E-2</v>
      </c>
      <c r="G973" s="74">
        <v>4.5000000000000005E-3</v>
      </c>
      <c r="H973" s="74">
        <v>2.58</v>
      </c>
      <c r="I973" s="13" t="s">
        <v>607</v>
      </c>
      <c r="J973" s="74" t="s">
        <v>2398</v>
      </c>
      <c r="T973" s="292" t="s">
        <v>1773</v>
      </c>
      <c r="U973" s="283" t="s">
        <v>1768</v>
      </c>
      <c r="V973" s="283" t="s">
        <v>1774</v>
      </c>
      <c r="W973" s="287" t="s">
        <v>2382</v>
      </c>
      <c r="X973" s="284" t="s">
        <v>1644</v>
      </c>
      <c r="Y973" s="271" t="s">
        <v>1762</v>
      </c>
      <c r="Z973" s="283">
        <v>7.2000000000000008E-2</v>
      </c>
      <c r="AA973" s="340">
        <v>4.5000000000000005E-3</v>
      </c>
    </row>
    <row r="974" spans="1:27">
      <c r="A974" s="74" t="s">
        <v>1645</v>
      </c>
      <c r="B974" s="74" t="s">
        <v>2125</v>
      </c>
      <c r="C974" s="74" t="s">
        <v>2116</v>
      </c>
      <c r="D974" s="74" t="s">
        <v>2382</v>
      </c>
      <c r="E974" s="74" t="s">
        <v>1646</v>
      </c>
      <c r="F974" s="74">
        <v>7.2000000000000008E-2</v>
      </c>
      <c r="G974" s="74">
        <v>4.5000000000000005E-3</v>
      </c>
      <c r="H974" s="74">
        <v>2.58</v>
      </c>
      <c r="I974" s="13" t="s">
        <v>607</v>
      </c>
      <c r="J974" s="74" t="s">
        <v>2398</v>
      </c>
      <c r="T974" s="292" t="s">
        <v>1773</v>
      </c>
      <c r="U974" s="283" t="s">
        <v>1768</v>
      </c>
      <c r="V974" s="283" t="s">
        <v>1774</v>
      </c>
      <c r="W974" s="287" t="s">
        <v>2382</v>
      </c>
      <c r="X974" s="284" t="s">
        <v>1646</v>
      </c>
      <c r="Y974" s="271" t="s">
        <v>1762</v>
      </c>
      <c r="Z974" s="283">
        <v>7.2000000000000008E-2</v>
      </c>
      <c r="AA974" s="340">
        <v>4.5000000000000005E-3</v>
      </c>
    </row>
    <row r="975" spans="1:27">
      <c r="A975" s="74" t="s">
        <v>1647</v>
      </c>
      <c r="B975" s="74" t="s">
        <v>2125</v>
      </c>
      <c r="C975" s="74" t="s">
        <v>2116</v>
      </c>
      <c r="D975" s="74" t="s">
        <v>2382</v>
      </c>
      <c r="E975" s="74" t="s">
        <v>1648</v>
      </c>
      <c r="F975" s="74">
        <v>7.2000000000000008E-2</v>
      </c>
      <c r="G975" s="74">
        <v>4.5000000000000005E-3</v>
      </c>
      <c r="H975" s="74">
        <v>2.58</v>
      </c>
      <c r="I975" s="13" t="s">
        <v>239</v>
      </c>
      <c r="J975" s="74" t="s">
        <v>1437</v>
      </c>
      <c r="T975" s="292" t="s">
        <v>1773</v>
      </c>
      <c r="U975" s="283" t="s">
        <v>1768</v>
      </c>
      <c r="V975" s="283" t="s">
        <v>1774</v>
      </c>
      <c r="W975" s="287" t="s">
        <v>2382</v>
      </c>
      <c r="X975" s="284" t="s">
        <v>1648</v>
      </c>
      <c r="Y975" s="271" t="s">
        <v>1762</v>
      </c>
      <c r="Z975" s="283">
        <v>7.2000000000000008E-2</v>
      </c>
      <c r="AA975" s="340">
        <v>4.5000000000000005E-3</v>
      </c>
    </row>
    <row r="976" spans="1:27">
      <c r="A976" s="74" t="s">
        <v>1649</v>
      </c>
      <c r="B976" s="74" t="s">
        <v>2125</v>
      </c>
      <c r="C976" s="74" t="s">
        <v>2116</v>
      </c>
      <c r="D976" s="74" t="s">
        <v>2382</v>
      </c>
      <c r="E976" s="74" t="s">
        <v>1650</v>
      </c>
      <c r="F976" s="74">
        <v>7.2000000000000008E-2</v>
      </c>
      <c r="G976" s="74">
        <v>4.5000000000000005E-3</v>
      </c>
      <c r="H976" s="74">
        <v>2.58</v>
      </c>
      <c r="I976" s="13" t="s">
        <v>239</v>
      </c>
      <c r="J976" s="74" t="s">
        <v>1437</v>
      </c>
      <c r="T976" s="292" t="s">
        <v>1773</v>
      </c>
      <c r="U976" s="283" t="s">
        <v>1768</v>
      </c>
      <c r="V976" s="283" t="s">
        <v>1774</v>
      </c>
      <c r="W976" s="287" t="s">
        <v>2382</v>
      </c>
      <c r="X976" s="284" t="s">
        <v>1650</v>
      </c>
      <c r="Y976" s="271" t="s">
        <v>1762</v>
      </c>
      <c r="Z976" s="283">
        <v>7.2000000000000008E-2</v>
      </c>
      <c r="AA976" s="340">
        <v>4.5000000000000005E-3</v>
      </c>
    </row>
    <row r="977" spans="1:27">
      <c r="A977" s="74" t="s">
        <v>1651</v>
      </c>
      <c r="B977" s="74" t="s">
        <v>2125</v>
      </c>
      <c r="C977" s="74" t="s">
        <v>2116</v>
      </c>
      <c r="D977" s="74" t="s">
        <v>2382</v>
      </c>
      <c r="E977" s="74" t="s">
        <v>1652</v>
      </c>
      <c r="F977" s="74">
        <v>7.2000000000000008E-2</v>
      </c>
      <c r="G977" s="74">
        <v>4.5000000000000005E-3</v>
      </c>
      <c r="H977" s="74">
        <v>2.58</v>
      </c>
      <c r="I977" s="13" t="s">
        <v>239</v>
      </c>
      <c r="J977" s="74" t="s">
        <v>1437</v>
      </c>
      <c r="T977" s="292" t="s">
        <v>1773</v>
      </c>
      <c r="U977" s="283" t="s">
        <v>1768</v>
      </c>
      <c r="V977" s="283" t="s">
        <v>1774</v>
      </c>
      <c r="W977" s="287" t="s">
        <v>2382</v>
      </c>
      <c r="X977" s="284" t="s">
        <v>1652</v>
      </c>
      <c r="Y977" s="271" t="s">
        <v>1762</v>
      </c>
      <c r="Z977" s="283">
        <v>7.2000000000000008E-2</v>
      </c>
      <c r="AA977" s="340">
        <v>4.5000000000000005E-3</v>
      </c>
    </row>
    <row r="978" spans="1:27">
      <c r="A978" s="74" t="s">
        <v>1653</v>
      </c>
      <c r="B978" s="74" t="s">
        <v>2125</v>
      </c>
      <c r="C978" s="74" t="s">
        <v>2116</v>
      </c>
      <c r="D978" s="74" t="s">
        <v>2382</v>
      </c>
      <c r="E978" s="74" t="s">
        <v>1654</v>
      </c>
      <c r="F978" s="74">
        <v>7.2000000000000008E-2</v>
      </c>
      <c r="G978" s="74">
        <v>4.5000000000000005E-3</v>
      </c>
      <c r="H978" s="74">
        <v>2.58</v>
      </c>
      <c r="I978" s="13" t="s">
        <v>1405</v>
      </c>
      <c r="J978" s="74" t="s">
        <v>1440</v>
      </c>
      <c r="T978" s="292" t="s">
        <v>1773</v>
      </c>
      <c r="U978" s="283" t="s">
        <v>1768</v>
      </c>
      <c r="V978" s="283" t="s">
        <v>1774</v>
      </c>
      <c r="W978" s="287" t="s">
        <v>2382</v>
      </c>
      <c r="X978" s="284" t="s">
        <v>1654</v>
      </c>
      <c r="Y978" s="271" t="s">
        <v>1762</v>
      </c>
      <c r="Z978" s="283">
        <v>7.2000000000000008E-2</v>
      </c>
      <c r="AA978" s="340">
        <v>4.5000000000000005E-3</v>
      </c>
    </row>
    <row r="979" spans="1:27">
      <c r="A979" s="74" t="s">
        <v>1655</v>
      </c>
      <c r="B979" s="74" t="s">
        <v>2125</v>
      </c>
      <c r="C979" s="74" t="s">
        <v>2116</v>
      </c>
      <c r="D979" s="74" t="s">
        <v>2382</v>
      </c>
      <c r="E979" s="74" t="s">
        <v>1656</v>
      </c>
      <c r="F979" s="74">
        <v>7.2000000000000008E-2</v>
      </c>
      <c r="G979" s="74">
        <v>4.5000000000000005E-3</v>
      </c>
      <c r="H979" s="74">
        <v>2.58</v>
      </c>
      <c r="I979" s="13" t="s">
        <v>1405</v>
      </c>
      <c r="J979" s="74" t="s">
        <v>1440</v>
      </c>
      <c r="T979" s="292" t="s">
        <v>1773</v>
      </c>
      <c r="U979" s="283" t="s">
        <v>1768</v>
      </c>
      <c r="V979" s="283" t="s">
        <v>1774</v>
      </c>
      <c r="W979" s="287" t="s">
        <v>2382</v>
      </c>
      <c r="X979" s="284" t="s">
        <v>1656</v>
      </c>
      <c r="Y979" s="271" t="s">
        <v>1762</v>
      </c>
      <c r="Z979" s="283">
        <v>7.2000000000000008E-2</v>
      </c>
      <c r="AA979" s="340">
        <v>4.5000000000000005E-3</v>
      </c>
    </row>
    <row r="980" spans="1:27">
      <c r="A980" s="74" t="s">
        <v>1657</v>
      </c>
      <c r="B980" s="74" t="s">
        <v>2125</v>
      </c>
      <c r="C980" s="74" t="s">
        <v>2116</v>
      </c>
      <c r="D980" s="74" t="s">
        <v>2382</v>
      </c>
      <c r="E980" s="74" t="s">
        <v>1658</v>
      </c>
      <c r="F980" s="74">
        <v>7.2000000000000008E-2</v>
      </c>
      <c r="G980" s="74">
        <v>4.5000000000000005E-3</v>
      </c>
      <c r="H980" s="74">
        <v>2.58</v>
      </c>
      <c r="I980" s="13" t="s">
        <v>1405</v>
      </c>
      <c r="J980" s="74" t="s">
        <v>1440</v>
      </c>
      <c r="T980" s="292" t="s">
        <v>1773</v>
      </c>
      <c r="U980" s="283" t="s">
        <v>1768</v>
      </c>
      <c r="V980" s="283" t="s">
        <v>1774</v>
      </c>
      <c r="W980" s="287" t="s">
        <v>2382</v>
      </c>
      <c r="X980" s="284" t="s">
        <v>1658</v>
      </c>
      <c r="Y980" s="271" t="s">
        <v>1762</v>
      </c>
      <c r="Z980" s="283">
        <v>7.2000000000000008E-2</v>
      </c>
      <c r="AA980" s="340">
        <v>4.5000000000000005E-3</v>
      </c>
    </row>
    <row r="981" spans="1:27">
      <c r="A981" s="74" t="s">
        <v>1659</v>
      </c>
      <c r="B981" s="74" t="s">
        <v>2131</v>
      </c>
      <c r="C981" s="74" t="s">
        <v>2130</v>
      </c>
      <c r="D981" s="74" t="s">
        <v>15</v>
      </c>
      <c r="E981" s="74" t="s">
        <v>83</v>
      </c>
      <c r="F981" s="74">
        <v>0.03</v>
      </c>
      <c r="G981" s="74">
        <v>0</v>
      </c>
      <c r="H981" s="74">
        <v>2.23</v>
      </c>
      <c r="I981" s="13" t="s">
        <v>47</v>
      </c>
      <c r="J981" s="74" t="s">
        <v>1127</v>
      </c>
      <c r="T981" s="292" t="s">
        <v>1961</v>
      </c>
      <c r="U981" s="283" t="s">
        <v>2367</v>
      </c>
      <c r="V981" s="283" t="s">
        <v>2420</v>
      </c>
      <c r="W981" s="293" t="str">
        <f t="shared" ref="W981:X1014" si="38">D981</f>
        <v>H12</v>
      </c>
      <c r="X981" s="284" t="str">
        <f t="shared" si="38"/>
        <v>TN</v>
      </c>
      <c r="Y981" s="271" t="s">
        <v>1765</v>
      </c>
      <c r="Z981" s="283">
        <f t="shared" si="36"/>
        <v>0.03</v>
      </c>
      <c r="AA981" s="340">
        <f t="shared" si="36"/>
        <v>0</v>
      </c>
    </row>
    <row r="982" spans="1:27">
      <c r="A982" s="74" t="s">
        <v>1660</v>
      </c>
      <c r="B982" s="74" t="s">
        <v>2131</v>
      </c>
      <c r="C982" s="74" t="s">
        <v>2130</v>
      </c>
      <c r="D982" s="74" t="s">
        <v>15</v>
      </c>
      <c r="E982" s="74" t="s">
        <v>75</v>
      </c>
      <c r="F982" s="74">
        <v>0.02</v>
      </c>
      <c r="G982" s="74">
        <v>0</v>
      </c>
      <c r="H982" s="74">
        <v>2.23</v>
      </c>
      <c r="I982" s="13" t="s">
        <v>47</v>
      </c>
      <c r="J982" s="74" t="s">
        <v>1129</v>
      </c>
      <c r="T982" s="292" t="s">
        <v>1961</v>
      </c>
      <c r="U982" s="283" t="s">
        <v>2367</v>
      </c>
      <c r="V982" s="283" t="s">
        <v>2420</v>
      </c>
      <c r="W982" s="293" t="str">
        <f t="shared" si="38"/>
        <v>H12</v>
      </c>
      <c r="X982" s="284" t="str">
        <f t="shared" si="38"/>
        <v>LN</v>
      </c>
      <c r="Y982" s="271" t="s">
        <v>1766</v>
      </c>
      <c r="Z982" s="283">
        <f t="shared" si="36"/>
        <v>0.02</v>
      </c>
      <c r="AA982" s="340">
        <f t="shared" si="36"/>
        <v>0</v>
      </c>
    </row>
    <row r="983" spans="1:27">
      <c r="A983" s="74" t="s">
        <v>1661</v>
      </c>
      <c r="B983" s="74" t="s">
        <v>2131</v>
      </c>
      <c r="C983" s="74" t="s">
        <v>2130</v>
      </c>
      <c r="D983" s="74" t="s">
        <v>15</v>
      </c>
      <c r="E983" s="74" t="s">
        <v>90</v>
      </c>
      <c r="F983" s="74">
        <v>0.01</v>
      </c>
      <c r="G983" s="74">
        <v>0</v>
      </c>
      <c r="H983" s="74">
        <v>2.23</v>
      </c>
      <c r="I983" s="13" t="s">
        <v>47</v>
      </c>
      <c r="J983" s="74" t="s">
        <v>1131</v>
      </c>
      <c r="T983" s="292" t="s">
        <v>1961</v>
      </c>
      <c r="U983" s="283" t="s">
        <v>2367</v>
      </c>
      <c r="V983" s="283" t="s">
        <v>2420</v>
      </c>
      <c r="W983" s="293" t="str">
        <f t="shared" si="38"/>
        <v>H12</v>
      </c>
      <c r="X983" s="284" t="str">
        <f t="shared" si="38"/>
        <v>UN</v>
      </c>
      <c r="Y983" s="271" t="s">
        <v>1767</v>
      </c>
      <c r="Z983" s="283">
        <f t="shared" si="36"/>
        <v>0.01</v>
      </c>
      <c r="AA983" s="340">
        <f t="shared" si="36"/>
        <v>0</v>
      </c>
    </row>
    <row r="984" spans="1:27">
      <c r="A984" s="74" t="s">
        <v>1662</v>
      </c>
      <c r="B984" s="74" t="s">
        <v>2131</v>
      </c>
      <c r="C984" s="74" t="s">
        <v>2130</v>
      </c>
      <c r="D984" s="74" t="s">
        <v>1979</v>
      </c>
      <c r="E984" s="74" t="s">
        <v>1663</v>
      </c>
      <c r="F984" s="74">
        <v>2.5000000000000001E-2</v>
      </c>
      <c r="G984" s="74">
        <v>0</v>
      </c>
      <c r="H984" s="74">
        <v>2.23</v>
      </c>
      <c r="I984" s="13" t="s">
        <v>47</v>
      </c>
      <c r="J984" s="74" t="s">
        <v>1134</v>
      </c>
      <c r="T984" s="292" t="s">
        <v>1961</v>
      </c>
      <c r="U984" s="283" t="s">
        <v>2367</v>
      </c>
      <c r="V984" s="283" t="s">
        <v>2420</v>
      </c>
      <c r="W984" s="293" t="str">
        <f t="shared" si="38"/>
        <v>H17</v>
      </c>
      <c r="X984" s="284" t="str">
        <f t="shared" si="38"/>
        <v>AFA</v>
      </c>
      <c r="Y984" s="271"/>
      <c r="Z984" s="283">
        <f t="shared" si="36"/>
        <v>2.5000000000000001E-2</v>
      </c>
      <c r="AA984" s="340">
        <f t="shared" si="36"/>
        <v>0</v>
      </c>
    </row>
    <row r="985" spans="1:27">
      <c r="A985" s="74" t="s">
        <v>1664</v>
      </c>
      <c r="B985" s="74" t="s">
        <v>2131</v>
      </c>
      <c r="C985" s="74" t="s">
        <v>2130</v>
      </c>
      <c r="D985" s="74" t="s">
        <v>1979</v>
      </c>
      <c r="E985" s="74" t="s">
        <v>1665</v>
      </c>
      <c r="F985" s="74">
        <v>2.5000000000000001E-2</v>
      </c>
      <c r="G985" s="74">
        <v>0</v>
      </c>
      <c r="H985" s="74">
        <v>2.23</v>
      </c>
      <c r="I985" s="13" t="s">
        <v>47</v>
      </c>
      <c r="J985" s="74" t="s">
        <v>1134</v>
      </c>
      <c r="T985" s="292" t="s">
        <v>1961</v>
      </c>
      <c r="U985" s="283" t="s">
        <v>2367</v>
      </c>
      <c r="V985" s="283" t="s">
        <v>2420</v>
      </c>
      <c r="W985" s="293" t="str">
        <f t="shared" si="38"/>
        <v>H17</v>
      </c>
      <c r="X985" s="284" t="str">
        <f t="shared" si="38"/>
        <v>AFB</v>
      </c>
      <c r="Y985" s="271"/>
      <c r="Z985" s="283">
        <f t="shared" si="36"/>
        <v>2.5000000000000001E-2</v>
      </c>
      <c r="AA985" s="340">
        <f t="shared" si="36"/>
        <v>0</v>
      </c>
    </row>
    <row r="986" spans="1:27">
      <c r="A986" s="74" t="s">
        <v>1666</v>
      </c>
      <c r="B986" s="74" t="s">
        <v>2131</v>
      </c>
      <c r="C986" s="74" t="s">
        <v>2130</v>
      </c>
      <c r="D986" s="74" t="s">
        <v>1979</v>
      </c>
      <c r="E986" s="74" t="s">
        <v>1667</v>
      </c>
      <c r="F986" s="74">
        <v>1.2500000000000001E-2</v>
      </c>
      <c r="G986" s="74">
        <v>0</v>
      </c>
      <c r="H986" s="74">
        <v>2.23</v>
      </c>
      <c r="I986" s="13" t="s">
        <v>47</v>
      </c>
      <c r="J986" s="74" t="s">
        <v>1137</v>
      </c>
      <c r="T986" s="292" t="s">
        <v>1961</v>
      </c>
      <c r="U986" s="283" t="s">
        <v>2367</v>
      </c>
      <c r="V986" s="283" t="s">
        <v>2420</v>
      </c>
      <c r="W986" s="293" t="str">
        <f t="shared" si="38"/>
        <v>H17</v>
      </c>
      <c r="X986" s="284" t="str">
        <f t="shared" si="38"/>
        <v>AEA</v>
      </c>
      <c r="Y986" s="271"/>
      <c r="Z986" s="283">
        <f t="shared" si="36"/>
        <v>1.2500000000000001E-2</v>
      </c>
      <c r="AA986" s="340">
        <f t="shared" si="36"/>
        <v>0</v>
      </c>
    </row>
    <row r="987" spans="1:27">
      <c r="A987" s="74" t="s">
        <v>1668</v>
      </c>
      <c r="B987" s="74" t="s">
        <v>2131</v>
      </c>
      <c r="C987" s="74" t="s">
        <v>2130</v>
      </c>
      <c r="D987" s="74" t="s">
        <v>1979</v>
      </c>
      <c r="E987" s="74" t="s">
        <v>1669</v>
      </c>
      <c r="F987" s="74">
        <v>1.2500000000000001E-2</v>
      </c>
      <c r="G987" s="74">
        <v>0</v>
      </c>
      <c r="H987" s="74">
        <v>2.23</v>
      </c>
      <c r="I987" s="13" t="s">
        <v>47</v>
      </c>
      <c r="J987" s="74" t="s">
        <v>1670</v>
      </c>
      <c r="T987" s="292" t="s">
        <v>1961</v>
      </c>
      <c r="U987" s="283" t="s">
        <v>2367</v>
      </c>
      <c r="V987" s="283" t="s">
        <v>2420</v>
      </c>
      <c r="W987" s="293" t="str">
        <f t="shared" si="38"/>
        <v>H17</v>
      </c>
      <c r="X987" s="284" t="str">
        <f t="shared" si="38"/>
        <v>AEB</v>
      </c>
      <c r="Y987" s="271"/>
      <c r="Z987" s="283">
        <f t="shared" si="36"/>
        <v>1.2500000000000001E-2</v>
      </c>
      <c r="AA987" s="340">
        <f t="shared" si="36"/>
        <v>0</v>
      </c>
    </row>
    <row r="988" spans="1:27">
      <c r="A988" s="74" t="s">
        <v>1671</v>
      </c>
      <c r="B988" s="74" t="s">
        <v>2131</v>
      </c>
      <c r="C988" s="74" t="s">
        <v>2130</v>
      </c>
      <c r="D988" s="74" t="s">
        <v>1979</v>
      </c>
      <c r="E988" s="74" t="s">
        <v>2126</v>
      </c>
      <c r="F988" s="74">
        <v>1.2500000000000001E-2</v>
      </c>
      <c r="G988" s="74">
        <v>0</v>
      </c>
      <c r="H988" s="74">
        <v>2.23</v>
      </c>
      <c r="I988" s="13" t="s">
        <v>47</v>
      </c>
      <c r="J988" s="74" t="s">
        <v>1941</v>
      </c>
      <c r="T988" s="292" t="s">
        <v>1961</v>
      </c>
      <c r="U988" s="283" t="s">
        <v>2367</v>
      </c>
      <c r="V988" s="283" t="s">
        <v>2420</v>
      </c>
      <c r="W988" s="293" t="str">
        <f t="shared" si="38"/>
        <v>H17</v>
      </c>
      <c r="X988" s="284" t="str">
        <f t="shared" si="38"/>
        <v>CEA</v>
      </c>
      <c r="Y988" s="271" t="s">
        <v>2261</v>
      </c>
      <c r="Z988" s="283">
        <f t="shared" si="36"/>
        <v>1.2500000000000001E-2</v>
      </c>
      <c r="AA988" s="340">
        <f t="shared" si="36"/>
        <v>0</v>
      </c>
    </row>
    <row r="989" spans="1:27">
      <c r="A989" s="74" t="s">
        <v>1672</v>
      </c>
      <c r="B989" s="74" t="s">
        <v>2131</v>
      </c>
      <c r="C989" s="74" t="s">
        <v>2130</v>
      </c>
      <c r="D989" s="74" t="s">
        <v>1979</v>
      </c>
      <c r="E989" s="74" t="s">
        <v>2127</v>
      </c>
      <c r="F989" s="74">
        <v>1.2500000000000001E-2</v>
      </c>
      <c r="G989" s="74">
        <v>0</v>
      </c>
      <c r="H989" s="74">
        <v>2.23</v>
      </c>
      <c r="I989" s="13" t="s">
        <v>47</v>
      </c>
      <c r="J989" s="74" t="s">
        <v>1940</v>
      </c>
      <c r="T989" s="292" t="s">
        <v>1961</v>
      </c>
      <c r="U989" s="283" t="s">
        <v>2367</v>
      </c>
      <c r="V989" s="283" t="s">
        <v>2420</v>
      </c>
      <c r="W989" s="293" t="str">
        <f t="shared" si="38"/>
        <v>H17</v>
      </c>
      <c r="X989" s="284" t="str">
        <f t="shared" si="38"/>
        <v>CFA</v>
      </c>
      <c r="Y989" s="271" t="s">
        <v>2261</v>
      </c>
      <c r="Z989" s="283">
        <f t="shared" si="36"/>
        <v>1.2500000000000001E-2</v>
      </c>
      <c r="AA989" s="340">
        <f t="shared" si="36"/>
        <v>0</v>
      </c>
    </row>
    <row r="990" spans="1:27">
      <c r="A990" s="74" t="s">
        <v>1673</v>
      </c>
      <c r="B990" s="74" t="s">
        <v>2131</v>
      </c>
      <c r="C990" s="74" t="s">
        <v>2130</v>
      </c>
      <c r="D990" s="74" t="s">
        <v>1979</v>
      </c>
      <c r="E990" s="74" t="s">
        <v>2128</v>
      </c>
      <c r="F990" s="74">
        <v>6.2500000000000003E-3</v>
      </c>
      <c r="G990" s="74">
        <v>0</v>
      </c>
      <c r="H990" s="74">
        <v>2.23</v>
      </c>
      <c r="I990" s="13" t="s">
        <v>47</v>
      </c>
      <c r="J990" s="74" t="s">
        <v>2408</v>
      </c>
      <c r="T990" s="292" t="s">
        <v>1961</v>
      </c>
      <c r="U990" s="283" t="s">
        <v>2367</v>
      </c>
      <c r="V990" s="283" t="s">
        <v>2420</v>
      </c>
      <c r="W990" s="293" t="str">
        <f t="shared" si="38"/>
        <v>H17</v>
      </c>
      <c r="X990" s="284" t="str">
        <f t="shared" si="38"/>
        <v>DEA</v>
      </c>
      <c r="Y990" s="271" t="s">
        <v>2262</v>
      </c>
      <c r="Z990" s="283">
        <f t="shared" si="36"/>
        <v>6.2500000000000003E-3</v>
      </c>
      <c r="AA990" s="340">
        <f t="shared" si="36"/>
        <v>0</v>
      </c>
    </row>
    <row r="991" spans="1:27">
      <c r="A991" s="74" t="s">
        <v>1674</v>
      </c>
      <c r="B991" s="74" t="s">
        <v>2131</v>
      </c>
      <c r="C991" s="74" t="s">
        <v>2130</v>
      </c>
      <c r="D991" s="74" t="s">
        <v>1979</v>
      </c>
      <c r="E991" s="74" t="s">
        <v>2129</v>
      </c>
      <c r="F991" s="74">
        <v>6.2500000000000003E-3</v>
      </c>
      <c r="G991" s="74">
        <v>0</v>
      </c>
      <c r="H991" s="74">
        <v>2.23</v>
      </c>
      <c r="I991" s="13" t="s">
        <v>47</v>
      </c>
      <c r="J991" s="74" t="s">
        <v>2409</v>
      </c>
      <c r="T991" s="292" t="s">
        <v>1961</v>
      </c>
      <c r="U991" s="283" t="s">
        <v>2367</v>
      </c>
      <c r="V991" s="283" t="s">
        <v>2420</v>
      </c>
      <c r="W991" s="293" t="str">
        <f t="shared" si="38"/>
        <v>H17</v>
      </c>
      <c r="X991" s="284" t="str">
        <f t="shared" si="38"/>
        <v>DFA</v>
      </c>
      <c r="Y991" s="271" t="s">
        <v>2262</v>
      </c>
      <c r="Z991" s="283">
        <f t="shared" si="36"/>
        <v>6.2500000000000003E-3</v>
      </c>
      <c r="AA991" s="340">
        <f t="shared" si="36"/>
        <v>0</v>
      </c>
    </row>
    <row r="992" spans="1:27">
      <c r="A992" s="74" t="s">
        <v>1675</v>
      </c>
      <c r="B992" s="74" t="s">
        <v>2131</v>
      </c>
      <c r="C992" s="74" t="s">
        <v>2130</v>
      </c>
      <c r="D992" s="74" t="s">
        <v>2382</v>
      </c>
      <c r="E992" s="74" t="s">
        <v>1676</v>
      </c>
      <c r="F992" s="74">
        <v>2.5000000000000001E-2</v>
      </c>
      <c r="G992" s="74">
        <v>0</v>
      </c>
      <c r="H992" s="74">
        <v>2.23</v>
      </c>
      <c r="I992" s="13" t="s">
        <v>47</v>
      </c>
      <c r="J992" s="74" t="s">
        <v>1134</v>
      </c>
      <c r="T992" s="292" t="s">
        <v>1961</v>
      </c>
      <c r="U992" s="283" t="s">
        <v>2367</v>
      </c>
      <c r="V992" s="283" t="s">
        <v>2420</v>
      </c>
      <c r="W992" s="293" t="str">
        <f t="shared" si="38"/>
        <v>H21</v>
      </c>
      <c r="X992" s="284" t="str">
        <f t="shared" si="38"/>
        <v>LFA</v>
      </c>
      <c r="Y992" s="271"/>
      <c r="Z992" s="283">
        <f t="shared" si="36"/>
        <v>2.5000000000000001E-2</v>
      </c>
      <c r="AA992" s="340">
        <f t="shared" si="36"/>
        <v>0</v>
      </c>
    </row>
    <row r="993" spans="1:27">
      <c r="A993" s="74" t="s">
        <v>1677</v>
      </c>
      <c r="B993" s="74" t="s">
        <v>2131</v>
      </c>
      <c r="C993" s="74" t="s">
        <v>2130</v>
      </c>
      <c r="D993" s="74" t="s">
        <v>2382</v>
      </c>
      <c r="E993" s="74" t="s">
        <v>1678</v>
      </c>
      <c r="F993" s="74">
        <v>1.2500000000000001E-2</v>
      </c>
      <c r="G993" s="74">
        <v>0</v>
      </c>
      <c r="H993" s="74">
        <v>2.23</v>
      </c>
      <c r="I993" s="13" t="s">
        <v>47</v>
      </c>
      <c r="J993" s="74" t="s">
        <v>240</v>
      </c>
      <c r="T993" s="292" t="s">
        <v>1961</v>
      </c>
      <c r="U993" s="283" t="s">
        <v>2367</v>
      </c>
      <c r="V993" s="283" t="s">
        <v>2420</v>
      </c>
      <c r="W993" s="293" t="str">
        <f t="shared" si="38"/>
        <v>H21</v>
      </c>
      <c r="X993" s="284" t="str">
        <f t="shared" si="38"/>
        <v>LEA</v>
      </c>
      <c r="Y993" s="271"/>
      <c r="Z993" s="283">
        <f t="shared" si="36"/>
        <v>1.2500000000000001E-2</v>
      </c>
      <c r="AA993" s="340">
        <f t="shared" si="36"/>
        <v>0</v>
      </c>
    </row>
    <row r="994" spans="1:27">
      <c r="A994" s="74" t="s">
        <v>1679</v>
      </c>
      <c r="B994" s="74" t="s">
        <v>2131</v>
      </c>
      <c r="C994" s="74" t="s">
        <v>2130</v>
      </c>
      <c r="D994" s="74" t="s">
        <v>2382</v>
      </c>
      <c r="E994" s="74" t="s">
        <v>1680</v>
      </c>
      <c r="F994" s="74">
        <v>1.2500000000000001E-2</v>
      </c>
      <c r="G994" s="74">
        <v>0</v>
      </c>
      <c r="H994" s="74">
        <v>2.23</v>
      </c>
      <c r="I994" s="13" t="s">
        <v>47</v>
      </c>
      <c r="J994" s="74" t="s">
        <v>2261</v>
      </c>
      <c r="T994" s="292" t="s">
        <v>1961</v>
      </c>
      <c r="U994" s="283" t="s">
        <v>2367</v>
      </c>
      <c r="V994" s="283" t="s">
        <v>2420</v>
      </c>
      <c r="W994" s="293" t="str">
        <f t="shared" si="38"/>
        <v>H21</v>
      </c>
      <c r="X994" s="284" t="str">
        <f t="shared" si="38"/>
        <v>MFA</v>
      </c>
      <c r="Y994" s="271" t="s">
        <v>2261</v>
      </c>
      <c r="Z994" s="283">
        <f t="shared" si="36"/>
        <v>1.2500000000000001E-2</v>
      </c>
      <c r="AA994" s="340">
        <f t="shared" si="36"/>
        <v>0</v>
      </c>
    </row>
    <row r="995" spans="1:27">
      <c r="A995" s="74" t="s">
        <v>1681</v>
      </c>
      <c r="B995" s="74" t="s">
        <v>2131</v>
      </c>
      <c r="C995" s="74" t="s">
        <v>2130</v>
      </c>
      <c r="D995" s="74" t="s">
        <v>2382</v>
      </c>
      <c r="E995" s="74" t="s">
        <v>1682</v>
      </c>
      <c r="F995" s="74">
        <v>1.2500000000000001E-2</v>
      </c>
      <c r="G995" s="74">
        <v>0</v>
      </c>
      <c r="H995" s="74">
        <v>2.23</v>
      </c>
      <c r="I995" s="13" t="s">
        <v>47</v>
      </c>
      <c r="J995" s="74" t="s">
        <v>2391</v>
      </c>
      <c r="T995" s="292" t="s">
        <v>1961</v>
      </c>
      <c r="U995" s="283" t="s">
        <v>2367</v>
      </c>
      <c r="V995" s="283" t="s">
        <v>2420</v>
      </c>
      <c r="W995" s="293" t="str">
        <f t="shared" si="38"/>
        <v>H21</v>
      </c>
      <c r="X995" s="284" t="str">
        <f t="shared" si="38"/>
        <v>MEA</v>
      </c>
      <c r="Y995" s="271" t="s">
        <v>2261</v>
      </c>
      <c r="Z995" s="283">
        <f t="shared" si="36"/>
        <v>1.2500000000000001E-2</v>
      </c>
      <c r="AA995" s="340">
        <f t="shared" si="36"/>
        <v>0</v>
      </c>
    </row>
    <row r="996" spans="1:27">
      <c r="A996" s="74" t="s">
        <v>1683</v>
      </c>
      <c r="B996" s="74" t="s">
        <v>2131</v>
      </c>
      <c r="C996" s="74" t="s">
        <v>2130</v>
      </c>
      <c r="D996" s="74" t="s">
        <v>2382</v>
      </c>
      <c r="E996" s="74" t="s">
        <v>1684</v>
      </c>
      <c r="F996" s="74">
        <v>6.2500000000000003E-3</v>
      </c>
      <c r="G996" s="74">
        <v>0</v>
      </c>
      <c r="H996" s="74">
        <v>2.23</v>
      </c>
      <c r="I996" s="13" t="s">
        <v>47</v>
      </c>
      <c r="J996" s="74" t="s">
        <v>2262</v>
      </c>
      <c r="T996" s="292" t="s">
        <v>1961</v>
      </c>
      <c r="U996" s="283" t="s">
        <v>2367</v>
      </c>
      <c r="V996" s="283" t="s">
        <v>2420</v>
      </c>
      <c r="W996" s="293" t="str">
        <f t="shared" si="38"/>
        <v>H21</v>
      </c>
      <c r="X996" s="284" t="str">
        <f t="shared" si="38"/>
        <v>RFA</v>
      </c>
      <c r="Y996" s="271" t="s">
        <v>2262</v>
      </c>
      <c r="Z996" s="283">
        <f t="shared" si="36"/>
        <v>6.2500000000000003E-3</v>
      </c>
      <c r="AA996" s="340">
        <f t="shared" si="36"/>
        <v>0</v>
      </c>
    </row>
    <row r="997" spans="1:27">
      <c r="A997" s="74" t="s">
        <v>1685</v>
      </c>
      <c r="B997" s="74" t="s">
        <v>2131</v>
      </c>
      <c r="C997" s="74" t="s">
        <v>2130</v>
      </c>
      <c r="D997" s="74" t="s">
        <v>2382</v>
      </c>
      <c r="E997" s="74" t="s">
        <v>1686</v>
      </c>
      <c r="F997" s="74">
        <v>6.2500000000000003E-3</v>
      </c>
      <c r="G997" s="74">
        <v>0</v>
      </c>
      <c r="H997" s="74">
        <v>2.23</v>
      </c>
      <c r="I997" s="13" t="s">
        <v>47</v>
      </c>
      <c r="J997" s="74" t="s">
        <v>2386</v>
      </c>
      <c r="T997" s="292" t="s">
        <v>1961</v>
      </c>
      <c r="U997" s="283" t="s">
        <v>2367</v>
      </c>
      <c r="V997" s="283" t="s">
        <v>2420</v>
      </c>
      <c r="W997" s="293" t="str">
        <f t="shared" si="38"/>
        <v>H21</v>
      </c>
      <c r="X997" s="284" t="str">
        <f t="shared" si="38"/>
        <v>REA</v>
      </c>
      <c r="Y997" s="271" t="s">
        <v>2262</v>
      </c>
      <c r="Z997" s="283">
        <f t="shared" si="36"/>
        <v>6.2500000000000003E-3</v>
      </c>
      <c r="AA997" s="340">
        <f t="shared" si="36"/>
        <v>0</v>
      </c>
    </row>
    <row r="998" spans="1:27">
      <c r="A998" s="74" t="s">
        <v>1687</v>
      </c>
      <c r="B998" s="74" t="s">
        <v>2131</v>
      </c>
      <c r="C998" s="74" t="s">
        <v>2130</v>
      </c>
      <c r="D998" s="74" t="s">
        <v>2382</v>
      </c>
      <c r="E998" s="74" t="s">
        <v>1688</v>
      </c>
      <c r="F998" s="74">
        <v>2.2499999999999999E-2</v>
      </c>
      <c r="G998" s="74">
        <v>0</v>
      </c>
      <c r="H998" s="74">
        <v>2.23</v>
      </c>
      <c r="I998" s="13" t="s">
        <v>47</v>
      </c>
      <c r="J998" s="74" t="s">
        <v>2398</v>
      </c>
      <c r="T998" s="292" t="s">
        <v>1773</v>
      </c>
      <c r="U998" s="283" t="s">
        <v>1134</v>
      </c>
      <c r="V998" s="283" t="s">
        <v>1774</v>
      </c>
      <c r="W998" s="293" t="s">
        <v>2382</v>
      </c>
      <c r="X998" s="284" t="s">
        <v>1688</v>
      </c>
      <c r="Y998" s="271" t="s">
        <v>1762</v>
      </c>
      <c r="Z998" s="283">
        <v>2.2499999999999999E-2</v>
      </c>
      <c r="AA998" s="340">
        <v>0</v>
      </c>
    </row>
    <row r="999" spans="1:27">
      <c r="A999" s="74" t="s">
        <v>1689</v>
      </c>
      <c r="B999" s="74" t="s">
        <v>2131</v>
      </c>
      <c r="C999" s="74" t="s">
        <v>2130</v>
      </c>
      <c r="D999" s="74" t="s">
        <v>2382</v>
      </c>
      <c r="E999" s="74" t="s">
        <v>1690</v>
      </c>
      <c r="F999" s="74">
        <v>2.2499999999999999E-2</v>
      </c>
      <c r="G999" s="74">
        <v>0</v>
      </c>
      <c r="H999" s="74">
        <v>2.23</v>
      </c>
      <c r="I999" s="13" t="s">
        <v>47</v>
      </c>
      <c r="J999" s="74" t="s">
        <v>1691</v>
      </c>
      <c r="T999" s="292" t="s">
        <v>1773</v>
      </c>
      <c r="U999" s="283" t="s">
        <v>1134</v>
      </c>
      <c r="V999" s="283" t="s">
        <v>1774</v>
      </c>
      <c r="W999" s="293" t="s">
        <v>2382</v>
      </c>
      <c r="X999" s="284" t="s">
        <v>1690</v>
      </c>
      <c r="Y999" s="271" t="s">
        <v>1762</v>
      </c>
      <c r="Z999" s="283">
        <v>2.2499999999999999E-2</v>
      </c>
      <c r="AA999" s="340">
        <v>0</v>
      </c>
    </row>
    <row r="1000" spans="1:27">
      <c r="A1000" s="74" t="s">
        <v>1692</v>
      </c>
      <c r="B1000" s="74" t="s">
        <v>2132</v>
      </c>
      <c r="C1000" s="74" t="s">
        <v>2113</v>
      </c>
      <c r="D1000" s="74" t="s">
        <v>16</v>
      </c>
      <c r="E1000" s="74" t="s">
        <v>83</v>
      </c>
      <c r="F1000" s="74">
        <v>0.105</v>
      </c>
      <c r="G1000" s="74">
        <v>0</v>
      </c>
      <c r="H1000" s="74">
        <v>1.37</v>
      </c>
      <c r="I1000" s="13" t="s">
        <v>1259</v>
      </c>
      <c r="J1000" s="74" t="s">
        <v>1260</v>
      </c>
      <c r="T1000" s="292" t="s">
        <v>1961</v>
      </c>
      <c r="U1000" s="283" t="s">
        <v>1791</v>
      </c>
      <c r="V1000" s="283" t="s">
        <v>2420</v>
      </c>
      <c r="W1000" s="293" t="str">
        <f t="shared" si="38"/>
        <v>H14</v>
      </c>
      <c r="X1000" s="284" t="str">
        <f t="shared" si="38"/>
        <v>TN</v>
      </c>
      <c r="Y1000" s="271"/>
      <c r="Z1000" s="283">
        <f t="shared" si="36"/>
        <v>0.105</v>
      </c>
      <c r="AA1000" s="340">
        <f t="shared" si="36"/>
        <v>0</v>
      </c>
    </row>
    <row r="1001" spans="1:27">
      <c r="A1001" s="74" t="s">
        <v>1693</v>
      </c>
      <c r="B1001" s="74" t="s">
        <v>2132</v>
      </c>
      <c r="C1001" s="74" t="s">
        <v>2113</v>
      </c>
      <c r="D1001" s="74" t="s">
        <v>16</v>
      </c>
      <c r="E1001" s="74" t="s">
        <v>75</v>
      </c>
      <c r="F1001" s="74">
        <v>7.0000000000000007E-2</v>
      </c>
      <c r="G1001" s="74">
        <v>0</v>
      </c>
      <c r="H1001" s="74">
        <v>1.37</v>
      </c>
      <c r="I1001" s="13" t="s">
        <v>1259</v>
      </c>
      <c r="J1001" s="74" t="s">
        <v>1262</v>
      </c>
      <c r="T1001" s="292" t="s">
        <v>1961</v>
      </c>
      <c r="U1001" s="283" t="s">
        <v>1791</v>
      </c>
      <c r="V1001" s="283" t="s">
        <v>2420</v>
      </c>
      <c r="W1001" s="293" t="str">
        <f t="shared" si="38"/>
        <v>H14</v>
      </c>
      <c r="X1001" s="284" t="str">
        <f t="shared" si="38"/>
        <v>LN</v>
      </c>
      <c r="Y1001" s="271"/>
      <c r="Z1001" s="283">
        <f t="shared" si="36"/>
        <v>7.0000000000000007E-2</v>
      </c>
      <c r="AA1001" s="340">
        <f t="shared" si="36"/>
        <v>0</v>
      </c>
    </row>
    <row r="1002" spans="1:27">
      <c r="A1002" s="74" t="s">
        <v>1694</v>
      </c>
      <c r="B1002" s="74" t="s">
        <v>2132</v>
      </c>
      <c r="C1002" s="74" t="s">
        <v>2113</v>
      </c>
      <c r="D1002" s="74" t="s">
        <v>16</v>
      </c>
      <c r="E1002" s="74" t="s">
        <v>90</v>
      </c>
      <c r="F1002" s="74">
        <v>3.5000000000000003E-2</v>
      </c>
      <c r="G1002" s="74">
        <v>0</v>
      </c>
      <c r="H1002" s="74">
        <v>1.37</v>
      </c>
      <c r="I1002" s="13" t="s">
        <v>1259</v>
      </c>
      <c r="J1002" s="74" t="s">
        <v>1264</v>
      </c>
      <c r="T1002" s="292" t="s">
        <v>1961</v>
      </c>
      <c r="U1002" s="283" t="s">
        <v>1791</v>
      </c>
      <c r="V1002" s="283" t="s">
        <v>2420</v>
      </c>
      <c r="W1002" s="293" t="str">
        <f t="shared" si="38"/>
        <v>H14</v>
      </c>
      <c r="X1002" s="284" t="str">
        <f t="shared" si="38"/>
        <v>UN</v>
      </c>
      <c r="Y1002" s="271"/>
      <c r="Z1002" s="283">
        <f t="shared" si="36"/>
        <v>3.5000000000000003E-2</v>
      </c>
      <c r="AA1002" s="340">
        <f t="shared" si="36"/>
        <v>0</v>
      </c>
    </row>
    <row r="1003" spans="1:27">
      <c r="A1003" s="74" t="s">
        <v>1695</v>
      </c>
      <c r="B1003" s="74" t="s">
        <v>2132</v>
      </c>
      <c r="C1003" s="74" t="s">
        <v>2113</v>
      </c>
      <c r="D1003" s="74" t="s">
        <v>1979</v>
      </c>
      <c r="E1003" s="74" t="s">
        <v>1696</v>
      </c>
      <c r="F1003" s="74">
        <v>7.0000000000000007E-2</v>
      </c>
      <c r="G1003" s="74">
        <v>0</v>
      </c>
      <c r="H1003" s="74">
        <v>1.37</v>
      </c>
      <c r="I1003" s="13" t="s">
        <v>1259</v>
      </c>
      <c r="J1003" s="74" t="s">
        <v>1267</v>
      </c>
      <c r="T1003" s="292" t="s">
        <v>1961</v>
      </c>
      <c r="U1003" s="283" t="s">
        <v>1791</v>
      </c>
      <c r="V1003" s="283" t="s">
        <v>2420</v>
      </c>
      <c r="W1003" s="293" t="str">
        <f t="shared" si="38"/>
        <v>H17</v>
      </c>
      <c r="X1003" s="284" t="str">
        <f t="shared" si="38"/>
        <v>AHA</v>
      </c>
      <c r="Y1003" s="271"/>
      <c r="Z1003" s="283">
        <f t="shared" si="36"/>
        <v>7.0000000000000007E-2</v>
      </c>
      <c r="AA1003" s="340">
        <f t="shared" si="36"/>
        <v>0</v>
      </c>
    </row>
    <row r="1004" spans="1:27">
      <c r="A1004" s="74" t="s">
        <v>1697</v>
      </c>
      <c r="B1004" s="74" t="s">
        <v>2132</v>
      </c>
      <c r="C1004" s="74" t="s">
        <v>2113</v>
      </c>
      <c r="D1004" s="74" t="s">
        <v>1979</v>
      </c>
      <c r="E1004" s="74" t="s">
        <v>1698</v>
      </c>
      <c r="F1004" s="74">
        <v>3.5000000000000003E-2</v>
      </c>
      <c r="G1004" s="74">
        <v>0</v>
      </c>
      <c r="H1004" s="74">
        <v>1.37</v>
      </c>
      <c r="I1004" s="13" t="s">
        <v>1259</v>
      </c>
      <c r="J1004" s="74" t="s">
        <v>1270</v>
      </c>
      <c r="T1004" s="292" t="s">
        <v>1961</v>
      </c>
      <c r="U1004" s="283" t="s">
        <v>1791</v>
      </c>
      <c r="V1004" s="283" t="s">
        <v>2420</v>
      </c>
      <c r="W1004" s="293" t="str">
        <f t="shared" si="38"/>
        <v>H17</v>
      </c>
      <c r="X1004" s="284" t="str">
        <f t="shared" si="38"/>
        <v>AGA</v>
      </c>
      <c r="Y1004" s="271"/>
      <c r="Z1004" s="283">
        <f t="shared" si="36"/>
        <v>3.5000000000000003E-2</v>
      </c>
      <c r="AA1004" s="340">
        <f t="shared" si="36"/>
        <v>0</v>
      </c>
    </row>
    <row r="1005" spans="1:27">
      <c r="A1005" s="74" t="s">
        <v>1699</v>
      </c>
      <c r="B1005" s="74" t="s">
        <v>2132</v>
      </c>
      <c r="C1005" s="74" t="s">
        <v>2113</v>
      </c>
      <c r="D1005" s="74" t="s">
        <v>1979</v>
      </c>
      <c r="E1005" s="74" t="s">
        <v>1914</v>
      </c>
      <c r="F1005" s="74">
        <v>3.5000000000000003E-2</v>
      </c>
      <c r="G1005" s="74">
        <v>0</v>
      </c>
      <c r="H1005" s="74">
        <v>1.37</v>
      </c>
      <c r="I1005" s="13" t="s">
        <v>1259</v>
      </c>
      <c r="J1005" s="74" t="s">
        <v>1960</v>
      </c>
      <c r="T1005" s="292" t="s">
        <v>1961</v>
      </c>
      <c r="U1005" s="283" t="s">
        <v>1791</v>
      </c>
      <c r="V1005" s="283" t="s">
        <v>2420</v>
      </c>
      <c r="W1005" s="293" t="str">
        <f t="shared" si="38"/>
        <v>H17</v>
      </c>
      <c r="X1005" s="284" t="str">
        <f t="shared" si="38"/>
        <v>CGA</v>
      </c>
      <c r="Y1005" s="271" t="s">
        <v>2261</v>
      </c>
      <c r="Z1005" s="283">
        <f t="shared" si="36"/>
        <v>3.5000000000000003E-2</v>
      </c>
      <c r="AA1005" s="340">
        <f t="shared" si="36"/>
        <v>0</v>
      </c>
    </row>
    <row r="1006" spans="1:27">
      <c r="A1006" s="74" t="s">
        <v>1700</v>
      </c>
      <c r="B1006" s="74" t="s">
        <v>2132</v>
      </c>
      <c r="C1006" s="74" t="s">
        <v>2113</v>
      </c>
      <c r="D1006" s="74" t="s">
        <v>1979</v>
      </c>
      <c r="E1006" s="74" t="s">
        <v>1918</v>
      </c>
      <c r="F1006" s="74">
        <v>3.5000000000000003E-2</v>
      </c>
      <c r="G1006" s="74">
        <v>0</v>
      </c>
      <c r="H1006" s="74">
        <v>1.37</v>
      </c>
      <c r="I1006" s="13" t="s">
        <v>1259</v>
      </c>
      <c r="J1006" s="74" t="s">
        <v>1959</v>
      </c>
      <c r="T1006" s="292" t="s">
        <v>1961</v>
      </c>
      <c r="U1006" s="283" t="s">
        <v>1791</v>
      </c>
      <c r="V1006" s="283" t="s">
        <v>2420</v>
      </c>
      <c r="W1006" s="293" t="str">
        <f t="shared" si="38"/>
        <v>H17</v>
      </c>
      <c r="X1006" s="284" t="str">
        <f t="shared" si="38"/>
        <v>CHA</v>
      </c>
      <c r="Y1006" s="271" t="s">
        <v>2261</v>
      </c>
      <c r="Z1006" s="283">
        <f t="shared" si="36"/>
        <v>3.5000000000000003E-2</v>
      </c>
      <c r="AA1006" s="340">
        <f t="shared" si="36"/>
        <v>0</v>
      </c>
    </row>
    <row r="1007" spans="1:27">
      <c r="A1007" s="74" t="s">
        <v>1701</v>
      </c>
      <c r="B1007" s="74" t="s">
        <v>2132</v>
      </c>
      <c r="C1007" s="74" t="s">
        <v>2113</v>
      </c>
      <c r="D1007" s="74" t="s">
        <v>1979</v>
      </c>
      <c r="E1007" s="74" t="s">
        <v>1925</v>
      </c>
      <c r="F1007" s="74">
        <v>1.7500000000000002E-2</v>
      </c>
      <c r="G1007" s="74">
        <v>0</v>
      </c>
      <c r="H1007" s="74">
        <v>1.37</v>
      </c>
      <c r="I1007" s="13" t="s">
        <v>1259</v>
      </c>
      <c r="J1007" s="74" t="s">
        <v>2410</v>
      </c>
      <c r="T1007" s="292" t="s">
        <v>1961</v>
      </c>
      <c r="U1007" s="283" t="s">
        <v>1791</v>
      </c>
      <c r="V1007" s="283" t="s">
        <v>2420</v>
      </c>
      <c r="W1007" s="293" t="str">
        <f t="shared" si="38"/>
        <v>H17</v>
      </c>
      <c r="X1007" s="284" t="str">
        <f t="shared" si="38"/>
        <v>DGA</v>
      </c>
      <c r="Y1007" s="271" t="s">
        <v>2262</v>
      </c>
      <c r="Z1007" s="283">
        <f t="shared" si="36"/>
        <v>1.7500000000000002E-2</v>
      </c>
      <c r="AA1007" s="340">
        <f t="shared" si="36"/>
        <v>0</v>
      </c>
    </row>
    <row r="1008" spans="1:27">
      <c r="A1008" s="74" t="s">
        <v>1702</v>
      </c>
      <c r="B1008" s="74" t="s">
        <v>2132</v>
      </c>
      <c r="C1008" s="74" t="s">
        <v>2113</v>
      </c>
      <c r="D1008" s="74" t="s">
        <v>1979</v>
      </c>
      <c r="E1008" s="74" t="s">
        <v>1929</v>
      </c>
      <c r="F1008" s="74">
        <v>1.7500000000000002E-2</v>
      </c>
      <c r="G1008" s="74">
        <v>0</v>
      </c>
      <c r="H1008" s="74">
        <v>1.37</v>
      </c>
      <c r="I1008" s="13" t="s">
        <v>1259</v>
      </c>
      <c r="J1008" s="74" t="s">
        <v>2411</v>
      </c>
      <c r="T1008" s="292" t="s">
        <v>1961</v>
      </c>
      <c r="U1008" s="295" t="s">
        <v>1791</v>
      </c>
      <c r="V1008" s="295" t="s">
        <v>2420</v>
      </c>
      <c r="W1008" s="293" t="str">
        <f t="shared" si="38"/>
        <v>H17</v>
      </c>
      <c r="X1008" s="284" t="str">
        <f t="shared" si="38"/>
        <v>DHA</v>
      </c>
      <c r="Y1008" s="271" t="s">
        <v>2262</v>
      </c>
      <c r="Z1008" s="283">
        <f t="shared" si="36"/>
        <v>1.7500000000000002E-2</v>
      </c>
      <c r="AA1008" s="340">
        <f t="shared" si="36"/>
        <v>0</v>
      </c>
    </row>
    <row r="1009" spans="1:27">
      <c r="A1009" s="74" t="s">
        <v>1703</v>
      </c>
      <c r="B1009" s="74" t="s">
        <v>2132</v>
      </c>
      <c r="C1009" s="74" t="s">
        <v>2113</v>
      </c>
      <c r="D1009" s="74" t="s">
        <v>2382</v>
      </c>
      <c r="E1009" s="74" t="s">
        <v>1704</v>
      </c>
      <c r="F1009" s="74">
        <v>0.04</v>
      </c>
      <c r="G1009" s="74">
        <v>0</v>
      </c>
      <c r="H1009" s="74">
        <v>1.37</v>
      </c>
      <c r="I1009" s="13" t="s">
        <v>1259</v>
      </c>
      <c r="J1009" s="74" t="s">
        <v>1267</v>
      </c>
      <c r="T1009" s="292" t="s">
        <v>1961</v>
      </c>
      <c r="U1009" s="295" t="s">
        <v>1791</v>
      </c>
      <c r="V1009" s="295" t="s">
        <v>2420</v>
      </c>
      <c r="W1009" s="293" t="str">
        <f t="shared" si="38"/>
        <v>H21</v>
      </c>
      <c r="X1009" s="284" t="str">
        <f t="shared" si="38"/>
        <v>LHA</v>
      </c>
      <c r="Y1009" s="271"/>
      <c r="Z1009" s="283">
        <f t="shared" si="36"/>
        <v>0.04</v>
      </c>
      <c r="AA1009" s="340">
        <f t="shared" si="36"/>
        <v>0</v>
      </c>
    </row>
    <row r="1010" spans="1:27">
      <c r="A1010" s="74" t="s">
        <v>1705</v>
      </c>
      <c r="B1010" s="74" t="s">
        <v>2132</v>
      </c>
      <c r="C1010" s="74" t="s">
        <v>2113</v>
      </c>
      <c r="D1010" s="74" t="s">
        <v>2382</v>
      </c>
      <c r="E1010" s="74" t="s">
        <v>1706</v>
      </c>
      <c r="F1010" s="74">
        <v>0.02</v>
      </c>
      <c r="G1010" s="74">
        <v>0</v>
      </c>
      <c r="H1010" s="74">
        <v>1.37</v>
      </c>
      <c r="I1010" s="13" t="s">
        <v>1259</v>
      </c>
      <c r="J1010" s="74" t="s">
        <v>240</v>
      </c>
      <c r="T1010" s="292" t="s">
        <v>1961</v>
      </c>
      <c r="U1010" s="295" t="s">
        <v>1791</v>
      </c>
      <c r="V1010" s="295" t="s">
        <v>2420</v>
      </c>
      <c r="W1010" s="293" t="str">
        <f t="shared" si="38"/>
        <v>H21</v>
      </c>
      <c r="X1010" s="284" t="str">
        <f t="shared" si="38"/>
        <v>LGA</v>
      </c>
      <c r="Y1010" s="271"/>
      <c r="Z1010" s="283">
        <f t="shared" si="36"/>
        <v>0.02</v>
      </c>
      <c r="AA1010" s="340">
        <f t="shared" si="36"/>
        <v>0</v>
      </c>
    </row>
    <row r="1011" spans="1:27">
      <c r="A1011" s="74" t="s">
        <v>1707</v>
      </c>
      <c r="B1011" s="74" t="s">
        <v>2132</v>
      </c>
      <c r="C1011" s="74" t="s">
        <v>2113</v>
      </c>
      <c r="D1011" s="74" t="s">
        <v>2382</v>
      </c>
      <c r="E1011" s="74" t="s">
        <v>1708</v>
      </c>
      <c r="F1011" s="74">
        <v>0.02</v>
      </c>
      <c r="G1011" s="74">
        <v>0</v>
      </c>
      <c r="H1011" s="74">
        <v>1.37</v>
      </c>
      <c r="I1011" s="13" t="s">
        <v>1259</v>
      </c>
      <c r="J1011" s="74" t="s">
        <v>2261</v>
      </c>
      <c r="T1011" s="292" t="s">
        <v>1961</v>
      </c>
      <c r="U1011" s="295" t="s">
        <v>1791</v>
      </c>
      <c r="V1011" s="295" t="s">
        <v>2420</v>
      </c>
      <c r="W1011" s="293" t="str">
        <f t="shared" si="38"/>
        <v>H21</v>
      </c>
      <c r="X1011" s="284" t="str">
        <f t="shared" si="38"/>
        <v>MHA</v>
      </c>
      <c r="Y1011" s="271" t="s">
        <v>2261</v>
      </c>
      <c r="Z1011" s="283">
        <f t="shared" ref="Z1011:AA1014" si="39">F1011</f>
        <v>0.02</v>
      </c>
      <c r="AA1011" s="340">
        <f t="shared" si="39"/>
        <v>0</v>
      </c>
    </row>
    <row r="1012" spans="1:27">
      <c r="A1012" s="74" t="s">
        <v>1709</v>
      </c>
      <c r="B1012" s="74" t="s">
        <v>2132</v>
      </c>
      <c r="C1012" s="74" t="s">
        <v>2113</v>
      </c>
      <c r="D1012" s="74" t="s">
        <v>2382</v>
      </c>
      <c r="E1012" s="74" t="s">
        <v>1710</v>
      </c>
      <c r="F1012" s="74">
        <v>0.02</v>
      </c>
      <c r="G1012" s="74">
        <v>0</v>
      </c>
      <c r="H1012" s="74">
        <v>1.37</v>
      </c>
      <c r="I1012" s="13" t="s">
        <v>1259</v>
      </c>
      <c r="J1012" s="74" t="s">
        <v>2385</v>
      </c>
      <c r="T1012" s="292" t="s">
        <v>1961</v>
      </c>
      <c r="U1012" s="295" t="s">
        <v>1791</v>
      </c>
      <c r="V1012" s="295" t="s">
        <v>2420</v>
      </c>
      <c r="W1012" s="293" t="str">
        <f t="shared" si="38"/>
        <v>H21</v>
      </c>
      <c r="X1012" s="284" t="str">
        <f t="shared" si="38"/>
        <v>MGA</v>
      </c>
      <c r="Y1012" s="271" t="s">
        <v>2261</v>
      </c>
      <c r="Z1012" s="283">
        <f t="shared" si="39"/>
        <v>0.02</v>
      </c>
      <c r="AA1012" s="340">
        <f t="shared" si="39"/>
        <v>0</v>
      </c>
    </row>
    <row r="1013" spans="1:27">
      <c r="A1013" s="74" t="s">
        <v>1711</v>
      </c>
      <c r="B1013" s="74" t="s">
        <v>2132</v>
      </c>
      <c r="C1013" s="74" t="s">
        <v>2113</v>
      </c>
      <c r="D1013" s="74" t="s">
        <v>2382</v>
      </c>
      <c r="E1013" s="74" t="s">
        <v>1712</v>
      </c>
      <c r="F1013" s="74">
        <v>0.01</v>
      </c>
      <c r="G1013" s="74">
        <v>0</v>
      </c>
      <c r="H1013" s="74">
        <v>1.37</v>
      </c>
      <c r="I1013" s="13" t="s">
        <v>1259</v>
      </c>
      <c r="J1013" s="74" t="s">
        <v>2262</v>
      </c>
      <c r="T1013" s="292" t="s">
        <v>1961</v>
      </c>
      <c r="U1013" s="295" t="s">
        <v>1791</v>
      </c>
      <c r="V1013" s="295" t="s">
        <v>2420</v>
      </c>
      <c r="W1013" s="293" t="str">
        <f t="shared" si="38"/>
        <v>H21</v>
      </c>
      <c r="X1013" s="284" t="str">
        <f t="shared" si="38"/>
        <v>RHA</v>
      </c>
      <c r="Y1013" s="271" t="s">
        <v>2262</v>
      </c>
      <c r="Z1013" s="283">
        <f t="shared" si="39"/>
        <v>0.01</v>
      </c>
      <c r="AA1013" s="340">
        <f t="shared" si="39"/>
        <v>0</v>
      </c>
    </row>
    <row r="1014" spans="1:27">
      <c r="A1014" s="74" t="s">
        <v>1713</v>
      </c>
      <c r="B1014" s="74" t="s">
        <v>2132</v>
      </c>
      <c r="C1014" s="74" t="s">
        <v>2113</v>
      </c>
      <c r="D1014" s="74" t="s">
        <v>2382</v>
      </c>
      <c r="E1014" s="74" t="s">
        <v>1714</v>
      </c>
      <c r="F1014" s="74">
        <v>0.01</v>
      </c>
      <c r="G1014" s="74">
        <v>0</v>
      </c>
      <c r="H1014" s="74">
        <v>1.37</v>
      </c>
      <c r="I1014" s="13" t="s">
        <v>1259</v>
      </c>
      <c r="J1014" s="74" t="s">
        <v>2386</v>
      </c>
      <c r="T1014" s="292" t="s">
        <v>1961</v>
      </c>
      <c r="U1014" s="295" t="s">
        <v>1791</v>
      </c>
      <c r="V1014" s="295" t="s">
        <v>2420</v>
      </c>
      <c r="W1014" s="293" t="str">
        <f t="shared" si="38"/>
        <v>H21</v>
      </c>
      <c r="X1014" s="284" t="str">
        <f t="shared" si="38"/>
        <v>RGA</v>
      </c>
      <c r="Y1014" s="271" t="s">
        <v>2262</v>
      </c>
      <c r="Z1014" s="283">
        <f t="shared" si="39"/>
        <v>0.01</v>
      </c>
      <c r="AA1014" s="340">
        <f t="shared" si="39"/>
        <v>0</v>
      </c>
    </row>
    <row r="1015" spans="1:27">
      <c r="A1015" s="74" t="s">
        <v>1715</v>
      </c>
      <c r="B1015" s="74" t="s">
        <v>2132</v>
      </c>
      <c r="C1015" s="74" t="s">
        <v>2113</v>
      </c>
      <c r="D1015" s="74" t="s">
        <v>2382</v>
      </c>
      <c r="E1015" s="74" t="s">
        <v>1716</v>
      </c>
      <c r="F1015" s="74">
        <v>3.5999999999999997E-2</v>
      </c>
      <c r="G1015" s="74">
        <v>0</v>
      </c>
      <c r="H1015" s="74">
        <v>1.37</v>
      </c>
      <c r="I1015" s="13" t="s">
        <v>1259</v>
      </c>
      <c r="J1015" s="74" t="s">
        <v>2398</v>
      </c>
      <c r="T1015" s="292" t="s">
        <v>1773</v>
      </c>
      <c r="U1015" s="295" t="s">
        <v>1267</v>
      </c>
      <c r="V1015" s="295" t="s">
        <v>1774</v>
      </c>
      <c r="W1015" s="293" t="s">
        <v>2382</v>
      </c>
      <c r="X1015" s="284" t="s">
        <v>1716</v>
      </c>
      <c r="Y1015" s="271" t="s">
        <v>1762</v>
      </c>
      <c r="Z1015" s="283">
        <v>3.5999999999999997E-2</v>
      </c>
      <c r="AA1015" s="340">
        <v>0</v>
      </c>
    </row>
    <row r="1016" spans="1:27">
      <c r="A1016" s="74" t="s">
        <v>1717</v>
      </c>
      <c r="B1016" s="74" t="s">
        <v>2132</v>
      </c>
      <c r="C1016" s="74" t="s">
        <v>2113</v>
      </c>
      <c r="D1016" s="74" t="s">
        <v>2382</v>
      </c>
      <c r="E1016" s="74" t="s">
        <v>1718</v>
      </c>
      <c r="F1016" s="74">
        <v>3.5999999999999997E-2</v>
      </c>
      <c r="G1016" s="74">
        <v>0</v>
      </c>
      <c r="H1016" s="74">
        <v>1.37</v>
      </c>
      <c r="I1016" s="13" t="s">
        <v>1259</v>
      </c>
      <c r="J1016" s="74" t="s">
        <v>1691</v>
      </c>
      <c r="T1016" s="292" t="s">
        <v>1773</v>
      </c>
      <c r="U1016" s="295" t="s">
        <v>1267</v>
      </c>
      <c r="V1016" s="295" t="s">
        <v>1774</v>
      </c>
      <c r="W1016" s="293" t="s">
        <v>2382</v>
      </c>
      <c r="X1016" s="284" t="s">
        <v>1718</v>
      </c>
      <c r="Y1016" s="271" t="s">
        <v>1762</v>
      </c>
      <c r="Z1016" s="283">
        <v>3.5999999999999997E-2</v>
      </c>
      <c r="AA1016" s="340">
        <v>0</v>
      </c>
    </row>
    <row r="1017" spans="1:27">
      <c r="A1017" s="74" t="s">
        <v>1719</v>
      </c>
      <c r="B1017" s="74" t="s">
        <v>2065</v>
      </c>
      <c r="C1017" s="74" t="s">
        <v>2055</v>
      </c>
      <c r="E1017" s="74" t="s">
        <v>1720</v>
      </c>
      <c r="F1017" s="74">
        <v>0</v>
      </c>
      <c r="G1017" s="74">
        <v>0</v>
      </c>
      <c r="H1017" s="74">
        <v>0</v>
      </c>
      <c r="I1017" s="13" t="s">
        <v>42</v>
      </c>
      <c r="T1017" s="292" t="s">
        <v>1961</v>
      </c>
      <c r="U1017" s="283" t="s">
        <v>201</v>
      </c>
      <c r="V1017" s="283" t="s">
        <v>2420</v>
      </c>
      <c r="W1017" s="293"/>
      <c r="X1017" s="284" t="str">
        <f>E1017</f>
        <v>EA</v>
      </c>
      <c r="Y1017" s="271"/>
      <c r="Z1017" s="283">
        <f t="shared" ref="Z1017:AA1019" si="40">F1017</f>
        <v>0</v>
      </c>
      <c r="AA1017" s="340">
        <f t="shared" si="40"/>
        <v>0</v>
      </c>
    </row>
    <row r="1018" spans="1:27">
      <c r="A1018" s="74" t="s">
        <v>1721</v>
      </c>
      <c r="B1018" s="74" t="s">
        <v>1722</v>
      </c>
      <c r="C1018" s="74" t="s">
        <v>2056</v>
      </c>
      <c r="E1018" s="74" t="s">
        <v>1723</v>
      </c>
      <c r="F1018" s="74">
        <v>0</v>
      </c>
      <c r="G1018" s="74">
        <v>0</v>
      </c>
      <c r="H1018" s="74">
        <v>0</v>
      </c>
      <c r="I1018" s="13" t="s">
        <v>42</v>
      </c>
      <c r="T1018" s="292" t="s">
        <v>1756</v>
      </c>
      <c r="U1018" s="283" t="s">
        <v>201</v>
      </c>
      <c r="V1018" s="285" t="s">
        <v>1764</v>
      </c>
      <c r="W1018" s="293"/>
      <c r="X1018" s="284" t="str">
        <f>E1018</f>
        <v>EB</v>
      </c>
      <c r="Y1018" s="271"/>
      <c r="Z1018" s="283">
        <f t="shared" si="40"/>
        <v>0</v>
      </c>
      <c r="AA1018" s="340">
        <f t="shared" si="40"/>
        <v>0</v>
      </c>
    </row>
    <row r="1019" spans="1:27">
      <c r="A1019" s="74" t="s">
        <v>1724</v>
      </c>
      <c r="B1019" s="74" t="s">
        <v>1725</v>
      </c>
      <c r="C1019" s="74" t="s">
        <v>2057</v>
      </c>
      <c r="E1019" s="74" t="s">
        <v>1726</v>
      </c>
      <c r="F1019" s="74">
        <v>0</v>
      </c>
      <c r="G1019" s="74">
        <v>0</v>
      </c>
      <c r="H1019" s="74">
        <v>0</v>
      </c>
      <c r="I1019" s="13" t="s">
        <v>42</v>
      </c>
      <c r="T1019" s="292" t="s">
        <v>1756</v>
      </c>
      <c r="U1019" s="283" t="s">
        <v>201</v>
      </c>
      <c r="V1019" s="285" t="s">
        <v>1777</v>
      </c>
      <c r="W1019" s="293"/>
      <c r="X1019" s="284" t="str">
        <f>E1019</f>
        <v>EC</v>
      </c>
      <c r="Y1019" s="271"/>
      <c r="Z1019" s="283">
        <f t="shared" si="40"/>
        <v>0</v>
      </c>
      <c r="AA1019" s="340">
        <f t="shared" si="40"/>
        <v>0</v>
      </c>
    </row>
    <row r="1020" spans="1:27">
      <c r="A1020" s="74" t="s">
        <v>1727</v>
      </c>
      <c r="B1020" s="74" t="s">
        <v>1728</v>
      </c>
      <c r="C1020" s="74" t="s">
        <v>2058</v>
      </c>
      <c r="E1020" s="74" t="s">
        <v>1726</v>
      </c>
      <c r="F1020" s="74">
        <v>0</v>
      </c>
      <c r="G1020" s="74">
        <v>0</v>
      </c>
      <c r="H1020" s="74">
        <v>0</v>
      </c>
      <c r="I1020" s="13" t="s">
        <v>42</v>
      </c>
      <c r="T1020" s="292" t="s">
        <v>1760</v>
      </c>
      <c r="U1020" s="283" t="s">
        <v>1778</v>
      </c>
      <c r="V1020" s="283" t="s">
        <v>2394</v>
      </c>
      <c r="W1020" s="293"/>
      <c r="X1020" s="284" t="s">
        <v>1731</v>
      </c>
      <c r="Y1020" s="271"/>
      <c r="Z1020" s="283">
        <v>0</v>
      </c>
      <c r="AA1020" s="340">
        <v>0</v>
      </c>
    </row>
    <row r="1021" spans="1:27">
      <c r="A1021" s="74" t="s">
        <v>1729</v>
      </c>
      <c r="B1021" s="74" t="s">
        <v>1730</v>
      </c>
      <c r="C1021" s="74" t="s">
        <v>2059</v>
      </c>
      <c r="E1021" s="74" t="s">
        <v>1731</v>
      </c>
      <c r="F1021" s="74">
        <v>0</v>
      </c>
      <c r="G1021" s="74">
        <v>0</v>
      </c>
      <c r="H1021" s="74">
        <v>0</v>
      </c>
      <c r="I1021" s="13" t="s">
        <v>42</v>
      </c>
      <c r="T1021" s="292" t="s">
        <v>1773</v>
      </c>
      <c r="U1021" s="283" t="s">
        <v>1778</v>
      </c>
      <c r="V1021" s="283" t="s">
        <v>1774</v>
      </c>
      <c r="W1021" s="293"/>
      <c r="X1021" s="284" t="s">
        <v>1733</v>
      </c>
      <c r="Y1021" s="271"/>
      <c r="Z1021" s="283">
        <v>0</v>
      </c>
      <c r="AA1021" s="340">
        <v>0</v>
      </c>
    </row>
    <row r="1022" spans="1:27">
      <c r="A1022" s="74" t="s">
        <v>1732</v>
      </c>
      <c r="B1022" s="74" t="s">
        <v>2133</v>
      </c>
      <c r="C1022" s="74" t="s">
        <v>2055</v>
      </c>
      <c r="D1022" s="74" t="s">
        <v>1979</v>
      </c>
      <c r="E1022" s="74" t="s">
        <v>1733</v>
      </c>
      <c r="F1022" s="74">
        <v>0</v>
      </c>
      <c r="G1022" s="74">
        <v>0</v>
      </c>
      <c r="H1022" s="74">
        <v>0</v>
      </c>
      <c r="I1022" s="13" t="s">
        <v>42</v>
      </c>
      <c r="T1022" s="292" t="s">
        <v>1779</v>
      </c>
      <c r="U1022" s="283" t="s">
        <v>1778</v>
      </c>
      <c r="V1022" s="283" t="s">
        <v>1774</v>
      </c>
      <c r="W1022" s="293" t="s">
        <v>1979</v>
      </c>
      <c r="X1022" s="284" t="s">
        <v>1735</v>
      </c>
      <c r="Y1022" s="271"/>
      <c r="Z1022" s="283">
        <v>0</v>
      </c>
      <c r="AA1022" s="340">
        <v>0</v>
      </c>
    </row>
    <row r="1023" spans="1:27">
      <c r="A1023" s="74" t="s">
        <v>1734</v>
      </c>
      <c r="B1023" s="74" t="s">
        <v>2133</v>
      </c>
      <c r="C1023" s="74" t="s">
        <v>2056</v>
      </c>
      <c r="D1023" s="74" t="s">
        <v>1979</v>
      </c>
      <c r="E1023" s="74" t="s">
        <v>1735</v>
      </c>
      <c r="F1023" s="74">
        <v>0</v>
      </c>
      <c r="G1023" s="74">
        <v>0</v>
      </c>
      <c r="H1023" s="74">
        <v>0</v>
      </c>
      <c r="I1023" s="13" t="s">
        <v>42</v>
      </c>
      <c r="T1023" s="292" t="s">
        <v>1780</v>
      </c>
      <c r="U1023" s="283" t="s">
        <v>1778</v>
      </c>
      <c r="V1023" s="283" t="s">
        <v>1774</v>
      </c>
      <c r="W1023" s="293" t="s">
        <v>1979</v>
      </c>
      <c r="X1023" s="284" t="s">
        <v>1740</v>
      </c>
      <c r="Y1023" s="271"/>
      <c r="Z1023" s="283">
        <v>0</v>
      </c>
      <c r="AA1023" s="340">
        <v>0</v>
      </c>
    </row>
    <row r="1024" spans="1:27">
      <c r="A1024" s="74" t="s">
        <v>1736</v>
      </c>
      <c r="B1024" s="74" t="s">
        <v>2133</v>
      </c>
      <c r="C1024" s="74" t="s">
        <v>2057</v>
      </c>
      <c r="D1024" s="74" t="s">
        <v>1979</v>
      </c>
      <c r="E1024" s="74" t="s">
        <v>1735</v>
      </c>
      <c r="F1024" s="74">
        <v>0</v>
      </c>
      <c r="G1024" s="74">
        <v>0</v>
      </c>
      <c r="H1024" s="74">
        <v>0</v>
      </c>
      <c r="I1024" s="13" t="s">
        <v>42</v>
      </c>
      <c r="T1024" s="292" t="s">
        <v>1773</v>
      </c>
      <c r="U1024" s="283" t="s">
        <v>1781</v>
      </c>
      <c r="V1024" s="283" t="s">
        <v>1774</v>
      </c>
      <c r="W1024" s="293" t="s">
        <v>1979</v>
      </c>
      <c r="X1024" s="284" t="s">
        <v>1745</v>
      </c>
      <c r="Y1024" s="271"/>
      <c r="Z1024" s="283">
        <v>0</v>
      </c>
      <c r="AA1024" s="340">
        <v>0</v>
      </c>
    </row>
    <row r="1025" spans="1:29">
      <c r="A1025" s="74" t="s">
        <v>1737</v>
      </c>
      <c r="B1025" s="74" t="s">
        <v>2133</v>
      </c>
      <c r="C1025" s="74" t="s">
        <v>2058</v>
      </c>
      <c r="D1025" s="74" t="s">
        <v>1979</v>
      </c>
      <c r="E1025" s="74" t="s">
        <v>1735</v>
      </c>
      <c r="F1025" s="74">
        <v>0</v>
      </c>
      <c r="G1025" s="74">
        <v>0</v>
      </c>
      <c r="H1025" s="74">
        <v>0</v>
      </c>
      <c r="I1025" s="13" t="s">
        <v>42</v>
      </c>
      <c r="T1025" s="292" t="s">
        <v>1779</v>
      </c>
      <c r="U1025" s="283" t="s">
        <v>1781</v>
      </c>
      <c r="V1025" s="283" t="s">
        <v>1774</v>
      </c>
      <c r="W1025" s="293" t="s">
        <v>1979</v>
      </c>
      <c r="X1025" s="284" t="s">
        <v>1747</v>
      </c>
      <c r="Y1025" s="271"/>
      <c r="Z1025" s="283">
        <v>0</v>
      </c>
      <c r="AA1025" s="340">
        <v>0</v>
      </c>
    </row>
    <row r="1026" spans="1:29" ht="13.5" thickBot="1">
      <c r="A1026" s="74" t="s">
        <v>1738</v>
      </c>
      <c r="B1026" s="74" t="s">
        <v>2133</v>
      </c>
      <c r="C1026" s="74" t="s">
        <v>2059</v>
      </c>
      <c r="D1026" s="74" t="s">
        <v>1979</v>
      </c>
      <c r="E1026" s="74" t="s">
        <v>1735</v>
      </c>
      <c r="F1026" s="74">
        <v>0</v>
      </c>
      <c r="G1026" s="74">
        <v>0</v>
      </c>
      <c r="H1026" s="74">
        <v>0</v>
      </c>
      <c r="I1026" s="13" t="s">
        <v>42</v>
      </c>
      <c r="T1026" s="341" t="s">
        <v>1780</v>
      </c>
      <c r="U1026" s="342" t="s">
        <v>1781</v>
      </c>
      <c r="V1026" s="342" t="s">
        <v>1774</v>
      </c>
      <c r="W1026" s="343" t="s">
        <v>1979</v>
      </c>
      <c r="X1026" s="344" t="s">
        <v>1752</v>
      </c>
      <c r="Y1026" s="345"/>
      <c r="Z1026" s="342">
        <v>0</v>
      </c>
      <c r="AA1026" s="346">
        <v>0</v>
      </c>
    </row>
    <row r="1027" spans="1:29">
      <c r="A1027" s="74" t="s">
        <v>1739</v>
      </c>
      <c r="B1027" s="74" t="s">
        <v>2133</v>
      </c>
      <c r="C1027" s="74" t="s">
        <v>2056</v>
      </c>
      <c r="D1027" s="74" t="s">
        <v>1979</v>
      </c>
      <c r="E1027" s="74" t="s">
        <v>1740</v>
      </c>
      <c r="F1027" s="74">
        <v>0</v>
      </c>
      <c r="G1027" s="74">
        <v>0</v>
      </c>
      <c r="H1027" s="74">
        <v>0</v>
      </c>
      <c r="I1027" s="13" t="s">
        <v>42</v>
      </c>
      <c r="W1027" s="256"/>
      <c r="X1027" s="240"/>
      <c r="Y1027" s="337"/>
      <c r="Z1027" s="210"/>
      <c r="AA1027" s="210"/>
      <c r="AC1027" s="210"/>
    </row>
    <row r="1028" spans="1:29">
      <c r="A1028" s="74" t="s">
        <v>1741</v>
      </c>
      <c r="B1028" s="74" t="s">
        <v>2133</v>
      </c>
      <c r="C1028" s="74" t="s">
        <v>2057</v>
      </c>
      <c r="D1028" s="74" t="s">
        <v>1979</v>
      </c>
      <c r="E1028" s="74" t="s">
        <v>1740</v>
      </c>
      <c r="F1028" s="74">
        <v>0</v>
      </c>
      <c r="G1028" s="74">
        <v>0</v>
      </c>
      <c r="H1028" s="74">
        <v>0</v>
      </c>
      <c r="I1028" s="13" t="s">
        <v>42</v>
      </c>
      <c r="V1028" s="210"/>
      <c r="W1028" s="256"/>
      <c r="X1028" s="210"/>
      <c r="Y1028" s="210"/>
      <c r="Z1028" s="210"/>
      <c r="AA1028" s="210"/>
      <c r="AC1028" s="210"/>
    </row>
    <row r="1029" spans="1:29">
      <c r="A1029" s="74" t="s">
        <v>1742</v>
      </c>
      <c r="B1029" s="74" t="s">
        <v>2133</v>
      </c>
      <c r="C1029" s="74" t="s">
        <v>2058</v>
      </c>
      <c r="D1029" s="74" t="s">
        <v>1979</v>
      </c>
      <c r="E1029" s="74" t="s">
        <v>1740</v>
      </c>
      <c r="F1029" s="74">
        <v>0</v>
      </c>
      <c r="G1029" s="74">
        <v>0</v>
      </c>
      <c r="H1029" s="74">
        <v>0</v>
      </c>
      <c r="I1029" s="13" t="s">
        <v>42</v>
      </c>
      <c r="V1029" s="210"/>
      <c r="W1029" s="256"/>
      <c r="X1029" s="210"/>
      <c r="Y1029" s="210"/>
      <c r="Z1029" s="210"/>
      <c r="AA1029" s="210"/>
      <c r="AB1029" s="210"/>
      <c r="AC1029" s="245"/>
    </row>
    <row r="1030" spans="1:29">
      <c r="A1030" s="74" t="s">
        <v>1743</v>
      </c>
      <c r="B1030" s="74" t="s">
        <v>2133</v>
      </c>
      <c r="C1030" s="74" t="s">
        <v>2059</v>
      </c>
      <c r="D1030" s="74" t="s">
        <v>1979</v>
      </c>
      <c r="E1030" s="74" t="s">
        <v>1740</v>
      </c>
      <c r="F1030" s="74">
        <v>0</v>
      </c>
      <c r="G1030" s="74">
        <v>0</v>
      </c>
      <c r="H1030" s="74">
        <v>0</v>
      </c>
      <c r="I1030" s="13" t="s">
        <v>42</v>
      </c>
      <c r="U1030" s="209"/>
      <c r="V1030" s="245"/>
      <c r="W1030" s="257"/>
      <c r="X1030" s="245"/>
      <c r="Y1030" s="245"/>
      <c r="Z1030" s="245"/>
      <c r="AA1030" s="245"/>
      <c r="AB1030" s="210"/>
      <c r="AC1030" s="245"/>
    </row>
    <row r="1031" spans="1:29">
      <c r="A1031" s="74" t="s">
        <v>1744</v>
      </c>
      <c r="B1031" s="74" t="s">
        <v>2133</v>
      </c>
      <c r="C1031" s="74" t="s">
        <v>2060</v>
      </c>
      <c r="D1031" s="74" t="s">
        <v>1979</v>
      </c>
      <c r="E1031" s="74" t="s">
        <v>1745</v>
      </c>
      <c r="F1031" s="74">
        <v>0</v>
      </c>
      <c r="G1031" s="74">
        <v>0</v>
      </c>
      <c r="H1031" s="74">
        <v>0</v>
      </c>
      <c r="I1031" s="13" t="s">
        <v>1962</v>
      </c>
      <c r="U1031" s="209"/>
      <c r="V1031" s="245"/>
      <c r="W1031" s="257"/>
      <c r="X1031" s="245"/>
      <c r="Y1031" s="245"/>
      <c r="Z1031" s="245"/>
      <c r="AA1031" s="245"/>
      <c r="AB1031" s="245"/>
      <c r="AC1031" s="245"/>
    </row>
    <row r="1032" spans="1:29">
      <c r="A1032" s="74" t="s">
        <v>1746</v>
      </c>
      <c r="B1032" s="74" t="s">
        <v>2133</v>
      </c>
      <c r="C1032" s="74" t="s">
        <v>2061</v>
      </c>
      <c r="D1032" s="74" t="s">
        <v>1979</v>
      </c>
      <c r="E1032" s="74" t="s">
        <v>1747</v>
      </c>
      <c r="F1032" s="74">
        <v>0</v>
      </c>
      <c r="G1032" s="74">
        <v>0</v>
      </c>
      <c r="H1032" s="74">
        <v>0</v>
      </c>
      <c r="I1032" s="13" t="s">
        <v>1962</v>
      </c>
      <c r="U1032" s="209"/>
      <c r="V1032" s="212"/>
      <c r="W1032" s="258"/>
      <c r="X1032" s="240"/>
      <c r="Y1032" s="245"/>
      <c r="Z1032" s="245"/>
      <c r="AA1032" s="245"/>
      <c r="AB1032" s="245"/>
      <c r="AC1032" s="245"/>
    </row>
    <row r="1033" spans="1:29">
      <c r="A1033" s="74" t="s">
        <v>1748</v>
      </c>
      <c r="B1033" s="74" t="s">
        <v>2133</v>
      </c>
      <c r="C1033" s="74" t="s">
        <v>2062</v>
      </c>
      <c r="D1033" s="74" t="s">
        <v>1979</v>
      </c>
      <c r="E1033" s="74" t="s">
        <v>1747</v>
      </c>
      <c r="F1033" s="74">
        <v>0</v>
      </c>
      <c r="G1033" s="74">
        <v>0</v>
      </c>
      <c r="H1033" s="74">
        <v>0</v>
      </c>
      <c r="I1033" s="13" t="s">
        <v>1962</v>
      </c>
      <c r="U1033" s="209"/>
      <c r="V1033" s="212"/>
      <c r="W1033" s="258"/>
      <c r="X1033" s="240"/>
      <c r="Y1033" s="245"/>
      <c r="Z1033" s="245"/>
      <c r="AA1033" s="245"/>
      <c r="AB1033" s="245"/>
      <c r="AC1033" s="245"/>
    </row>
    <row r="1034" spans="1:29">
      <c r="A1034" s="74" t="s">
        <v>1749</v>
      </c>
      <c r="B1034" s="74" t="s">
        <v>2133</v>
      </c>
      <c r="C1034" s="74" t="s">
        <v>2063</v>
      </c>
      <c r="D1034" s="74" t="s">
        <v>1979</v>
      </c>
      <c r="E1034" s="74" t="s">
        <v>1747</v>
      </c>
      <c r="F1034" s="74">
        <v>0</v>
      </c>
      <c r="G1034" s="74">
        <v>0</v>
      </c>
      <c r="H1034" s="74">
        <v>0</v>
      </c>
      <c r="I1034" s="13" t="s">
        <v>1962</v>
      </c>
      <c r="U1034" s="209"/>
      <c r="V1034" s="211"/>
      <c r="W1034" s="259"/>
      <c r="X1034" s="211"/>
      <c r="Y1034" s="245"/>
      <c r="Z1034" s="245"/>
      <c r="AA1034" s="245"/>
      <c r="AB1034" s="245"/>
      <c r="AC1034" s="245"/>
    </row>
    <row r="1035" spans="1:29">
      <c r="A1035" s="74" t="s">
        <v>1750</v>
      </c>
      <c r="B1035" s="74" t="s">
        <v>2133</v>
      </c>
      <c r="C1035" s="74" t="s">
        <v>2064</v>
      </c>
      <c r="D1035" s="74" t="s">
        <v>1979</v>
      </c>
      <c r="E1035" s="74" t="s">
        <v>1747</v>
      </c>
      <c r="F1035" s="74">
        <v>0</v>
      </c>
      <c r="G1035" s="74">
        <v>0</v>
      </c>
      <c r="H1035" s="74">
        <v>0</v>
      </c>
      <c r="I1035" s="13" t="s">
        <v>1962</v>
      </c>
      <c r="U1035" s="209"/>
      <c r="V1035" s="212"/>
      <c r="W1035" s="258"/>
      <c r="X1035" s="240"/>
      <c r="Y1035" s="245"/>
      <c r="Z1035" s="245"/>
      <c r="AA1035" s="245"/>
      <c r="AB1035" s="245"/>
      <c r="AC1035" s="245"/>
    </row>
    <row r="1036" spans="1:29">
      <c r="A1036" s="74" t="s">
        <v>1751</v>
      </c>
      <c r="B1036" s="74" t="s">
        <v>2133</v>
      </c>
      <c r="C1036" s="74" t="s">
        <v>2061</v>
      </c>
      <c r="D1036" s="74" t="s">
        <v>1979</v>
      </c>
      <c r="E1036" s="74" t="s">
        <v>1752</v>
      </c>
      <c r="F1036" s="74">
        <v>0</v>
      </c>
      <c r="G1036" s="74">
        <v>0</v>
      </c>
      <c r="H1036" s="74">
        <v>0</v>
      </c>
      <c r="I1036" s="13" t="s">
        <v>1962</v>
      </c>
      <c r="U1036" s="209"/>
      <c r="V1036" s="212"/>
      <c r="W1036" s="258"/>
      <c r="X1036" s="240"/>
      <c r="Y1036" s="245"/>
      <c r="Z1036" s="245"/>
      <c r="AA1036" s="245"/>
      <c r="AB1036" s="245"/>
      <c r="AC1036" s="245"/>
    </row>
    <row r="1037" spans="1:29">
      <c r="A1037" s="74" t="s">
        <v>1753</v>
      </c>
      <c r="B1037" s="74" t="s">
        <v>2133</v>
      </c>
      <c r="C1037" s="74" t="s">
        <v>2062</v>
      </c>
      <c r="D1037" s="74" t="s">
        <v>1979</v>
      </c>
      <c r="E1037" s="74" t="s">
        <v>1752</v>
      </c>
      <c r="F1037" s="74">
        <v>0</v>
      </c>
      <c r="G1037" s="74">
        <v>0</v>
      </c>
      <c r="H1037" s="74">
        <v>0</v>
      </c>
      <c r="I1037" s="13" t="s">
        <v>1962</v>
      </c>
      <c r="U1037" s="209"/>
      <c r="V1037" s="212"/>
      <c r="W1037" s="258"/>
      <c r="X1037" s="240"/>
      <c r="Y1037" s="245"/>
      <c r="Z1037" s="245"/>
      <c r="AA1037" s="245"/>
      <c r="AB1037" s="245"/>
      <c r="AC1037" s="245"/>
    </row>
    <row r="1038" spans="1:29">
      <c r="A1038" s="74" t="s">
        <v>1754</v>
      </c>
      <c r="B1038" s="74" t="s">
        <v>2133</v>
      </c>
      <c r="C1038" s="74" t="s">
        <v>2063</v>
      </c>
      <c r="D1038" s="74" t="s">
        <v>1979</v>
      </c>
      <c r="E1038" s="74" t="s">
        <v>1752</v>
      </c>
      <c r="F1038" s="74">
        <v>0</v>
      </c>
      <c r="G1038" s="74">
        <v>0</v>
      </c>
      <c r="H1038" s="74">
        <v>0</v>
      </c>
      <c r="I1038" s="13" t="s">
        <v>1962</v>
      </c>
      <c r="U1038" s="209"/>
      <c r="V1038" s="212"/>
      <c r="W1038" s="258"/>
      <c r="X1038" s="240"/>
      <c r="Y1038" s="245"/>
      <c r="Z1038" s="245"/>
      <c r="AA1038" s="245"/>
      <c r="AB1038" s="245"/>
      <c r="AC1038" s="245"/>
    </row>
    <row r="1039" spans="1:29">
      <c r="A1039" s="74" t="s">
        <v>1755</v>
      </c>
      <c r="B1039" s="74" t="s">
        <v>2133</v>
      </c>
      <c r="C1039" s="74" t="s">
        <v>2064</v>
      </c>
      <c r="D1039" s="74" t="s">
        <v>1979</v>
      </c>
      <c r="E1039" s="74" t="s">
        <v>1752</v>
      </c>
      <c r="F1039" s="74">
        <v>0</v>
      </c>
      <c r="G1039" s="74">
        <v>0</v>
      </c>
      <c r="H1039" s="74">
        <v>0</v>
      </c>
      <c r="I1039" s="13" t="s">
        <v>1962</v>
      </c>
      <c r="U1039" s="209"/>
      <c r="V1039" s="212"/>
      <c r="W1039" s="258"/>
      <c r="X1039" s="240"/>
      <c r="Y1039" s="245"/>
      <c r="Z1039" s="245"/>
      <c r="AA1039" s="245"/>
      <c r="AB1039" s="245"/>
      <c r="AC1039" s="245"/>
    </row>
    <row r="1040" spans="1:29">
      <c r="U1040" s="209"/>
      <c r="V1040" s="212"/>
      <c r="W1040" s="258"/>
      <c r="X1040" s="240"/>
      <c r="Y1040" s="245"/>
      <c r="Z1040" s="245"/>
      <c r="AA1040" s="245"/>
      <c r="AB1040" s="245"/>
      <c r="AC1040" s="245"/>
    </row>
    <row r="1041" spans="21:29">
      <c r="U1041" s="209"/>
      <c r="V1041" s="212"/>
      <c r="W1041" s="258"/>
      <c r="X1041" s="240"/>
      <c r="Y1041" s="245"/>
      <c r="Z1041" s="245"/>
      <c r="AA1041" s="245"/>
      <c r="AB1041" s="245"/>
      <c r="AC1041" s="245"/>
    </row>
    <row r="1042" spans="21:29">
      <c r="U1042" s="209"/>
      <c r="V1042" s="212"/>
      <c r="W1042" s="258"/>
      <c r="X1042" s="240"/>
      <c r="Y1042" s="245"/>
      <c r="Z1042" s="245"/>
      <c r="AA1042" s="245"/>
      <c r="AB1042" s="245"/>
      <c r="AC1042" s="245"/>
    </row>
    <row r="1043" spans="21:29">
      <c r="U1043" s="209"/>
      <c r="V1043" s="245"/>
      <c r="W1043" s="257"/>
      <c r="X1043" s="245"/>
      <c r="Y1043" s="245"/>
      <c r="Z1043" s="245"/>
      <c r="AA1043" s="245"/>
      <c r="AB1043" s="245"/>
      <c r="AC1043" s="245"/>
    </row>
    <row r="1044" spans="21:29">
      <c r="U1044" s="209"/>
      <c r="V1044" s="245"/>
      <c r="W1044" s="257"/>
      <c r="X1044" s="245"/>
      <c r="Y1044" s="245"/>
      <c r="Z1044" s="245"/>
      <c r="AA1044" s="245"/>
      <c r="AB1044" s="245"/>
      <c r="AC1044" s="245"/>
    </row>
    <row r="1045" spans="21:29">
      <c r="U1045" s="209"/>
      <c r="V1045" s="245"/>
      <c r="W1045" s="257"/>
      <c r="X1045" s="245"/>
      <c r="Y1045" s="245"/>
      <c r="Z1045" s="245"/>
      <c r="AA1045" s="245"/>
      <c r="AB1045" s="245"/>
      <c r="AC1045" s="245"/>
    </row>
    <row r="1046" spans="21:29">
      <c r="U1046" s="209"/>
      <c r="V1046" s="245"/>
      <c r="W1046" s="257"/>
      <c r="X1046" s="245"/>
      <c r="Y1046" s="245"/>
      <c r="Z1046" s="245"/>
      <c r="AA1046" s="245"/>
      <c r="AB1046" s="245"/>
      <c r="AC1046" s="211"/>
    </row>
    <row r="1047" spans="21:29">
      <c r="U1047" s="209"/>
      <c r="V1047" s="211"/>
      <c r="W1047" s="259"/>
      <c r="X1047" s="211"/>
      <c r="Y1047" s="211"/>
      <c r="Z1047" s="211"/>
      <c r="AA1047" s="211"/>
      <c r="AB1047" s="245"/>
      <c r="AC1047" s="240"/>
    </row>
    <row r="1048" spans="21:29">
      <c r="U1048" s="209"/>
      <c r="V1048" s="240"/>
      <c r="W1048" s="258"/>
      <c r="X1048" s="240"/>
      <c r="Y1048" s="240"/>
      <c r="Z1048" s="240"/>
      <c r="AA1048" s="240"/>
      <c r="AB1048" s="211"/>
      <c r="AC1048" s="240"/>
    </row>
    <row r="1049" spans="21:29">
      <c r="U1049" s="209"/>
      <c r="V1049" s="240"/>
      <c r="W1049" s="258"/>
      <c r="X1049" s="240"/>
      <c r="Y1049" s="240"/>
      <c r="Z1049" s="240"/>
      <c r="AA1049" s="240"/>
      <c r="AB1049" s="240"/>
      <c r="AC1049" s="240"/>
    </row>
    <row r="1050" spans="21:29">
      <c r="U1050" s="209"/>
      <c r="V1050" s="247"/>
      <c r="W1050" s="260"/>
      <c r="X1050" s="240"/>
      <c r="Y1050" s="240"/>
      <c r="Z1050" s="240"/>
      <c r="AA1050" s="240"/>
      <c r="AB1050" s="240"/>
      <c r="AC1050" s="240"/>
    </row>
    <row r="1051" spans="21:29">
      <c r="U1051" s="209"/>
      <c r="V1051" s="247"/>
      <c r="W1051" s="260"/>
      <c r="X1051" s="240"/>
      <c r="Y1051" s="240"/>
      <c r="Z1051" s="240"/>
      <c r="AA1051" s="240"/>
      <c r="AB1051" s="240"/>
      <c r="AC1051" s="240"/>
    </row>
    <row r="1052" spans="21:29">
      <c r="U1052" s="209"/>
      <c r="V1052" s="247"/>
      <c r="W1052" s="258"/>
      <c r="X1052" s="240"/>
      <c r="Y1052" s="240"/>
      <c r="Z1052" s="240"/>
      <c r="AA1052" s="240"/>
      <c r="AB1052" s="240"/>
      <c r="AC1052" s="240"/>
    </row>
    <row r="1053" spans="21:29">
      <c r="U1053" s="209"/>
      <c r="V1053" s="247"/>
      <c r="W1053" s="260"/>
      <c r="X1053" s="240"/>
      <c r="Y1053" s="240"/>
      <c r="Z1053" s="240"/>
      <c r="AA1053" s="240"/>
      <c r="AB1053" s="240"/>
      <c r="AC1053" s="245"/>
    </row>
    <row r="1054" spans="21:29">
      <c r="U1054" s="209"/>
      <c r="V1054" s="245"/>
      <c r="W1054" s="257"/>
      <c r="X1054" s="211"/>
      <c r="Y1054" s="245"/>
      <c r="Z1054" s="245"/>
      <c r="AA1054" s="245"/>
      <c r="AB1054" s="240"/>
      <c r="AC1054" s="245"/>
    </row>
    <row r="1055" spans="21:29">
      <c r="U1055" s="209"/>
      <c r="V1055" s="212"/>
      <c r="W1055" s="259"/>
      <c r="X1055" s="211"/>
      <c r="Y1055" s="245"/>
      <c r="Z1055" s="245"/>
      <c r="AA1055" s="245"/>
      <c r="AB1055" s="245"/>
      <c r="AC1055" s="245"/>
    </row>
    <row r="1056" spans="21:29" ht="14">
      <c r="U1056" s="209"/>
      <c r="V1056" s="208"/>
      <c r="W1056" s="261"/>
      <c r="X1056" s="208"/>
      <c r="Y1056" s="245"/>
      <c r="Z1056" s="245"/>
      <c r="AA1056" s="245"/>
      <c r="AB1056" s="245"/>
      <c r="AC1056" s="245"/>
    </row>
    <row r="1057" spans="21:29">
      <c r="U1057" s="209"/>
      <c r="V1057" s="246"/>
      <c r="W1057" s="262"/>
      <c r="X1057" s="98"/>
      <c r="Y1057" s="245"/>
      <c r="Z1057" s="245"/>
      <c r="AA1057" s="245"/>
      <c r="AB1057" s="245"/>
      <c r="AC1057" s="245"/>
    </row>
    <row r="1058" spans="21:29">
      <c r="U1058" s="209"/>
      <c r="V1058" s="246"/>
      <c r="W1058" s="262"/>
      <c r="X1058" s="98"/>
      <c r="Y1058" s="245"/>
      <c r="Z1058" s="245"/>
      <c r="AA1058" s="245"/>
      <c r="AB1058" s="245"/>
      <c r="AC1058" s="245"/>
    </row>
    <row r="1059" spans="21:29">
      <c r="U1059" s="209"/>
      <c r="V1059" s="246"/>
      <c r="W1059" s="262"/>
      <c r="X1059" s="98"/>
      <c r="Y1059" s="245"/>
      <c r="Z1059" s="245"/>
      <c r="AA1059" s="245"/>
      <c r="AB1059" s="245"/>
      <c r="AC1059" s="245"/>
    </row>
    <row r="1060" spans="21:29">
      <c r="U1060" s="209"/>
      <c r="V1060" s="246"/>
      <c r="W1060" s="262"/>
      <c r="X1060" s="98"/>
      <c r="Y1060" s="245"/>
      <c r="Z1060" s="245"/>
      <c r="AA1060" s="245"/>
      <c r="AB1060" s="245"/>
      <c r="AC1060" s="245"/>
    </row>
    <row r="1061" spans="21:29">
      <c r="U1061" s="209"/>
      <c r="V1061" s="246"/>
      <c r="W1061" s="262"/>
      <c r="X1061" s="98"/>
      <c r="Y1061" s="245"/>
      <c r="Z1061" s="245"/>
      <c r="AA1061" s="245"/>
      <c r="AB1061" s="245"/>
      <c r="AC1061" s="245"/>
    </row>
    <row r="1062" spans="21:29" ht="14">
      <c r="U1062" s="209"/>
      <c r="V1062" s="246"/>
      <c r="W1062" s="262"/>
      <c r="X1062" s="98"/>
      <c r="Y1062" s="208"/>
      <c r="Z1062" s="245"/>
      <c r="AA1062" s="245"/>
      <c r="AB1062" s="245"/>
      <c r="AC1062" s="245"/>
    </row>
    <row r="1063" spans="21:29">
      <c r="U1063" s="209"/>
      <c r="V1063" s="246"/>
      <c r="W1063" s="262"/>
      <c r="X1063" s="98"/>
      <c r="Y1063" s="98"/>
      <c r="Z1063" s="245"/>
      <c r="AA1063" s="245"/>
      <c r="AB1063" s="245"/>
      <c r="AC1063" s="209"/>
    </row>
    <row r="1064" spans="21:29">
      <c r="U1064" s="209"/>
      <c r="V1064" s="209"/>
      <c r="W1064" s="263"/>
      <c r="X1064" s="209"/>
      <c r="Y1064" s="209"/>
      <c r="Z1064" s="209"/>
      <c r="AA1064" s="209"/>
      <c r="AB1064" s="245"/>
      <c r="AC1064" s="209"/>
    </row>
    <row r="1065" spans="21:29">
      <c r="U1065" s="209"/>
      <c r="V1065" s="209"/>
      <c r="W1065" s="263"/>
      <c r="X1065" s="209"/>
      <c r="Y1065" s="209"/>
      <c r="Z1065" s="209"/>
      <c r="AA1065" s="209"/>
      <c r="AB1065" s="209"/>
      <c r="AC1065" s="209"/>
    </row>
    <row r="1066" spans="21:29">
      <c r="U1066" s="209"/>
      <c r="V1066" s="209"/>
      <c r="W1066" s="263"/>
      <c r="X1066" s="209"/>
      <c r="Y1066" s="209"/>
      <c r="Z1066" s="209"/>
      <c r="AA1066" s="209"/>
      <c r="AB1066" s="209"/>
    </row>
    <row r="1067" spans="21:29">
      <c r="AB1067" s="209"/>
    </row>
  </sheetData>
  <sheetProtection password="E798" sheet="1"/>
  <mergeCells count="25">
    <mergeCell ref="Y536:Y537"/>
    <mergeCell ref="Y560:Y561"/>
    <mergeCell ref="Y562:Y563"/>
    <mergeCell ref="Y564:Y565"/>
    <mergeCell ref="Y538:Y539"/>
    <mergeCell ref="Y540:Y541"/>
    <mergeCell ref="Y542:Y543"/>
    <mergeCell ref="Y554:Y555"/>
    <mergeCell ref="Y556:Y557"/>
    <mergeCell ref="Y558:Y559"/>
    <mergeCell ref="AC28:AD28"/>
    <mergeCell ref="AC29:AD29"/>
    <mergeCell ref="AC30:AD30"/>
    <mergeCell ref="Y532:Y533"/>
    <mergeCell ref="Y534:Y535"/>
    <mergeCell ref="AC14:AD15"/>
    <mergeCell ref="AC16:AD17"/>
    <mergeCell ref="AC25:AD25"/>
    <mergeCell ref="AC26:AD26"/>
    <mergeCell ref="AC27:AD27"/>
    <mergeCell ref="T2:AA2"/>
    <mergeCell ref="AC7:AD8"/>
    <mergeCell ref="AC9:AE9"/>
    <mergeCell ref="AC10:AD11"/>
    <mergeCell ref="AC12:AD13"/>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00"/>
  <sheetViews>
    <sheetView topLeftCell="A31" zoomScaleNormal="100" workbookViewId="0">
      <selection activeCell="D39" sqref="D39"/>
    </sheetView>
  </sheetViews>
  <sheetFormatPr defaultRowHeight="13"/>
  <cols>
    <col min="1" max="1" width="3.7265625" customWidth="1"/>
    <col min="2" max="2" width="36.6328125" customWidth="1"/>
    <col min="3" max="3" width="4.453125" customWidth="1"/>
    <col min="4" max="4" width="4.36328125" customWidth="1"/>
    <col min="5" max="5" width="36.6328125" customWidth="1"/>
  </cols>
  <sheetData>
    <row r="1" spans="1:5" ht="23.25" customHeight="1">
      <c r="E1" s="20"/>
    </row>
    <row r="2" spans="1:5" s="21" customFormat="1" ht="18" customHeight="1">
      <c r="A2" s="934" t="s">
        <v>2194</v>
      </c>
      <c r="B2" s="934"/>
      <c r="C2" s="934"/>
      <c r="D2" s="934"/>
      <c r="E2" s="934"/>
    </row>
    <row r="3" spans="1:5" ht="13.5" thickBot="1"/>
    <row r="4" spans="1:5" s="1" customFormat="1" ht="15" customHeight="1">
      <c r="A4" s="22">
        <v>1</v>
      </c>
      <c r="B4" s="23" t="s">
        <v>2195</v>
      </c>
      <c r="D4" s="22">
        <v>50</v>
      </c>
      <c r="E4" s="23" t="s">
        <v>2196</v>
      </c>
    </row>
    <row r="5" spans="1:5" s="1" customFormat="1" ht="15" customHeight="1">
      <c r="A5" s="24">
        <v>2</v>
      </c>
      <c r="B5" s="25" t="s">
        <v>2204</v>
      </c>
      <c r="D5" s="24">
        <v>51</v>
      </c>
      <c r="E5" s="25" t="s">
        <v>2418</v>
      </c>
    </row>
    <row r="6" spans="1:5" s="1" customFormat="1" ht="15" customHeight="1">
      <c r="A6" s="24">
        <v>3</v>
      </c>
      <c r="B6" s="25" t="s">
        <v>2205</v>
      </c>
      <c r="D6" s="24">
        <v>52</v>
      </c>
      <c r="E6" s="25" t="s">
        <v>2206</v>
      </c>
    </row>
    <row r="7" spans="1:5" s="1" customFormat="1" ht="15" customHeight="1">
      <c r="A7" s="24">
        <v>4</v>
      </c>
      <c r="B7" s="25" t="s">
        <v>2207</v>
      </c>
      <c r="D7" s="24">
        <v>53</v>
      </c>
      <c r="E7" s="25" t="s">
        <v>2208</v>
      </c>
    </row>
    <row r="8" spans="1:5" s="1" customFormat="1" ht="15" customHeight="1">
      <c r="A8" s="24">
        <v>5</v>
      </c>
      <c r="B8" s="25" t="s">
        <v>2209</v>
      </c>
      <c r="D8" s="24">
        <v>54</v>
      </c>
      <c r="E8" s="25" t="s">
        <v>2210</v>
      </c>
    </row>
    <row r="9" spans="1:5" s="1" customFormat="1" ht="15" customHeight="1">
      <c r="A9" s="24">
        <v>6</v>
      </c>
      <c r="B9" s="25" t="s">
        <v>2211</v>
      </c>
      <c r="D9" s="24">
        <v>55</v>
      </c>
      <c r="E9" s="25" t="s">
        <v>2212</v>
      </c>
    </row>
    <row r="10" spans="1:5" s="1" customFormat="1" ht="15" customHeight="1">
      <c r="A10" s="24">
        <v>7</v>
      </c>
      <c r="B10" s="25" t="s">
        <v>2213</v>
      </c>
      <c r="D10" s="24">
        <v>56</v>
      </c>
      <c r="E10" s="25" t="s">
        <v>2214</v>
      </c>
    </row>
    <row r="11" spans="1:5" s="1" customFormat="1" ht="15" customHeight="1">
      <c r="A11" s="24">
        <v>8</v>
      </c>
      <c r="B11" s="25" t="s">
        <v>2215</v>
      </c>
      <c r="D11" s="24">
        <v>57</v>
      </c>
      <c r="E11" s="25" t="s">
        <v>2216</v>
      </c>
    </row>
    <row r="12" spans="1:5" s="1" customFormat="1" ht="15" customHeight="1">
      <c r="A12" s="24">
        <v>9</v>
      </c>
      <c r="B12" s="25" t="s">
        <v>2217</v>
      </c>
      <c r="D12" s="24">
        <v>58</v>
      </c>
      <c r="E12" s="25" t="s">
        <v>2218</v>
      </c>
    </row>
    <row r="13" spans="1:5" s="1" customFormat="1" ht="15" customHeight="1">
      <c r="A13" s="24">
        <v>10</v>
      </c>
      <c r="B13" s="25" t="s">
        <v>2219</v>
      </c>
      <c r="D13" s="24">
        <v>59</v>
      </c>
      <c r="E13" s="25" t="s">
        <v>2220</v>
      </c>
    </row>
    <row r="14" spans="1:5" s="1" customFormat="1" ht="15" customHeight="1">
      <c r="A14" s="24">
        <v>11</v>
      </c>
      <c r="B14" s="25" t="s">
        <v>2221</v>
      </c>
      <c r="D14" s="24">
        <v>60</v>
      </c>
      <c r="E14" s="25" t="s">
        <v>2222</v>
      </c>
    </row>
    <row r="15" spans="1:5" s="1" customFormat="1" ht="15" customHeight="1">
      <c r="A15" s="24">
        <v>12</v>
      </c>
      <c r="B15" s="25" t="s">
        <v>2223</v>
      </c>
      <c r="D15" s="24">
        <v>61</v>
      </c>
      <c r="E15" s="25" t="s">
        <v>2224</v>
      </c>
    </row>
    <row r="16" spans="1:5" s="1" customFormat="1" ht="15" customHeight="1">
      <c r="A16" s="24">
        <v>13</v>
      </c>
      <c r="B16" s="25" t="s">
        <v>2225</v>
      </c>
      <c r="D16" s="24">
        <v>62</v>
      </c>
      <c r="E16" s="25" t="s">
        <v>2226</v>
      </c>
    </row>
    <row r="17" spans="1:5" s="1" customFormat="1" ht="15" customHeight="1">
      <c r="A17" s="24">
        <v>14</v>
      </c>
      <c r="B17" s="25" t="s">
        <v>2227</v>
      </c>
      <c r="D17" s="24">
        <v>63</v>
      </c>
      <c r="E17" s="25" t="s">
        <v>2228</v>
      </c>
    </row>
    <row r="18" spans="1:5" s="1" customFormat="1" ht="15" customHeight="1">
      <c r="A18" s="24">
        <v>15</v>
      </c>
      <c r="B18" s="25" t="s">
        <v>2229</v>
      </c>
      <c r="D18" s="24">
        <v>64</v>
      </c>
      <c r="E18" s="25" t="s">
        <v>2230</v>
      </c>
    </row>
    <row r="19" spans="1:5" s="1" customFormat="1" ht="15" customHeight="1">
      <c r="A19" s="24">
        <v>16</v>
      </c>
      <c r="B19" s="25" t="s">
        <v>2231</v>
      </c>
      <c r="D19" s="24">
        <v>65</v>
      </c>
      <c r="E19" s="25" t="s">
        <v>2232</v>
      </c>
    </row>
    <row r="20" spans="1:5" s="1" customFormat="1" ht="15" customHeight="1">
      <c r="A20" s="24">
        <v>17</v>
      </c>
      <c r="B20" s="25" t="s">
        <v>2233</v>
      </c>
      <c r="D20" s="24">
        <v>66</v>
      </c>
      <c r="E20" s="25" t="s">
        <v>2234</v>
      </c>
    </row>
    <row r="21" spans="1:5" s="1" customFormat="1" ht="15" customHeight="1">
      <c r="A21" s="24">
        <v>18</v>
      </c>
      <c r="B21" s="25" t="s">
        <v>2235</v>
      </c>
      <c r="D21" s="24">
        <v>67</v>
      </c>
      <c r="E21" s="26" t="s">
        <v>2236</v>
      </c>
    </row>
    <row r="22" spans="1:5" s="1" customFormat="1" ht="15" customHeight="1">
      <c r="A22" s="24">
        <v>19</v>
      </c>
      <c r="B22" s="25" t="s">
        <v>2237</v>
      </c>
      <c r="D22" s="24">
        <v>68</v>
      </c>
      <c r="E22" s="25" t="s">
        <v>2238</v>
      </c>
    </row>
    <row r="23" spans="1:5" s="1" customFormat="1" ht="15" customHeight="1">
      <c r="A23" s="24">
        <v>20</v>
      </c>
      <c r="B23" s="25" t="s">
        <v>2239</v>
      </c>
      <c r="D23" s="24">
        <v>69</v>
      </c>
      <c r="E23" s="25" t="s">
        <v>2240</v>
      </c>
    </row>
    <row r="24" spans="1:5" s="1" customFormat="1" ht="15" customHeight="1">
      <c r="A24" s="24">
        <v>21</v>
      </c>
      <c r="B24" s="25" t="s">
        <v>2241</v>
      </c>
      <c r="D24" s="24">
        <v>70</v>
      </c>
      <c r="E24" s="25" t="s">
        <v>2242</v>
      </c>
    </row>
    <row r="25" spans="1:5" s="1" customFormat="1" ht="15" customHeight="1">
      <c r="A25" s="24">
        <v>22</v>
      </c>
      <c r="B25" s="25" t="s">
        <v>2277</v>
      </c>
      <c r="D25" s="24">
        <v>71</v>
      </c>
      <c r="E25" s="25" t="s">
        <v>2278</v>
      </c>
    </row>
    <row r="26" spans="1:5" s="1" customFormat="1" ht="15" customHeight="1">
      <c r="A26" s="24">
        <v>23</v>
      </c>
      <c r="B26" s="25" t="s">
        <v>2279</v>
      </c>
      <c r="D26" s="24">
        <v>72</v>
      </c>
      <c r="E26" s="25" t="s">
        <v>2280</v>
      </c>
    </row>
    <row r="27" spans="1:5" s="1" customFormat="1" ht="15" customHeight="1">
      <c r="A27" s="24">
        <v>24</v>
      </c>
      <c r="B27" s="25" t="s">
        <v>2281</v>
      </c>
      <c r="D27" s="24">
        <v>73</v>
      </c>
      <c r="E27" s="25" t="s">
        <v>2282</v>
      </c>
    </row>
    <row r="28" spans="1:5" s="1" customFormat="1" ht="15" customHeight="1">
      <c r="A28" s="24">
        <v>25</v>
      </c>
      <c r="B28" s="25" t="s">
        <v>2283</v>
      </c>
      <c r="D28" s="24">
        <v>74</v>
      </c>
      <c r="E28" s="25" t="s">
        <v>2284</v>
      </c>
    </row>
    <row r="29" spans="1:5" s="1" customFormat="1" ht="15" customHeight="1">
      <c r="A29" s="24">
        <v>26</v>
      </c>
      <c r="B29" s="25" t="s">
        <v>2285</v>
      </c>
      <c r="D29" s="24">
        <v>75</v>
      </c>
      <c r="E29" s="25" t="s">
        <v>2286</v>
      </c>
    </row>
    <row r="30" spans="1:5" s="1" customFormat="1" ht="15" customHeight="1">
      <c r="A30" s="24">
        <v>27</v>
      </c>
      <c r="B30" s="25" t="s">
        <v>2287</v>
      </c>
      <c r="D30" s="24">
        <v>76</v>
      </c>
      <c r="E30" s="25" t="s">
        <v>2288</v>
      </c>
    </row>
    <row r="31" spans="1:5" s="1" customFormat="1" ht="15" customHeight="1">
      <c r="A31" s="24">
        <v>28</v>
      </c>
      <c r="B31" s="25" t="s">
        <v>2289</v>
      </c>
      <c r="D31" s="24">
        <v>77</v>
      </c>
      <c r="E31" s="25" t="s">
        <v>2290</v>
      </c>
    </row>
    <row r="32" spans="1:5" s="1" customFormat="1" ht="15" customHeight="1">
      <c r="A32" s="24">
        <v>29</v>
      </c>
      <c r="B32" s="25" t="s">
        <v>2291</v>
      </c>
      <c r="D32" s="24">
        <v>78</v>
      </c>
      <c r="E32" s="25" t="s">
        <v>2292</v>
      </c>
    </row>
    <row r="33" spans="1:5" s="1" customFormat="1" ht="15" customHeight="1">
      <c r="A33" s="24">
        <v>30</v>
      </c>
      <c r="B33" s="25" t="s">
        <v>2293</v>
      </c>
      <c r="D33" s="24">
        <v>79</v>
      </c>
      <c r="E33" s="25" t="s">
        <v>2294</v>
      </c>
    </row>
    <row r="34" spans="1:5" s="1" customFormat="1" ht="15" customHeight="1">
      <c r="A34" s="24">
        <v>31</v>
      </c>
      <c r="B34" s="25" t="s">
        <v>2295</v>
      </c>
      <c r="D34" s="24">
        <v>80</v>
      </c>
      <c r="E34" s="25" t="s">
        <v>2296</v>
      </c>
    </row>
    <row r="35" spans="1:5" s="1" customFormat="1" ht="15" customHeight="1">
      <c r="A35" s="24">
        <v>32</v>
      </c>
      <c r="B35" s="25" t="s">
        <v>2297</v>
      </c>
      <c r="D35" s="24">
        <v>81</v>
      </c>
      <c r="E35" s="25" t="s">
        <v>2298</v>
      </c>
    </row>
    <row r="36" spans="1:5" s="1" customFormat="1" ht="15" customHeight="1">
      <c r="A36" s="24">
        <v>33</v>
      </c>
      <c r="B36" s="25" t="s">
        <v>2299</v>
      </c>
      <c r="D36" s="24">
        <v>82</v>
      </c>
      <c r="E36" s="25" t="s">
        <v>2300</v>
      </c>
    </row>
    <row r="37" spans="1:5" s="1" customFormat="1" ht="15" customHeight="1">
      <c r="A37" s="24">
        <v>34</v>
      </c>
      <c r="B37" s="25" t="s">
        <v>2301</v>
      </c>
      <c r="D37" s="24">
        <v>83</v>
      </c>
      <c r="E37" s="25" t="s">
        <v>2302</v>
      </c>
    </row>
    <row r="38" spans="1:5" s="1" customFormat="1" ht="15" customHeight="1">
      <c r="A38" s="24">
        <v>35</v>
      </c>
      <c r="B38" s="25" t="s">
        <v>2303</v>
      </c>
      <c r="D38" s="24">
        <v>84</v>
      </c>
      <c r="E38" s="25" t="s">
        <v>2304</v>
      </c>
    </row>
    <row r="39" spans="1:5" s="1" customFormat="1" ht="15" customHeight="1">
      <c r="A39" s="24">
        <v>36</v>
      </c>
      <c r="B39" s="25" t="s">
        <v>2305</v>
      </c>
      <c r="D39" s="24">
        <v>85</v>
      </c>
      <c r="E39" s="25" t="s">
        <v>2306</v>
      </c>
    </row>
    <row r="40" spans="1:5" s="1" customFormat="1" ht="15" customHeight="1">
      <c r="A40" s="24">
        <v>37</v>
      </c>
      <c r="B40" s="25" t="s">
        <v>2307</v>
      </c>
      <c r="D40" s="24">
        <v>86</v>
      </c>
      <c r="E40" s="25" t="s">
        <v>2308</v>
      </c>
    </row>
    <row r="41" spans="1:5" s="1" customFormat="1" ht="15" customHeight="1">
      <c r="A41" s="24">
        <v>38</v>
      </c>
      <c r="B41" s="25" t="s">
        <v>2309</v>
      </c>
      <c r="D41" s="24">
        <v>87</v>
      </c>
      <c r="E41" s="25" t="s">
        <v>2310</v>
      </c>
    </row>
    <row r="42" spans="1:5" s="1" customFormat="1" ht="15" customHeight="1">
      <c r="A42" s="24">
        <v>39</v>
      </c>
      <c r="B42" s="25" t="s">
        <v>2311</v>
      </c>
      <c r="D42" s="24">
        <v>88</v>
      </c>
      <c r="E42" s="25" t="s">
        <v>2312</v>
      </c>
    </row>
    <row r="43" spans="1:5" s="1" customFormat="1" ht="15" customHeight="1">
      <c r="A43" s="24">
        <v>40</v>
      </c>
      <c r="B43" s="25" t="s">
        <v>2313</v>
      </c>
      <c r="D43" s="24">
        <v>89</v>
      </c>
      <c r="E43" s="25" t="s">
        <v>2314</v>
      </c>
    </row>
    <row r="44" spans="1:5" s="1" customFormat="1" ht="15" customHeight="1">
      <c r="A44" s="24">
        <v>41</v>
      </c>
      <c r="B44" s="25" t="s">
        <v>2315</v>
      </c>
      <c r="D44" s="24">
        <v>90</v>
      </c>
      <c r="E44" s="25" t="s">
        <v>2316</v>
      </c>
    </row>
    <row r="45" spans="1:5" s="1" customFormat="1" ht="15" customHeight="1">
      <c r="A45" s="24">
        <v>42</v>
      </c>
      <c r="B45" s="25" t="s">
        <v>2317</v>
      </c>
      <c r="D45" s="24">
        <v>91</v>
      </c>
      <c r="E45" s="25" t="s">
        <v>2318</v>
      </c>
    </row>
    <row r="46" spans="1:5" s="1" customFormat="1" ht="15" customHeight="1">
      <c r="A46" s="24">
        <v>43</v>
      </c>
      <c r="B46" s="25" t="s">
        <v>2319</v>
      </c>
      <c r="D46" s="24">
        <v>92</v>
      </c>
      <c r="E46" s="25" t="s">
        <v>2320</v>
      </c>
    </row>
    <row r="47" spans="1:5" s="1" customFormat="1" ht="15" customHeight="1">
      <c r="A47" s="24">
        <v>44</v>
      </c>
      <c r="B47" s="25" t="s">
        <v>2321</v>
      </c>
      <c r="D47" s="24">
        <v>93</v>
      </c>
      <c r="E47" s="25" t="s">
        <v>2322</v>
      </c>
    </row>
    <row r="48" spans="1:5" s="1" customFormat="1" ht="15" customHeight="1">
      <c r="A48" s="24">
        <v>45</v>
      </c>
      <c r="B48" s="25" t="s">
        <v>2323</v>
      </c>
      <c r="D48" s="24">
        <v>94</v>
      </c>
      <c r="E48" s="25" t="s">
        <v>2324</v>
      </c>
    </row>
    <row r="49" spans="1:5" s="1" customFormat="1" ht="15" customHeight="1">
      <c r="A49" s="24">
        <v>46</v>
      </c>
      <c r="B49" s="25" t="s">
        <v>2325</v>
      </c>
      <c r="D49" s="24">
        <v>95</v>
      </c>
      <c r="E49" s="25" t="s">
        <v>2326</v>
      </c>
    </row>
    <row r="50" spans="1:5" s="1" customFormat="1" ht="15" customHeight="1">
      <c r="A50" s="24">
        <v>47</v>
      </c>
      <c r="B50" s="25" t="s">
        <v>2327</v>
      </c>
      <c r="D50" s="24">
        <v>96</v>
      </c>
      <c r="E50" s="25" t="s">
        <v>2328</v>
      </c>
    </row>
    <row r="51" spans="1:5" s="1" customFormat="1" ht="15" customHeight="1">
      <c r="A51" s="24">
        <v>48</v>
      </c>
      <c r="B51" s="25" t="s">
        <v>2329</v>
      </c>
      <c r="D51" s="24">
        <v>99</v>
      </c>
      <c r="E51" s="25" t="s">
        <v>2330</v>
      </c>
    </row>
    <row r="52" spans="1:5" s="1" customFormat="1" ht="15" customHeight="1" thickBot="1">
      <c r="A52" s="27">
        <v>49</v>
      </c>
      <c r="B52" s="28" t="s">
        <v>2331</v>
      </c>
      <c r="D52" s="27"/>
      <c r="E52" s="28"/>
    </row>
    <row r="53" spans="1:5">
      <c r="A53" s="29">
        <v>50</v>
      </c>
      <c r="B53" s="29" t="s">
        <v>2146</v>
      </c>
    </row>
    <row r="54" spans="1:5">
      <c r="A54" s="29">
        <v>51</v>
      </c>
      <c r="B54" s="29" t="s">
        <v>2147</v>
      </c>
    </row>
    <row r="55" spans="1:5">
      <c r="A55" s="29">
        <v>52</v>
      </c>
      <c r="B55" s="29" t="s">
        <v>2148</v>
      </c>
    </row>
    <row r="56" spans="1:5">
      <c r="A56" s="29">
        <v>53</v>
      </c>
      <c r="B56" s="29" t="s">
        <v>2149</v>
      </c>
    </row>
    <row r="57" spans="1:5">
      <c r="A57" s="29">
        <v>54</v>
      </c>
      <c r="B57" s="29" t="s">
        <v>2150</v>
      </c>
    </row>
    <row r="58" spans="1:5">
      <c r="A58" s="29">
        <v>55</v>
      </c>
      <c r="B58" s="29" t="s">
        <v>2151</v>
      </c>
    </row>
    <row r="59" spans="1:5">
      <c r="A59" s="29">
        <v>56</v>
      </c>
      <c r="B59" s="29" t="s">
        <v>2152</v>
      </c>
    </row>
    <row r="60" spans="1:5">
      <c r="A60" s="29">
        <v>57</v>
      </c>
      <c r="B60" s="29" t="s">
        <v>2153</v>
      </c>
    </row>
    <row r="61" spans="1:5">
      <c r="A61" s="29">
        <v>58</v>
      </c>
      <c r="B61" s="29" t="s">
        <v>2154</v>
      </c>
    </row>
    <row r="62" spans="1:5">
      <c r="A62" s="29">
        <v>59</v>
      </c>
      <c r="B62" s="29" t="s">
        <v>2155</v>
      </c>
    </row>
    <row r="63" spans="1:5">
      <c r="A63" s="29">
        <v>60</v>
      </c>
      <c r="B63" s="29" t="s">
        <v>2156</v>
      </c>
    </row>
    <row r="64" spans="1:5">
      <c r="A64" s="29">
        <v>61</v>
      </c>
      <c r="B64" s="29" t="s">
        <v>2157</v>
      </c>
    </row>
    <row r="65" spans="1:2">
      <c r="A65" s="29">
        <v>62</v>
      </c>
      <c r="B65" s="29" t="s">
        <v>2158</v>
      </c>
    </row>
    <row r="66" spans="1:2">
      <c r="A66" s="29">
        <v>63</v>
      </c>
      <c r="B66" s="29" t="s">
        <v>2159</v>
      </c>
    </row>
    <row r="67" spans="1:2">
      <c r="A67" s="29">
        <v>64</v>
      </c>
      <c r="B67" s="29" t="s">
        <v>2160</v>
      </c>
    </row>
    <row r="68" spans="1:2">
      <c r="A68" s="29">
        <v>65</v>
      </c>
      <c r="B68" s="29" t="s">
        <v>2161</v>
      </c>
    </row>
    <row r="69" spans="1:2">
      <c r="A69" s="29">
        <v>66</v>
      </c>
      <c r="B69" s="29" t="s">
        <v>2162</v>
      </c>
    </row>
    <row r="70" spans="1:2">
      <c r="A70" s="29">
        <v>67</v>
      </c>
      <c r="B70" s="29" t="s">
        <v>2163</v>
      </c>
    </row>
    <row r="71" spans="1:2">
      <c r="A71" s="29">
        <v>68</v>
      </c>
      <c r="B71" s="29" t="s">
        <v>2164</v>
      </c>
    </row>
    <row r="72" spans="1:2">
      <c r="A72" s="29">
        <v>69</v>
      </c>
      <c r="B72" s="29" t="s">
        <v>2165</v>
      </c>
    </row>
    <row r="73" spans="1:2">
      <c r="A73" s="29">
        <v>70</v>
      </c>
      <c r="B73" s="29" t="s">
        <v>2166</v>
      </c>
    </row>
    <row r="74" spans="1:2">
      <c r="A74" s="29">
        <v>71</v>
      </c>
      <c r="B74" s="29" t="s">
        <v>2167</v>
      </c>
    </row>
    <row r="75" spans="1:2">
      <c r="A75" s="29">
        <v>72</v>
      </c>
      <c r="B75" s="29" t="s">
        <v>2168</v>
      </c>
    </row>
    <row r="76" spans="1:2">
      <c r="A76" s="29">
        <v>73</v>
      </c>
      <c r="B76" s="29" t="s">
        <v>2169</v>
      </c>
    </row>
    <row r="77" spans="1:2">
      <c r="A77" s="29">
        <v>74</v>
      </c>
      <c r="B77" s="29" t="s">
        <v>2170</v>
      </c>
    </row>
    <row r="78" spans="1:2">
      <c r="A78" s="29">
        <v>75</v>
      </c>
      <c r="B78" s="29" t="s">
        <v>2171</v>
      </c>
    </row>
    <row r="79" spans="1:2">
      <c r="A79" s="29">
        <v>76</v>
      </c>
      <c r="B79" s="29" t="s">
        <v>2172</v>
      </c>
    </row>
    <row r="80" spans="1:2">
      <c r="A80" s="29">
        <v>77</v>
      </c>
      <c r="B80" s="29" t="s">
        <v>2173</v>
      </c>
    </row>
    <row r="81" spans="1:2">
      <c r="A81" s="29">
        <v>78</v>
      </c>
      <c r="B81" s="29" t="s">
        <v>2174</v>
      </c>
    </row>
    <row r="82" spans="1:2">
      <c r="A82" s="29">
        <v>79</v>
      </c>
      <c r="B82" s="29" t="s">
        <v>2175</v>
      </c>
    </row>
    <row r="83" spans="1:2">
      <c r="A83" s="29">
        <v>80</v>
      </c>
      <c r="B83" s="29" t="s">
        <v>2176</v>
      </c>
    </row>
    <row r="84" spans="1:2">
      <c r="A84" s="29">
        <v>81</v>
      </c>
      <c r="B84" s="29" t="s">
        <v>2177</v>
      </c>
    </row>
    <row r="85" spans="1:2">
      <c r="A85" s="29">
        <v>82</v>
      </c>
      <c r="B85" s="29" t="s">
        <v>2178</v>
      </c>
    </row>
    <row r="86" spans="1:2">
      <c r="A86" s="29">
        <v>83</v>
      </c>
      <c r="B86" s="29" t="s">
        <v>2179</v>
      </c>
    </row>
    <row r="87" spans="1:2">
      <c r="A87" s="29">
        <v>84</v>
      </c>
      <c r="B87" s="29" t="s">
        <v>2180</v>
      </c>
    </row>
    <row r="88" spans="1:2">
      <c r="A88" s="29">
        <v>85</v>
      </c>
      <c r="B88" s="29" t="s">
        <v>2181</v>
      </c>
    </row>
    <row r="89" spans="1:2">
      <c r="A89" s="29">
        <v>86</v>
      </c>
      <c r="B89" s="29" t="s">
        <v>2182</v>
      </c>
    </row>
    <row r="90" spans="1:2">
      <c r="A90" s="29">
        <v>87</v>
      </c>
      <c r="B90" s="29" t="s">
        <v>2183</v>
      </c>
    </row>
    <row r="91" spans="1:2">
      <c r="A91" s="29">
        <v>88</v>
      </c>
      <c r="B91" s="29" t="s">
        <v>2184</v>
      </c>
    </row>
    <row r="92" spans="1:2">
      <c r="A92" s="29">
        <v>89</v>
      </c>
      <c r="B92" s="29" t="s">
        <v>2185</v>
      </c>
    </row>
    <row r="93" spans="1:2">
      <c r="A93" s="29">
        <v>90</v>
      </c>
      <c r="B93" s="29" t="s">
        <v>2186</v>
      </c>
    </row>
    <row r="94" spans="1:2">
      <c r="A94" s="29">
        <v>91</v>
      </c>
      <c r="B94" s="29" t="s">
        <v>2187</v>
      </c>
    </row>
    <row r="95" spans="1:2">
      <c r="A95" s="29">
        <v>92</v>
      </c>
      <c r="B95" s="29" t="s">
        <v>2188</v>
      </c>
    </row>
    <row r="96" spans="1:2">
      <c r="A96" s="29">
        <v>93</v>
      </c>
      <c r="B96" s="29" t="s">
        <v>2189</v>
      </c>
    </row>
    <row r="97" spans="1:2">
      <c r="A97" s="29">
        <v>94</v>
      </c>
      <c r="B97" s="29" t="s">
        <v>2190</v>
      </c>
    </row>
    <row r="98" spans="1:2">
      <c r="A98" s="29">
        <v>95</v>
      </c>
      <c r="B98" s="29" t="s">
        <v>2191</v>
      </c>
    </row>
    <row r="99" spans="1:2">
      <c r="A99" s="29">
        <v>96</v>
      </c>
      <c r="B99" s="29" t="s">
        <v>2192</v>
      </c>
    </row>
    <row r="100" spans="1:2">
      <c r="A100" s="29">
        <v>99</v>
      </c>
      <c r="B100" s="29" t="s">
        <v>2193</v>
      </c>
    </row>
  </sheetData>
  <sheetProtection password="E798" sheet="1"/>
  <mergeCells count="1">
    <mergeCell ref="A2:E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66"/>
    <pageSetUpPr fitToPage="1"/>
  </sheetPr>
  <dimension ref="A1:AC40"/>
  <sheetViews>
    <sheetView zoomScale="70" zoomScaleNormal="70" workbookViewId="0">
      <selection activeCell="Q44" sqref="Q44"/>
    </sheetView>
  </sheetViews>
  <sheetFormatPr defaultColWidth="9" defaultRowHeight="12.5"/>
  <cols>
    <col min="1" max="7" width="3.453125" style="50" customWidth="1"/>
    <col min="8" max="8" width="9" style="50"/>
    <col min="9" max="16" width="3.453125" style="50" customWidth="1"/>
    <col min="17" max="17" width="4.08984375" style="50" customWidth="1"/>
    <col min="18" max="24" width="3.453125" style="50" customWidth="1"/>
    <col min="25" max="25" width="5.6328125" style="50" customWidth="1"/>
    <col min="26" max="26" width="1.6328125" style="50" customWidth="1"/>
    <col min="27" max="16384" width="9" style="50"/>
  </cols>
  <sheetData>
    <row r="1" spans="1:27" ht="15" customHeight="1">
      <c r="A1" s="335" t="s">
        <v>2489</v>
      </c>
      <c r="B1" s="49"/>
      <c r="C1" s="49"/>
      <c r="D1" s="49"/>
      <c r="E1" s="49"/>
      <c r="F1" s="49"/>
      <c r="G1" s="49"/>
      <c r="H1" s="49"/>
      <c r="I1" s="49"/>
      <c r="J1" s="49"/>
      <c r="K1" s="49"/>
      <c r="L1" s="49"/>
      <c r="M1" s="49"/>
      <c r="N1" s="49"/>
      <c r="O1" s="49"/>
      <c r="P1" s="49"/>
      <c r="Q1" s="49"/>
      <c r="R1" s="49"/>
      <c r="S1" s="49"/>
      <c r="T1" s="49"/>
      <c r="U1" s="49"/>
      <c r="V1" s="49"/>
      <c r="W1" s="49"/>
      <c r="X1" s="49"/>
      <c r="Y1" s="49"/>
      <c r="Z1" s="49"/>
      <c r="AA1" s="578" t="s">
        <v>2989</v>
      </c>
    </row>
    <row r="2" spans="1:27" ht="6.75" customHeight="1">
      <c r="A2" s="49"/>
      <c r="B2" s="49"/>
      <c r="C2" s="49"/>
      <c r="D2" s="49"/>
      <c r="E2" s="49"/>
      <c r="F2" s="49"/>
      <c r="G2" s="49"/>
      <c r="H2" s="49"/>
      <c r="I2" s="49"/>
      <c r="J2" s="49"/>
      <c r="K2" s="49"/>
      <c r="L2" s="49"/>
      <c r="M2" s="49"/>
      <c r="N2" s="49"/>
      <c r="O2" s="49"/>
      <c r="P2" s="49"/>
      <c r="Q2" s="49"/>
      <c r="R2" s="49"/>
      <c r="S2" s="49"/>
      <c r="T2" s="49"/>
      <c r="U2" s="49"/>
      <c r="V2" s="49"/>
      <c r="W2" s="49"/>
      <c r="X2" s="49"/>
      <c r="Y2" s="49"/>
      <c r="Z2" s="49"/>
    </row>
    <row r="3" spans="1:27" ht="15" customHeight="1">
      <c r="A3" s="49"/>
      <c r="B3" s="49"/>
      <c r="C3" s="49"/>
      <c r="D3" s="49"/>
      <c r="E3" s="49"/>
      <c r="F3" s="49"/>
      <c r="G3" s="49"/>
      <c r="H3" s="49"/>
      <c r="I3" s="49"/>
      <c r="J3" s="49"/>
      <c r="K3" s="49"/>
      <c r="L3" s="49"/>
      <c r="M3" s="49"/>
      <c r="N3" s="49"/>
      <c r="O3" s="49"/>
      <c r="P3" s="51"/>
      <c r="Q3" s="188"/>
      <c r="R3" s="187"/>
      <c r="S3" s="605" t="s">
        <v>2506</v>
      </c>
      <c r="T3" s="605"/>
      <c r="U3" s="605"/>
      <c r="V3" s="605"/>
      <c r="W3" s="605"/>
      <c r="X3" s="187"/>
      <c r="Y3" s="52"/>
      <c r="Z3" s="49"/>
      <c r="AA3" s="579"/>
    </row>
    <row r="4" spans="1:27" ht="1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579"/>
    </row>
    <row r="5" spans="1:27" ht="15" customHeight="1">
      <c r="A5" s="606" t="s">
        <v>2464</v>
      </c>
      <c r="B5" s="606"/>
      <c r="C5" s="606"/>
      <c r="D5" s="606"/>
      <c r="E5" s="606"/>
      <c r="F5" s="606"/>
      <c r="G5" s="49" t="s">
        <v>2465</v>
      </c>
      <c r="H5" s="49"/>
      <c r="I5" s="49"/>
      <c r="J5" s="49"/>
      <c r="K5" s="49"/>
      <c r="L5" s="49"/>
      <c r="M5" s="49"/>
      <c r="N5" s="49"/>
      <c r="O5" s="49"/>
      <c r="P5" s="49"/>
      <c r="Q5" s="49"/>
      <c r="R5" s="49"/>
      <c r="S5" s="49"/>
      <c r="T5" s="49"/>
      <c r="U5" s="49"/>
      <c r="V5" s="49"/>
      <c r="W5" s="49"/>
      <c r="X5" s="49"/>
      <c r="Y5" s="49"/>
      <c r="Z5" s="49"/>
      <c r="AA5" s="579"/>
    </row>
    <row r="6" spans="1:27" ht="15"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579"/>
    </row>
    <row r="7" spans="1:27" ht="20.149999999999999" customHeight="1">
      <c r="A7" s="49"/>
      <c r="B7" s="49"/>
      <c r="C7" s="49"/>
      <c r="D7" s="49"/>
      <c r="E7" s="49"/>
      <c r="F7" s="49"/>
      <c r="G7" s="49"/>
      <c r="H7" s="49"/>
      <c r="I7" s="49"/>
      <c r="J7" s="49"/>
      <c r="K7" s="49"/>
      <c r="L7" s="49" t="s">
        <v>2243</v>
      </c>
      <c r="M7" s="607"/>
      <c r="N7" s="608"/>
      <c r="O7" s="186" t="s">
        <v>2244</v>
      </c>
      <c r="P7" s="609"/>
      <c r="Q7" s="610"/>
      <c r="R7" s="49"/>
      <c r="S7" s="49"/>
      <c r="T7" s="49"/>
      <c r="U7" s="49"/>
      <c r="V7" s="49"/>
      <c r="W7" s="49"/>
      <c r="X7" s="49"/>
      <c r="Y7" s="49"/>
      <c r="Z7" s="49"/>
      <c r="AA7" s="579"/>
    </row>
    <row r="8" spans="1:27" ht="20.149999999999999" customHeight="1">
      <c r="A8" s="49"/>
      <c r="B8" s="49"/>
      <c r="C8" s="49"/>
      <c r="D8" s="49"/>
      <c r="E8" s="49"/>
      <c r="F8" s="49"/>
      <c r="G8" s="49"/>
      <c r="H8" s="49"/>
      <c r="I8" s="49"/>
      <c r="J8" s="49" t="s">
        <v>2336</v>
      </c>
      <c r="K8" s="49"/>
      <c r="L8" s="53"/>
      <c r="M8" s="611"/>
      <c r="N8" s="612"/>
      <c r="O8" s="612"/>
      <c r="P8" s="612"/>
      <c r="Q8" s="612"/>
      <c r="R8" s="612"/>
      <c r="S8" s="612"/>
      <c r="T8" s="612"/>
      <c r="U8" s="612"/>
      <c r="V8" s="612"/>
      <c r="W8" s="612"/>
      <c r="X8" s="613"/>
      <c r="Y8" s="52"/>
      <c r="Z8" s="49"/>
      <c r="AA8" s="579"/>
    </row>
    <row r="9" spans="1:27" ht="20.149999999999999" customHeight="1">
      <c r="A9" s="49"/>
      <c r="B9" s="49"/>
      <c r="C9" s="49"/>
      <c r="D9" s="49"/>
      <c r="E9" s="49"/>
      <c r="F9" s="49"/>
      <c r="G9" s="49"/>
      <c r="H9" s="49"/>
      <c r="I9" s="49"/>
      <c r="J9" s="49"/>
      <c r="K9" s="49"/>
      <c r="L9" s="53"/>
      <c r="M9" s="614"/>
      <c r="N9" s="615"/>
      <c r="O9" s="615"/>
      <c r="P9" s="615"/>
      <c r="Q9" s="615"/>
      <c r="R9" s="615"/>
      <c r="S9" s="615"/>
      <c r="T9" s="615"/>
      <c r="U9" s="615"/>
      <c r="V9" s="615"/>
      <c r="W9" s="615"/>
      <c r="X9" s="616"/>
      <c r="Y9" s="52"/>
      <c r="Z9" s="49"/>
      <c r="AA9" s="579"/>
    </row>
    <row r="10" spans="1:27" ht="20.149999999999999" customHeight="1">
      <c r="A10" s="49"/>
      <c r="B10" s="49"/>
      <c r="C10" s="49"/>
      <c r="D10" s="49"/>
      <c r="E10" s="49"/>
      <c r="F10" s="49"/>
      <c r="G10" s="49"/>
      <c r="H10" s="49"/>
      <c r="I10" s="49"/>
      <c r="J10" s="617" t="s">
        <v>2010</v>
      </c>
      <c r="K10" s="617"/>
      <c r="L10" s="54"/>
      <c r="M10" s="618"/>
      <c r="N10" s="619"/>
      <c r="O10" s="619"/>
      <c r="P10" s="619"/>
      <c r="Q10" s="619"/>
      <c r="R10" s="619"/>
      <c r="S10" s="619"/>
      <c r="T10" s="619"/>
      <c r="U10" s="619"/>
      <c r="V10" s="619"/>
      <c r="W10" s="619"/>
      <c r="X10" s="620"/>
      <c r="Y10" s="52"/>
      <c r="Z10" s="49"/>
      <c r="AA10" s="579"/>
    </row>
    <row r="11" spans="1:27" ht="20.149999999999999" customHeight="1">
      <c r="A11" s="49"/>
      <c r="B11" s="49"/>
      <c r="C11" s="49"/>
      <c r="D11" s="49"/>
      <c r="E11" s="49"/>
      <c r="F11" s="49"/>
      <c r="G11" s="49"/>
      <c r="H11" s="49"/>
      <c r="I11" s="49"/>
      <c r="J11" s="49" t="s">
        <v>2337</v>
      </c>
      <c r="K11" s="49"/>
      <c r="L11" s="49"/>
      <c r="M11" s="621"/>
      <c r="N11" s="622"/>
      <c r="O11" s="622"/>
      <c r="P11" s="622"/>
      <c r="Q11" s="622"/>
      <c r="R11" s="622"/>
      <c r="S11" s="622"/>
      <c r="T11" s="622"/>
      <c r="U11" s="622"/>
      <c r="V11" s="622"/>
      <c r="W11" s="622"/>
      <c r="X11" s="623"/>
      <c r="Y11" s="52"/>
      <c r="Z11" s="49"/>
      <c r="AA11" s="579"/>
    </row>
    <row r="12" spans="1:27" ht="20.149999999999999" customHeight="1">
      <c r="A12" s="49"/>
      <c r="B12" s="49"/>
      <c r="C12" s="49"/>
      <c r="D12" s="49"/>
      <c r="E12" s="49"/>
      <c r="F12" s="49"/>
      <c r="G12" s="49"/>
      <c r="H12" s="49"/>
      <c r="I12" s="49"/>
      <c r="J12" s="49"/>
      <c r="K12" s="49"/>
      <c r="L12" s="49"/>
      <c r="M12" s="614"/>
      <c r="N12" s="615"/>
      <c r="O12" s="615"/>
      <c r="P12" s="615"/>
      <c r="Q12" s="615"/>
      <c r="R12" s="615"/>
      <c r="S12" s="615"/>
      <c r="T12" s="615"/>
      <c r="U12" s="615"/>
      <c r="V12" s="615"/>
      <c r="W12" s="615"/>
      <c r="X12" s="616"/>
      <c r="Y12" s="80"/>
      <c r="Z12" s="49"/>
      <c r="AA12" s="579"/>
    </row>
    <row r="13" spans="1:27" ht="15" customHeight="1">
      <c r="A13" s="49"/>
      <c r="B13" s="49"/>
      <c r="C13" s="49"/>
      <c r="D13" s="49"/>
      <c r="E13" s="49"/>
      <c r="F13" s="49"/>
      <c r="G13" s="49"/>
      <c r="H13" s="49"/>
      <c r="I13" s="49"/>
      <c r="J13" s="49"/>
      <c r="K13" s="49"/>
      <c r="L13" s="49"/>
      <c r="M13" s="52" t="s">
        <v>2011</v>
      </c>
      <c r="N13" s="49"/>
      <c r="O13" s="49"/>
      <c r="P13" s="49"/>
      <c r="Q13" s="49"/>
      <c r="R13" s="49"/>
      <c r="S13" s="49"/>
      <c r="T13" s="49"/>
      <c r="U13" s="49"/>
      <c r="V13" s="49"/>
      <c r="W13" s="49"/>
      <c r="X13" s="49"/>
      <c r="Y13" s="49"/>
      <c r="Z13" s="49"/>
      <c r="AA13" s="579"/>
    </row>
    <row r="14" spans="1:27" ht="1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579"/>
    </row>
    <row r="15" spans="1:27" ht="21.75" customHeight="1">
      <c r="A15" s="624" t="s">
        <v>2462</v>
      </c>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49"/>
      <c r="Z15" s="49"/>
      <c r="AA15" s="579"/>
    </row>
    <row r="16" spans="1:27" ht="6.75"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579"/>
    </row>
    <row r="17" spans="1:29" ht="39.25" customHeight="1">
      <c r="A17" s="625" t="s">
        <v>2416</v>
      </c>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49"/>
      <c r="Z17" s="49"/>
      <c r="AA17" s="579"/>
    </row>
    <row r="18" spans="1:29" ht="23.25" customHeight="1">
      <c r="A18" s="626" t="s">
        <v>2333</v>
      </c>
      <c r="B18" s="627"/>
      <c r="C18" s="627"/>
      <c r="D18" s="627"/>
      <c r="E18" s="627"/>
      <c r="F18" s="627"/>
      <c r="G18" s="627"/>
      <c r="H18" s="628"/>
      <c r="I18" s="626">
        <f>M11</f>
        <v>0</v>
      </c>
      <c r="J18" s="632"/>
      <c r="K18" s="632"/>
      <c r="L18" s="632"/>
      <c r="M18" s="632"/>
      <c r="N18" s="632"/>
      <c r="O18" s="632"/>
      <c r="P18" s="632"/>
      <c r="Q18" s="632"/>
      <c r="R18" s="632"/>
      <c r="S18" s="632"/>
      <c r="T18" s="632"/>
      <c r="U18" s="632"/>
      <c r="V18" s="632"/>
      <c r="W18" s="632"/>
      <c r="X18" s="633"/>
      <c r="Y18" s="55"/>
      <c r="Z18" s="51"/>
      <c r="AA18" s="580"/>
      <c r="AB18" s="56"/>
    </row>
    <row r="19" spans="1:29" ht="23.25" customHeight="1">
      <c r="A19" s="629"/>
      <c r="B19" s="630"/>
      <c r="C19" s="630"/>
      <c r="D19" s="630"/>
      <c r="E19" s="630"/>
      <c r="F19" s="630"/>
      <c r="G19" s="630"/>
      <c r="H19" s="631"/>
      <c r="I19" s="634">
        <f>M12</f>
        <v>0</v>
      </c>
      <c r="J19" s="635"/>
      <c r="K19" s="635"/>
      <c r="L19" s="635"/>
      <c r="M19" s="635"/>
      <c r="N19" s="635"/>
      <c r="O19" s="635"/>
      <c r="P19" s="635"/>
      <c r="Q19" s="635"/>
      <c r="R19" s="635"/>
      <c r="S19" s="635"/>
      <c r="T19" s="635"/>
      <c r="U19" s="635"/>
      <c r="V19" s="635"/>
      <c r="W19" s="635"/>
      <c r="X19" s="636"/>
      <c r="Y19" s="55"/>
      <c r="Z19" s="51"/>
      <c r="AA19" s="580"/>
      <c r="AB19" s="56"/>
    </row>
    <row r="20" spans="1:29" ht="21.75" customHeight="1">
      <c r="A20" s="626" t="s">
        <v>2466</v>
      </c>
      <c r="B20" s="627"/>
      <c r="C20" s="627"/>
      <c r="D20" s="627"/>
      <c r="E20" s="627"/>
      <c r="F20" s="627"/>
      <c r="G20" s="627"/>
      <c r="H20" s="628"/>
      <c r="I20" s="405" t="s">
        <v>2243</v>
      </c>
      <c r="J20" s="637"/>
      <c r="K20" s="638"/>
      <c r="L20" s="406" t="s">
        <v>2244</v>
      </c>
      <c r="M20" s="639"/>
      <c r="N20" s="640"/>
      <c r="O20" s="644"/>
      <c r="P20" s="644"/>
      <c r="Q20" s="644"/>
      <c r="R20" s="644"/>
      <c r="S20" s="644"/>
      <c r="T20" s="644"/>
      <c r="U20" s="644"/>
      <c r="V20" s="644"/>
      <c r="W20" s="644"/>
      <c r="X20" s="645"/>
      <c r="Y20" s="55"/>
      <c r="Z20" s="51"/>
      <c r="AA20" s="580"/>
      <c r="AB20" s="56"/>
    </row>
    <row r="21" spans="1:29" ht="21.75" customHeight="1">
      <c r="A21" s="629"/>
      <c r="B21" s="630"/>
      <c r="C21" s="630"/>
      <c r="D21" s="630"/>
      <c r="E21" s="630"/>
      <c r="F21" s="630"/>
      <c r="G21" s="630"/>
      <c r="H21" s="631"/>
      <c r="I21" s="641"/>
      <c r="J21" s="642"/>
      <c r="K21" s="642"/>
      <c r="L21" s="642"/>
      <c r="M21" s="642"/>
      <c r="N21" s="642"/>
      <c r="O21" s="642"/>
      <c r="P21" s="642"/>
      <c r="Q21" s="642"/>
      <c r="R21" s="642"/>
      <c r="S21" s="642"/>
      <c r="T21" s="642"/>
      <c r="U21" s="642"/>
      <c r="V21" s="642"/>
      <c r="W21" s="642"/>
      <c r="X21" s="643"/>
      <c r="Y21" s="55"/>
      <c r="Z21" s="51"/>
      <c r="AA21" s="580"/>
      <c r="AB21" s="56"/>
    </row>
    <row r="22" spans="1:29" ht="20.25" customHeight="1">
      <c r="A22" s="626" t="s">
        <v>2334</v>
      </c>
      <c r="B22" s="627"/>
      <c r="C22" s="627"/>
      <c r="D22" s="627"/>
      <c r="E22" s="627"/>
      <c r="F22" s="627"/>
      <c r="G22" s="627"/>
      <c r="H22" s="628"/>
      <c r="I22" s="626">
        <f>'様式1-5(計画事業場）'!D29-SUM('様式1-2（計画排出量）'!I10:I11)</f>
        <v>0</v>
      </c>
      <c r="J22" s="627"/>
      <c r="K22" s="627"/>
      <c r="L22" s="627"/>
      <c r="M22" s="627" t="s">
        <v>2338</v>
      </c>
      <c r="N22" s="57"/>
      <c r="O22" s="57"/>
      <c r="P22" s="57"/>
      <c r="Q22" s="58"/>
      <c r="R22" s="57"/>
      <c r="S22" s="646"/>
      <c r="T22" s="646"/>
      <c r="U22" s="646"/>
      <c r="V22" s="57"/>
      <c r="W22" s="57"/>
      <c r="X22" s="59"/>
      <c r="Y22" s="49"/>
      <c r="Z22" s="49"/>
      <c r="AA22" s="579"/>
    </row>
    <row r="23" spans="1:29" ht="20.25" customHeight="1">
      <c r="A23" s="629"/>
      <c r="B23" s="630"/>
      <c r="C23" s="630"/>
      <c r="D23" s="630"/>
      <c r="E23" s="630"/>
      <c r="F23" s="630"/>
      <c r="G23" s="630"/>
      <c r="H23" s="631"/>
      <c r="I23" s="629"/>
      <c r="J23" s="630"/>
      <c r="K23" s="630"/>
      <c r="L23" s="630"/>
      <c r="M23" s="630"/>
      <c r="N23" s="60"/>
      <c r="O23" s="60"/>
      <c r="P23" s="60"/>
      <c r="Q23" s="61"/>
      <c r="R23" s="60"/>
      <c r="S23" s="647"/>
      <c r="T23" s="647"/>
      <c r="U23" s="647"/>
      <c r="V23" s="60"/>
      <c r="W23" s="60"/>
      <c r="X23" s="62"/>
      <c r="Y23" s="49"/>
      <c r="Z23" s="49"/>
      <c r="AA23" s="579"/>
    </row>
    <row r="24" spans="1:29" ht="36" customHeight="1">
      <c r="A24" s="648" t="s">
        <v>2012</v>
      </c>
      <c r="B24" s="649"/>
      <c r="C24" s="649"/>
      <c r="D24" s="649"/>
      <c r="E24" s="649"/>
      <c r="F24" s="649"/>
      <c r="G24" s="649"/>
      <c r="H24" s="650"/>
      <c r="I24" s="648" t="str">
        <f>IF(T24="","",VLOOKUP('様式1-1（計画表紙）'!T24,産業分類表!A4:B100,2,FALSE))</f>
        <v/>
      </c>
      <c r="J24" s="649"/>
      <c r="K24" s="649"/>
      <c r="L24" s="649"/>
      <c r="M24" s="649"/>
      <c r="N24" s="649"/>
      <c r="O24" s="649"/>
      <c r="P24" s="649"/>
      <c r="Q24" s="650"/>
      <c r="R24" s="648" t="s">
        <v>2013</v>
      </c>
      <c r="S24" s="650"/>
      <c r="T24" s="651"/>
      <c r="U24" s="651"/>
      <c r="V24" s="651"/>
      <c r="W24" s="651"/>
      <c r="X24" s="652"/>
      <c r="Y24" s="55"/>
      <c r="Z24" s="64"/>
      <c r="AA24" s="580"/>
      <c r="AB24" s="56"/>
      <c r="AC24" s="56"/>
    </row>
    <row r="25" spans="1:29" ht="36" customHeight="1">
      <c r="A25" s="648" t="s">
        <v>2470</v>
      </c>
      <c r="B25" s="649"/>
      <c r="C25" s="649"/>
      <c r="D25" s="649"/>
      <c r="E25" s="649"/>
      <c r="F25" s="649"/>
      <c r="G25" s="649"/>
      <c r="H25" s="650"/>
      <c r="I25" s="653"/>
      <c r="J25" s="654"/>
      <c r="K25" s="654"/>
      <c r="L25" s="654"/>
      <c r="M25" s="654"/>
      <c r="N25" s="654"/>
      <c r="O25" s="654"/>
      <c r="P25" s="654"/>
      <c r="Q25" s="654"/>
      <c r="R25" s="654"/>
      <c r="S25" s="654"/>
      <c r="T25" s="654"/>
      <c r="U25" s="654"/>
      <c r="V25" s="654"/>
      <c r="W25" s="654"/>
      <c r="X25" s="655"/>
      <c r="Y25" s="64"/>
      <c r="Z25" s="64"/>
      <c r="AA25" s="580"/>
      <c r="AB25" s="56"/>
      <c r="AC25" s="56"/>
    </row>
    <row r="26" spans="1:29" ht="36" customHeight="1">
      <c r="A26" s="626" t="s">
        <v>2014</v>
      </c>
      <c r="B26" s="627"/>
      <c r="C26" s="627"/>
      <c r="D26" s="627"/>
      <c r="E26" s="627"/>
      <c r="F26" s="627"/>
      <c r="G26" s="627"/>
      <c r="H26" s="628"/>
      <c r="I26" s="648">
        <f>'様式1-5(計画事業場）'!D6</f>
        <v>0</v>
      </c>
      <c r="J26" s="649"/>
      <c r="K26" s="649"/>
      <c r="L26" s="649"/>
      <c r="M26" s="649"/>
      <c r="N26" s="649"/>
      <c r="O26" s="63" t="s">
        <v>2335</v>
      </c>
      <c r="P26" s="63"/>
      <c r="Q26" s="65"/>
      <c r="R26" s="63"/>
      <c r="S26" s="63"/>
      <c r="T26" s="63"/>
      <c r="U26" s="63"/>
      <c r="V26" s="63"/>
      <c r="W26" s="63"/>
      <c r="X26" s="66"/>
      <c r="Y26" s="49"/>
      <c r="Z26" s="49"/>
      <c r="AA26" s="579"/>
    </row>
    <row r="27" spans="1:29" ht="20.149999999999999" customHeight="1">
      <c r="A27" s="626" t="s">
        <v>2015</v>
      </c>
      <c r="B27" s="627"/>
      <c r="C27" s="627"/>
      <c r="D27" s="627"/>
      <c r="E27" s="627"/>
      <c r="F27" s="627"/>
      <c r="G27" s="627"/>
      <c r="H27" s="628"/>
      <c r="I27" s="659" t="s">
        <v>2468</v>
      </c>
      <c r="J27" s="660"/>
      <c r="K27" s="660"/>
      <c r="L27" s="661"/>
      <c r="M27" s="662"/>
      <c r="N27" s="663"/>
      <c r="O27" s="663"/>
      <c r="P27" s="663"/>
      <c r="Q27" s="663"/>
      <c r="R27" s="663"/>
      <c r="S27" s="663"/>
      <c r="T27" s="663"/>
      <c r="U27" s="663"/>
      <c r="V27" s="663"/>
      <c r="W27" s="663"/>
      <c r="X27" s="664"/>
      <c r="Y27" s="67"/>
      <c r="Z27" s="68"/>
      <c r="AA27" s="579"/>
    </row>
    <row r="28" spans="1:29" ht="20.149999999999999" customHeight="1">
      <c r="A28" s="656"/>
      <c r="B28" s="657"/>
      <c r="C28" s="657"/>
      <c r="D28" s="657"/>
      <c r="E28" s="657"/>
      <c r="F28" s="657"/>
      <c r="G28" s="657"/>
      <c r="H28" s="658"/>
      <c r="I28" s="665" t="s">
        <v>2471</v>
      </c>
      <c r="J28" s="666"/>
      <c r="K28" s="666"/>
      <c r="L28" s="667"/>
      <c r="M28" s="662"/>
      <c r="N28" s="675"/>
      <c r="O28" s="675"/>
      <c r="P28" s="675"/>
      <c r="Q28" s="675"/>
      <c r="R28" s="675"/>
      <c r="S28" s="675"/>
      <c r="T28" s="675"/>
      <c r="U28" s="675"/>
      <c r="V28" s="675"/>
      <c r="W28" s="675"/>
      <c r="X28" s="676"/>
      <c r="Y28" s="67"/>
      <c r="Z28" s="68"/>
      <c r="AA28" s="579"/>
    </row>
    <row r="29" spans="1:29" ht="20.149999999999999" customHeight="1">
      <c r="A29" s="656"/>
      <c r="B29" s="657"/>
      <c r="C29" s="657"/>
      <c r="D29" s="657"/>
      <c r="E29" s="657"/>
      <c r="F29" s="657"/>
      <c r="G29" s="657"/>
      <c r="H29" s="658"/>
      <c r="I29" s="665" t="s">
        <v>2332</v>
      </c>
      <c r="J29" s="666"/>
      <c r="K29" s="666"/>
      <c r="L29" s="667"/>
      <c r="M29" s="668"/>
      <c r="N29" s="669"/>
      <c r="O29" s="669"/>
      <c r="P29" s="669"/>
      <c r="Q29" s="669"/>
      <c r="R29" s="669"/>
      <c r="S29" s="669"/>
      <c r="T29" s="669"/>
      <c r="U29" s="669"/>
      <c r="V29" s="669"/>
      <c r="W29" s="669"/>
      <c r="X29" s="670"/>
      <c r="Y29" s="67"/>
      <c r="Z29" s="68"/>
      <c r="AA29" s="579"/>
    </row>
    <row r="30" spans="1:29" ht="20.149999999999999" customHeight="1">
      <c r="A30" s="656"/>
      <c r="B30" s="657"/>
      <c r="C30" s="657"/>
      <c r="D30" s="657"/>
      <c r="E30" s="657"/>
      <c r="F30" s="657"/>
      <c r="G30" s="657"/>
      <c r="H30" s="658"/>
      <c r="I30" s="665" t="s">
        <v>2016</v>
      </c>
      <c r="J30" s="666"/>
      <c r="K30" s="666"/>
      <c r="L30" s="667"/>
      <c r="M30" s="668"/>
      <c r="N30" s="669"/>
      <c r="O30" s="669"/>
      <c r="P30" s="669"/>
      <c r="Q30" s="669"/>
      <c r="R30" s="669"/>
      <c r="S30" s="669"/>
      <c r="T30" s="669"/>
      <c r="U30" s="669"/>
      <c r="V30" s="669"/>
      <c r="W30" s="669"/>
      <c r="X30" s="670"/>
      <c r="Y30" s="49"/>
      <c r="Z30" s="49"/>
      <c r="AA30" s="579"/>
    </row>
    <row r="31" spans="1:29" ht="20.149999999999999" customHeight="1">
      <c r="A31" s="629"/>
      <c r="B31" s="630"/>
      <c r="C31" s="630"/>
      <c r="D31" s="630"/>
      <c r="E31" s="630"/>
      <c r="F31" s="630"/>
      <c r="G31" s="630"/>
      <c r="H31" s="631"/>
      <c r="I31" s="671" t="s">
        <v>2017</v>
      </c>
      <c r="J31" s="672"/>
      <c r="K31" s="672"/>
      <c r="L31" s="673"/>
      <c r="M31" s="674"/>
      <c r="N31" s="675"/>
      <c r="O31" s="675"/>
      <c r="P31" s="675"/>
      <c r="Q31" s="675"/>
      <c r="R31" s="675"/>
      <c r="S31" s="675"/>
      <c r="T31" s="675"/>
      <c r="U31" s="675"/>
      <c r="V31" s="675"/>
      <c r="W31" s="675"/>
      <c r="X31" s="676"/>
      <c r="Y31" s="49"/>
      <c r="Z31" s="49"/>
      <c r="AA31" s="579"/>
    </row>
    <row r="32" spans="1:29" ht="20.149999999999999" customHeight="1">
      <c r="A32" s="602" t="s">
        <v>2472</v>
      </c>
      <c r="B32" s="603"/>
      <c r="C32" s="603"/>
      <c r="D32" s="603"/>
      <c r="E32" s="603"/>
      <c r="F32" s="603"/>
      <c r="G32" s="603"/>
      <c r="H32" s="604"/>
      <c r="I32" s="602"/>
      <c r="J32" s="603"/>
      <c r="K32" s="603"/>
      <c r="L32" s="603"/>
      <c r="M32" s="603"/>
      <c r="N32" s="603"/>
      <c r="O32" s="603"/>
      <c r="P32" s="603"/>
      <c r="Q32" s="603"/>
      <c r="R32" s="603"/>
      <c r="S32" s="603"/>
      <c r="T32" s="603"/>
      <c r="U32" s="603"/>
      <c r="V32" s="603"/>
      <c r="W32" s="603"/>
      <c r="X32" s="604"/>
      <c r="Y32" s="69"/>
    </row>
    <row r="33" spans="1:25" s="71" customFormat="1" ht="20.25"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row>
    <row r="34" spans="1:25" s="71" customFormat="1" ht="16.5" customHeight="1">
      <c r="A34" s="72"/>
      <c r="B34" s="70"/>
      <c r="C34" s="70"/>
      <c r="D34" s="70"/>
      <c r="E34" s="70"/>
      <c r="F34" s="70"/>
      <c r="G34" s="70"/>
      <c r="H34" s="70"/>
      <c r="I34" s="70"/>
      <c r="J34" s="70"/>
      <c r="K34" s="70"/>
      <c r="L34" s="70"/>
      <c r="M34" s="70"/>
      <c r="N34" s="70"/>
      <c r="O34" s="70"/>
      <c r="P34" s="70"/>
      <c r="Q34" s="70"/>
      <c r="R34" s="70"/>
      <c r="S34" s="70"/>
      <c r="T34" s="70"/>
      <c r="U34" s="70"/>
      <c r="V34" s="70"/>
      <c r="W34" s="70"/>
      <c r="X34" s="70"/>
      <c r="Y34" s="70"/>
    </row>
    <row r="35" spans="1:25" s="71" customFormat="1" ht="16.5" customHeight="1">
      <c r="A35" s="72"/>
      <c r="B35" s="70"/>
      <c r="C35" s="70"/>
      <c r="D35" s="70"/>
      <c r="E35" s="70"/>
      <c r="F35" s="70"/>
      <c r="G35" s="70"/>
      <c r="H35" s="70"/>
      <c r="I35" s="70"/>
      <c r="J35" s="70"/>
      <c r="K35" s="70"/>
      <c r="L35" s="70"/>
      <c r="M35" s="70"/>
      <c r="N35" s="70"/>
      <c r="O35" s="70"/>
      <c r="P35" s="70"/>
      <c r="Q35" s="70"/>
      <c r="R35" s="70"/>
      <c r="S35" s="70"/>
      <c r="T35" s="70"/>
      <c r="U35" s="70"/>
      <c r="V35" s="70"/>
      <c r="W35" s="70"/>
      <c r="X35" s="70"/>
      <c r="Y35" s="70"/>
    </row>
    <row r="36" spans="1:25" s="71" customFormat="1" ht="16.5" customHeight="1">
      <c r="A36" s="72"/>
      <c r="B36" s="70"/>
      <c r="C36" s="70"/>
      <c r="D36" s="70"/>
      <c r="E36" s="70"/>
      <c r="F36" s="70"/>
      <c r="G36" s="70"/>
      <c r="H36" s="70"/>
      <c r="I36" s="70"/>
      <c r="J36" s="70"/>
      <c r="K36" s="70"/>
      <c r="L36" s="70"/>
      <c r="M36" s="70"/>
      <c r="N36" s="70"/>
      <c r="O36" s="70"/>
      <c r="P36" s="70"/>
      <c r="Q36" s="70"/>
      <c r="R36" s="70"/>
      <c r="S36" s="70"/>
      <c r="T36" s="70"/>
      <c r="U36" s="70"/>
      <c r="V36" s="70"/>
      <c r="W36" s="70"/>
      <c r="X36" s="70"/>
      <c r="Y36" s="70"/>
    </row>
    <row r="37" spans="1:25" s="71" customFormat="1" ht="16.5" customHeight="1">
      <c r="A37" s="72"/>
      <c r="B37" s="70"/>
      <c r="C37" s="70"/>
      <c r="D37" s="70"/>
      <c r="E37" s="70"/>
      <c r="F37" s="70"/>
      <c r="G37" s="70"/>
      <c r="H37" s="70"/>
      <c r="I37" s="70"/>
      <c r="J37" s="70"/>
      <c r="K37" s="70"/>
      <c r="L37" s="70"/>
      <c r="M37" s="70"/>
      <c r="N37" s="70"/>
      <c r="O37" s="70"/>
      <c r="P37" s="70"/>
      <c r="Q37" s="70"/>
      <c r="R37" s="70"/>
      <c r="S37" s="70"/>
      <c r="T37" s="70"/>
      <c r="U37" s="70"/>
      <c r="V37" s="70"/>
      <c r="W37" s="70"/>
      <c r="X37" s="70"/>
      <c r="Y37" s="70"/>
    </row>
    <row r="38" spans="1:25" s="71" customFormat="1" ht="16.5" customHeight="1">
      <c r="A38" s="72"/>
      <c r="B38" s="70"/>
      <c r="C38" s="70"/>
      <c r="D38" s="70"/>
      <c r="E38" s="70"/>
      <c r="F38" s="70"/>
      <c r="G38" s="70"/>
      <c r="H38" s="70"/>
      <c r="I38" s="70"/>
      <c r="J38" s="70"/>
      <c r="K38" s="70"/>
      <c r="L38" s="70"/>
      <c r="M38" s="70"/>
      <c r="N38" s="70"/>
      <c r="O38" s="70"/>
      <c r="P38" s="70"/>
      <c r="Q38" s="70"/>
      <c r="R38" s="70"/>
      <c r="S38" s="70"/>
      <c r="T38" s="70"/>
      <c r="U38" s="70"/>
      <c r="V38" s="70"/>
      <c r="W38" s="70"/>
      <c r="X38" s="70"/>
      <c r="Y38" s="70"/>
    </row>
    <row r="39" spans="1:25" s="71" customFormat="1" ht="16.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row>
    <row r="40" spans="1:25" s="71" customFormat="1" ht="20.25" customHeight="1"/>
  </sheetData>
  <sheetProtection algorithmName="SHA-512" hashValue="ZYg8/EFilhVT36ZpuNF9Ok505AT+h7vviabCPXeGR4zXoMIh8nkWH5doZWfcepfP0GTyLK7Dh+oDBWTjqoiBLw==" saltValue="qvNeNRrNeKhmxAzdN7XesA==" spinCount="100000" sheet="1" objects="1" scenarios="1"/>
  <mergeCells count="45">
    <mergeCell ref="A27:H31"/>
    <mergeCell ref="I27:L27"/>
    <mergeCell ref="M27:X27"/>
    <mergeCell ref="I29:L29"/>
    <mergeCell ref="M29:X29"/>
    <mergeCell ref="I30:L30"/>
    <mergeCell ref="M30:X30"/>
    <mergeCell ref="I31:L31"/>
    <mergeCell ref="M31:X31"/>
    <mergeCell ref="I28:L28"/>
    <mergeCell ref="M28:X28"/>
    <mergeCell ref="A24:H24"/>
    <mergeCell ref="I24:Q24"/>
    <mergeCell ref="R24:S24"/>
    <mergeCell ref="T24:X24"/>
    <mergeCell ref="A26:H26"/>
    <mergeCell ref="I26:N26"/>
    <mergeCell ref="A25:H25"/>
    <mergeCell ref="I25:X25"/>
    <mergeCell ref="A22:H23"/>
    <mergeCell ref="I22:L23"/>
    <mergeCell ref="M22:M23"/>
    <mergeCell ref="S22:U22"/>
    <mergeCell ref="S23:U23"/>
    <mergeCell ref="A20:H21"/>
    <mergeCell ref="J20:K20"/>
    <mergeCell ref="M20:N20"/>
    <mergeCell ref="I21:X21"/>
    <mergeCell ref="O20:X20"/>
    <mergeCell ref="A32:H32"/>
    <mergeCell ref="I32:X32"/>
    <mergeCell ref="S3:W3"/>
    <mergeCell ref="A5:F5"/>
    <mergeCell ref="M7:N7"/>
    <mergeCell ref="P7:Q7"/>
    <mergeCell ref="M8:X9"/>
    <mergeCell ref="J10:K10"/>
    <mergeCell ref="M10:X10"/>
    <mergeCell ref="M11:X11"/>
    <mergeCell ref="M12:X12"/>
    <mergeCell ref="A15:X15"/>
    <mergeCell ref="A17:X17"/>
    <mergeCell ref="A18:H19"/>
    <mergeCell ref="I18:X18"/>
    <mergeCell ref="I19:X19"/>
  </mergeCells>
  <phoneticPr fontId="3"/>
  <dataValidations count="9">
    <dataValidation imeMode="halfAlpha" allowBlank="1" showInputMessage="1" showErrorMessage="1" sqref="M31:X31 I32:X32" xr:uid="{00000000-0002-0000-0100-000000000000}"/>
    <dataValidation imeMode="hiragana" allowBlank="1" showInputMessage="1" showErrorMessage="1" sqref="A5:F5 M8:X9 M11:X12 M27:M28 N27:X27 I21:X21 I25:X25" xr:uid="{00000000-0002-0000-0100-000001000000}"/>
    <dataValidation type="whole" allowBlank="1" showInputMessage="1" showErrorMessage="1" sqref="R3 T24:X24" xr:uid="{00000000-0002-0000-0100-000002000000}">
      <formula1>1</formula1>
      <formula2>99</formula2>
    </dataValidation>
    <dataValidation type="whole" imeMode="off" allowBlank="1" showInputMessage="1" showErrorMessage="1" sqref="P7:Q7" xr:uid="{00000000-0002-0000-0100-000003000000}">
      <formula1>0</formula1>
      <formula2>9999</formula2>
    </dataValidation>
    <dataValidation type="whole" imeMode="off" allowBlank="1" showInputMessage="1" showErrorMessage="1" sqref="M7:N7" xr:uid="{00000000-0002-0000-0100-000004000000}">
      <formula1>0</formula1>
      <formula2>999</formula2>
    </dataValidation>
    <dataValidation imeMode="halfKatakana" allowBlank="1" showInputMessage="1" showErrorMessage="1" sqref="M10:X10" xr:uid="{00000000-0002-0000-0100-000005000000}"/>
    <dataValidation imeMode="off" allowBlank="1" showInputMessage="1" showErrorMessage="1" sqref="L20 O7 M30:X30" xr:uid="{00000000-0002-0000-0100-000006000000}"/>
    <dataValidation type="whole" allowBlank="1" showInputMessage="1" showErrorMessage="1" sqref="J20:K20" xr:uid="{00000000-0002-0000-0100-000007000000}">
      <formula1>0</formula1>
      <formula2>999</formula2>
    </dataValidation>
    <dataValidation type="whole" allowBlank="1" showInputMessage="1" showErrorMessage="1" sqref="M20:N20" xr:uid="{00000000-0002-0000-0100-000008000000}">
      <formula1>0</formula1>
      <formula2>9999</formula2>
    </dataValidation>
  </dataValidations>
  <pageMargins left="0.7" right="0.7" top="0.75" bottom="0.75" header="0.3" footer="0.3"/>
  <pageSetup paperSize="9" scale="97" orientation="portrait" horizontalDpi="300" verticalDpi="300" r:id="rId1"/>
  <colBreaks count="1" manualBreakCount="1">
    <brk id="2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66"/>
    <pageSetUpPr fitToPage="1"/>
  </sheetPr>
  <dimension ref="A1:CH754"/>
  <sheetViews>
    <sheetView zoomScale="85" zoomScaleNormal="85" zoomScaleSheetLayoutView="100" workbookViewId="0">
      <selection activeCell="CF16" sqref="CF16:CF515"/>
    </sheetView>
  </sheetViews>
  <sheetFormatPr defaultColWidth="9" defaultRowHeight="13"/>
  <cols>
    <col min="1" max="1" width="6" style="3" customWidth="1"/>
    <col min="2" max="2" width="2.90625" style="3" customWidth="1"/>
    <col min="3" max="3" width="6.6328125" style="3" customWidth="1"/>
    <col min="4" max="4" width="5.08984375" style="3" customWidth="1"/>
    <col min="5" max="5" width="2.6328125" style="3" customWidth="1"/>
    <col min="6" max="6" width="4.26953125" style="3" customWidth="1"/>
    <col min="7" max="7" width="10.90625" style="3" customWidth="1"/>
    <col min="8" max="8" width="15.6328125" style="3" customWidth="1"/>
    <col min="9" max="9" width="5" style="4" customWidth="1"/>
    <col min="10" max="10" width="6.7265625" style="3" bestFit="1" customWidth="1"/>
    <col min="11" max="11" width="15.6328125" style="3" customWidth="1"/>
    <col min="12" max="12" width="6.6328125" style="3" hidden="1" customWidth="1"/>
    <col min="13" max="13" width="10.6328125" style="3" hidden="1" customWidth="1"/>
    <col min="14" max="14" width="16" style="3" bestFit="1" customWidth="1"/>
    <col min="15" max="16" width="4.90625" style="3" hidden="1" customWidth="1"/>
    <col min="17" max="18" width="5.6328125" style="3" hidden="1" customWidth="1"/>
    <col min="19" max="19" width="5.6328125" style="3" customWidth="1"/>
    <col min="20" max="20" width="4.90625" style="3" customWidth="1"/>
    <col min="21" max="21" width="5.26953125" style="6" hidden="1" customWidth="1"/>
    <col min="22" max="24" width="5.26953125" style="3" hidden="1" customWidth="1"/>
    <col min="25" max="25" width="8.08984375" style="3" hidden="1" customWidth="1"/>
    <col min="26" max="26" width="14.36328125" style="3" hidden="1" customWidth="1"/>
    <col min="27" max="27" width="16" style="3" hidden="1" customWidth="1"/>
    <col min="28" max="28" width="11" style="3" hidden="1" customWidth="1"/>
    <col min="29" max="29" width="7" style="3" hidden="1" customWidth="1"/>
    <col min="30" max="30" width="7.7265625" style="3" hidden="1" customWidth="1"/>
    <col min="31" max="31" width="12.7265625" style="3" hidden="1" customWidth="1"/>
    <col min="32" max="32" width="9.7265625" style="3" hidden="1" customWidth="1"/>
    <col min="33" max="33" width="12.90625" style="3" hidden="1" customWidth="1"/>
    <col min="34" max="34" width="11.453125" style="3" hidden="1" customWidth="1"/>
    <col min="35" max="35" width="23.6328125" style="3" hidden="1" customWidth="1"/>
    <col min="36" max="37" width="12.36328125" style="3" hidden="1" customWidth="1"/>
    <col min="38" max="38" width="23.08984375" style="3" hidden="1" customWidth="1"/>
    <col min="39" max="40" width="11.36328125" style="3" hidden="1" customWidth="1"/>
    <col min="41" max="41" width="9.7265625" style="3" hidden="1" customWidth="1"/>
    <col min="42" max="42" width="10.90625" style="3" hidden="1" customWidth="1"/>
    <col min="43" max="43" width="7" style="3" hidden="1" customWidth="1"/>
    <col min="44" max="44" width="9.453125" style="3" hidden="1" customWidth="1"/>
    <col min="45" max="45" width="4.26953125" style="3" hidden="1" customWidth="1"/>
    <col min="46" max="46" width="5.26953125" style="3" hidden="1" customWidth="1"/>
    <col min="47" max="47" width="16.08984375" style="3" hidden="1" customWidth="1"/>
    <col min="48" max="48" width="5.08984375" style="3" hidden="1" customWidth="1"/>
    <col min="49" max="50" width="5.90625" style="3" hidden="1" customWidth="1"/>
    <col min="51" max="51" width="8" style="3" hidden="1" customWidth="1"/>
    <col min="52" max="52" width="5.36328125" style="3" hidden="1" customWidth="1"/>
    <col min="53" max="53" width="13.90625" style="3" hidden="1" customWidth="1"/>
    <col min="54" max="54" width="2.36328125" style="3" hidden="1" customWidth="1"/>
    <col min="55" max="55" width="16.7265625" style="3" hidden="1" customWidth="1"/>
    <col min="56" max="56" width="5.90625" style="3" hidden="1" customWidth="1"/>
    <col min="57" max="57" width="22.90625" style="3" hidden="1" customWidth="1"/>
    <col min="58" max="59" width="5.90625" style="3" hidden="1" customWidth="1"/>
    <col min="60" max="60" width="16" style="3" hidden="1" customWidth="1"/>
    <col min="61" max="61" width="11.453125" style="3" hidden="1" customWidth="1"/>
    <col min="62" max="62" width="10.26953125" style="3" hidden="1" customWidth="1"/>
    <col min="63" max="65" width="9" style="3" hidden="1" customWidth="1"/>
    <col min="66" max="66" width="7.453125" style="3" hidden="1" customWidth="1"/>
    <col min="67" max="67" width="8" style="3" hidden="1" customWidth="1"/>
    <col min="68" max="71" width="9" style="3" hidden="1" customWidth="1"/>
    <col min="72" max="73" width="18" style="3" hidden="1" customWidth="1"/>
    <col min="74" max="83" width="9" style="3" hidden="1" customWidth="1"/>
    <col min="84" max="84" width="9" style="3" customWidth="1"/>
    <col min="85" max="86" width="8.7265625" customWidth="1"/>
    <col min="87" max="16384" width="9" style="3"/>
  </cols>
  <sheetData>
    <row r="1" spans="1:86" ht="21.25" customHeight="1">
      <c r="A1" s="315" t="s">
        <v>2990</v>
      </c>
      <c r="C1"/>
      <c r="F1"/>
      <c r="G1"/>
      <c r="H1"/>
      <c r="I1"/>
      <c r="J1"/>
      <c r="K1"/>
      <c r="L1"/>
      <c r="M1"/>
      <c r="N1"/>
    </row>
    <row r="2" spans="1:86" ht="30.25" customHeight="1">
      <c r="A2" s="197"/>
      <c r="G2"/>
      <c r="H2"/>
      <c r="I2"/>
      <c r="J2"/>
      <c r="K2"/>
    </row>
    <row r="3" spans="1:86" ht="16.5" hidden="1">
      <c r="B3" s="679" t="s">
        <v>1954</v>
      </c>
      <c r="C3" s="680"/>
      <c r="D3" s="681"/>
      <c r="E3" s="681"/>
      <c r="F3" s="682"/>
      <c r="G3"/>
      <c r="H3"/>
      <c r="I3"/>
      <c r="J3"/>
      <c r="K3"/>
      <c r="L3" s="151" t="s">
        <v>2461</v>
      </c>
      <c r="M3" s="96"/>
    </row>
    <row r="4" spans="1:86" ht="17.5" hidden="1" customHeight="1">
      <c r="B4" s="683"/>
      <c r="C4" s="684"/>
      <c r="D4" s="685"/>
      <c r="E4" s="685"/>
      <c r="F4" s="686"/>
      <c r="G4"/>
      <c r="H4"/>
      <c r="I4"/>
      <c r="J4"/>
      <c r="K4"/>
      <c r="L4" s="196"/>
      <c r="M4" s="96"/>
      <c r="N4" s="96"/>
    </row>
    <row r="5" spans="1:86" ht="17.5" hidden="1" customHeight="1" thickBot="1">
      <c r="B5" s="687"/>
      <c r="C5" s="688"/>
      <c r="D5" s="688"/>
      <c r="E5" s="688"/>
      <c r="F5" s="689"/>
      <c r="G5"/>
      <c r="H5"/>
      <c r="I5"/>
      <c r="J5"/>
      <c r="K5"/>
      <c r="L5" s="196"/>
      <c r="M5" s="96"/>
      <c r="N5" s="96"/>
    </row>
    <row r="6" spans="1:86" ht="16.5" hidden="1">
      <c r="B6" s="679" t="s">
        <v>2138</v>
      </c>
      <c r="C6" s="680"/>
      <c r="D6" s="681"/>
      <c r="E6" s="681"/>
      <c r="F6" s="682"/>
      <c r="G6"/>
      <c r="H6"/>
      <c r="I6"/>
      <c r="J6"/>
      <c r="K6"/>
      <c r="L6" s="151" t="s">
        <v>2461</v>
      </c>
      <c r="M6" s="96"/>
    </row>
    <row r="7" spans="1:86" ht="17.5" hidden="1" customHeight="1">
      <c r="B7" s="683"/>
      <c r="C7" s="684"/>
      <c r="D7" s="685"/>
      <c r="E7" s="685"/>
      <c r="F7" s="686"/>
      <c r="G7"/>
      <c r="H7"/>
      <c r="I7"/>
      <c r="J7"/>
      <c r="K7"/>
      <c r="L7" s="196"/>
      <c r="M7" s="96"/>
      <c r="N7" s="96"/>
    </row>
    <row r="8" spans="1:86" ht="17.5" hidden="1" customHeight="1" thickBot="1">
      <c r="B8" s="687"/>
      <c r="C8" s="688"/>
      <c r="D8" s="688"/>
      <c r="E8" s="688"/>
      <c r="F8" s="689"/>
      <c r="G8"/>
      <c r="H8"/>
      <c r="I8"/>
      <c r="J8"/>
      <c r="K8"/>
      <c r="L8" s="196"/>
      <c r="M8" s="96"/>
      <c r="N8" s="96"/>
    </row>
    <row r="9" spans="1:86" ht="16.5">
      <c r="B9" s="317"/>
      <c r="C9" s="317"/>
      <c r="D9" s="317"/>
      <c r="E9" s="317"/>
      <c r="F9" s="317"/>
      <c r="G9"/>
      <c r="H9" s="91"/>
      <c r="I9" s="91" t="s">
        <v>2991</v>
      </c>
      <c r="J9"/>
      <c r="K9"/>
      <c r="L9" s="329"/>
      <c r="M9" s="96"/>
      <c r="N9" s="194"/>
    </row>
    <row r="10" spans="1:86" ht="17.5" customHeight="1">
      <c r="B10" s="317"/>
      <c r="C10" s="317"/>
      <c r="D10" s="317"/>
      <c r="E10" s="317"/>
      <c r="F10" s="317"/>
      <c r="G10" s="317"/>
      <c r="H10" s="91" t="s">
        <v>2992</v>
      </c>
      <c r="I10" s="91">
        <f>COUNTIF(I16:I515,"ZA?")</f>
        <v>0</v>
      </c>
      <c r="J10" s="317"/>
      <c r="K10" s="317"/>
      <c r="L10" s="329"/>
      <c r="M10" s="96"/>
      <c r="N10" s="96"/>
      <c r="AT10" s="96"/>
    </row>
    <row r="11" spans="1:86" ht="17.5" customHeight="1">
      <c r="B11" s="317"/>
      <c r="C11" s="317"/>
      <c r="D11" s="317"/>
      <c r="E11" s="317"/>
      <c r="F11" s="317"/>
      <c r="G11" s="317"/>
      <c r="H11" s="91" t="s">
        <v>2993</v>
      </c>
      <c r="I11" s="91">
        <f>COUNTIF(I16:I515,"ZB?")</f>
        <v>0</v>
      </c>
      <c r="J11" s="317"/>
      <c r="K11" s="317"/>
      <c r="L11" s="329"/>
      <c r="M11" s="96"/>
      <c r="N11" s="96"/>
      <c r="AT11" s="96"/>
    </row>
    <row r="12" spans="1:86" ht="18" customHeight="1">
      <c r="B12" s="195"/>
      <c r="C12" s="195"/>
      <c r="D12" s="195"/>
      <c r="E12" s="195"/>
      <c r="F12" s="195"/>
      <c r="G12" s="195"/>
      <c r="H12" s="333"/>
      <c r="I12" s="334"/>
      <c r="J12" s="195"/>
      <c r="L12" s="195"/>
      <c r="M12" s="195"/>
      <c r="AT12" s="96"/>
    </row>
    <row r="13" spans="1:86" ht="17" thickBot="1">
      <c r="B13" s="3" t="s">
        <v>2145</v>
      </c>
      <c r="H13" s="371" t="str">
        <f>IF(SUM(U16:U515)&gt;=1,"事業場コードを入力してください","")</f>
        <v/>
      </c>
      <c r="K13" s="5"/>
      <c r="AT13" s="96"/>
    </row>
    <row r="14" spans="1:86" ht="42" customHeight="1">
      <c r="A14" s="690" t="s">
        <v>2432</v>
      </c>
      <c r="B14" s="692" t="s">
        <v>221</v>
      </c>
      <c r="C14" s="694" t="s">
        <v>2023</v>
      </c>
      <c r="D14" s="695"/>
      <c r="E14" s="695"/>
      <c r="F14" s="696"/>
      <c r="G14" s="697" t="s">
        <v>1949</v>
      </c>
      <c r="H14" s="697" t="s">
        <v>2441</v>
      </c>
      <c r="I14" s="699" t="s">
        <v>2442</v>
      </c>
      <c r="J14" s="703" t="s">
        <v>2443</v>
      </c>
      <c r="K14" s="703" t="s">
        <v>1789</v>
      </c>
      <c r="L14" s="694" t="s">
        <v>1951</v>
      </c>
      <c r="M14" s="696"/>
      <c r="N14" s="581" t="s">
        <v>2994</v>
      </c>
      <c r="O14" s="705" t="s">
        <v>1964</v>
      </c>
      <c r="P14" s="706"/>
      <c r="Q14" s="705" t="s">
        <v>2137</v>
      </c>
      <c r="R14" s="709"/>
      <c r="S14" s="707" t="s">
        <v>2474</v>
      </c>
      <c r="T14" s="44"/>
      <c r="U14" s="162"/>
      <c r="V14" s="163"/>
      <c r="W14" s="163"/>
      <c r="X14" s="163"/>
      <c r="Y14" s="163"/>
      <c r="Z14" s="163"/>
      <c r="AA14" s="163"/>
      <c r="AB14" s="163"/>
      <c r="AC14" s="163"/>
      <c r="AD14" s="470" t="s">
        <v>2974</v>
      </c>
      <c r="AE14" s="163"/>
      <c r="AG14" s="163"/>
      <c r="AH14" s="470" t="s">
        <v>2974</v>
      </c>
      <c r="AI14" s="163"/>
      <c r="AJ14" s="163"/>
      <c r="AK14" s="470" t="s">
        <v>2974</v>
      </c>
      <c r="AL14" s="163"/>
      <c r="AM14" s="163"/>
      <c r="AN14" s="163"/>
      <c r="AO14" s="163"/>
      <c r="AP14" s="163"/>
      <c r="AQ14" s="163"/>
      <c r="AR14" s="163"/>
      <c r="AS14" s="163"/>
      <c r="AT14" s="701"/>
      <c r="CF14" s="677" t="s">
        <v>2996</v>
      </c>
    </row>
    <row r="15" spans="1:86" ht="42" customHeight="1" thickBot="1">
      <c r="A15" s="691"/>
      <c r="B15" s="693"/>
      <c r="C15" s="94" t="s">
        <v>2018</v>
      </c>
      <c r="D15" s="94" t="s">
        <v>2019</v>
      </c>
      <c r="E15" s="94" t="s">
        <v>2020</v>
      </c>
      <c r="F15" s="94" t="s">
        <v>2021</v>
      </c>
      <c r="G15" s="698"/>
      <c r="H15" s="698"/>
      <c r="I15" s="700"/>
      <c r="J15" s="704"/>
      <c r="K15" s="704"/>
      <c r="L15" s="94" t="s">
        <v>1952</v>
      </c>
      <c r="M15" s="132" t="s">
        <v>1953</v>
      </c>
      <c r="N15" s="576" t="s">
        <v>2995</v>
      </c>
      <c r="O15" s="38" t="s">
        <v>1965</v>
      </c>
      <c r="P15" s="38" t="s">
        <v>1966</v>
      </c>
      <c r="Q15" s="39" t="s">
        <v>1793</v>
      </c>
      <c r="R15" s="321" t="s">
        <v>1794</v>
      </c>
      <c r="S15" s="708"/>
      <c r="T15" s="45"/>
      <c r="U15" s="158" t="s">
        <v>1792</v>
      </c>
      <c r="V15" s="161" t="s">
        <v>2025</v>
      </c>
      <c r="W15" s="161" t="s">
        <v>2026</v>
      </c>
      <c r="X15" s="161" t="s">
        <v>2027</v>
      </c>
      <c r="Y15" s="161" t="s">
        <v>1786</v>
      </c>
      <c r="Z15" s="161" t="s">
        <v>2444</v>
      </c>
      <c r="AA15" s="161" t="s">
        <v>1785</v>
      </c>
      <c r="AB15" s="161" t="s">
        <v>2445</v>
      </c>
      <c r="AC15" s="161" t="s">
        <v>2446</v>
      </c>
      <c r="AD15" s="471" t="s">
        <v>1977</v>
      </c>
      <c r="AE15" s="161" t="s">
        <v>1784</v>
      </c>
      <c r="AF15" s="161" t="s">
        <v>1783</v>
      </c>
      <c r="AG15" s="161" t="s">
        <v>2424</v>
      </c>
      <c r="AH15" s="471" t="s">
        <v>1782</v>
      </c>
      <c r="AI15" s="161" t="s">
        <v>2425</v>
      </c>
      <c r="AJ15" s="161" t="s">
        <v>1923</v>
      </c>
      <c r="AK15" s="471" t="s">
        <v>1924</v>
      </c>
      <c r="AL15" s="161" t="s">
        <v>2426</v>
      </c>
      <c r="AM15" s="161" t="s">
        <v>2427</v>
      </c>
      <c r="AN15" s="161" t="s">
        <v>2428</v>
      </c>
      <c r="AO15" s="161" t="s">
        <v>2431</v>
      </c>
      <c r="AP15" s="161" t="s">
        <v>200</v>
      </c>
      <c r="AQ15" s="161" t="s">
        <v>2274</v>
      </c>
      <c r="AR15" s="161" t="s">
        <v>2272</v>
      </c>
      <c r="AS15" s="161" t="s">
        <v>2276</v>
      </c>
      <c r="AT15" s="702"/>
      <c r="AZ15" s="470" t="s">
        <v>2974</v>
      </c>
      <c r="CF15" s="678"/>
    </row>
    <row r="16" spans="1:86" s="13" customFormat="1" ht="13.75" customHeight="1">
      <c r="A16" s="136">
        <v>1</v>
      </c>
      <c r="B16" s="133"/>
      <c r="C16" s="95"/>
      <c r="D16" s="99"/>
      <c r="E16" s="95"/>
      <c r="F16" s="95"/>
      <c r="G16" s="189"/>
      <c r="H16" s="32"/>
      <c r="I16" s="33"/>
      <c r="J16" s="34"/>
      <c r="K16" s="32"/>
      <c r="L16" s="143"/>
      <c r="M16" s="144"/>
      <c r="N16" s="582"/>
      <c r="O16" s="227" t="str">
        <f>IF(ISBLANK(K16)=TRUE,"",IF(ISNUMBER(AG16)=TRUE,AG16,"0"))</f>
        <v/>
      </c>
      <c r="P16" s="227" t="str">
        <f>IF(ISBLANK($K16)=TRUE,"",IF(ISNUMBER(AJ16)=TRUE,AJ16,"0"))</f>
        <v/>
      </c>
      <c r="Q16" s="228" t="str">
        <f>IF(O16="","",IF(ISERROR(O16*N16*Z16),"0",IF(ISBLANK(O16)=TRUE,"0",IF(ISBLANK(N16)=TRUE,"0",IF(AS16=1,"0",O16*N16*Z16/1000)))))</f>
        <v/>
      </c>
      <c r="R16" s="322" t="str">
        <f>IF(P16="","",IF(ISERROR(P16*N16*Z16),"0",IF(ISBLANK(P16)=TRUE,"0",IF(ISBLANK(N16)=TRUE,"0",IF(AS16=1,"0",P16*N16*Z16/1000)))))</f>
        <v/>
      </c>
      <c r="S16" s="350"/>
      <c r="T16" s="43"/>
      <c r="U16" s="347" t="str">
        <f>IF(ISBLANK(H16)=TRUE,"",IF(OR(ISBLANK(B16)=TRUE),1,""))</f>
        <v/>
      </c>
      <c r="V16" s="7" t="e">
        <f t="shared" ref="V16:V79" si="0">VLOOKUP(H16,$AU$17:$AX$23,2,FALSE)</f>
        <v>#N/A</v>
      </c>
      <c r="W16" s="7" t="e">
        <f t="shared" ref="W16:W79" si="1">VLOOKUP(H16,$AU$17:$AX$23,3,FALSE)</f>
        <v>#N/A</v>
      </c>
      <c r="X16" s="7" t="e">
        <f t="shared" ref="X16:X79" si="2">VLOOKUP(H16,$AU$17:$AX$23,4,FALSE)</f>
        <v>#N/A</v>
      </c>
      <c r="Y16" s="7" t="str">
        <f t="shared" ref="Y16:Y79" si="3">IF(ISERROR(SEARCH("-",I16,1))=TRUE,ASC(UPPER(I16)),ASC(UPPER(LEFT(I16,SEARCH("-",I16,1)-1))))</f>
        <v/>
      </c>
      <c r="Z16" s="11">
        <f t="shared" ref="Z16:Z79" si="4">IF(J16&gt;3500,J16/1000,1)</f>
        <v>1</v>
      </c>
      <c r="AA16" s="7" t="e">
        <f t="shared" ref="AA16:AA79" si="5">IF(X16=9,0,IF(J16&lt;=1700,1,IF(J16&lt;=2500,2,IF(J16&lt;=3500,3,4))))</f>
        <v>#N/A</v>
      </c>
      <c r="AB16" s="7" t="e">
        <f>IF(X16=5,0,IF(X16=9,0,IF(J16&lt;=1700,1,IF(J16&lt;=2500,2,IF(J16&lt;=3500,3,4)))))</f>
        <v>#N/A</v>
      </c>
      <c r="AC16" s="7" t="e">
        <f t="shared" ref="AC16:AC79" si="6">VLOOKUP(K16,$BC$17:$BD$25,2,FALSE)</f>
        <v>#N/A</v>
      </c>
      <c r="AD16" s="472" t="e">
        <f>VLOOKUP(AF16,'排出係数(2017)'!$A$4:$I$1151,9,FALSE)</f>
        <v>#N/A</v>
      </c>
      <c r="AE16" s="12" t="str">
        <f t="shared" ref="AE16:AE79" si="7">IF(OR(ISBLANK(K16)=TRUE,ISBLANK(B16)=TRUE)," ",CONCATENATE(B16,X16,AA16))</f>
        <v xml:space="preserve"> </v>
      </c>
      <c r="AF16" s="7" t="e">
        <f>CONCATENATE(V16,AB16,AC16,Y16)</f>
        <v>#N/A</v>
      </c>
      <c r="AG16" s="7" t="e">
        <f t="shared" ref="AG16:AG79" si="8">IF(AND(L16="あり",AC16="軽"),AI16,AH16)</f>
        <v>#N/A</v>
      </c>
      <c r="AH16" s="472" t="e">
        <f>VLOOKUP(AF16,'排出係数(2017)'!$A$4:$I$1151,6,FALSE)</f>
        <v>#N/A</v>
      </c>
      <c r="AI16" s="7" t="e">
        <f t="shared" ref="AI16:AI79" si="9">VLOOKUP(AB16,$BQ$17:$BU$21,2,FALSE)</f>
        <v>#N/A</v>
      </c>
      <c r="AJ16" s="7" t="e">
        <f t="shared" ref="AJ16:AJ79" si="10">IF(AND(L16="あり",M16="なし",AC16="軽"),AL16,IF(AND(L16="あり",M16="あり(H17なし)",AC16="軽"),AL16,IF(AND(L16="あり",M16="",AC16="軽"),AL16,IF(AND(L16="なし",M16="あり(H17なし)",AC16="軽"),AM16,IF(AND(L16="",M16="あり(H17なし)",AC16="軽"),AM16,IF(AND(M16="あり(H17あり)",AC16="軽"),AN16,AK16))))))</f>
        <v>#N/A</v>
      </c>
      <c r="AK16" s="472" t="e">
        <f>VLOOKUP(AF16,'排出係数(2017)'!$A$4:$I$1151,7,FALSE)</f>
        <v>#N/A</v>
      </c>
      <c r="AL16" s="7" t="e">
        <f t="shared" ref="AL16:AL79" si="11">VLOOKUP(AB16,$BQ$17:$BU$21,3,FALSE)</f>
        <v>#N/A</v>
      </c>
      <c r="AM16" s="7" t="e">
        <f t="shared" ref="AM16:AM79" si="12">VLOOKUP(AB16,$BQ$17:$BU$21,4,FALSE)</f>
        <v>#N/A</v>
      </c>
      <c r="AN16" s="7" t="e">
        <f t="shared" ref="AN16:AN79" si="13">VLOOKUP(AB16,$BQ$17:$BU$21,5,FALSE)</f>
        <v>#N/A</v>
      </c>
      <c r="AO16" s="7">
        <f t="shared" ref="AO16:AO79" si="14">IF(AND(L16="なし",M16="なし"),0,IF(AND(L16="",M16=""),0,IF(AND(L16="",M16="なし"),0,IF(AND(L16="なし",M16=""),0,1))))</f>
        <v>0</v>
      </c>
      <c r="AP16" s="7" t="e">
        <f>VLOOKUP(AF16,排出係数表,8,FALSE)</f>
        <v>#N/A</v>
      </c>
      <c r="AQ16" s="7" t="str">
        <f t="shared" ref="AQ16:AQ79" si="15">IF(H16="","",VLOOKUP(H16,$AU$17:$AY$25,5,FALSE))</f>
        <v/>
      </c>
      <c r="AR16" s="7" t="str">
        <f t="shared" ref="AR16:AR79" si="16">IF(D16="","",VLOOKUP(CONCATENATE("A",LEFT(D16)),$BN$17:$BO$26,2,FALSE))</f>
        <v/>
      </c>
      <c r="AS16" s="7" t="str">
        <f t="shared" ref="AS16:AS79" si="17">IF(AQ16=AR16,"",1)</f>
        <v/>
      </c>
      <c r="AT16" s="97"/>
      <c r="AU16" s="164" t="s">
        <v>2140</v>
      </c>
      <c r="AV16" s="164" t="s">
        <v>2025</v>
      </c>
      <c r="AW16" s="164" t="s">
        <v>2026</v>
      </c>
      <c r="AX16" s="164" t="s">
        <v>2027</v>
      </c>
      <c r="AY16" s="164" t="s">
        <v>2028</v>
      </c>
      <c r="AZ16" s="476" t="s">
        <v>2442</v>
      </c>
      <c r="BA16" s="164" t="s">
        <v>2141</v>
      </c>
      <c r="BB16" s="164"/>
      <c r="BC16" s="164" t="s">
        <v>2142</v>
      </c>
      <c r="BD16" s="164" t="s">
        <v>2447</v>
      </c>
      <c r="BE16" s="164" t="s">
        <v>2455</v>
      </c>
      <c r="BF16" s="164" t="s">
        <v>2447</v>
      </c>
      <c r="BG16" s="164" t="s">
        <v>1967</v>
      </c>
      <c r="BH16" s="164" t="s">
        <v>2144</v>
      </c>
      <c r="BI16" s="164"/>
      <c r="BJ16" s="164" t="s">
        <v>221</v>
      </c>
      <c r="BK16" s="164" t="s">
        <v>2143</v>
      </c>
      <c r="BL16" s="164" t="s">
        <v>227</v>
      </c>
      <c r="BM16" s="164"/>
      <c r="BN16" s="164" t="s">
        <v>74</v>
      </c>
      <c r="BO16" s="164" t="s">
        <v>1790</v>
      </c>
      <c r="BP16" s="164" t="s">
        <v>2141</v>
      </c>
      <c r="BQ16" s="164" t="s">
        <v>2422</v>
      </c>
      <c r="BR16" s="164" t="s">
        <v>2423</v>
      </c>
      <c r="BS16" s="164" t="s">
        <v>2347</v>
      </c>
      <c r="BT16" s="164" t="s">
        <v>2429</v>
      </c>
      <c r="BU16" s="164" t="s">
        <v>2430</v>
      </c>
      <c r="BW16" s="164" t="s">
        <v>74</v>
      </c>
      <c r="BX16" s="164" t="s">
        <v>43</v>
      </c>
      <c r="BY16" s="164" t="s">
        <v>2271</v>
      </c>
      <c r="BZ16" s="164" t="s">
        <v>1796</v>
      </c>
      <c r="CA16" s="164" t="s">
        <v>44</v>
      </c>
      <c r="CB16" s="164" t="s">
        <v>2273</v>
      </c>
      <c r="CC16" s="164" t="s">
        <v>45</v>
      </c>
      <c r="CE16" s="324" t="s">
        <v>2474</v>
      </c>
      <c r="CF16" s="585" t="str">
        <f>IF(COUNTA(B16:F16,H16:K16)&gt;0,IF(OR(ISNUMBER(AH16)=FALSE,ISNUMBER(AK16)=FALSE,COUNTA(B16:F16,H16:K16)&lt;9),"×","〇"),"")</f>
        <v/>
      </c>
      <c r="CG16"/>
      <c r="CH16"/>
    </row>
    <row r="17" spans="1:86" s="13" customFormat="1" ht="13.75" customHeight="1">
      <c r="A17" s="137">
        <v>2</v>
      </c>
      <c r="B17" s="134"/>
      <c r="C17" s="8"/>
      <c r="D17" s="100"/>
      <c r="E17" s="8"/>
      <c r="F17" s="8"/>
      <c r="G17" s="190"/>
      <c r="H17" s="8"/>
      <c r="I17" s="9"/>
      <c r="J17" s="10"/>
      <c r="K17" s="325"/>
      <c r="L17" s="145"/>
      <c r="M17" s="146"/>
      <c r="N17" s="583"/>
      <c r="O17" s="229" t="str">
        <f t="shared" ref="O17:O80" si="18">IF(ISBLANK(K17)=TRUE,"",IF(ISNUMBER(AG17)=TRUE,AG17,"0"))</f>
        <v/>
      </c>
      <c r="P17" s="229" t="str">
        <f t="shared" ref="P17:P80" si="19">IF(ISBLANK($K17)=TRUE,"",IF(ISNUMBER(AJ17)=TRUE,AJ17,"0"))</f>
        <v/>
      </c>
      <c r="Q17" s="230" t="str">
        <f t="shared" ref="Q17:Q80" si="20">IF(O17="","",IF(ISERROR(O17*N17*Z17),"0",IF(ISBLANK(O17)=TRUE,"0",IF(ISBLANK(N17)=TRUE,"0",IF(AS17=1,"0",O17*N17*Z17/1000)))))</f>
        <v/>
      </c>
      <c r="R17" s="323" t="str">
        <f t="shared" ref="R17:R80" si="21">IF(P17="","",IF(ISERROR(P17*N17*Z17),"0",IF(ISBLANK(P17)=TRUE,"0",IF(ISBLANK(N17)=TRUE,"0",IF(AS17=1,"0",P17*N17*Z17/1000)))))</f>
        <v/>
      </c>
      <c r="S17" s="350"/>
      <c r="T17" s="43"/>
      <c r="U17" s="347" t="str">
        <f t="shared" ref="U17:U79" si="22">IF(ISBLANK(H17)=TRUE,"",IF(OR(ISBLANK(B17)=TRUE),1,""))</f>
        <v/>
      </c>
      <c r="V17" s="7" t="e">
        <f t="shared" si="0"/>
        <v>#N/A</v>
      </c>
      <c r="W17" s="7" t="e">
        <f t="shared" si="1"/>
        <v>#N/A</v>
      </c>
      <c r="X17" s="7" t="e">
        <f t="shared" si="2"/>
        <v>#N/A</v>
      </c>
      <c r="Y17" s="7" t="str">
        <f t="shared" si="3"/>
        <v/>
      </c>
      <c r="Z17" s="11">
        <f t="shared" si="4"/>
        <v>1</v>
      </c>
      <c r="AA17" s="7" t="e">
        <f t="shared" si="5"/>
        <v>#N/A</v>
      </c>
      <c r="AB17" s="7" t="e">
        <f t="shared" ref="AB17:AB79" si="23">IF(X17=5,0,IF(X17=9,0,IF(J17&lt;=1700,1,IF(J17&lt;=2500,2,IF(J17&lt;=3500,3,4)))))</f>
        <v>#N/A</v>
      </c>
      <c r="AC17" s="7" t="e">
        <f t="shared" si="6"/>
        <v>#N/A</v>
      </c>
      <c r="AD17" s="472" t="e">
        <f>VLOOKUP(AF17,'排出係数(2017)'!$A$4:$I$1151,9,FALSE)</f>
        <v>#N/A</v>
      </c>
      <c r="AE17" s="12" t="str">
        <f t="shared" si="7"/>
        <v xml:space="preserve"> </v>
      </c>
      <c r="AF17" s="7" t="e">
        <f t="shared" ref="AF17:AF80" si="24">CONCATENATE(V17,AB17,AC17,Y17)</f>
        <v>#N/A</v>
      </c>
      <c r="AG17" s="7" t="e">
        <f t="shared" si="8"/>
        <v>#N/A</v>
      </c>
      <c r="AH17" s="472" t="e">
        <f>VLOOKUP(AF17,'排出係数(2017)'!$A$4:$I$1151,6,FALSE)</f>
        <v>#N/A</v>
      </c>
      <c r="AI17" s="7" t="e">
        <f t="shared" si="9"/>
        <v>#N/A</v>
      </c>
      <c r="AJ17" s="7" t="e">
        <f t="shared" si="10"/>
        <v>#N/A</v>
      </c>
      <c r="AK17" s="472" t="e">
        <f>VLOOKUP(AF17,'排出係数(2017)'!$A$4:$I$1151,7,FALSE)</f>
        <v>#N/A</v>
      </c>
      <c r="AL17" s="7" t="e">
        <f t="shared" si="11"/>
        <v>#N/A</v>
      </c>
      <c r="AM17" s="7" t="e">
        <f t="shared" si="12"/>
        <v>#N/A</v>
      </c>
      <c r="AN17" s="7" t="e">
        <f t="shared" si="13"/>
        <v>#N/A</v>
      </c>
      <c r="AO17" s="7">
        <f t="shared" si="14"/>
        <v>0</v>
      </c>
      <c r="AP17" s="7" t="e">
        <f t="shared" ref="AP17:AP80" si="25">VLOOKUP(AF17,排出係数表,8,FALSE)</f>
        <v>#N/A</v>
      </c>
      <c r="AQ17" s="7" t="str">
        <f t="shared" si="15"/>
        <v/>
      </c>
      <c r="AR17" s="7" t="str">
        <f t="shared" si="16"/>
        <v/>
      </c>
      <c r="AS17" s="7" t="str">
        <f t="shared" si="17"/>
        <v/>
      </c>
      <c r="AT17" s="97"/>
      <c r="AU17" s="13" t="s">
        <v>224</v>
      </c>
      <c r="AV17" s="13" t="s">
        <v>2448</v>
      </c>
      <c r="AW17" s="13" t="s">
        <v>2448</v>
      </c>
      <c r="AX17" s="13">
        <v>1</v>
      </c>
      <c r="AY17" s="13" t="s">
        <v>43</v>
      </c>
      <c r="AZ17" s="477" t="s">
        <v>2457</v>
      </c>
      <c r="BA17" s="13" t="s">
        <v>2437</v>
      </c>
      <c r="BB17" s="13">
        <v>1</v>
      </c>
      <c r="BC17" s="18" t="s">
        <v>2454</v>
      </c>
      <c r="BD17" s="13" t="s">
        <v>2452</v>
      </c>
      <c r="BE17" s="17" t="s">
        <v>1976</v>
      </c>
      <c r="BF17" s="13" t="s">
        <v>2346</v>
      </c>
      <c r="BG17" s="13" t="s">
        <v>2346</v>
      </c>
      <c r="BH17" s="13" t="s">
        <v>1958</v>
      </c>
      <c r="BJ17" s="17">
        <v>1</v>
      </c>
      <c r="BK17" s="13" t="s">
        <v>1855</v>
      </c>
      <c r="BL17" s="13" t="s">
        <v>1788</v>
      </c>
      <c r="BN17" s="13" t="s">
        <v>2275</v>
      </c>
      <c r="BO17" s="13" t="s">
        <v>43</v>
      </c>
      <c r="BP17" s="13" t="s">
        <v>2273</v>
      </c>
      <c r="BQ17" s="13">
        <v>0</v>
      </c>
      <c r="BR17" s="13">
        <v>0.48</v>
      </c>
      <c r="BS17" s="13">
        <v>5.5E-2</v>
      </c>
      <c r="BT17" s="13">
        <v>5.5E-2</v>
      </c>
      <c r="BU17" s="13">
        <v>5.5E-2</v>
      </c>
      <c r="BW17" s="13" t="s">
        <v>43</v>
      </c>
      <c r="BX17" s="13" t="s">
        <v>224</v>
      </c>
      <c r="BY17" s="13" t="s">
        <v>225</v>
      </c>
      <c r="BZ17" s="13" t="s">
        <v>223</v>
      </c>
      <c r="CA17" s="13" t="s">
        <v>226</v>
      </c>
      <c r="CB17" s="13" t="s">
        <v>1978</v>
      </c>
      <c r="CC17" s="13" t="s">
        <v>1853</v>
      </c>
      <c r="CF17" s="586" t="str">
        <f t="shared" ref="CF17:CF80" si="26">IF(COUNTA(B17:F17,H17:K17)&gt;0,IF(OR(ISNUMBER(AH17)=FALSE,ISNUMBER(AK17)=FALSE,COUNTA(B17:F17,H17:K17)&lt;9),"×","〇"),"")</f>
        <v/>
      </c>
      <c r="CG17"/>
      <c r="CH17"/>
    </row>
    <row r="18" spans="1:86" s="13" customFormat="1" ht="13.75" customHeight="1">
      <c r="A18" s="137">
        <v>3</v>
      </c>
      <c r="B18" s="134"/>
      <c r="C18" s="8"/>
      <c r="D18" s="100"/>
      <c r="E18" s="8"/>
      <c r="F18" s="8"/>
      <c r="G18" s="190"/>
      <c r="H18" s="8"/>
      <c r="I18" s="9"/>
      <c r="J18" s="10"/>
      <c r="K18" s="8"/>
      <c r="L18" s="145"/>
      <c r="M18" s="146"/>
      <c r="N18" s="583"/>
      <c r="O18" s="229" t="str">
        <f t="shared" si="18"/>
        <v/>
      </c>
      <c r="P18" s="229" t="str">
        <f t="shared" si="19"/>
        <v/>
      </c>
      <c r="Q18" s="230" t="str">
        <f t="shared" si="20"/>
        <v/>
      </c>
      <c r="R18" s="323" t="str">
        <f t="shared" si="21"/>
        <v/>
      </c>
      <c r="S18" s="350"/>
      <c r="T18" s="43"/>
      <c r="U18" s="347" t="str">
        <f t="shared" si="22"/>
        <v/>
      </c>
      <c r="V18" s="7" t="e">
        <f t="shared" si="0"/>
        <v>#N/A</v>
      </c>
      <c r="W18" s="7" t="e">
        <f t="shared" si="1"/>
        <v>#N/A</v>
      </c>
      <c r="X18" s="7" t="e">
        <f t="shared" si="2"/>
        <v>#N/A</v>
      </c>
      <c r="Y18" s="7" t="str">
        <f t="shared" si="3"/>
        <v/>
      </c>
      <c r="Z18" s="11">
        <f t="shared" si="4"/>
        <v>1</v>
      </c>
      <c r="AA18" s="7" t="e">
        <f t="shared" si="5"/>
        <v>#N/A</v>
      </c>
      <c r="AB18" s="7" t="e">
        <f>IF(X18=5,0,IF(X18=9,0,IF(J18&lt;=1700,1,IF(J18&lt;=2500,2,IF(J18&lt;=3500,3,4)))))</f>
        <v>#N/A</v>
      </c>
      <c r="AC18" s="7" t="e">
        <f t="shared" si="6"/>
        <v>#N/A</v>
      </c>
      <c r="AD18" s="472" t="e">
        <f>VLOOKUP(AF18,'排出係数(2017)'!$A$4:$I$1151,9,FALSE)</f>
        <v>#N/A</v>
      </c>
      <c r="AE18" s="12" t="str">
        <f t="shared" si="7"/>
        <v xml:space="preserve"> </v>
      </c>
      <c r="AF18" s="7" t="e">
        <f t="shared" si="24"/>
        <v>#N/A</v>
      </c>
      <c r="AG18" s="7" t="e">
        <f t="shared" si="8"/>
        <v>#N/A</v>
      </c>
      <c r="AH18" s="472" t="e">
        <f>VLOOKUP(AF18,'排出係数(2017)'!$A$4:$I$1151,6,FALSE)</f>
        <v>#N/A</v>
      </c>
      <c r="AI18" s="7" t="e">
        <f t="shared" si="9"/>
        <v>#N/A</v>
      </c>
      <c r="AJ18" s="7" t="e">
        <f t="shared" si="10"/>
        <v>#N/A</v>
      </c>
      <c r="AK18" s="472" t="e">
        <f>VLOOKUP(AF18,'排出係数(2017)'!$A$4:$I$1151,7,FALSE)</f>
        <v>#N/A</v>
      </c>
      <c r="AL18" s="7" t="e">
        <f t="shared" si="11"/>
        <v>#N/A</v>
      </c>
      <c r="AM18" s="7" t="e">
        <f t="shared" si="12"/>
        <v>#N/A</v>
      </c>
      <c r="AN18" s="7" t="e">
        <f t="shared" si="13"/>
        <v>#N/A</v>
      </c>
      <c r="AO18" s="7">
        <f t="shared" si="14"/>
        <v>0</v>
      </c>
      <c r="AP18" s="7" t="e">
        <f t="shared" si="25"/>
        <v>#N/A</v>
      </c>
      <c r="AQ18" s="7" t="str">
        <f t="shared" si="15"/>
        <v/>
      </c>
      <c r="AR18" s="7" t="str">
        <f t="shared" si="16"/>
        <v/>
      </c>
      <c r="AS18" s="7" t="str">
        <f t="shared" si="17"/>
        <v/>
      </c>
      <c r="AT18" s="97"/>
      <c r="AU18" s="13" t="s">
        <v>225</v>
      </c>
      <c r="AV18" s="13" t="s">
        <v>2448</v>
      </c>
      <c r="AW18" s="13" t="s">
        <v>2449</v>
      </c>
      <c r="AX18" s="13">
        <v>2</v>
      </c>
      <c r="AY18" s="13" t="s">
        <v>2271</v>
      </c>
      <c r="AZ18" s="477" t="s">
        <v>35</v>
      </c>
      <c r="BA18" s="13" t="s">
        <v>2438</v>
      </c>
      <c r="BB18" s="13">
        <v>2</v>
      </c>
      <c r="BC18" s="18" t="s">
        <v>1757</v>
      </c>
      <c r="BD18" s="13" t="s">
        <v>1797</v>
      </c>
      <c r="BE18" s="18" t="s">
        <v>2197</v>
      </c>
      <c r="BF18" s="13" t="s">
        <v>1797</v>
      </c>
      <c r="BG18" s="13" t="s">
        <v>2200</v>
      </c>
      <c r="BH18" s="13" t="s">
        <v>1957</v>
      </c>
      <c r="BJ18" s="18">
        <v>2</v>
      </c>
      <c r="BK18" s="13" t="s">
        <v>1856</v>
      </c>
      <c r="BN18" s="13" t="s">
        <v>1795</v>
      </c>
      <c r="BO18" s="13" t="s">
        <v>1796</v>
      </c>
      <c r="BP18" s="13" t="s">
        <v>2437</v>
      </c>
      <c r="BQ18" s="13">
        <v>1</v>
      </c>
      <c r="BR18" s="13">
        <v>0.48</v>
      </c>
      <c r="BS18" s="13">
        <v>5.5E-2</v>
      </c>
      <c r="BT18" s="13">
        <v>0.08</v>
      </c>
      <c r="BU18" s="13">
        <v>5.1999999999999998E-2</v>
      </c>
      <c r="BW18" s="13" t="s">
        <v>1796</v>
      </c>
      <c r="BZ18" s="13" t="s">
        <v>1799</v>
      </c>
      <c r="CA18" s="13" t="s">
        <v>1950</v>
      </c>
      <c r="CE18" s="13" t="s">
        <v>2474</v>
      </c>
      <c r="CF18" s="586" t="str">
        <f t="shared" si="26"/>
        <v/>
      </c>
      <c r="CG18"/>
      <c r="CH18"/>
    </row>
    <row r="19" spans="1:86" s="13" customFormat="1" ht="13.75" customHeight="1">
      <c r="A19" s="137">
        <v>4</v>
      </c>
      <c r="B19" s="134"/>
      <c r="C19" s="8"/>
      <c r="D19" s="100"/>
      <c r="E19" s="8"/>
      <c r="F19" s="8"/>
      <c r="G19" s="190"/>
      <c r="H19" s="8"/>
      <c r="I19" s="9"/>
      <c r="J19" s="10"/>
      <c r="K19" s="8"/>
      <c r="L19" s="145"/>
      <c r="M19" s="146"/>
      <c r="N19" s="583"/>
      <c r="O19" s="229" t="str">
        <f t="shared" si="18"/>
        <v/>
      </c>
      <c r="P19" s="229" t="str">
        <f t="shared" si="19"/>
        <v/>
      </c>
      <c r="Q19" s="230" t="str">
        <f t="shared" si="20"/>
        <v/>
      </c>
      <c r="R19" s="323" t="str">
        <f t="shared" si="21"/>
        <v/>
      </c>
      <c r="S19" s="350"/>
      <c r="T19" s="43"/>
      <c r="U19" s="347" t="str">
        <f t="shared" si="22"/>
        <v/>
      </c>
      <c r="V19" s="7" t="e">
        <f t="shared" si="0"/>
        <v>#N/A</v>
      </c>
      <c r="W19" s="7" t="e">
        <f t="shared" si="1"/>
        <v>#N/A</v>
      </c>
      <c r="X19" s="7" t="e">
        <f t="shared" si="2"/>
        <v>#N/A</v>
      </c>
      <c r="Y19" s="7" t="str">
        <f t="shared" si="3"/>
        <v/>
      </c>
      <c r="Z19" s="11">
        <f t="shared" si="4"/>
        <v>1</v>
      </c>
      <c r="AA19" s="7" t="e">
        <f t="shared" si="5"/>
        <v>#N/A</v>
      </c>
      <c r="AB19" s="7" t="e">
        <f t="shared" si="23"/>
        <v>#N/A</v>
      </c>
      <c r="AC19" s="7" t="e">
        <f t="shared" si="6"/>
        <v>#N/A</v>
      </c>
      <c r="AD19" s="472" t="e">
        <f>VLOOKUP(AF19,'排出係数(2017)'!$A$4:$I$1151,9,FALSE)</f>
        <v>#N/A</v>
      </c>
      <c r="AE19" s="12" t="str">
        <f t="shared" si="7"/>
        <v xml:space="preserve"> </v>
      </c>
      <c r="AF19" s="7" t="e">
        <f t="shared" si="24"/>
        <v>#N/A</v>
      </c>
      <c r="AG19" s="7" t="e">
        <f t="shared" si="8"/>
        <v>#N/A</v>
      </c>
      <c r="AH19" s="472" t="e">
        <f>VLOOKUP(AF19,'排出係数(2017)'!$A$4:$I$1151,6,FALSE)</f>
        <v>#N/A</v>
      </c>
      <c r="AI19" s="7" t="e">
        <f t="shared" si="9"/>
        <v>#N/A</v>
      </c>
      <c r="AJ19" s="7" t="e">
        <f t="shared" si="10"/>
        <v>#N/A</v>
      </c>
      <c r="AK19" s="472" t="e">
        <f>VLOOKUP(AF19,'排出係数(2017)'!$A$4:$I$1151,7,FALSE)</f>
        <v>#N/A</v>
      </c>
      <c r="AL19" s="7" t="e">
        <f t="shared" si="11"/>
        <v>#N/A</v>
      </c>
      <c r="AM19" s="7" t="e">
        <f t="shared" si="12"/>
        <v>#N/A</v>
      </c>
      <c r="AN19" s="7" t="e">
        <f t="shared" si="13"/>
        <v>#N/A</v>
      </c>
      <c r="AO19" s="7">
        <f t="shared" si="14"/>
        <v>0</v>
      </c>
      <c r="AP19" s="7" t="e">
        <f t="shared" si="25"/>
        <v>#N/A</v>
      </c>
      <c r="AQ19" s="7" t="str">
        <f t="shared" si="15"/>
        <v/>
      </c>
      <c r="AR19" s="7" t="str">
        <f t="shared" si="16"/>
        <v/>
      </c>
      <c r="AS19" s="7" t="str">
        <f t="shared" si="17"/>
        <v/>
      </c>
      <c r="AT19" s="97"/>
      <c r="AU19" s="13" t="s">
        <v>223</v>
      </c>
      <c r="AV19" s="13" t="s">
        <v>2448</v>
      </c>
      <c r="AW19" s="13" t="s">
        <v>2450</v>
      </c>
      <c r="AX19" s="13">
        <v>3</v>
      </c>
      <c r="AY19" s="13" t="s">
        <v>1796</v>
      </c>
      <c r="AZ19" s="477" t="s">
        <v>1402</v>
      </c>
      <c r="BA19" s="13" t="s">
        <v>2439</v>
      </c>
      <c r="BB19" s="13">
        <v>3</v>
      </c>
      <c r="BC19" s="18" t="s">
        <v>1975</v>
      </c>
      <c r="BD19" s="13" t="s">
        <v>1833</v>
      </c>
      <c r="BE19" s="18" t="s">
        <v>2198</v>
      </c>
      <c r="BF19" s="13" t="s">
        <v>1797</v>
      </c>
      <c r="BG19" s="13" t="s">
        <v>2202</v>
      </c>
      <c r="BH19" s="13" t="s">
        <v>1856</v>
      </c>
      <c r="BJ19" s="18">
        <v>3</v>
      </c>
      <c r="BN19" s="13" t="s">
        <v>1798</v>
      </c>
      <c r="BO19" s="13" t="s">
        <v>2273</v>
      </c>
      <c r="BP19" s="13" t="s">
        <v>2438</v>
      </c>
      <c r="BQ19" s="13">
        <v>2</v>
      </c>
      <c r="BR19" s="13">
        <v>0.63</v>
      </c>
      <c r="BS19" s="13">
        <v>0.06</v>
      </c>
      <c r="BT19" s="13">
        <v>0.09</v>
      </c>
      <c r="BU19" s="13">
        <v>0.06</v>
      </c>
      <c r="BW19" s="13" t="s">
        <v>2273</v>
      </c>
      <c r="CF19" s="586" t="str">
        <f t="shared" si="26"/>
        <v/>
      </c>
      <c r="CG19"/>
      <c r="CH19"/>
    </row>
    <row r="20" spans="1:86" s="13" customFormat="1" ht="13.75" customHeight="1">
      <c r="A20" s="137">
        <v>5</v>
      </c>
      <c r="B20" s="134"/>
      <c r="C20" s="8"/>
      <c r="D20" s="100"/>
      <c r="E20" s="8"/>
      <c r="F20" s="8"/>
      <c r="G20" s="190"/>
      <c r="H20" s="8"/>
      <c r="I20" s="9"/>
      <c r="J20" s="10"/>
      <c r="K20" s="8"/>
      <c r="L20" s="145"/>
      <c r="M20" s="146"/>
      <c r="N20" s="583"/>
      <c r="O20" s="229" t="str">
        <f t="shared" si="18"/>
        <v/>
      </c>
      <c r="P20" s="229" t="str">
        <f t="shared" si="19"/>
        <v/>
      </c>
      <c r="Q20" s="230" t="str">
        <f t="shared" si="20"/>
        <v/>
      </c>
      <c r="R20" s="323" t="str">
        <f t="shared" si="21"/>
        <v/>
      </c>
      <c r="S20" s="350"/>
      <c r="T20" s="43"/>
      <c r="U20" s="347" t="str">
        <f t="shared" si="22"/>
        <v/>
      </c>
      <c r="V20" s="7" t="e">
        <f t="shared" si="0"/>
        <v>#N/A</v>
      </c>
      <c r="W20" s="7" t="e">
        <f t="shared" si="1"/>
        <v>#N/A</v>
      </c>
      <c r="X20" s="7" t="e">
        <f t="shared" si="2"/>
        <v>#N/A</v>
      </c>
      <c r="Y20" s="7" t="str">
        <f t="shared" si="3"/>
        <v/>
      </c>
      <c r="Z20" s="11">
        <f t="shared" si="4"/>
        <v>1</v>
      </c>
      <c r="AA20" s="7" t="e">
        <f t="shared" si="5"/>
        <v>#N/A</v>
      </c>
      <c r="AB20" s="7" t="e">
        <f t="shared" si="23"/>
        <v>#N/A</v>
      </c>
      <c r="AC20" s="7" t="e">
        <f t="shared" si="6"/>
        <v>#N/A</v>
      </c>
      <c r="AD20" s="472" t="e">
        <f>VLOOKUP(AF20,'排出係数(2017)'!$A$4:$I$1151,9,FALSE)</f>
        <v>#N/A</v>
      </c>
      <c r="AE20" s="12" t="str">
        <f t="shared" si="7"/>
        <v xml:space="preserve"> </v>
      </c>
      <c r="AF20" s="7" t="e">
        <f t="shared" si="24"/>
        <v>#N/A</v>
      </c>
      <c r="AG20" s="7" t="e">
        <f t="shared" si="8"/>
        <v>#N/A</v>
      </c>
      <c r="AH20" s="472" t="e">
        <f>VLOOKUP(AF20,'排出係数(2017)'!$A$4:$I$1151,6,FALSE)</f>
        <v>#N/A</v>
      </c>
      <c r="AI20" s="7" t="e">
        <f t="shared" si="9"/>
        <v>#N/A</v>
      </c>
      <c r="AJ20" s="7" t="e">
        <f t="shared" si="10"/>
        <v>#N/A</v>
      </c>
      <c r="AK20" s="472" t="e">
        <f>VLOOKUP(AF20,'排出係数(2017)'!$A$4:$I$1151,7,FALSE)</f>
        <v>#N/A</v>
      </c>
      <c r="AL20" s="7" t="e">
        <f t="shared" si="11"/>
        <v>#N/A</v>
      </c>
      <c r="AM20" s="7" t="e">
        <f t="shared" si="12"/>
        <v>#N/A</v>
      </c>
      <c r="AN20" s="7" t="e">
        <f t="shared" si="13"/>
        <v>#N/A</v>
      </c>
      <c r="AO20" s="7">
        <f t="shared" si="14"/>
        <v>0</v>
      </c>
      <c r="AP20" s="7" t="e">
        <f t="shared" si="25"/>
        <v>#N/A</v>
      </c>
      <c r="AQ20" s="7" t="str">
        <f t="shared" si="15"/>
        <v/>
      </c>
      <c r="AR20" s="7" t="str">
        <f t="shared" si="16"/>
        <v/>
      </c>
      <c r="AS20" s="7" t="str">
        <f t="shared" si="17"/>
        <v/>
      </c>
      <c r="AT20" s="97"/>
      <c r="AU20" s="13" t="s">
        <v>1799</v>
      </c>
      <c r="AV20" s="13" t="s">
        <v>2448</v>
      </c>
      <c r="AW20" s="13" t="s">
        <v>2450</v>
      </c>
      <c r="AX20" s="13">
        <v>4</v>
      </c>
      <c r="AY20" s="13" t="s">
        <v>1796</v>
      </c>
      <c r="AZ20" s="477" t="s">
        <v>255</v>
      </c>
      <c r="BA20" s="13" t="s">
        <v>2440</v>
      </c>
      <c r="BB20" s="13">
        <v>4</v>
      </c>
      <c r="BC20" s="17" t="s">
        <v>1976</v>
      </c>
      <c r="BD20" s="13" t="s">
        <v>2346</v>
      </c>
      <c r="BE20" s="18" t="s">
        <v>2199</v>
      </c>
      <c r="BF20" s="13" t="s">
        <v>1797</v>
      </c>
      <c r="BG20" s="13" t="s">
        <v>2201</v>
      </c>
      <c r="BJ20" s="18">
        <v>4</v>
      </c>
      <c r="BN20" s="13" t="s">
        <v>1800</v>
      </c>
      <c r="BO20" s="13" t="s">
        <v>2271</v>
      </c>
      <c r="BP20" s="13" t="s">
        <v>2439</v>
      </c>
      <c r="BQ20" s="13">
        <v>3</v>
      </c>
      <c r="BR20" s="13">
        <v>0.63</v>
      </c>
      <c r="BS20" s="13">
        <v>0.06</v>
      </c>
      <c r="BT20" s="13">
        <v>0.09</v>
      </c>
      <c r="BU20" s="13">
        <v>0.06</v>
      </c>
      <c r="BW20" s="13" t="s">
        <v>2271</v>
      </c>
      <c r="CF20" s="586" t="str">
        <f t="shared" si="26"/>
        <v/>
      </c>
      <c r="CG20"/>
      <c r="CH20"/>
    </row>
    <row r="21" spans="1:86" s="13" customFormat="1" ht="13.75" customHeight="1">
      <c r="A21" s="137">
        <v>6</v>
      </c>
      <c r="B21" s="134"/>
      <c r="C21" s="8"/>
      <c r="D21" s="100"/>
      <c r="E21" s="8"/>
      <c r="F21" s="8"/>
      <c r="G21" s="190"/>
      <c r="H21" s="8"/>
      <c r="I21" s="9"/>
      <c r="J21" s="10"/>
      <c r="K21" s="8"/>
      <c r="L21" s="145"/>
      <c r="M21" s="146"/>
      <c r="N21" s="583"/>
      <c r="O21" s="229" t="str">
        <f t="shared" si="18"/>
        <v/>
      </c>
      <c r="P21" s="229" t="str">
        <f t="shared" si="19"/>
        <v/>
      </c>
      <c r="Q21" s="230" t="str">
        <f t="shared" si="20"/>
        <v/>
      </c>
      <c r="R21" s="323" t="str">
        <f t="shared" si="21"/>
        <v/>
      </c>
      <c r="S21" s="350"/>
      <c r="T21" s="43"/>
      <c r="U21" s="347" t="str">
        <f t="shared" si="22"/>
        <v/>
      </c>
      <c r="V21" s="7" t="e">
        <f t="shared" si="0"/>
        <v>#N/A</v>
      </c>
      <c r="W21" s="7" t="e">
        <f t="shared" si="1"/>
        <v>#N/A</v>
      </c>
      <c r="X21" s="7" t="e">
        <f t="shared" si="2"/>
        <v>#N/A</v>
      </c>
      <c r="Y21" s="7" t="str">
        <f t="shared" si="3"/>
        <v/>
      </c>
      <c r="Z21" s="11">
        <f t="shared" si="4"/>
        <v>1</v>
      </c>
      <c r="AA21" s="7" t="e">
        <f t="shared" si="5"/>
        <v>#N/A</v>
      </c>
      <c r="AB21" s="7" t="e">
        <f t="shared" si="23"/>
        <v>#N/A</v>
      </c>
      <c r="AC21" s="7" t="e">
        <f t="shared" si="6"/>
        <v>#N/A</v>
      </c>
      <c r="AD21" s="472" t="e">
        <f>VLOOKUP(AF21,'排出係数(2017)'!$A$4:$I$1151,9,FALSE)</f>
        <v>#N/A</v>
      </c>
      <c r="AE21" s="12" t="str">
        <f t="shared" si="7"/>
        <v xml:space="preserve"> </v>
      </c>
      <c r="AF21" s="7" t="e">
        <f t="shared" si="24"/>
        <v>#N/A</v>
      </c>
      <c r="AG21" s="7" t="e">
        <f t="shared" si="8"/>
        <v>#N/A</v>
      </c>
      <c r="AH21" s="472" t="e">
        <f>VLOOKUP(AF21,'排出係数(2017)'!$A$4:$I$1151,6,FALSE)</f>
        <v>#N/A</v>
      </c>
      <c r="AI21" s="7" t="e">
        <f t="shared" si="9"/>
        <v>#N/A</v>
      </c>
      <c r="AJ21" s="7" t="e">
        <f t="shared" si="10"/>
        <v>#N/A</v>
      </c>
      <c r="AK21" s="472" t="e">
        <f>VLOOKUP(AF21,'排出係数(2017)'!$A$4:$I$1151,7,FALSE)</f>
        <v>#N/A</v>
      </c>
      <c r="AL21" s="7" t="e">
        <f t="shared" si="11"/>
        <v>#N/A</v>
      </c>
      <c r="AM21" s="7" t="e">
        <f t="shared" si="12"/>
        <v>#N/A</v>
      </c>
      <c r="AN21" s="7" t="e">
        <f t="shared" si="13"/>
        <v>#N/A</v>
      </c>
      <c r="AO21" s="7">
        <f t="shared" si="14"/>
        <v>0</v>
      </c>
      <c r="AP21" s="7" t="e">
        <f t="shared" si="25"/>
        <v>#N/A</v>
      </c>
      <c r="AQ21" s="7" t="str">
        <f t="shared" si="15"/>
        <v/>
      </c>
      <c r="AR21" s="7" t="str">
        <f t="shared" si="16"/>
        <v/>
      </c>
      <c r="AS21" s="7" t="str">
        <f t="shared" si="17"/>
        <v/>
      </c>
      <c r="AT21" s="97"/>
      <c r="AU21" s="13" t="s">
        <v>226</v>
      </c>
      <c r="AV21" s="13" t="s">
        <v>2451</v>
      </c>
      <c r="AW21" s="13" t="s">
        <v>2451</v>
      </c>
      <c r="AX21" s="13">
        <v>5</v>
      </c>
      <c r="AY21" s="13" t="s">
        <v>44</v>
      </c>
      <c r="AZ21" s="477" t="s">
        <v>303</v>
      </c>
      <c r="BC21" s="18" t="s">
        <v>1801</v>
      </c>
      <c r="BD21" s="13" t="s">
        <v>1797</v>
      </c>
      <c r="BE21" s="18" t="s">
        <v>1968</v>
      </c>
      <c r="BF21" s="13" t="s">
        <v>2452</v>
      </c>
      <c r="BG21" s="13" t="s">
        <v>1971</v>
      </c>
      <c r="BJ21" s="18">
        <v>5</v>
      </c>
      <c r="BN21" s="13" t="s">
        <v>1802</v>
      </c>
      <c r="BO21" s="13" t="s">
        <v>2273</v>
      </c>
      <c r="BP21" s="13" t="s">
        <v>2440</v>
      </c>
      <c r="BQ21" s="13">
        <v>4</v>
      </c>
      <c r="BR21" s="13">
        <v>0.35</v>
      </c>
      <c r="BS21" s="13">
        <v>2.3E-2</v>
      </c>
      <c r="BT21" s="13">
        <v>2.3E-2</v>
      </c>
      <c r="BU21" s="13">
        <v>1.7000000000000001E-2</v>
      </c>
      <c r="BW21" s="13" t="s">
        <v>44</v>
      </c>
      <c r="CF21" s="586" t="str">
        <f t="shared" si="26"/>
        <v/>
      </c>
      <c r="CG21"/>
      <c r="CH21"/>
    </row>
    <row r="22" spans="1:86" s="13" customFormat="1" ht="13.75" customHeight="1">
      <c r="A22" s="137">
        <v>7</v>
      </c>
      <c r="B22" s="134"/>
      <c r="C22" s="8"/>
      <c r="D22" s="100"/>
      <c r="E22" s="8"/>
      <c r="F22" s="8"/>
      <c r="G22" s="190"/>
      <c r="H22" s="8"/>
      <c r="I22" s="9"/>
      <c r="J22" s="10"/>
      <c r="K22" s="8"/>
      <c r="L22" s="145"/>
      <c r="M22" s="146"/>
      <c r="N22" s="583"/>
      <c r="O22" s="229" t="str">
        <f t="shared" si="18"/>
        <v/>
      </c>
      <c r="P22" s="229" t="str">
        <f t="shared" si="19"/>
        <v/>
      </c>
      <c r="Q22" s="230" t="str">
        <f t="shared" si="20"/>
        <v/>
      </c>
      <c r="R22" s="323" t="str">
        <f t="shared" si="21"/>
        <v/>
      </c>
      <c r="S22" s="350"/>
      <c r="T22" s="43"/>
      <c r="U22" s="347" t="str">
        <f t="shared" si="22"/>
        <v/>
      </c>
      <c r="V22" s="7" t="e">
        <f t="shared" si="0"/>
        <v>#N/A</v>
      </c>
      <c r="W22" s="7" t="e">
        <f t="shared" si="1"/>
        <v>#N/A</v>
      </c>
      <c r="X22" s="7" t="e">
        <f t="shared" si="2"/>
        <v>#N/A</v>
      </c>
      <c r="Y22" s="7" t="str">
        <f t="shared" si="3"/>
        <v/>
      </c>
      <c r="Z22" s="11">
        <f t="shared" si="4"/>
        <v>1</v>
      </c>
      <c r="AA22" s="7" t="e">
        <f t="shared" si="5"/>
        <v>#N/A</v>
      </c>
      <c r="AB22" s="7" t="e">
        <f t="shared" si="23"/>
        <v>#N/A</v>
      </c>
      <c r="AC22" s="7" t="e">
        <f t="shared" si="6"/>
        <v>#N/A</v>
      </c>
      <c r="AD22" s="472" t="e">
        <f>VLOOKUP(AF22,'排出係数(2017)'!$A$4:$I$1151,9,FALSE)</f>
        <v>#N/A</v>
      </c>
      <c r="AE22" s="12" t="str">
        <f t="shared" si="7"/>
        <v xml:space="preserve"> </v>
      </c>
      <c r="AF22" s="7" t="e">
        <f t="shared" si="24"/>
        <v>#N/A</v>
      </c>
      <c r="AG22" s="7" t="e">
        <f t="shared" si="8"/>
        <v>#N/A</v>
      </c>
      <c r="AH22" s="472" t="e">
        <f>VLOOKUP(AF22,'排出係数(2017)'!$A$4:$I$1151,6,FALSE)</f>
        <v>#N/A</v>
      </c>
      <c r="AI22" s="7" t="e">
        <f t="shared" si="9"/>
        <v>#N/A</v>
      </c>
      <c r="AJ22" s="7" t="e">
        <f t="shared" si="10"/>
        <v>#N/A</v>
      </c>
      <c r="AK22" s="472" t="e">
        <f>VLOOKUP(AF22,'排出係数(2017)'!$A$4:$I$1151,7,FALSE)</f>
        <v>#N/A</v>
      </c>
      <c r="AL22" s="7" t="e">
        <f t="shared" si="11"/>
        <v>#N/A</v>
      </c>
      <c r="AM22" s="7" t="e">
        <f t="shared" si="12"/>
        <v>#N/A</v>
      </c>
      <c r="AN22" s="7" t="e">
        <f t="shared" si="13"/>
        <v>#N/A</v>
      </c>
      <c r="AO22" s="7">
        <f t="shared" si="14"/>
        <v>0</v>
      </c>
      <c r="AP22" s="7" t="e">
        <f t="shared" si="25"/>
        <v>#N/A</v>
      </c>
      <c r="AQ22" s="7" t="str">
        <f t="shared" si="15"/>
        <v/>
      </c>
      <c r="AR22" s="7" t="str">
        <f t="shared" si="16"/>
        <v/>
      </c>
      <c r="AS22" s="7" t="str">
        <f t="shared" si="17"/>
        <v/>
      </c>
      <c r="AT22" s="97"/>
      <c r="AU22" s="13" t="s">
        <v>1950</v>
      </c>
      <c r="AV22" s="13" t="s">
        <v>2448</v>
      </c>
      <c r="AW22" s="13" t="s">
        <v>2448</v>
      </c>
      <c r="AX22" s="13">
        <v>6</v>
      </c>
      <c r="AY22" s="13" t="s">
        <v>44</v>
      </c>
      <c r="AZ22" s="477" t="s">
        <v>383</v>
      </c>
      <c r="BC22" s="18" t="s">
        <v>2139</v>
      </c>
      <c r="BD22" s="13" t="s">
        <v>2452</v>
      </c>
      <c r="BE22" s="18" t="s">
        <v>1969</v>
      </c>
      <c r="BF22" s="13" t="s">
        <v>2452</v>
      </c>
      <c r="BG22" s="13" t="s">
        <v>1972</v>
      </c>
      <c r="BJ22" s="18">
        <v>6</v>
      </c>
      <c r="BN22" s="13" t="s">
        <v>1803</v>
      </c>
      <c r="BO22" s="13" t="s">
        <v>2271</v>
      </c>
      <c r="BW22" s="13" t="s">
        <v>45</v>
      </c>
      <c r="CF22" s="586" t="str">
        <f t="shared" si="26"/>
        <v/>
      </c>
      <c r="CG22"/>
      <c r="CH22"/>
    </row>
    <row r="23" spans="1:86" s="13" customFormat="1" ht="13.75" customHeight="1">
      <c r="A23" s="137">
        <v>8</v>
      </c>
      <c r="B23" s="134"/>
      <c r="C23" s="8"/>
      <c r="D23" s="100"/>
      <c r="E23" s="8"/>
      <c r="F23" s="8"/>
      <c r="G23" s="190"/>
      <c r="H23" s="8"/>
      <c r="I23" s="9"/>
      <c r="J23" s="10"/>
      <c r="K23" s="8"/>
      <c r="L23" s="145"/>
      <c r="M23" s="146"/>
      <c r="N23" s="583"/>
      <c r="O23" s="229" t="str">
        <f t="shared" si="18"/>
        <v/>
      </c>
      <c r="P23" s="229" t="str">
        <f t="shared" si="19"/>
        <v/>
      </c>
      <c r="Q23" s="230" t="str">
        <f t="shared" si="20"/>
        <v/>
      </c>
      <c r="R23" s="323" t="str">
        <f t="shared" si="21"/>
        <v/>
      </c>
      <c r="S23" s="350"/>
      <c r="T23" s="43"/>
      <c r="U23" s="347" t="str">
        <f t="shared" si="22"/>
        <v/>
      </c>
      <c r="V23" s="7" t="e">
        <f t="shared" si="0"/>
        <v>#N/A</v>
      </c>
      <c r="W23" s="7" t="e">
        <f t="shared" si="1"/>
        <v>#N/A</v>
      </c>
      <c r="X23" s="7" t="e">
        <f t="shared" si="2"/>
        <v>#N/A</v>
      </c>
      <c r="Y23" s="7" t="str">
        <f t="shared" si="3"/>
        <v/>
      </c>
      <c r="Z23" s="11">
        <f t="shared" si="4"/>
        <v>1</v>
      </c>
      <c r="AA23" s="7" t="e">
        <f t="shared" si="5"/>
        <v>#N/A</v>
      </c>
      <c r="AB23" s="7" t="e">
        <f t="shared" si="23"/>
        <v>#N/A</v>
      </c>
      <c r="AC23" s="7" t="e">
        <f t="shared" si="6"/>
        <v>#N/A</v>
      </c>
      <c r="AD23" s="472" t="e">
        <f>VLOOKUP(AF23,'排出係数(2017)'!$A$4:$I$1151,9,FALSE)</f>
        <v>#N/A</v>
      </c>
      <c r="AE23" s="12" t="str">
        <f t="shared" si="7"/>
        <v xml:space="preserve"> </v>
      </c>
      <c r="AF23" s="7" t="e">
        <f t="shared" si="24"/>
        <v>#N/A</v>
      </c>
      <c r="AG23" s="7" t="e">
        <f t="shared" si="8"/>
        <v>#N/A</v>
      </c>
      <c r="AH23" s="472" t="e">
        <f>VLOOKUP(AF23,'排出係数(2017)'!$A$4:$I$1151,6,FALSE)</f>
        <v>#N/A</v>
      </c>
      <c r="AI23" s="7" t="e">
        <f t="shared" si="9"/>
        <v>#N/A</v>
      </c>
      <c r="AJ23" s="7" t="e">
        <f t="shared" si="10"/>
        <v>#N/A</v>
      </c>
      <c r="AK23" s="472" t="e">
        <f>VLOOKUP(AF23,'排出係数(2017)'!$A$4:$I$1151,7,FALSE)</f>
        <v>#N/A</v>
      </c>
      <c r="AL23" s="7" t="e">
        <f t="shared" si="11"/>
        <v>#N/A</v>
      </c>
      <c r="AM23" s="7" t="e">
        <f t="shared" si="12"/>
        <v>#N/A</v>
      </c>
      <c r="AN23" s="7" t="e">
        <f t="shared" si="13"/>
        <v>#N/A</v>
      </c>
      <c r="AO23" s="7">
        <f t="shared" si="14"/>
        <v>0</v>
      </c>
      <c r="AP23" s="7" t="e">
        <f t="shared" si="25"/>
        <v>#N/A</v>
      </c>
      <c r="AQ23" s="7" t="str">
        <f t="shared" si="15"/>
        <v/>
      </c>
      <c r="AR23" s="7" t="str">
        <f t="shared" si="16"/>
        <v/>
      </c>
      <c r="AS23" s="7" t="str">
        <f t="shared" si="17"/>
        <v/>
      </c>
      <c r="AT23" s="97"/>
      <c r="AU23" s="13" t="s">
        <v>1978</v>
      </c>
      <c r="AV23" s="13" t="s">
        <v>2451</v>
      </c>
      <c r="AW23" s="13" t="s">
        <v>2451</v>
      </c>
      <c r="AX23" s="13">
        <v>9</v>
      </c>
      <c r="AY23" s="13" t="s">
        <v>2273</v>
      </c>
      <c r="AZ23" s="477" t="s">
        <v>1400</v>
      </c>
      <c r="BC23" s="18" t="s">
        <v>201</v>
      </c>
      <c r="BD23" s="13" t="s">
        <v>42</v>
      </c>
      <c r="BE23" s="18" t="s">
        <v>66</v>
      </c>
      <c r="BF23" s="13" t="s">
        <v>2452</v>
      </c>
      <c r="BG23" s="13" t="s">
        <v>2340</v>
      </c>
      <c r="BI23" s="18"/>
      <c r="BJ23" s="13">
        <v>7</v>
      </c>
      <c r="BN23" s="13" t="s">
        <v>1804</v>
      </c>
      <c r="BO23" s="13" t="s">
        <v>2273</v>
      </c>
      <c r="CF23" s="586" t="str">
        <f t="shared" si="26"/>
        <v/>
      </c>
      <c r="CG23"/>
      <c r="CH23"/>
    </row>
    <row r="24" spans="1:86" s="13" customFormat="1" ht="13.75" customHeight="1">
      <c r="A24" s="137">
        <v>9</v>
      </c>
      <c r="B24" s="134"/>
      <c r="C24" s="8"/>
      <c r="D24" s="100"/>
      <c r="E24" s="8"/>
      <c r="F24" s="8"/>
      <c r="G24" s="190"/>
      <c r="H24" s="8"/>
      <c r="I24" s="9"/>
      <c r="J24" s="10"/>
      <c r="K24" s="8"/>
      <c r="L24" s="145"/>
      <c r="M24" s="146"/>
      <c r="N24" s="583"/>
      <c r="O24" s="229" t="str">
        <f t="shared" si="18"/>
        <v/>
      </c>
      <c r="P24" s="229" t="str">
        <f t="shared" si="19"/>
        <v/>
      </c>
      <c r="Q24" s="230" t="str">
        <f t="shared" si="20"/>
        <v/>
      </c>
      <c r="R24" s="323" t="str">
        <f t="shared" si="21"/>
        <v/>
      </c>
      <c r="S24" s="350"/>
      <c r="T24" s="43"/>
      <c r="U24" s="347" t="str">
        <f t="shared" si="22"/>
        <v/>
      </c>
      <c r="V24" s="7" t="e">
        <f t="shared" si="0"/>
        <v>#N/A</v>
      </c>
      <c r="W24" s="7" t="e">
        <f t="shared" si="1"/>
        <v>#N/A</v>
      </c>
      <c r="X24" s="7" t="e">
        <f t="shared" si="2"/>
        <v>#N/A</v>
      </c>
      <c r="Y24" s="7" t="str">
        <f t="shared" si="3"/>
        <v/>
      </c>
      <c r="Z24" s="11">
        <f t="shared" si="4"/>
        <v>1</v>
      </c>
      <c r="AA24" s="7" t="e">
        <f t="shared" si="5"/>
        <v>#N/A</v>
      </c>
      <c r="AB24" s="7" t="e">
        <f t="shared" si="23"/>
        <v>#N/A</v>
      </c>
      <c r="AC24" s="7" t="e">
        <f t="shared" si="6"/>
        <v>#N/A</v>
      </c>
      <c r="AD24" s="472" t="e">
        <f>VLOOKUP(AF24,'排出係数(2017)'!$A$4:$I$1151,9,FALSE)</f>
        <v>#N/A</v>
      </c>
      <c r="AE24" s="12" t="str">
        <f t="shared" si="7"/>
        <v xml:space="preserve"> </v>
      </c>
      <c r="AF24" s="7" t="e">
        <f t="shared" si="24"/>
        <v>#N/A</v>
      </c>
      <c r="AG24" s="7" t="e">
        <f t="shared" si="8"/>
        <v>#N/A</v>
      </c>
      <c r="AH24" s="472" t="e">
        <f>VLOOKUP(AF24,'排出係数(2017)'!$A$4:$I$1151,6,FALSE)</f>
        <v>#N/A</v>
      </c>
      <c r="AI24" s="7" t="e">
        <f t="shared" si="9"/>
        <v>#N/A</v>
      </c>
      <c r="AJ24" s="7" t="e">
        <f t="shared" si="10"/>
        <v>#N/A</v>
      </c>
      <c r="AK24" s="472" t="e">
        <f>VLOOKUP(AF24,'排出係数(2017)'!$A$4:$I$1151,7,FALSE)</f>
        <v>#N/A</v>
      </c>
      <c r="AL24" s="7" t="e">
        <f t="shared" si="11"/>
        <v>#N/A</v>
      </c>
      <c r="AM24" s="7" t="e">
        <f t="shared" si="12"/>
        <v>#N/A</v>
      </c>
      <c r="AN24" s="7" t="e">
        <f t="shared" si="13"/>
        <v>#N/A</v>
      </c>
      <c r="AO24" s="7">
        <f t="shared" si="14"/>
        <v>0</v>
      </c>
      <c r="AP24" s="7" t="e">
        <f t="shared" si="25"/>
        <v>#N/A</v>
      </c>
      <c r="AQ24" s="7" t="str">
        <f t="shared" si="15"/>
        <v/>
      </c>
      <c r="AR24" s="7" t="str">
        <f t="shared" si="16"/>
        <v/>
      </c>
      <c r="AS24" s="7" t="str">
        <f t="shared" si="17"/>
        <v/>
      </c>
      <c r="AT24" s="97"/>
      <c r="AZ24" s="477" t="s">
        <v>253</v>
      </c>
      <c r="BC24" s="18" t="s">
        <v>1963</v>
      </c>
      <c r="BD24" s="13" t="s">
        <v>1962</v>
      </c>
      <c r="BE24" s="18" t="s">
        <v>1970</v>
      </c>
      <c r="BF24" s="13" t="s">
        <v>2452</v>
      </c>
      <c r="BG24" s="13" t="s">
        <v>1973</v>
      </c>
      <c r="BI24" s="18"/>
      <c r="BJ24" s="13">
        <v>8</v>
      </c>
      <c r="BN24" s="13" t="s">
        <v>1806</v>
      </c>
      <c r="BO24" s="13" t="s">
        <v>44</v>
      </c>
      <c r="CF24" s="586" t="str">
        <f t="shared" si="26"/>
        <v/>
      </c>
      <c r="CG24"/>
      <c r="CH24"/>
    </row>
    <row r="25" spans="1:86" s="13" customFormat="1" ht="13.75" customHeight="1">
      <c r="A25" s="137">
        <v>10</v>
      </c>
      <c r="B25" s="134"/>
      <c r="C25" s="8"/>
      <c r="D25" s="100"/>
      <c r="E25" s="8"/>
      <c r="F25" s="8"/>
      <c r="G25" s="190"/>
      <c r="H25" s="8"/>
      <c r="I25" s="9"/>
      <c r="J25" s="10"/>
      <c r="K25" s="8"/>
      <c r="L25" s="145"/>
      <c r="M25" s="146"/>
      <c r="N25" s="583"/>
      <c r="O25" s="229" t="str">
        <f t="shared" si="18"/>
        <v/>
      </c>
      <c r="P25" s="229" t="str">
        <f t="shared" si="19"/>
        <v/>
      </c>
      <c r="Q25" s="230" t="str">
        <f t="shared" si="20"/>
        <v/>
      </c>
      <c r="R25" s="323" t="str">
        <f t="shared" si="21"/>
        <v/>
      </c>
      <c r="S25" s="350"/>
      <c r="T25" s="43"/>
      <c r="U25" s="347" t="str">
        <f t="shared" si="22"/>
        <v/>
      </c>
      <c r="V25" s="7" t="e">
        <f t="shared" si="0"/>
        <v>#N/A</v>
      </c>
      <c r="W25" s="7" t="e">
        <f t="shared" si="1"/>
        <v>#N/A</v>
      </c>
      <c r="X25" s="7" t="e">
        <f t="shared" si="2"/>
        <v>#N/A</v>
      </c>
      <c r="Y25" s="7" t="str">
        <f t="shared" si="3"/>
        <v/>
      </c>
      <c r="Z25" s="11">
        <f t="shared" si="4"/>
        <v>1</v>
      </c>
      <c r="AA25" s="7" t="e">
        <f t="shared" si="5"/>
        <v>#N/A</v>
      </c>
      <c r="AB25" s="7" t="e">
        <f t="shared" si="23"/>
        <v>#N/A</v>
      </c>
      <c r="AC25" s="7" t="e">
        <f t="shared" si="6"/>
        <v>#N/A</v>
      </c>
      <c r="AD25" s="472" t="e">
        <f>VLOOKUP(AF25,'排出係数(2017)'!$A$4:$I$1151,9,FALSE)</f>
        <v>#N/A</v>
      </c>
      <c r="AE25" s="12" t="str">
        <f t="shared" si="7"/>
        <v xml:space="preserve"> </v>
      </c>
      <c r="AF25" s="7" t="e">
        <f t="shared" si="24"/>
        <v>#N/A</v>
      </c>
      <c r="AG25" s="7" t="e">
        <f t="shared" si="8"/>
        <v>#N/A</v>
      </c>
      <c r="AH25" s="472" t="e">
        <f>VLOOKUP(AF25,'排出係数(2017)'!$A$4:$I$1151,6,FALSE)</f>
        <v>#N/A</v>
      </c>
      <c r="AI25" s="7" t="e">
        <f t="shared" si="9"/>
        <v>#N/A</v>
      </c>
      <c r="AJ25" s="7" t="e">
        <f t="shared" si="10"/>
        <v>#N/A</v>
      </c>
      <c r="AK25" s="472" t="e">
        <f>VLOOKUP(AF25,'排出係数(2017)'!$A$4:$I$1151,7,FALSE)</f>
        <v>#N/A</v>
      </c>
      <c r="AL25" s="7" t="e">
        <f t="shared" si="11"/>
        <v>#N/A</v>
      </c>
      <c r="AM25" s="7" t="e">
        <f t="shared" si="12"/>
        <v>#N/A</v>
      </c>
      <c r="AN25" s="7" t="e">
        <f t="shared" si="13"/>
        <v>#N/A</v>
      </c>
      <c r="AO25" s="7">
        <f t="shared" si="14"/>
        <v>0</v>
      </c>
      <c r="AP25" s="7" t="e">
        <f t="shared" si="25"/>
        <v>#N/A</v>
      </c>
      <c r="AQ25" s="7" t="str">
        <f t="shared" si="15"/>
        <v/>
      </c>
      <c r="AR25" s="7" t="str">
        <f t="shared" si="16"/>
        <v/>
      </c>
      <c r="AS25" s="7" t="str">
        <f t="shared" si="17"/>
        <v/>
      </c>
      <c r="AT25" s="97"/>
      <c r="AZ25" s="477" t="s">
        <v>301</v>
      </c>
      <c r="BC25" s="13" t="s">
        <v>1791</v>
      </c>
      <c r="BD25" s="13" t="s">
        <v>1805</v>
      </c>
      <c r="BE25" s="18" t="s">
        <v>1801</v>
      </c>
      <c r="BF25" s="13" t="s">
        <v>1797</v>
      </c>
      <c r="BG25" s="13" t="s">
        <v>1851</v>
      </c>
      <c r="BI25" s="18"/>
      <c r="BJ25" s="13">
        <v>9</v>
      </c>
      <c r="BN25" s="13" t="s">
        <v>1807</v>
      </c>
      <c r="BO25" s="13" t="s">
        <v>45</v>
      </c>
      <c r="CF25" s="586" t="str">
        <f t="shared" si="26"/>
        <v/>
      </c>
      <c r="CG25"/>
      <c r="CH25"/>
    </row>
    <row r="26" spans="1:86" s="13" customFormat="1" ht="13.75" customHeight="1">
      <c r="A26" s="137">
        <v>11</v>
      </c>
      <c r="B26" s="134"/>
      <c r="C26" s="8"/>
      <c r="D26" s="100"/>
      <c r="E26" s="8"/>
      <c r="F26" s="8"/>
      <c r="G26" s="190"/>
      <c r="H26" s="8"/>
      <c r="I26" s="9"/>
      <c r="J26" s="10"/>
      <c r="K26" s="8"/>
      <c r="L26" s="145"/>
      <c r="M26" s="146"/>
      <c r="N26" s="583"/>
      <c r="O26" s="229" t="str">
        <f t="shared" si="18"/>
        <v/>
      </c>
      <c r="P26" s="229" t="str">
        <f t="shared" si="19"/>
        <v/>
      </c>
      <c r="Q26" s="230" t="str">
        <f t="shared" si="20"/>
        <v/>
      </c>
      <c r="R26" s="323" t="str">
        <f t="shared" si="21"/>
        <v/>
      </c>
      <c r="S26" s="350"/>
      <c r="T26" s="43"/>
      <c r="U26" s="347" t="str">
        <f t="shared" si="22"/>
        <v/>
      </c>
      <c r="V26" s="7" t="e">
        <f t="shared" si="0"/>
        <v>#N/A</v>
      </c>
      <c r="W26" s="7" t="e">
        <f t="shared" si="1"/>
        <v>#N/A</v>
      </c>
      <c r="X26" s="7" t="e">
        <f t="shared" si="2"/>
        <v>#N/A</v>
      </c>
      <c r="Y26" s="7" t="str">
        <f t="shared" si="3"/>
        <v/>
      </c>
      <c r="Z26" s="11">
        <f t="shared" si="4"/>
        <v>1</v>
      </c>
      <c r="AA26" s="7" t="e">
        <f t="shared" si="5"/>
        <v>#N/A</v>
      </c>
      <c r="AB26" s="7" t="e">
        <f t="shared" si="23"/>
        <v>#N/A</v>
      </c>
      <c r="AC26" s="7" t="e">
        <f t="shared" si="6"/>
        <v>#N/A</v>
      </c>
      <c r="AD26" s="472" t="e">
        <f>VLOOKUP(AF26,'排出係数(2017)'!$A$4:$I$1151,9,FALSE)</f>
        <v>#N/A</v>
      </c>
      <c r="AE26" s="12" t="str">
        <f t="shared" si="7"/>
        <v xml:space="preserve"> </v>
      </c>
      <c r="AF26" s="7" t="e">
        <f t="shared" si="24"/>
        <v>#N/A</v>
      </c>
      <c r="AG26" s="7" t="e">
        <f t="shared" si="8"/>
        <v>#N/A</v>
      </c>
      <c r="AH26" s="472" t="e">
        <f>VLOOKUP(AF26,'排出係数(2017)'!$A$4:$I$1151,6,FALSE)</f>
        <v>#N/A</v>
      </c>
      <c r="AI26" s="7" t="e">
        <f t="shared" si="9"/>
        <v>#N/A</v>
      </c>
      <c r="AJ26" s="7" t="e">
        <f t="shared" si="10"/>
        <v>#N/A</v>
      </c>
      <c r="AK26" s="472" t="e">
        <f>VLOOKUP(AF26,'排出係数(2017)'!$A$4:$I$1151,7,FALSE)</f>
        <v>#N/A</v>
      </c>
      <c r="AL26" s="7" t="e">
        <f t="shared" si="11"/>
        <v>#N/A</v>
      </c>
      <c r="AM26" s="7" t="e">
        <f t="shared" si="12"/>
        <v>#N/A</v>
      </c>
      <c r="AN26" s="7" t="e">
        <f t="shared" si="13"/>
        <v>#N/A</v>
      </c>
      <c r="AO26" s="7">
        <f t="shared" si="14"/>
        <v>0</v>
      </c>
      <c r="AP26" s="7" t="e">
        <f t="shared" si="25"/>
        <v>#N/A</v>
      </c>
      <c r="AQ26" s="7" t="str">
        <f t="shared" si="15"/>
        <v/>
      </c>
      <c r="AR26" s="7" t="str">
        <f t="shared" si="16"/>
        <v/>
      </c>
      <c r="AS26" s="7" t="str">
        <f t="shared" si="17"/>
        <v/>
      </c>
      <c r="AT26" s="97"/>
      <c r="AZ26" s="477" t="s">
        <v>381</v>
      </c>
      <c r="BE26" s="18" t="s">
        <v>2139</v>
      </c>
      <c r="BF26" s="13" t="s">
        <v>2452</v>
      </c>
      <c r="BG26" s="13" t="s">
        <v>1851</v>
      </c>
      <c r="BI26" s="18"/>
      <c r="BJ26" s="13">
        <v>10</v>
      </c>
      <c r="BN26" s="13" t="s">
        <v>1808</v>
      </c>
      <c r="BO26" s="13" t="s">
        <v>45</v>
      </c>
      <c r="CF26" s="586" t="str">
        <f t="shared" si="26"/>
        <v/>
      </c>
      <c r="CG26"/>
      <c r="CH26"/>
    </row>
    <row r="27" spans="1:86" s="13" customFormat="1" ht="13.75" customHeight="1">
      <c r="A27" s="137">
        <v>12</v>
      </c>
      <c r="B27" s="134"/>
      <c r="C27" s="8"/>
      <c r="D27" s="100"/>
      <c r="E27" s="8"/>
      <c r="F27" s="8"/>
      <c r="G27" s="190"/>
      <c r="H27" s="8"/>
      <c r="I27" s="9"/>
      <c r="J27" s="10"/>
      <c r="K27" s="8"/>
      <c r="L27" s="145"/>
      <c r="M27" s="146"/>
      <c r="N27" s="583"/>
      <c r="O27" s="229" t="str">
        <f t="shared" si="18"/>
        <v/>
      </c>
      <c r="P27" s="229" t="str">
        <f t="shared" si="19"/>
        <v/>
      </c>
      <c r="Q27" s="230" t="str">
        <f t="shared" si="20"/>
        <v/>
      </c>
      <c r="R27" s="323" t="str">
        <f t="shared" si="21"/>
        <v/>
      </c>
      <c r="S27" s="350"/>
      <c r="T27" s="43"/>
      <c r="U27" s="347" t="str">
        <f t="shared" si="22"/>
        <v/>
      </c>
      <c r="V27" s="7" t="e">
        <f t="shared" si="0"/>
        <v>#N/A</v>
      </c>
      <c r="W27" s="7" t="e">
        <f t="shared" si="1"/>
        <v>#N/A</v>
      </c>
      <c r="X27" s="7" t="e">
        <f t="shared" si="2"/>
        <v>#N/A</v>
      </c>
      <c r="Y27" s="7" t="str">
        <f t="shared" si="3"/>
        <v/>
      </c>
      <c r="Z27" s="11">
        <f t="shared" si="4"/>
        <v>1</v>
      </c>
      <c r="AA27" s="7" t="e">
        <f t="shared" si="5"/>
        <v>#N/A</v>
      </c>
      <c r="AB27" s="7" t="e">
        <f t="shared" si="23"/>
        <v>#N/A</v>
      </c>
      <c r="AC27" s="7" t="e">
        <f t="shared" si="6"/>
        <v>#N/A</v>
      </c>
      <c r="AD27" s="472" t="e">
        <f>VLOOKUP(AF27,'排出係数(2017)'!$A$4:$I$1151,9,FALSE)</f>
        <v>#N/A</v>
      </c>
      <c r="AE27" s="12" t="str">
        <f t="shared" si="7"/>
        <v xml:space="preserve"> </v>
      </c>
      <c r="AF27" s="7" t="e">
        <f t="shared" si="24"/>
        <v>#N/A</v>
      </c>
      <c r="AG27" s="7" t="e">
        <f t="shared" si="8"/>
        <v>#N/A</v>
      </c>
      <c r="AH27" s="472" t="e">
        <f>VLOOKUP(AF27,'排出係数(2017)'!$A$4:$I$1151,6,FALSE)</f>
        <v>#N/A</v>
      </c>
      <c r="AI27" s="7" t="e">
        <f t="shared" si="9"/>
        <v>#N/A</v>
      </c>
      <c r="AJ27" s="7" t="e">
        <f t="shared" si="10"/>
        <v>#N/A</v>
      </c>
      <c r="AK27" s="472" t="e">
        <f>VLOOKUP(AF27,'排出係数(2017)'!$A$4:$I$1151,7,FALSE)</f>
        <v>#N/A</v>
      </c>
      <c r="AL27" s="7" t="e">
        <f t="shared" si="11"/>
        <v>#N/A</v>
      </c>
      <c r="AM27" s="7" t="e">
        <f t="shared" si="12"/>
        <v>#N/A</v>
      </c>
      <c r="AN27" s="7" t="e">
        <f t="shared" si="13"/>
        <v>#N/A</v>
      </c>
      <c r="AO27" s="7">
        <f t="shared" si="14"/>
        <v>0</v>
      </c>
      <c r="AP27" s="7" t="e">
        <f t="shared" si="25"/>
        <v>#N/A</v>
      </c>
      <c r="AQ27" s="7" t="str">
        <f t="shared" si="15"/>
        <v/>
      </c>
      <c r="AR27" s="7" t="str">
        <f t="shared" si="16"/>
        <v/>
      </c>
      <c r="AS27" s="7" t="str">
        <f t="shared" si="17"/>
        <v/>
      </c>
      <c r="AT27" s="97"/>
      <c r="AZ27" s="477" t="s">
        <v>1546</v>
      </c>
      <c r="BE27" s="18" t="s">
        <v>201</v>
      </c>
      <c r="BF27" s="13" t="s">
        <v>42</v>
      </c>
      <c r="BG27" s="13" t="s">
        <v>42</v>
      </c>
      <c r="BI27" s="18"/>
      <c r="BJ27" s="13">
        <v>11</v>
      </c>
      <c r="CF27" s="586" t="str">
        <f t="shared" si="26"/>
        <v/>
      </c>
      <c r="CG27"/>
      <c r="CH27"/>
    </row>
    <row r="28" spans="1:86" s="13" customFormat="1" ht="13.75" customHeight="1">
      <c r="A28" s="137">
        <v>13</v>
      </c>
      <c r="B28" s="134"/>
      <c r="C28" s="8"/>
      <c r="D28" s="100"/>
      <c r="E28" s="8"/>
      <c r="F28" s="8"/>
      <c r="G28" s="190"/>
      <c r="H28" s="8"/>
      <c r="I28" s="9"/>
      <c r="J28" s="10"/>
      <c r="K28" s="8"/>
      <c r="L28" s="145"/>
      <c r="M28" s="146"/>
      <c r="N28" s="583"/>
      <c r="O28" s="229" t="str">
        <f t="shared" si="18"/>
        <v/>
      </c>
      <c r="P28" s="229" t="str">
        <f t="shared" si="19"/>
        <v/>
      </c>
      <c r="Q28" s="230" t="str">
        <f t="shared" si="20"/>
        <v/>
      </c>
      <c r="R28" s="323" t="str">
        <f t="shared" si="21"/>
        <v/>
      </c>
      <c r="S28" s="350"/>
      <c r="T28" s="43"/>
      <c r="U28" s="347" t="str">
        <f t="shared" si="22"/>
        <v/>
      </c>
      <c r="V28" s="7" t="e">
        <f t="shared" si="0"/>
        <v>#N/A</v>
      </c>
      <c r="W28" s="7" t="e">
        <f t="shared" si="1"/>
        <v>#N/A</v>
      </c>
      <c r="X28" s="7" t="e">
        <f t="shared" si="2"/>
        <v>#N/A</v>
      </c>
      <c r="Y28" s="7" t="str">
        <f t="shared" si="3"/>
        <v/>
      </c>
      <c r="Z28" s="11">
        <f t="shared" si="4"/>
        <v>1</v>
      </c>
      <c r="AA28" s="7" t="e">
        <f t="shared" si="5"/>
        <v>#N/A</v>
      </c>
      <c r="AB28" s="7" t="e">
        <f t="shared" si="23"/>
        <v>#N/A</v>
      </c>
      <c r="AC28" s="7" t="e">
        <f t="shared" si="6"/>
        <v>#N/A</v>
      </c>
      <c r="AD28" s="472" t="e">
        <f>VLOOKUP(AF28,'排出係数(2017)'!$A$4:$I$1151,9,FALSE)</f>
        <v>#N/A</v>
      </c>
      <c r="AE28" s="12" t="str">
        <f t="shared" si="7"/>
        <v xml:space="preserve"> </v>
      </c>
      <c r="AF28" s="7" t="e">
        <f t="shared" si="24"/>
        <v>#N/A</v>
      </c>
      <c r="AG28" s="7" t="e">
        <f t="shared" si="8"/>
        <v>#N/A</v>
      </c>
      <c r="AH28" s="472" t="e">
        <f>VLOOKUP(AF28,'排出係数(2017)'!$A$4:$I$1151,6,FALSE)</f>
        <v>#N/A</v>
      </c>
      <c r="AI28" s="7" t="e">
        <f t="shared" si="9"/>
        <v>#N/A</v>
      </c>
      <c r="AJ28" s="7" t="e">
        <f t="shared" si="10"/>
        <v>#N/A</v>
      </c>
      <c r="AK28" s="472" t="e">
        <f>VLOOKUP(AF28,'排出係数(2017)'!$A$4:$I$1151,7,FALSE)</f>
        <v>#N/A</v>
      </c>
      <c r="AL28" s="7" t="e">
        <f t="shared" si="11"/>
        <v>#N/A</v>
      </c>
      <c r="AM28" s="7" t="e">
        <f t="shared" si="12"/>
        <v>#N/A</v>
      </c>
      <c r="AN28" s="7" t="e">
        <f t="shared" si="13"/>
        <v>#N/A</v>
      </c>
      <c r="AO28" s="7">
        <f t="shared" si="14"/>
        <v>0</v>
      </c>
      <c r="AP28" s="7" t="e">
        <f t="shared" si="25"/>
        <v>#N/A</v>
      </c>
      <c r="AQ28" s="7" t="str">
        <f t="shared" si="15"/>
        <v/>
      </c>
      <c r="AR28" s="7" t="str">
        <f t="shared" si="16"/>
        <v/>
      </c>
      <c r="AS28" s="7" t="str">
        <f t="shared" si="17"/>
        <v/>
      </c>
      <c r="AT28" s="97"/>
      <c r="AZ28" s="477" t="s">
        <v>1548</v>
      </c>
      <c r="BE28" s="13" t="s">
        <v>1791</v>
      </c>
      <c r="BF28" s="13" t="s">
        <v>1805</v>
      </c>
      <c r="BG28" s="13" t="s">
        <v>1805</v>
      </c>
      <c r="BI28" s="18"/>
      <c r="BJ28" s="13">
        <v>12</v>
      </c>
      <c r="CF28" s="586" t="str">
        <f t="shared" si="26"/>
        <v/>
      </c>
      <c r="CG28"/>
      <c r="CH28"/>
    </row>
    <row r="29" spans="1:86" s="13" customFormat="1" ht="13.75" customHeight="1">
      <c r="A29" s="137">
        <v>14</v>
      </c>
      <c r="B29" s="134"/>
      <c r="C29" s="8"/>
      <c r="D29" s="100"/>
      <c r="E29" s="8"/>
      <c r="F29" s="8"/>
      <c r="G29" s="190"/>
      <c r="H29" s="8"/>
      <c r="I29" s="9"/>
      <c r="J29" s="10"/>
      <c r="K29" s="8"/>
      <c r="L29" s="145"/>
      <c r="M29" s="146"/>
      <c r="N29" s="583"/>
      <c r="O29" s="229" t="str">
        <f t="shared" si="18"/>
        <v/>
      </c>
      <c r="P29" s="229" t="str">
        <f t="shared" si="19"/>
        <v/>
      </c>
      <c r="Q29" s="230" t="str">
        <f t="shared" si="20"/>
        <v/>
      </c>
      <c r="R29" s="323" t="str">
        <f t="shared" si="21"/>
        <v/>
      </c>
      <c r="S29" s="350"/>
      <c r="T29" s="43"/>
      <c r="U29" s="347" t="str">
        <f t="shared" si="22"/>
        <v/>
      </c>
      <c r="V29" s="7" t="e">
        <f t="shared" si="0"/>
        <v>#N/A</v>
      </c>
      <c r="W29" s="7" t="e">
        <f t="shared" si="1"/>
        <v>#N/A</v>
      </c>
      <c r="X29" s="7" t="e">
        <f t="shared" si="2"/>
        <v>#N/A</v>
      </c>
      <c r="Y29" s="7" t="str">
        <f t="shared" si="3"/>
        <v/>
      </c>
      <c r="Z29" s="11">
        <f t="shared" si="4"/>
        <v>1</v>
      </c>
      <c r="AA29" s="7" t="e">
        <f t="shared" si="5"/>
        <v>#N/A</v>
      </c>
      <c r="AB29" s="7" t="e">
        <f t="shared" si="23"/>
        <v>#N/A</v>
      </c>
      <c r="AC29" s="7" t="e">
        <f t="shared" si="6"/>
        <v>#N/A</v>
      </c>
      <c r="AD29" s="472" t="e">
        <f>VLOOKUP(AF29,'排出係数(2017)'!$A$4:$I$1151,9,FALSE)</f>
        <v>#N/A</v>
      </c>
      <c r="AE29" s="12" t="str">
        <f t="shared" si="7"/>
        <v xml:space="preserve"> </v>
      </c>
      <c r="AF29" s="7" t="e">
        <f t="shared" si="24"/>
        <v>#N/A</v>
      </c>
      <c r="AG29" s="7" t="e">
        <f t="shared" si="8"/>
        <v>#N/A</v>
      </c>
      <c r="AH29" s="472" t="e">
        <f>VLOOKUP(AF29,'排出係数(2017)'!$A$4:$I$1151,6,FALSE)</f>
        <v>#N/A</v>
      </c>
      <c r="AI29" s="7" t="e">
        <f t="shared" si="9"/>
        <v>#N/A</v>
      </c>
      <c r="AJ29" s="7" t="e">
        <f t="shared" si="10"/>
        <v>#N/A</v>
      </c>
      <c r="AK29" s="472" t="e">
        <f>VLOOKUP(AF29,'排出係数(2017)'!$A$4:$I$1151,7,FALSE)</f>
        <v>#N/A</v>
      </c>
      <c r="AL29" s="7" t="e">
        <f t="shared" si="11"/>
        <v>#N/A</v>
      </c>
      <c r="AM29" s="7" t="e">
        <f t="shared" si="12"/>
        <v>#N/A</v>
      </c>
      <c r="AN29" s="7" t="e">
        <f t="shared" si="13"/>
        <v>#N/A</v>
      </c>
      <c r="AO29" s="7">
        <f t="shared" si="14"/>
        <v>0</v>
      </c>
      <c r="AP29" s="7" t="e">
        <f t="shared" si="25"/>
        <v>#N/A</v>
      </c>
      <c r="AQ29" s="7" t="str">
        <f t="shared" si="15"/>
        <v/>
      </c>
      <c r="AR29" s="7" t="str">
        <f t="shared" si="16"/>
        <v/>
      </c>
      <c r="AS29" s="7" t="str">
        <f t="shared" si="17"/>
        <v/>
      </c>
      <c r="AT29" s="97"/>
      <c r="AZ29" s="477" t="s">
        <v>566</v>
      </c>
      <c r="BE29" s="18" t="s">
        <v>1963</v>
      </c>
      <c r="BF29" s="13" t="s">
        <v>1962</v>
      </c>
      <c r="BG29" s="13" t="s">
        <v>1962</v>
      </c>
      <c r="BI29" s="18"/>
      <c r="BJ29" s="13">
        <v>13</v>
      </c>
      <c r="CF29" s="586" t="str">
        <f t="shared" si="26"/>
        <v/>
      </c>
      <c r="CG29"/>
      <c r="CH29"/>
    </row>
    <row r="30" spans="1:86" s="13" customFormat="1" ht="13.75" customHeight="1">
      <c r="A30" s="137">
        <v>15</v>
      </c>
      <c r="B30" s="134"/>
      <c r="C30" s="8"/>
      <c r="D30" s="100"/>
      <c r="E30" s="8"/>
      <c r="F30" s="8"/>
      <c r="G30" s="190"/>
      <c r="H30" s="8"/>
      <c r="I30" s="9"/>
      <c r="J30" s="10"/>
      <c r="K30" s="8"/>
      <c r="L30" s="145"/>
      <c r="M30" s="146"/>
      <c r="N30" s="583"/>
      <c r="O30" s="229" t="str">
        <f t="shared" si="18"/>
        <v/>
      </c>
      <c r="P30" s="229" t="str">
        <f t="shared" si="19"/>
        <v/>
      </c>
      <c r="Q30" s="230" t="str">
        <f t="shared" si="20"/>
        <v/>
      </c>
      <c r="R30" s="323" t="str">
        <f t="shared" si="21"/>
        <v/>
      </c>
      <c r="S30" s="350"/>
      <c r="T30" s="43"/>
      <c r="U30" s="347" t="str">
        <f t="shared" si="22"/>
        <v/>
      </c>
      <c r="V30" s="7" t="e">
        <f t="shared" si="0"/>
        <v>#N/A</v>
      </c>
      <c r="W30" s="7" t="e">
        <f t="shared" si="1"/>
        <v>#N/A</v>
      </c>
      <c r="X30" s="7" t="e">
        <f t="shared" si="2"/>
        <v>#N/A</v>
      </c>
      <c r="Y30" s="7" t="str">
        <f t="shared" si="3"/>
        <v/>
      </c>
      <c r="Z30" s="11">
        <f t="shared" si="4"/>
        <v>1</v>
      </c>
      <c r="AA30" s="7" t="e">
        <f t="shared" si="5"/>
        <v>#N/A</v>
      </c>
      <c r="AB30" s="7" t="e">
        <f t="shared" si="23"/>
        <v>#N/A</v>
      </c>
      <c r="AC30" s="7" t="e">
        <f t="shared" si="6"/>
        <v>#N/A</v>
      </c>
      <c r="AD30" s="472" t="e">
        <f>VLOOKUP(AF30,'排出係数(2017)'!$A$4:$I$1151,9,FALSE)</f>
        <v>#N/A</v>
      </c>
      <c r="AE30" s="12" t="str">
        <f t="shared" si="7"/>
        <v xml:space="preserve"> </v>
      </c>
      <c r="AF30" s="7" t="e">
        <f t="shared" si="24"/>
        <v>#N/A</v>
      </c>
      <c r="AG30" s="7" t="e">
        <f t="shared" si="8"/>
        <v>#N/A</v>
      </c>
      <c r="AH30" s="472" t="e">
        <f>VLOOKUP(AF30,'排出係数(2017)'!$A$4:$I$1151,6,FALSE)</f>
        <v>#N/A</v>
      </c>
      <c r="AI30" s="7" t="e">
        <f t="shared" si="9"/>
        <v>#N/A</v>
      </c>
      <c r="AJ30" s="7" t="e">
        <f t="shared" si="10"/>
        <v>#N/A</v>
      </c>
      <c r="AK30" s="472" t="e">
        <f>VLOOKUP(AF30,'排出係数(2017)'!$A$4:$I$1151,7,FALSE)</f>
        <v>#N/A</v>
      </c>
      <c r="AL30" s="7" t="e">
        <f t="shared" si="11"/>
        <v>#N/A</v>
      </c>
      <c r="AM30" s="7" t="e">
        <f t="shared" si="12"/>
        <v>#N/A</v>
      </c>
      <c r="AN30" s="7" t="e">
        <f t="shared" si="13"/>
        <v>#N/A</v>
      </c>
      <c r="AO30" s="7">
        <f t="shared" si="14"/>
        <v>0</v>
      </c>
      <c r="AP30" s="7" t="e">
        <f t="shared" si="25"/>
        <v>#N/A</v>
      </c>
      <c r="AQ30" s="7" t="str">
        <f t="shared" si="15"/>
        <v/>
      </c>
      <c r="AR30" s="7" t="str">
        <f t="shared" si="16"/>
        <v/>
      </c>
      <c r="AS30" s="7" t="str">
        <f t="shared" si="17"/>
        <v/>
      </c>
      <c r="AT30" s="97"/>
      <c r="AZ30" s="477" t="s">
        <v>717</v>
      </c>
      <c r="BI30" s="18"/>
      <c r="BJ30" s="13">
        <v>14</v>
      </c>
      <c r="CF30" s="586" t="str">
        <f t="shared" si="26"/>
        <v/>
      </c>
      <c r="CG30"/>
      <c r="CH30"/>
    </row>
    <row r="31" spans="1:86" s="13" customFormat="1" ht="13.75" customHeight="1">
      <c r="A31" s="137">
        <v>16</v>
      </c>
      <c r="B31" s="134"/>
      <c r="C31" s="8"/>
      <c r="D31" s="100"/>
      <c r="E31" s="8"/>
      <c r="F31" s="8"/>
      <c r="G31" s="190"/>
      <c r="H31" s="8"/>
      <c r="I31" s="9"/>
      <c r="J31" s="10"/>
      <c r="K31" s="8"/>
      <c r="L31" s="145"/>
      <c r="M31" s="146"/>
      <c r="N31" s="583"/>
      <c r="O31" s="229" t="str">
        <f t="shared" si="18"/>
        <v/>
      </c>
      <c r="P31" s="229" t="str">
        <f t="shared" si="19"/>
        <v/>
      </c>
      <c r="Q31" s="230" t="str">
        <f t="shared" si="20"/>
        <v/>
      </c>
      <c r="R31" s="323" t="str">
        <f t="shared" si="21"/>
        <v/>
      </c>
      <c r="S31" s="350"/>
      <c r="T31" s="43"/>
      <c r="U31" s="347" t="str">
        <f t="shared" si="22"/>
        <v/>
      </c>
      <c r="V31" s="7" t="e">
        <f t="shared" si="0"/>
        <v>#N/A</v>
      </c>
      <c r="W31" s="7" t="e">
        <f t="shared" si="1"/>
        <v>#N/A</v>
      </c>
      <c r="X31" s="7" t="e">
        <f t="shared" si="2"/>
        <v>#N/A</v>
      </c>
      <c r="Y31" s="7" t="str">
        <f t="shared" si="3"/>
        <v/>
      </c>
      <c r="Z31" s="11">
        <f t="shared" si="4"/>
        <v>1</v>
      </c>
      <c r="AA31" s="7" t="e">
        <f t="shared" si="5"/>
        <v>#N/A</v>
      </c>
      <c r="AB31" s="7" t="e">
        <f t="shared" si="23"/>
        <v>#N/A</v>
      </c>
      <c r="AC31" s="7" t="e">
        <f t="shared" si="6"/>
        <v>#N/A</v>
      </c>
      <c r="AD31" s="472" t="e">
        <f>VLOOKUP(AF31,'排出係数(2017)'!$A$4:$I$1151,9,FALSE)</f>
        <v>#N/A</v>
      </c>
      <c r="AE31" s="12" t="str">
        <f t="shared" si="7"/>
        <v xml:space="preserve"> </v>
      </c>
      <c r="AF31" s="7" t="e">
        <f t="shared" si="24"/>
        <v>#N/A</v>
      </c>
      <c r="AG31" s="7" t="e">
        <f t="shared" si="8"/>
        <v>#N/A</v>
      </c>
      <c r="AH31" s="472" t="e">
        <f>VLOOKUP(AF31,'排出係数(2017)'!$A$4:$I$1151,6,FALSE)</f>
        <v>#N/A</v>
      </c>
      <c r="AI31" s="7" t="e">
        <f t="shared" si="9"/>
        <v>#N/A</v>
      </c>
      <c r="AJ31" s="7" t="e">
        <f t="shared" si="10"/>
        <v>#N/A</v>
      </c>
      <c r="AK31" s="472" t="e">
        <f>VLOOKUP(AF31,'排出係数(2017)'!$A$4:$I$1151,7,FALSE)</f>
        <v>#N/A</v>
      </c>
      <c r="AL31" s="7" t="e">
        <f t="shared" si="11"/>
        <v>#N/A</v>
      </c>
      <c r="AM31" s="7" t="e">
        <f t="shared" si="12"/>
        <v>#N/A</v>
      </c>
      <c r="AN31" s="7" t="e">
        <f t="shared" si="13"/>
        <v>#N/A</v>
      </c>
      <c r="AO31" s="7">
        <f t="shared" si="14"/>
        <v>0</v>
      </c>
      <c r="AP31" s="7" t="e">
        <f t="shared" si="25"/>
        <v>#N/A</v>
      </c>
      <c r="AQ31" s="7" t="str">
        <f t="shared" si="15"/>
        <v/>
      </c>
      <c r="AR31" s="7" t="str">
        <f t="shared" si="16"/>
        <v/>
      </c>
      <c r="AS31" s="7" t="str">
        <f t="shared" si="17"/>
        <v/>
      </c>
      <c r="AT31" s="97"/>
      <c r="AZ31" s="477" t="s">
        <v>1009</v>
      </c>
      <c r="BB31" s="14"/>
      <c r="BC31" s="14"/>
      <c r="BD31" s="14"/>
      <c r="BJ31" s="13">
        <v>15</v>
      </c>
      <c r="CF31" s="586" t="str">
        <f t="shared" si="26"/>
        <v/>
      </c>
      <c r="CG31"/>
      <c r="CH31"/>
    </row>
    <row r="32" spans="1:86" s="13" customFormat="1" ht="13.75" customHeight="1">
      <c r="A32" s="137">
        <v>17</v>
      </c>
      <c r="B32" s="134"/>
      <c r="C32" s="8"/>
      <c r="D32" s="100"/>
      <c r="E32" s="8"/>
      <c r="F32" s="8"/>
      <c r="G32" s="190"/>
      <c r="H32" s="8"/>
      <c r="I32" s="9"/>
      <c r="J32" s="10"/>
      <c r="K32" s="8"/>
      <c r="L32" s="145"/>
      <c r="M32" s="146"/>
      <c r="N32" s="583"/>
      <c r="O32" s="229" t="str">
        <f t="shared" si="18"/>
        <v/>
      </c>
      <c r="P32" s="229" t="str">
        <f t="shared" si="19"/>
        <v/>
      </c>
      <c r="Q32" s="230" t="str">
        <f t="shared" si="20"/>
        <v/>
      </c>
      <c r="R32" s="323" t="str">
        <f t="shared" si="21"/>
        <v/>
      </c>
      <c r="S32" s="350"/>
      <c r="T32" s="43"/>
      <c r="U32" s="347" t="str">
        <f t="shared" si="22"/>
        <v/>
      </c>
      <c r="V32" s="7" t="e">
        <f t="shared" si="0"/>
        <v>#N/A</v>
      </c>
      <c r="W32" s="7" t="e">
        <f t="shared" si="1"/>
        <v>#N/A</v>
      </c>
      <c r="X32" s="7" t="e">
        <f t="shared" si="2"/>
        <v>#N/A</v>
      </c>
      <c r="Y32" s="7" t="str">
        <f t="shared" si="3"/>
        <v/>
      </c>
      <c r="Z32" s="11">
        <f t="shared" si="4"/>
        <v>1</v>
      </c>
      <c r="AA32" s="7" t="e">
        <f t="shared" si="5"/>
        <v>#N/A</v>
      </c>
      <c r="AB32" s="7" t="e">
        <f t="shared" si="23"/>
        <v>#N/A</v>
      </c>
      <c r="AC32" s="7" t="e">
        <f t="shared" si="6"/>
        <v>#N/A</v>
      </c>
      <c r="AD32" s="472" t="e">
        <f>VLOOKUP(AF32,'排出係数(2017)'!$A$4:$I$1151,9,FALSE)</f>
        <v>#N/A</v>
      </c>
      <c r="AE32" s="12" t="str">
        <f t="shared" si="7"/>
        <v xml:space="preserve"> </v>
      </c>
      <c r="AF32" s="7" t="e">
        <f t="shared" si="24"/>
        <v>#N/A</v>
      </c>
      <c r="AG32" s="7" t="e">
        <f t="shared" si="8"/>
        <v>#N/A</v>
      </c>
      <c r="AH32" s="472" t="e">
        <f>VLOOKUP(AF32,'排出係数(2017)'!$A$4:$I$1151,6,FALSE)</f>
        <v>#N/A</v>
      </c>
      <c r="AI32" s="7" t="e">
        <f t="shared" si="9"/>
        <v>#N/A</v>
      </c>
      <c r="AJ32" s="7" t="e">
        <f t="shared" si="10"/>
        <v>#N/A</v>
      </c>
      <c r="AK32" s="472" t="e">
        <f>VLOOKUP(AF32,'排出係数(2017)'!$A$4:$I$1151,7,FALSE)</f>
        <v>#N/A</v>
      </c>
      <c r="AL32" s="7" t="e">
        <f t="shared" si="11"/>
        <v>#N/A</v>
      </c>
      <c r="AM32" s="7" t="e">
        <f t="shared" si="12"/>
        <v>#N/A</v>
      </c>
      <c r="AN32" s="7" t="e">
        <f t="shared" si="13"/>
        <v>#N/A</v>
      </c>
      <c r="AO32" s="7">
        <f t="shared" si="14"/>
        <v>0</v>
      </c>
      <c r="AP32" s="7" t="e">
        <f t="shared" si="25"/>
        <v>#N/A</v>
      </c>
      <c r="AQ32" s="7" t="str">
        <f t="shared" si="15"/>
        <v/>
      </c>
      <c r="AR32" s="7" t="str">
        <f t="shared" si="16"/>
        <v/>
      </c>
      <c r="AS32" s="7" t="str">
        <f t="shared" si="17"/>
        <v/>
      </c>
      <c r="AT32" s="97"/>
      <c r="AZ32" s="477" t="s">
        <v>1542</v>
      </c>
      <c r="BB32" s="15"/>
      <c r="BC32" s="15"/>
      <c r="BD32" s="15"/>
      <c r="BJ32" s="13">
        <v>16</v>
      </c>
      <c r="CF32" s="586" t="str">
        <f t="shared" si="26"/>
        <v/>
      </c>
      <c r="CG32"/>
      <c r="CH32"/>
    </row>
    <row r="33" spans="1:86" s="13" customFormat="1" ht="13.75" customHeight="1">
      <c r="A33" s="137">
        <v>18</v>
      </c>
      <c r="B33" s="134"/>
      <c r="C33" s="8"/>
      <c r="D33" s="100"/>
      <c r="E33" s="8"/>
      <c r="F33" s="8"/>
      <c r="G33" s="190"/>
      <c r="H33" s="8"/>
      <c r="I33" s="9"/>
      <c r="J33" s="10"/>
      <c r="K33" s="8"/>
      <c r="L33" s="145"/>
      <c r="M33" s="146"/>
      <c r="N33" s="583"/>
      <c r="O33" s="229" t="str">
        <f t="shared" si="18"/>
        <v/>
      </c>
      <c r="P33" s="229" t="str">
        <f t="shared" si="19"/>
        <v/>
      </c>
      <c r="Q33" s="230" t="str">
        <f t="shared" si="20"/>
        <v/>
      </c>
      <c r="R33" s="323" t="str">
        <f t="shared" si="21"/>
        <v/>
      </c>
      <c r="S33" s="350"/>
      <c r="T33" s="43"/>
      <c r="U33" s="347" t="str">
        <f t="shared" si="22"/>
        <v/>
      </c>
      <c r="V33" s="7" t="e">
        <f t="shared" si="0"/>
        <v>#N/A</v>
      </c>
      <c r="W33" s="7" t="e">
        <f t="shared" si="1"/>
        <v>#N/A</v>
      </c>
      <c r="X33" s="7" t="e">
        <f t="shared" si="2"/>
        <v>#N/A</v>
      </c>
      <c r="Y33" s="7" t="str">
        <f t="shared" si="3"/>
        <v/>
      </c>
      <c r="Z33" s="11">
        <f t="shared" si="4"/>
        <v>1</v>
      </c>
      <c r="AA33" s="7" t="e">
        <f t="shared" si="5"/>
        <v>#N/A</v>
      </c>
      <c r="AB33" s="7" t="e">
        <f t="shared" si="23"/>
        <v>#N/A</v>
      </c>
      <c r="AC33" s="7" t="e">
        <f t="shared" si="6"/>
        <v>#N/A</v>
      </c>
      <c r="AD33" s="472" t="e">
        <f>VLOOKUP(AF33,'排出係数(2017)'!$A$4:$I$1151,9,FALSE)</f>
        <v>#N/A</v>
      </c>
      <c r="AE33" s="12" t="str">
        <f t="shared" si="7"/>
        <v xml:space="preserve"> </v>
      </c>
      <c r="AF33" s="7" t="e">
        <f t="shared" si="24"/>
        <v>#N/A</v>
      </c>
      <c r="AG33" s="7" t="e">
        <f t="shared" si="8"/>
        <v>#N/A</v>
      </c>
      <c r="AH33" s="472" t="e">
        <f>VLOOKUP(AF33,'排出係数(2017)'!$A$4:$I$1151,6,FALSE)</f>
        <v>#N/A</v>
      </c>
      <c r="AI33" s="7" t="e">
        <f t="shared" si="9"/>
        <v>#N/A</v>
      </c>
      <c r="AJ33" s="7" t="e">
        <f t="shared" si="10"/>
        <v>#N/A</v>
      </c>
      <c r="AK33" s="472" t="e">
        <f>VLOOKUP(AF33,'排出係数(2017)'!$A$4:$I$1151,7,FALSE)</f>
        <v>#N/A</v>
      </c>
      <c r="AL33" s="7" t="e">
        <f t="shared" si="11"/>
        <v>#N/A</v>
      </c>
      <c r="AM33" s="7" t="e">
        <f t="shared" si="12"/>
        <v>#N/A</v>
      </c>
      <c r="AN33" s="7" t="e">
        <f t="shared" si="13"/>
        <v>#N/A</v>
      </c>
      <c r="AO33" s="7">
        <f t="shared" si="14"/>
        <v>0</v>
      </c>
      <c r="AP33" s="7" t="e">
        <f t="shared" si="25"/>
        <v>#N/A</v>
      </c>
      <c r="AQ33" s="7" t="str">
        <f t="shared" si="15"/>
        <v/>
      </c>
      <c r="AR33" s="7" t="str">
        <f t="shared" si="16"/>
        <v/>
      </c>
      <c r="AS33" s="7" t="str">
        <f t="shared" si="17"/>
        <v/>
      </c>
      <c r="AT33" s="97"/>
      <c r="AZ33" s="477" t="s">
        <v>1544</v>
      </c>
      <c r="BB33" s="15"/>
      <c r="BC33" s="15"/>
      <c r="BD33" s="15"/>
      <c r="BJ33" s="13">
        <v>17</v>
      </c>
      <c r="CF33" s="586" t="str">
        <f t="shared" si="26"/>
        <v/>
      </c>
      <c r="CG33"/>
      <c r="CH33"/>
    </row>
    <row r="34" spans="1:86" s="13" customFormat="1" ht="13.75" customHeight="1">
      <c r="A34" s="137">
        <v>19</v>
      </c>
      <c r="B34" s="134"/>
      <c r="C34" s="8"/>
      <c r="D34" s="100"/>
      <c r="E34" s="8"/>
      <c r="F34" s="8"/>
      <c r="G34" s="190"/>
      <c r="H34" s="8"/>
      <c r="I34" s="9"/>
      <c r="J34" s="10"/>
      <c r="K34" s="8"/>
      <c r="L34" s="145"/>
      <c r="M34" s="146"/>
      <c r="N34" s="583"/>
      <c r="O34" s="229" t="str">
        <f t="shared" si="18"/>
        <v/>
      </c>
      <c r="P34" s="229" t="str">
        <f t="shared" si="19"/>
        <v/>
      </c>
      <c r="Q34" s="230" t="str">
        <f t="shared" si="20"/>
        <v/>
      </c>
      <c r="R34" s="323" t="str">
        <f t="shared" si="21"/>
        <v/>
      </c>
      <c r="S34" s="350"/>
      <c r="T34" s="43"/>
      <c r="U34" s="347" t="str">
        <f t="shared" si="22"/>
        <v/>
      </c>
      <c r="V34" s="7" t="e">
        <f t="shared" si="0"/>
        <v>#N/A</v>
      </c>
      <c r="W34" s="7" t="e">
        <f t="shared" si="1"/>
        <v>#N/A</v>
      </c>
      <c r="X34" s="7" t="e">
        <f t="shared" si="2"/>
        <v>#N/A</v>
      </c>
      <c r="Y34" s="7" t="str">
        <f t="shared" si="3"/>
        <v/>
      </c>
      <c r="Z34" s="11">
        <f t="shared" si="4"/>
        <v>1</v>
      </c>
      <c r="AA34" s="7" t="e">
        <f t="shared" si="5"/>
        <v>#N/A</v>
      </c>
      <c r="AB34" s="7" t="e">
        <f t="shared" si="23"/>
        <v>#N/A</v>
      </c>
      <c r="AC34" s="7" t="e">
        <f t="shared" si="6"/>
        <v>#N/A</v>
      </c>
      <c r="AD34" s="472" t="e">
        <f>VLOOKUP(AF34,'排出係数(2017)'!$A$4:$I$1151,9,FALSE)</f>
        <v>#N/A</v>
      </c>
      <c r="AE34" s="12" t="str">
        <f t="shared" si="7"/>
        <v xml:space="preserve"> </v>
      </c>
      <c r="AF34" s="7" t="e">
        <f t="shared" si="24"/>
        <v>#N/A</v>
      </c>
      <c r="AG34" s="7" t="e">
        <f t="shared" si="8"/>
        <v>#N/A</v>
      </c>
      <c r="AH34" s="472" t="e">
        <f>VLOOKUP(AF34,'排出係数(2017)'!$A$4:$I$1151,6,FALSE)</f>
        <v>#N/A</v>
      </c>
      <c r="AI34" s="7" t="e">
        <f t="shared" si="9"/>
        <v>#N/A</v>
      </c>
      <c r="AJ34" s="7" t="e">
        <f t="shared" si="10"/>
        <v>#N/A</v>
      </c>
      <c r="AK34" s="472" t="e">
        <f>VLOOKUP(AF34,'排出係数(2017)'!$A$4:$I$1151,7,FALSE)</f>
        <v>#N/A</v>
      </c>
      <c r="AL34" s="7" t="e">
        <f t="shared" si="11"/>
        <v>#N/A</v>
      </c>
      <c r="AM34" s="7" t="e">
        <f t="shared" si="12"/>
        <v>#N/A</v>
      </c>
      <c r="AN34" s="7" t="e">
        <f t="shared" si="13"/>
        <v>#N/A</v>
      </c>
      <c r="AO34" s="7">
        <f t="shared" si="14"/>
        <v>0</v>
      </c>
      <c r="AP34" s="7" t="e">
        <f t="shared" si="25"/>
        <v>#N/A</v>
      </c>
      <c r="AQ34" s="7" t="str">
        <f t="shared" si="15"/>
        <v/>
      </c>
      <c r="AR34" s="7" t="str">
        <f t="shared" si="16"/>
        <v/>
      </c>
      <c r="AS34" s="7" t="str">
        <f t="shared" si="17"/>
        <v/>
      </c>
      <c r="AT34" s="97"/>
      <c r="AZ34" s="477" t="s">
        <v>562</v>
      </c>
      <c r="BB34" s="15"/>
      <c r="BC34" s="15"/>
      <c r="BD34" s="15"/>
      <c r="BJ34" s="13">
        <v>18</v>
      </c>
      <c r="CF34" s="586" t="str">
        <f t="shared" si="26"/>
        <v/>
      </c>
      <c r="CG34"/>
      <c r="CH34"/>
    </row>
    <row r="35" spans="1:86" s="13" customFormat="1" ht="13.75" customHeight="1">
      <c r="A35" s="137">
        <v>20</v>
      </c>
      <c r="B35" s="134"/>
      <c r="C35" s="8"/>
      <c r="D35" s="100"/>
      <c r="E35" s="8"/>
      <c r="F35" s="8"/>
      <c r="G35" s="190"/>
      <c r="H35" s="8"/>
      <c r="I35" s="9"/>
      <c r="J35" s="10"/>
      <c r="K35" s="8"/>
      <c r="L35" s="145"/>
      <c r="M35" s="146"/>
      <c r="N35" s="583"/>
      <c r="O35" s="229" t="str">
        <f t="shared" si="18"/>
        <v/>
      </c>
      <c r="P35" s="229" t="str">
        <f t="shared" si="19"/>
        <v/>
      </c>
      <c r="Q35" s="230" t="str">
        <f t="shared" si="20"/>
        <v/>
      </c>
      <c r="R35" s="323" t="str">
        <f t="shared" si="21"/>
        <v/>
      </c>
      <c r="S35" s="350"/>
      <c r="T35" s="43"/>
      <c r="U35" s="347" t="str">
        <f t="shared" si="22"/>
        <v/>
      </c>
      <c r="V35" s="7" t="e">
        <f t="shared" si="0"/>
        <v>#N/A</v>
      </c>
      <c r="W35" s="7" t="e">
        <f t="shared" si="1"/>
        <v>#N/A</v>
      </c>
      <c r="X35" s="7" t="e">
        <f t="shared" si="2"/>
        <v>#N/A</v>
      </c>
      <c r="Y35" s="7" t="str">
        <f t="shared" si="3"/>
        <v/>
      </c>
      <c r="Z35" s="11">
        <f t="shared" si="4"/>
        <v>1</v>
      </c>
      <c r="AA35" s="7" t="e">
        <f t="shared" si="5"/>
        <v>#N/A</v>
      </c>
      <c r="AB35" s="7" t="e">
        <f t="shared" si="23"/>
        <v>#N/A</v>
      </c>
      <c r="AC35" s="7" t="e">
        <f t="shared" si="6"/>
        <v>#N/A</v>
      </c>
      <c r="AD35" s="472" t="e">
        <f>VLOOKUP(AF35,'排出係数(2017)'!$A$4:$I$1151,9,FALSE)</f>
        <v>#N/A</v>
      </c>
      <c r="AE35" s="12" t="str">
        <f t="shared" si="7"/>
        <v xml:space="preserve"> </v>
      </c>
      <c r="AF35" s="7" t="e">
        <f t="shared" si="24"/>
        <v>#N/A</v>
      </c>
      <c r="AG35" s="7" t="e">
        <f t="shared" si="8"/>
        <v>#N/A</v>
      </c>
      <c r="AH35" s="472" t="e">
        <f>VLOOKUP(AF35,'排出係数(2017)'!$A$4:$I$1151,6,FALSE)</f>
        <v>#N/A</v>
      </c>
      <c r="AI35" s="7" t="e">
        <f t="shared" si="9"/>
        <v>#N/A</v>
      </c>
      <c r="AJ35" s="7" t="e">
        <f t="shared" si="10"/>
        <v>#N/A</v>
      </c>
      <c r="AK35" s="472" t="e">
        <f>VLOOKUP(AF35,'排出係数(2017)'!$A$4:$I$1151,7,FALSE)</f>
        <v>#N/A</v>
      </c>
      <c r="AL35" s="7" t="e">
        <f t="shared" si="11"/>
        <v>#N/A</v>
      </c>
      <c r="AM35" s="7" t="e">
        <f t="shared" si="12"/>
        <v>#N/A</v>
      </c>
      <c r="AN35" s="7" t="e">
        <f t="shared" si="13"/>
        <v>#N/A</v>
      </c>
      <c r="AO35" s="7">
        <f t="shared" si="14"/>
        <v>0</v>
      </c>
      <c r="AP35" s="7" t="e">
        <f t="shared" si="25"/>
        <v>#N/A</v>
      </c>
      <c r="AQ35" s="7" t="str">
        <f t="shared" si="15"/>
        <v/>
      </c>
      <c r="AR35" s="7" t="str">
        <f t="shared" si="16"/>
        <v/>
      </c>
      <c r="AS35" s="7" t="str">
        <f t="shared" si="17"/>
        <v/>
      </c>
      <c r="AT35" s="97"/>
      <c r="AZ35" s="477" t="s">
        <v>713</v>
      </c>
      <c r="BB35" s="15"/>
      <c r="BC35" s="15"/>
      <c r="BD35" s="15"/>
      <c r="BJ35" s="13">
        <v>19</v>
      </c>
      <c r="CF35" s="586" t="str">
        <f t="shared" si="26"/>
        <v/>
      </c>
      <c r="CG35"/>
      <c r="CH35"/>
    </row>
    <row r="36" spans="1:86" s="13" customFormat="1" ht="13.75" customHeight="1">
      <c r="A36" s="137">
        <v>21</v>
      </c>
      <c r="B36" s="134"/>
      <c r="C36" s="8"/>
      <c r="D36" s="100"/>
      <c r="E36" s="8"/>
      <c r="F36" s="8"/>
      <c r="G36" s="190"/>
      <c r="H36" s="8"/>
      <c r="I36" s="9"/>
      <c r="J36" s="10"/>
      <c r="K36" s="8"/>
      <c r="L36" s="145"/>
      <c r="M36" s="146"/>
      <c r="N36" s="583"/>
      <c r="O36" s="229" t="str">
        <f t="shared" si="18"/>
        <v/>
      </c>
      <c r="P36" s="229" t="str">
        <f t="shared" si="19"/>
        <v/>
      </c>
      <c r="Q36" s="230" t="str">
        <f t="shared" si="20"/>
        <v/>
      </c>
      <c r="R36" s="323" t="str">
        <f t="shared" si="21"/>
        <v/>
      </c>
      <c r="S36" s="350"/>
      <c r="T36" s="43"/>
      <c r="U36" s="347" t="str">
        <f t="shared" si="22"/>
        <v/>
      </c>
      <c r="V36" s="7" t="e">
        <f t="shared" si="0"/>
        <v>#N/A</v>
      </c>
      <c r="W36" s="7" t="e">
        <f t="shared" si="1"/>
        <v>#N/A</v>
      </c>
      <c r="X36" s="7" t="e">
        <f t="shared" si="2"/>
        <v>#N/A</v>
      </c>
      <c r="Y36" s="7" t="str">
        <f t="shared" si="3"/>
        <v/>
      </c>
      <c r="Z36" s="11">
        <f t="shared" si="4"/>
        <v>1</v>
      </c>
      <c r="AA36" s="7" t="e">
        <f t="shared" si="5"/>
        <v>#N/A</v>
      </c>
      <c r="AB36" s="7" t="e">
        <f t="shared" si="23"/>
        <v>#N/A</v>
      </c>
      <c r="AC36" s="7" t="e">
        <f t="shared" si="6"/>
        <v>#N/A</v>
      </c>
      <c r="AD36" s="472" t="e">
        <f>VLOOKUP(AF36,'排出係数(2017)'!$A$4:$I$1151,9,FALSE)</f>
        <v>#N/A</v>
      </c>
      <c r="AE36" s="12" t="str">
        <f t="shared" si="7"/>
        <v xml:space="preserve"> </v>
      </c>
      <c r="AF36" s="7" t="e">
        <f t="shared" si="24"/>
        <v>#N/A</v>
      </c>
      <c r="AG36" s="7" t="e">
        <f t="shared" si="8"/>
        <v>#N/A</v>
      </c>
      <c r="AH36" s="472" t="e">
        <f>VLOOKUP(AF36,'排出係数(2017)'!$A$4:$I$1151,6,FALSE)</f>
        <v>#N/A</v>
      </c>
      <c r="AI36" s="7" t="e">
        <f t="shared" si="9"/>
        <v>#N/A</v>
      </c>
      <c r="AJ36" s="7" t="e">
        <f t="shared" si="10"/>
        <v>#N/A</v>
      </c>
      <c r="AK36" s="472" t="e">
        <f>VLOOKUP(AF36,'排出係数(2017)'!$A$4:$I$1151,7,FALSE)</f>
        <v>#N/A</v>
      </c>
      <c r="AL36" s="7" t="e">
        <f t="shared" si="11"/>
        <v>#N/A</v>
      </c>
      <c r="AM36" s="7" t="e">
        <f t="shared" si="12"/>
        <v>#N/A</v>
      </c>
      <c r="AN36" s="7" t="e">
        <f t="shared" si="13"/>
        <v>#N/A</v>
      </c>
      <c r="AO36" s="7">
        <f t="shared" si="14"/>
        <v>0</v>
      </c>
      <c r="AP36" s="7" t="e">
        <f t="shared" si="25"/>
        <v>#N/A</v>
      </c>
      <c r="AQ36" s="7" t="str">
        <f t="shared" si="15"/>
        <v/>
      </c>
      <c r="AR36" s="7" t="str">
        <f t="shared" si="16"/>
        <v/>
      </c>
      <c r="AS36" s="7" t="str">
        <f t="shared" si="17"/>
        <v/>
      </c>
      <c r="AT36" s="97"/>
      <c r="AZ36" s="477" t="s">
        <v>1005</v>
      </c>
      <c r="BB36" s="15"/>
      <c r="BC36" s="15"/>
      <c r="BD36" s="15"/>
      <c r="BJ36" s="13">
        <v>20</v>
      </c>
      <c r="CF36" s="586" t="str">
        <f t="shared" si="26"/>
        <v/>
      </c>
      <c r="CG36"/>
      <c r="CH36"/>
    </row>
    <row r="37" spans="1:86" s="13" customFormat="1" ht="13.75" customHeight="1">
      <c r="A37" s="137">
        <v>22</v>
      </c>
      <c r="B37" s="134"/>
      <c r="C37" s="8"/>
      <c r="D37" s="100"/>
      <c r="E37" s="8"/>
      <c r="F37" s="8"/>
      <c r="G37" s="190"/>
      <c r="H37" s="8"/>
      <c r="I37" s="9"/>
      <c r="J37" s="10"/>
      <c r="K37" s="8"/>
      <c r="L37" s="145"/>
      <c r="M37" s="146"/>
      <c r="N37" s="583"/>
      <c r="O37" s="229" t="str">
        <f t="shared" si="18"/>
        <v/>
      </c>
      <c r="P37" s="229" t="str">
        <f t="shared" si="19"/>
        <v/>
      </c>
      <c r="Q37" s="230" t="str">
        <f t="shared" si="20"/>
        <v/>
      </c>
      <c r="R37" s="323" t="str">
        <f t="shared" si="21"/>
        <v/>
      </c>
      <c r="S37" s="350"/>
      <c r="T37" s="43"/>
      <c r="U37" s="347" t="str">
        <f t="shared" si="22"/>
        <v/>
      </c>
      <c r="V37" s="7" t="e">
        <f t="shared" si="0"/>
        <v>#N/A</v>
      </c>
      <c r="W37" s="7" t="e">
        <f t="shared" si="1"/>
        <v>#N/A</v>
      </c>
      <c r="X37" s="7" t="e">
        <f t="shared" si="2"/>
        <v>#N/A</v>
      </c>
      <c r="Y37" s="7" t="str">
        <f t="shared" si="3"/>
        <v/>
      </c>
      <c r="Z37" s="11">
        <f t="shared" si="4"/>
        <v>1</v>
      </c>
      <c r="AA37" s="7" t="e">
        <f t="shared" si="5"/>
        <v>#N/A</v>
      </c>
      <c r="AB37" s="7" t="e">
        <f t="shared" si="23"/>
        <v>#N/A</v>
      </c>
      <c r="AC37" s="7" t="e">
        <f t="shared" si="6"/>
        <v>#N/A</v>
      </c>
      <c r="AD37" s="472" t="e">
        <f>VLOOKUP(AF37,'排出係数(2017)'!$A$4:$I$1151,9,FALSE)</f>
        <v>#N/A</v>
      </c>
      <c r="AE37" s="12" t="str">
        <f t="shared" si="7"/>
        <v xml:space="preserve"> </v>
      </c>
      <c r="AF37" s="7" t="e">
        <f t="shared" si="24"/>
        <v>#N/A</v>
      </c>
      <c r="AG37" s="7" t="e">
        <f t="shared" si="8"/>
        <v>#N/A</v>
      </c>
      <c r="AH37" s="472" t="e">
        <f>VLOOKUP(AF37,'排出係数(2017)'!$A$4:$I$1151,6,FALSE)</f>
        <v>#N/A</v>
      </c>
      <c r="AI37" s="7" t="e">
        <f t="shared" si="9"/>
        <v>#N/A</v>
      </c>
      <c r="AJ37" s="7" t="e">
        <f t="shared" si="10"/>
        <v>#N/A</v>
      </c>
      <c r="AK37" s="472" t="e">
        <f>VLOOKUP(AF37,'排出係数(2017)'!$A$4:$I$1151,7,FALSE)</f>
        <v>#N/A</v>
      </c>
      <c r="AL37" s="7" t="e">
        <f t="shared" si="11"/>
        <v>#N/A</v>
      </c>
      <c r="AM37" s="7" t="e">
        <f t="shared" si="12"/>
        <v>#N/A</v>
      </c>
      <c r="AN37" s="7" t="e">
        <f t="shared" si="13"/>
        <v>#N/A</v>
      </c>
      <c r="AO37" s="7">
        <f t="shared" si="14"/>
        <v>0</v>
      </c>
      <c r="AP37" s="7" t="e">
        <f t="shared" si="25"/>
        <v>#N/A</v>
      </c>
      <c r="AQ37" s="7" t="str">
        <f t="shared" si="15"/>
        <v/>
      </c>
      <c r="AR37" s="7" t="str">
        <f t="shared" si="16"/>
        <v/>
      </c>
      <c r="AS37" s="7" t="str">
        <f t="shared" si="17"/>
        <v/>
      </c>
      <c r="AT37" s="97"/>
      <c r="AZ37" s="477" t="s">
        <v>1667</v>
      </c>
      <c r="BB37" s="15"/>
      <c r="BC37" s="15"/>
      <c r="BD37" s="15"/>
      <c r="BE37" s="17"/>
      <c r="BJ37" s="13">
        <v>21</v>
      </c>
      <c r="CF37" s="586" t="str">
        <f t="shared" si="26"/>
        <v/>
      </c>
      <c r="CG37"/>
      <c r="CH37"/>
    </row>
    <row r="38" spans="1:86" s="13" customFormat="1" ht="13.75" customHeight="1">
      <c r="A38" s="137">
        <v>23</v>
      </c>
      <c r="B38" s="134"/>
      <c r="C38" s="8"/>
      <c r="D38" s="100"/>
      <c r="E38" s="8"/>
      <c r="F38" s="8"/>
      <c r="G38" s="190"/>
      <c r="H38" s="8"/>
      <c r="I38" s="9"/>
      <c r="J38" s="10"/>
      <c r="K38" s="8"/>
      <c r="L38" s="145"/>
      <c r="M38" s="146"/>
      <c r="N38" s="583"/>
      <c r="O38" s="229" t="str">
        <f t="shared" si="18"/>
        <v/>
      </c>
      <c r="P38" s="229" t="str">
        <f t="shared" si="19"/>
        <v/>
      </c>
      <c r="Q38" s="230" t="str">
        <f t="shared" si="20"/>
        <v/>
      </c>
      <c r="R38" s="323" t="str">
        <f t="shared" si="21"/>
        <v/>
      </c>
      <c r="S38" s="350"/>
      <c r="T38" s="43"/>
      <c r="U38" s="347" t="str">
        <f t="shared" si="22"/>
        <v/>
      </c>
      <c r="V38" s="7" t="e">
        <f t="shared" si="0"/>
        <v>#N/A</v>
      </c>
      <c r="W38" s="7" t="e">
        <f t="shared" si="1"/>
        <v>#N/A</v>
      </c>
      <c r="X38" s="7" t="e">
        <f t="shared" si="2"/>
        <v>#N/A</v>
      </c>
      <c r="Y38" s="7" t="str">
        <f t="shared" si="3"/>
        <v/>
      </c>
      <c r="Z38" s="11">
        <f t="shared" si="4"/>
        <v>1</v>
      </c>
      <c r="AA38" s="7" t="e">
        <f t="shared" si="5"/>
        <v>#N/A</v>
      </c>
      <c r="AB38" s="7" t="e">
        <f t="shared" si="23"/>
        <v>#N/A</v>
      </c>
      <c r="AC38" s="7" t="e">
        <f t="shared" si="6"/>
        <v>#N/A</v>
      </c>
      <c r="AD38" s="472" t="e">
        <f>VLOOKUP(AF38,'排出係数(2017)'!$A$4:$I$1151,9,FALSE)</f>
        <v>#N/A</v>
      </c>
      <c r="AE38" s="12" t="str">
        <f t="shared" si="7"/>
        <v xml:space="preserve"> </v>
      </c>
      <c r="AF38" s="7" t="e">
        <f t="shared" si="24"/>
        <v>#N/A</v>
      </c>
      <c r="AG38" s="7" t="e">
        <f t="shared" si="8"/>
        <v>#N/A</v>
      </c>
      <c r="AH38" s="472" t="e">
        <f>VLOOKUP(AF38,'排出係数(2017)'!$A$4:$I$1151,6,FALSE)</f>
        <v>#N/A</v>
      </c>
      <c r="AI38" s="7" t="e">
        <f t="shared" si="9"/>
        <v>#N/A</v>
      </c>
      <c r="AJ38" s="7" t="e">
        <f t="shared" si="10"/>
        <v>#N/A</v>
      </c>
      <c r="AK38" s="472" t="e">
        <f>VLOOKUP(AF38,'排出係数(2017)'!$A$4:$I$1151,7,FALSE)</f>
        <v>#N/A</v>
      </c>
      <c r="AL38" s="7" t="e">
        <f t="shared" si="11"/>
        <v>#N/A</v>
      </c>
      <c r="AM38" s="7" t="e">
        <f t="shared" si="12"/>
        <v>#N/A</v>
      </c>
      <c r="AN38" s="7" t="e">
        <f t="shared" si="13"/>
        <v>#N/A</v>
      </c>
      <c r="AO38" s="7">
        <f t="shared" si="14"/>
        <v>0</v>
      </c>
      <c r="AP38" s="7" t="e">
        <f t="shared" si="25"/>
        <v>#N/A</v>
      </c>
      <c r="AQ38" s="7" t="str">
        <f t="shared" si="15"/>
        <v/>
      </c>
      <c r="AR38" s="7" t="str">
        <f t="shared" si="16"/>
        <v/>
      </c>
      <c r="AS38" s="7" t="str">
        <f t="shared" si="17"/>
        <v/>
      </c>
      <c r="AT38" s="97"/>
      <c r="AZ38" s="477" t="s">
        <v>1669</v>
      </c>
      <c r="BB38" s="15"/>
      <c r="BC38" s="15"/>
      <c r="BD38" s="15"/>
      <c r="BE38" s="18"/>
      <c r="BJ38" s="13">
        <v>22</v>
      </c>
      <c r="CF38" s="586" t="str">
        <f t="shared" si="26"/>
        <v/>
      </c>
      <c r="CG38"/>
      <c r="CH38"/>
    </row>
    <row r="39" spans="1:86" s="13" customFormat="1" ht="13.75" customHeight="1">
      <c r="A39" s="137">
        <v>24</v>
      </c>
      <c r="B39" s="134"/>
      <c r="C39" s="8"/>
      <c r="D39" s="100"/>
      <c r="E39" s="8"/>
      <c r="F39" s="8"/>
      <c r="G39" s="190"/>
      <c r="H39" s="8"/>
      <c r="I39" s="9"/>
      <c r="J39" s="10"/>
      <c r="K39" s="8"/>
      <c r="L39" s="145"/>
      <c r="M39" s="146"/>
      <c r="N39" s="583"/>
      <c r="O39" s="229" t="str">
        <f t="shared" si="18"/>
        <v/>
      </c>
      <c r="P39" s="229" t="str">
        <f t="shared" si="19"/>
        <v/>
      </c>
      <c r="Q39" s="230" t="str">
        <f t="shared" si="20"/>
        <v/>
      </c>
      <c r="R39" s="323" t="str">
        <f t="shared" si="21"/>
        <v/>
      </c>
      <c r="S39" s="350"/>
      <c r="T39" s="43"/>
      <c r="U39" s="347" t="str">
        <f t="shared" si="22"/>
        <v/>
      </c>
      <c r="V39" s="7" t="e">
        <f t="shared" si="0"/>
        <v>#N/A</v>
      </c>
      <c r="W39" s="7" t="e">
        <f t="shared" si="1"/>
        <v>#N/A</v>
      </c>
      <c r="X39" s="7" t="e">
        <f t="shared" si="2"/>
        <v>#N/A</v>
      </c>
      <c r="Y39" s="7" t="str">
        <f t="shared" si="3"/>
        <v/>
      </c>
      <c r="Z39" s="11">
        <f t="shared" si="4"/>
        <v>1</v>
      </c>
      <c r="AA39" s="7" t="e">
        <f t="shared" si="5"/>
        <v>#N/A</v>
      </c>
      <c r="AB39" s="7" t="e">
        <f t="shared" si="23"/>
        <v>#N/A</v>
      </c>
      <c r="AC39" s="7" t="e">
        <f t="shared" si="6"/>
        <v>#N/A</v>
      </c>
      <c r="AD39" s="472" t="e">
        <f>VLOOKUP(AF39,'排出係数(2017)'!$A$4:$I$1151,9,FALSE)</f>
        <v>#N/A</v>
      </c>
      <c r="AE39" s="12" t="str">
        <f t="shared" si="7"/>
        <v xml:space="preserve"> </v>
      </c>
      <c r="AF39" s="7" t="e">
        <f t="shared" si="24"/>
        <v>#N/A</v>
      </c>
      <c r="AG39" s="7" t="e">
        <f t="shared" si="8"/>
        <v>#N/A</v>
      </c>
      <c r="AH39" s="472" t="e">
        <f>VLOOKUP(AF39,'排出係数(2017)'!$A$4:$I$1151,6,FALSE)</f>
        <v>#N/A</v>
      </c>
      <c r="AI39" s="7" t="e">
        <f t="shared" si="9"/>
        <v>#N/A</v>
      </c>
      <c r="AJ39" s="7" t="e">
        <f t="shared" si="10"/>
        <v>#N/A</v>
      </c>
      <c r="AK39" s="472" t="e">
        <f>VLOOKUP(AF39,'排出係数(2017)'!$A$4:$I$1151,7,FALSE)</f>
        <v>#N/A</v>
      </c>
      <c r="AL39" s="7" t="e">
        <f t="shared" si="11"/>
        <v>#N/A</v>
      </c>
      <c r="AM39" s="7" t="e">
        <f t="shared" si="12"/>
        <v>#N/A</v>
      </c>
      <c r="AN39" s="7" t="e">
        <f t="shared" si="13"/>
        <v>#N/A</v>
      </c>
      <c r="AO39" s="7">
        <f t="shared" si="14"/>
        <v>0</v>
      </c>
      <c r="AP39" s="7" t="e">
        <f t="shared" si="25"/>
        <v>#N/A</v>
      </c>
      <c r="AQ39" s="7" t="str">
        <f t="shared" si="15"/>
        <v/>
      </c>
      <c r="AR39" s="7" t="str">
        <f t="shared" si="16"/>
        <v/>
      </c>
      <c r="AS39" s="7" t="str">
        <f t="shared" si="17"/>
        <v/>
      </c>
      <c r="AT39" s="97"/>
      <c r="AZ39" s="477" t="s">
        <v>1136</v>
      </c>
      <c r="BB39" s="15"/>
      <c r="BC39" s="15"/>
      <c r="BD39" s="15"/>
      <c r="BE39" s="18"/>
      <c r="BJ39" s="13">
        <v>23</v>
      </c>
      <c r="CF39" s="586" t="str">
        <f t="shared" si="26"/>
        <v/>
      </c>
      <c r="CG39"/>
      <c r="CH39"/>
    </row>
    <row r="40" spans="1:86" s="13" customFormat="1" ht="13.75" customHeight="1">
      <c r="A40" s="137">
        <v>25</v>
      </c>
      <c r="B40" s="134"/>
      <c r="C40" s="8"/>
      <c r="D40" s="100"/>
      <c r="E40" s="8"/>
      <c r="F40" s="8"/>
      <c r="G40" s="190"/>
      <c r="H40" s="8"/>
      <c r="I40" s="9"/>
      <c r="J40" s="10"/>
      <c r="K40" s="8"/>
      <c r="L40" s="145"/>
      <c r="M40" s="146"/>
      <c r="N40" s="583"/>
      <c r="O40" s="229" t="str">
        <f t="shared" si="18"/>
        <v/>
      </c>
      <c r="P40" s="229" t="str">
        <f t="shared" si="19"/>
        <v/>
      </c>
      <c r="Q40" s="230" t="str">
        <f t="shared" si="20"/>
        <v/>
      </c>
      <c r="R40" s="323" t="str">
        <f t="shared" si="21"/>
        <v/>
      </c>
      <c r="S40" s="350"/>
      <c r="T40" s="43"/>
      <c r="U40" s="347" t="str">
        <f t="shared" si="22"/>
        <v/>
      </c>
      <c r="V40" s="7" t="e">
        <f t="shared" si="0"/>
        <v>#N/A</v>
      </c>
      <c r="W40" s="7" t="e">
        <f t="shared" si="1"/>
        <v>#N/A</v>
      </c>
      <c r="X40" s="7" t="e">
        <f t="shared" si="2"/>
        <v>#N/A</v>
      </c>
      <c r="Y40" s="7" t="str">
        <f t="shared" si="3"/>
        <v/>
      </c>
      <c r="Z40" s="11">
        <f t="shared" si="4"/>
        <v>1</v>
      </c>
      <c r="AA40" s="7" t="e">
        <f t="shared" si="5"/>
        <v>#N/A</v>
      </c>
      <c r="AB40" s="7" t="e">
        <f t="shared" si="23"/>
        <v>#N/A</v>
      </c>
      <c r="AC40" s="7" t="e">
        <f t="shared" si="6"/>
        <v>#N/A</v>
      </c>
      <c r="AD40" s="472" t="e">
        <f>VLOOKUP(AF40,'排出係数(2017)'!$A$4:$I$1151,9,FALSE)</f>
        <v>#N/A</v>
      </c>
      <c r="AE40" s="12" t="str">
        <f t="shared" si="7"/>
        <v xml:space="preserve"> </v>
      </c>
      <c r="AF40" s="7" t="e">
        <f t="shared" si="24"/>
        <v>#N/A</v>
      </c>
      <c r="AG40" s="7" t="e">
        <f t="shared" si="8"/>
        <v>#N/A</v>
      </c>
      <c r="AH40" s="472" t="e">
        <f>VLOOKUP(AF40,'排出係数(2017)'!$A$4:$I$1151,6,FALSE)</f>
        <v>#N/A</v>
      </c>
      <c r="AI40" s="7" t="e">
        <f t="shared" si="9"/>
        <v>#N/A</v>
      </c>
      <c r="AJ40" s="7" t="e">
        <f t="shared" si="10"/>
        <v>#N/A</v>
      </c>
      <c r="AK40" s="472" t="e">
        <f>VLOOKUP(AF40,'排出係数(2017)'!$A$4:$I$1151,7,FALSE)</f>
        <v>#N/A</v>
      </c>
      <c r="AL40" s="7" t="e">
        <f t="shared" si="11"/>
        <v>#N/A</v>
      </c>
      <c r="AM40" s="7" t="e">
        <f t="shared" si="12"/>
        <v>#N/A</v>
      </c>
      <c r="AN40" s="7" t="e">
        <f t="shared" si="13"/>
        <v>#N/A</v>
      </c>
      <c r="AO40" s="7">
        <f t="shared" si="14"/>
        <v>0</v>
      </c>
      <c r="AP40" s="7" t="e">
        <f t="shared" si="25"/>
        <v>#N/A</v>
      </c>
      <c r="AQ40" s="7" t="str">
        <f t="shared" si="15"/>
        <v/>
      </c>
      <c r="AR40" s="7" t="str">
        <f t="shared" si="16"/>
        <v/>
      </c>
      <c r="AS40" s="7" t="str">
        <f t="shared" si="17"/>
        <v/>
      </c>
      <c r="AT40" s="97"/>
      <c r="AZ40" s="477" t="s">
        <v>1166</v>
      </c>
      <c r="BB40" s="15"/>
      <c r="BC40" s="15"/>
      <c r="BD40" s="15"/>
      <c r="BE40" s="18"/>
      <c r="BJ40" s="13">
        <v>24</v>
      </c>
      <c r="CF40" s="586" t="str">
        <f t="shared" si="26"/>
        <v/>
      </c>
      <c r="CG40"/>
      <c r="CH40"/>
    </row>
    <row r="41" spans="1:86" s="13" customFormat="1" ht="13.75" customHeight="1">
      <c r="A41" s="137">
        <v>26</v>
      </c>
      <c r="B41" s="134"/>
      <c r="C41" s="8"/>
      <c r="D41" s="100"/>
      <c r="E41" s="8"/>
      <c r="F41" s="8"/>
      <c r="G41" s="190"/>
      <c r="H41" s="8"/>
      <c r="I41" s="9"/>
      <c r="J41" s="10"/>
      <c r="K41" s="8"/>
      <c r="L41" s="145"/>
      <c r="M41" s="146"/>
      <c r="N41" s="583"/>
      <c r="O41" s="229" t="str">
        <f t="shared" si="18"/>
        <v/>
      </c>
      <c r="P41" s="229" t="str">
        <f t="shared" si="19"/>
        <v/>
      </c>
      <c r="Q41" s="230" t="str">
        <f t="shared" si="20"/>
        <v/>
      </c>
      <c r="R41" s="323" t="str">
        <f t="shared" si="21"/>
        <v/>
      </c>
      <c r="S41" s="350"/>
      <c r="T41" s="43"/>
      <c r="U41" s="347" t="str">
        <f t="shared" si="22"/>
        <v/>
      </c>
      <c r="V41" s="7" t="e">
        <f t="shared" si="0"/>
        <v>#N/A</v>
      </c>
      <c r="W41" s="7" t="e">
        <f t="shared" si="1"/>
        <v>#N/A</v>
      </c>
      <c r="X41" s="7" t="e">
        <f t="shared" si="2"/>
        <v>#N/A</v>
      </c>
      <c r="Y41" s="7" t="str">
        <f t="shared" si="3"/>
        <v/>
      </c>
      <c r="Z41" s="11">
        <f t="shared" si="4"/>
        <v>1</v>
      </c>
      <c r="AA41" s="7" t="e">
        <f t="shared" si="5"/>
        <v>#N/A</v>
      </c>
      <c r="AB41" s="7" t="e">
        <f t="shared" si="23"/>
        <v>#N/A</v>
      </c>
      <c r="AC41" s="7" t="e">
        <f t="shared" si="6"/>
        <v>#N/A</v>
      </c>
      <c r="AD41" s="472" t="e">
        <f>VLOOKUP(AF41,'排出係数(2017)'!$A$4:$I$1151,9,FALSE)</f>
        <v>#N/A</v>
      </c>
      <c r="AE41" s="12" t="str">
        <f t="shared" si="7"/>
        <v xml:space="preserve"> </v>
      </c>
      <c r="AF41" s="7" t="e">
        <f t="shared" si="24"/>
        <v>#N/A</v>
      </c>
      <c r="AG41" s="7" t="e">
        <f t="shared" si="8"/>
        <v>#N/A</v>
      </c>
      <c r="AH41" s="472" t="e">
        <f>VLOOKUP(AF41,'排出係数(2017)'!$A$4:$I$1151,6,FALSE)</f>
        <v>#N/A</v>
      </c>
      <c r="AI41" s="7" t="e">
        <f t="shared" si="9"/>
        <v>#N/A</v>
      </c>
      <c r="AJ41" s="7" t="e">
        <f t="shared" si="10"/>
        <v>#N/A</v>
      </c>
      <c r="AK41" s="472" t="e">
        <f>VLOOKUP(AF41,'排出係数(2017)'!$A$4:$I$1151,7,FALSE)</f>
        <v>#N/A</v>
      </c>
      <c r="AL41" s="7" t="e">
        <f t="shared" si="11"/>
        <v>#N/A</v>
      </c>
      <c r="AM41" s="7" t="e">
        <f t="shared" si="12"/>
        <v>#N/A</v>
      </c>
      <c r="AN41" s="7" t="e">
        <f t="shared" si="13"/>
        <v>#N/A</v>
      </c>
      <c r="AO41" s="7">
        <f t="shared" si="14"/>
        <v>0</v>
      </c>
      <c r="AP41" s="7" t="e">
        <f t="shared" si="25"/>
        <v>#N/A</v>
      </c>
      <c r="AQ41" s="7" t="str">
        <f t="shared" si="15"/>
        <v/>
      </c>
      <c r="AR41" s="7" t="str">
        <f t="shared" si="16"/>
        <v/>
      </c>
      <c r="AS41" s="7" t="str">
        <f t="shared" si="17"/>
        <v/>
      </c>
      <c r="AT41" s="97"/>
      <c r="AZ41" s="477" t="s">
        <v>1223</v>
      </c>
      <c r="BB41" s="15"/>
      <c r="BC41" s="15"/>
      <c r="BD41" s="15"/>
      <c r="BE41" s="18"/>
      <c r="BJ41" s="13">
        <v>25</v>
      </c>
      <c r="CF41" s="586" t="str">
        <f t="shared" si="26"/>
        <v/>
      </c>
      <c r="CG41"/>
      <c r="CH41"/>
    </row>
    <row r="42" spans="1:86" s="13" customFormat="1" ht="13.75" customHeight="1">
      <c r="A42" s="137">
        <v>27</v>
      </c>
      <c r="B42" s="134"/>
      <c r="C42" s="8"/>
      <c r="D42" s="100"/>
      <c r="E42" s="8"/>
      <c r="F42" s="8"/>
      <c r="G42" s="190"/>
      <c r="H42" s="8"/>
      <c r="I42" s="9"/>
      <c r="J42" s="10"/>
      <c r="K42" s="8"/>
      <c r="L42" s="145"/>
      <c r="M42" s="146"/>
      <c r="N42" s="583"/>
      <c r="O42" s="229" t="str">
        <f t="shared" si="18"/>
        <v/>
      </c>
      <c r="P42" s="229" t="str">
        <f t="shared" si="19"/>
        <v/>
      </c>
      <c r="Q42" s="230" t="str">
        <f t="shared" si="20"/>
        <v/>
      </c>
      <c r="R42" s="323" t="str">
        <f t="shared" si="21"/>
        <v/>
      </c>
      <c r="S42" s="350"/>
      <c r="T42" s="43"/>
      <c r="U42" s="347" t="str">
        <f t="shared" si="22"/>
        <v/>
      </c>
      <c r="V42" s="7" t="e">
        <f t="shared" si="0"/>
        <v>#N/A</v>
      </c>
      <c r="W42" s="7" t="e">
        <f t="shared" si="1"/>
        <v>#N/A</v>
      </c>
      <c r="X42" s="7" t="e">
        <f t="shared" si="2"/>
        <v>#N/A</v>
      </c>
      <c r="Y42" s="7" t="str">
        <f t="shared" si="3"/>
        <v/>
      </c>
      <c r="Z42" s="11">
        <f t="shared" si="4"/>
        <v>1</v>
      </c>
      <c r="AA42" s="7" t="e">
        <f t="shared" si="5"/>
        <v>#N/A</v>
      </c>
      <c r="AB42" s="7" t="e">
        <f t="shared" si="23"/>
        <v>#N/A</v>
      </c>
      <c r="AC42" s="7" t="e">
        <f t="shared" si="6"/>
        <v>#N/A</v>
      </c>
      <c r="AD42" s="472" t="e">
        <f>VLOOKUP(AF42,'排出係数(2017)'!$A$4:$I$1151,9,FALSE)</f>
        <v>#N/A</v>
      </c>
      <c r="AE42" s="12" t="str">
        <f t="shared" si="7"/>
        <v xml:space="preserve"> </v>
      </c>
      <c r="AF42" s="7" t="e">
        <f t="shared" si="24"/>
        <v>#N/A</v>
      </c>
      <c r="AG42" s="7" t="e">
        <f t="shared" si="8"/>
        <v>#N/A</v>
      </c>
      <c r="AH42" s="472" t="e">
        <f>VLOOKUP(AF42,'排出係数(2017)'!$A$4:$I$1151,6,FALSE)</f>
        <v>#N/A</v>
      </c>
      <c r="AI42" s="7" t="e">
        <f t="shared" si="9"/>
        <v>#N/A</v>
      </c>
      <c r="AJ42" s="7" t="e">
        <f t="shared" si="10"/>
        <v>#N/A</v>
      </c>
      <c r="AK42" s="472" t="e">
        <f>VLOOKUP(AF42,'排出係数(2017)'!$A$4:$I$1151,7,FALSE)</f>
        <v>#N/A</v>
      </c>
      <c r="AL42" s="7" t="e">
        <f t="shared" si="11"/>
        <v>#N/A</v>
      </c>
      <c r="AM42" s="7" t="e">
        <f t="shared" si="12"/>
        <v>#N/A</v>
      </c>
      <c r="AN42" s="7" t="e">
        <f t="shared" si="13"/>
        <v>#N/A</v>
      </c>
      <c r="AO42" s="7">
        <f t="shared" si="14"/>
        <v>0</v>
      </c>
      <c r="AP42" s="7" t="e">
        <f t="shared" si="25"/>
        <v>#N/A</v>
      </c>
      <c r="AQ42" s="7" t="str">
        <f t="shared" si="15"/>
        <v/>
      </c>
      <c r="AR42" s="7" t="str">
        <f t="shared" si="16"/>
        <v/>
      </c>
      <c r="AS42" s="7" t="str">
        <f t="shared" si="17"/>
        <v/>
      </c>
      <c r="AT42" s="97"/>
      <c r="AZ42" s="477" t="s">
        <v>1663</v>
      </c>
      <c r="BB42" s="15"/>
      <c r="BC42" s="15"/>
      <c r="BD42" s="15"/>
      <c r="BE42" s="18"/>
      <c r="BJ42" s="13">
        <v>26</v>
      </c>
      <c r="CF42" s="586" t="str">
        <f t="shared" si="26"/>
        <v/>
      </c>
      <c r="CG42"/>
      <c r="CH42"/>
    </row>
    <row r="43" spans="1:86" s="13" customFormat="1" ht="13.75" customHeight="1">
      <c r="A43" s="137">
        <v>28</v>
      </c>
      <c r="B43" s="134"/>
      <c r="C43" s="8"/>
      <c r="D43" s="100"/>
      <c r="E43" s="8"/>
      <c r="F43" s="8"/>
      <c r="G43" s="190"/>
      <c r="H43" s="8"/>
      <c r="I43" s="9"/>
      <c r="J43" s="10"/>
      <c r="K43" s="8"/>
      <c r="L43" s="145"/>
      <c r="M43" s="146"/>
      <c r="N43" s="583"/>
      <c r="O43" s="229" t="str">
        <f t="shared" si="18"/>
        <v/>
      </c>
      <c r="P43" s="229" t="str">
        <f t="shared" si="19"/>
        <v/>
      </c>
      <c r="Q43" s="230" t="str">
        <f t="shared" si="20"/>
        <v/>
      </c>
      <c r="R43" s="323" t="str">
        <f t="shared" si="21"/>
        <v/>
      </c>
      <c r="S43" s="350"/>
      <c r="T43" s="43"/>
      <c r="U43" s="347" t="str">
        <f t="shared" si="22"/>
        <v/>
      </c>
      <c r="V43" s="7" t="e">
        <f t="shared" si="0"/>
        <v>#N/A</v>
      </c>
      <c r="W43" s="7" t="e">
        <f t="shared" si="1"/>
        <v>#N/A</v>
      </c>
      <c r="X43" s="7" t="e">
        <f t="shared" si="2"/>
        <v>#N/A</v>
      </c>
      <c r="Y43" s="7" t="str">
        <f t="shared" si="3"/>
        <v/>
      </c>
      <c r="Z43" s="11">
        <f t="shared" si="4"/>
        <v>1</v>
      </c>
      <c r="AA43" s="7" t="e">
        <f t="shared" si="5"/>
        <v>#N/A</v>
      </c>
      <c r="AB43" s="7" t="e">
        <f t="shared" si="23"/>
        <v>#N/A</v>
      </c>
      <c r="AC43" s="7" t="e">
        <f t="shared" si="6"/>
        <v>#N/A</v>
      </c>
      <c r="AD43" s="472" t="e">
        <f>VLOOKUP(AF43,'排出係数(2017)'!$A$4:$I$1151,9,FALSE)</f>
        <v>#N/A</v>
      </c>
      <c r="AE43" s="12" t="str">
        <f t="shared" si="7"/>
        <v xml:space="preserve"> </v>
      </c>
      <c r="AF43" s="7" t="e">
        <f t="shared" si="24"/>
        <v>#N/A</v>
      </c>
      <c r="AG43" s="7" t="e">
        <f t="shared" si="8"/>
        <v>#N/A</v>
      </c>
      <c r="AH43" s="472" t="e">
        <f>VLOOKUP(AF43,'排出係数(2017)'!$A$4:$I$1151,6,FALSE)</f>
        <v>#N/A</v>
      </c>
      <c r="AI43" s="7" t="e">
        <f t="shared" si="9"/>
        <v>#N/A</v>
      </c>
      <c r="AJ43" s="7" t="e">
        <f t="shared" si="10"/>
        <v>#N/A</v>
      </c>
      <c r="AK43" s="472" t="e">
        <f>VLOOKUP(AF43,'排出係数(2017)'!$A$4:$I$1151,7,FALSE)</f>
        <v>#N/A</v>
      </c>
      <c r="AL43" s="7" t="e">
        <f t="shared" si="11"/>
        <v>#N/A</v>
      </c>
      <c r="AM43" s="7" t="e">
        <f t="shared" si="12"/>
        <v>#N/A</v>
      </c>
      <c r="AN43" s="7" t="e">
        <f t="shared" si="13"/>
        <v>#N/A</v>
      </c>
      <c r="AO43" s="7">
        <f t="shared" si="14"/>
        <v>0</v>
      </c>
      <c r="AP43" s="7" t="e">
        <f t="shared" si="25"/>
        <v>#N/A</v>
      </c>
      <c r="AQ43" s="7" t="str">
        <f t="shared" si="15"/>
        <v/>
      </c>
      <c r="AR43" s="7" t="str">
        <f t="shared" si="16"/>
        <v/>
      </c>
      <c r="AS43" s="7" t="str">
        <f t="shared" si="17"/>
        <v/>
      </c>
      <c r="AT43" s="97"/>
      <c r="AZ43" s="477" t="s">
        <v>1665</v>
      </c>
      <c r="BB43" s="15"/>
      <c r="BC43" s="15"/>
      <c r="BD43" s="15"/>
      <c r="BE43" s="18"/>
      <c r="BJ43" s="13">
        <v>27</v>
      </c>
      <c r="CF43" s="586" t="str">
        <f t="shared" si="26"/>
        <v/>
      </c>
      <c r="CG43"/>
      <c r="CH43"/>
    </row>
    <row r="44" spans="1:86" s="13" customFormat="1" ht="13.75" customHeight="1">
      <c r="A44" s="137">
        <v>29</v>
      </c>
      <c r="B44" s="134"/>
      <c r="C44" s="8"/>
      <c r="D44" s="100"/>
      <c r="E44" s="8"/>
      <c r="F44" s="8"/>
      <c r="G44" s="190"/>
      <c r="H44" s="8"/>
      <c r="I44" s="9"/>
      <c r="J44" s="10"/>
      <c r="K44" s="8"/>
      <c r="L44" s="145"/>
      <c r="M44" s="146"/>
      <c r="N44" s="583"/>
      <c r="O44" s="229" t="str">
        <f t="shared" si="18"/>
        <v/>
      </c>
      <c r="P44" s="229" t="str">
        <f t="shared" si="19"/>
        <v/>
      </c>
      <c r="Q44" s="230" t="str">
        <f t="shared" si="20"/>
        <v/>
      </c>
      <c r="R44" s="323" t="str">
        <f t="shared" si="21"/>
        <v/>
      </c>
      <c r="S44" s="350"/>
      <c r="T44" s="43"/>
      <c r="U44" s="347" t="str">
        <f t="shared" si="22"/>
        <v/>
      </c>
      <c r="V44" s="7" t="e">
        <f t="shared" si="0"/>
        <v>#N/A</v>
      </c>
      <c r="W44" s="7" t="e">
        <f t="shared" si="1"/>
        <v>#N/A</v>
      </c>
      <c r="X44" s="7" t="e">
        <f t="shared" si="2"/>
        <v>#N/A</v>
      </c>
      <c r="Y44" s="7" t="str">
        <f t="shared" si="3"/>
        <v/>
      </c>
      <c r="Z44" s="11">
        <f t="shared" si="4"/>
        <v>1</v>
      </c>
      <c r="AA44" s="7" t="e">
        <f t="shared" si="5"/>
        <v>#N/A</v>
      </c>
      <c r="AB44" s="7" t="e">
        <f t="shared" si="23"/>
        <v>#N/A</v>
      </c>
      <c r="AC44" s="7" t="e">
        <f t="shared" si="6"/>
        <v>#N/A</v>
      </c>
      <c r="AD44" s="472" t="e">
        <f>VLOOKUP(AF44,'排出係数(2017)'!$A$4:$I$1151,9,FALSE)</f>
        <v>#N/A</v>
      </c>
      <c r="AE44" s="12" t="str">
        <f t="shared" si="7"/>
        <v xml:space="preserve"> </v>
      </c>
      <c r="AF44" s="7" t="e">
        <f t="shared" si="24"/>
        <v>#N/A</v>
      </c>
      <c r="AG44" s="7" t="e">
        <f t="shared" si="8"/>
        <v>#N/A</v>
      </c>
      <c r="AH44" s="472" t="e">
        <f>VLOOKUP(AF44,'排出係数(2017)'!$A$4:$I$1151,6,FALSE)</f>
        <v>#N/A</v>
      </c>
      <c r="AI44" s="7" t="e">
        <f t="shared" si="9"/>
        <v>#N/A</v>
      </c>
      <c r="AJ44" s="7" t="e">
        <f t="shared" si="10"/>
        <v>#N/A</v>
      </c>
      <c r="AK44" s="472" t="e">
        <f>VLOOKUP(AF44,'排出係数(2017)'!$A$4:$I$1151,7,FALSE)</f>
        <v>#N/A</v>
      </c>
      <c r="AL44" s="7" t="e">
        <f t="shared" si="11"/>
        <v>#N/A</v>
      </c>
      <c r="AM44" s="7" t="e">
        <f t="shared" si="12"/>
        <v>#N/A</v>
      </c>
      <c r="AN44" s="7" t="e">
        <f t="shared" si="13"/>
        <v>#N/A</v>
      </c>
      <c r="AO44" s="7">
        <f t="shared" si="14"/>
        <v>0</v>
      </c>
      <c r="AP44" s="7" t="e">
        <f t="shared" si="25"/>
        <v>#N/A</v>
      </c>
      <c r="AQ44" s="7" t="str">
        <f t="shared" si="15"/>
        <v/>
      </c>
      <c r="AR44" s="7" t="str">
        <f t="shared" si="16"/>
        <v/>
      </c>
      <c r="AS44" s="7" t="str">
        <f t="shared" si="17"/>
        <v/>
      </c>
      <c r="AT44" s="97"/>
      <c r="AZ44" s="477" t="s">
        <v>1133</v>
      </c>
      <c r="BB44" s="15"/>
      <c r="BC44" s="15"/>
      <c r="BD44" s="15"/>
      <c r="BE44" s="18"/>
      <c r="BJ44" s="13">
        <v>28</v>
      </c>
      <c r="CF44" s="586" t="str">
        <f t="shared" si="26"/>
        <v/>
      </c>
      <c r="CG44"/>
      <c r="CH44"/>
    </row>
    <row r="45" spans="1:86" s="13" customFormat="1" ht="13.75" customHeight="1">
      <c r="A45" s="137">
        <v>30</v>
      </c>
      <c r="B45" s="134"/>
      <c r="C45" s="8"/>
      <c r="D45" s="100"/>
      <c r="E45" s="8"/>
      <c r="F45" s="8"/>
      <c r="G45" s="190"/>
      <c r="H45" s="8"/>
      <c r="I45" s="9"/>
      <c r="J45" s="10"/>
      <c r="K45" s="8"/>
      <c r="L45" s="145"/>
      <c r="M45" s="146"/>
      <c r="N45" s="583"/>
      <c r="O45" s="229" t="str">
        <f t="shared" si="18"/>
        <v/>
      </c>
      <c r="P45" s="229" t="str">
        <f t="shared" si="19"/>
        <v/>
      </c>
      <c r="Q45" s="230" t="str">
        <f t="shared" si="20"/>
        <v/>
      </c>
      <c r="R45" s="323" t="str">
        <f t="shared" si="21"/>
        <v/>
      </c>
      <c r="S45" s="350"/>
      <c r="T45" s="43"/>
      <c r="U45" s="347" t="str">
        <f t="shared" si="22"/>
        <v/>
      </c>
      <c r="V45" s="7" t="e">
        <f t="shared" si="0"/>
        <v>#N/A</v>
      </c>
      <c r="W45" s="7" t="e">
        <f t="shared" si="1"/>
        <v>#N/A</v>
      </c>
      <c r="X45" s="7" t="e">
        <f t="shared" si="2"/>
        <v>#N/A</v>
      </c>
      <c r="Y45" s="7" t="str">
        <f t="shared" si="3"/>
        <v/>
      </c>
      <c r="Z45" s="11">
        <f t="shared" si="4"/>
        <v>1</v>
      </c>
      <c r="AA45" s="7" t="e">
        <f t="shared" si="5"/>
        <v>#N/A</v>
      </c>
      <c r="AB45" s="7" t="e">
        <f t="shared" si="23"/>
        <v>#N/A</v>
      </c>
      <c r="AC45" s="7" t="e">
        <f t="shared" si="6"/>
        <v>#N/A</v>
      </c>
      <c r="AD45" s="472" t="e">
        <f>VLOOKUP(AF45,'排出係数(2017)'!$A$4:$I$1151,9,FALSE)</f>
        <v>#N/A</v>
      </c>
      <c r="AE45" s="12" t="str">
        <f t="shared" si="7"/>
        <v xml:space="preserve"> </v>
      </c>
      <c r="AF45" s="7" t="e">
        <f t="shared" si="24"/>
        <v>#N/A</v>
      </c>
      <c r="AG45" s="7" t="e">
        <f t="shared" si="8"/>
        <v>#N/A</v>
      </c>
      <c r="AH45" s="472" t="e">
        <f>VLOOKUP(AF45,'排出係数(2017)'!$A$4:$I$1151,6,FALSE)</f>
        <v>#N/A</v>
      </c>
      <c r="AI45" s="7" t="e">
        <f t="shared" si="9"/>
        <v>#N/A</v>
      </c>
      <c r="AJ45" s="7" t="e">
        <f t="shared" si="10"/>
        <v>#N/A</v>
      </c>
      <c r="AK45" s="472" t="e">
        <f>VLOOKUP(AF45,'排出係数(2017)'!$A$4:$I$1151,7,FALSE)</f>
        <v>#N/A</v>
      </c>
      <c r="AL45" s="7" t="e">
        <f t="shared" si="11"/>
        <v>#N/A</v>
      </c>
      <c r="AM45" s="7" t="e">
        <f t="shared" si="12"/>
        <v>#N/A</v>
      </c>
      <c r="AN45" s="7" t="e">
        <f t="shared" si="13"/>
        <v>#N/A</v>
      </c>
      <c r="AO45" s="7">
        <f t="shared" si="14"/>
        <v>0</v>
      </c>
      <c r="AP45" s="7" t="e">
        <f t="shared" si="25"/>
        <v>#N/A</v>
      </c>
      <c r="AQ45" s="7" t="str">
        <f t="shared" si="15"/>
        <v/>
      </c>
      <c r="AR45" s="7" t="str">
        <f t="shared" si="16"/>
        <v/>
      </c>
      <c r="AS45" s="7" t="str">
        <f t="shared" si="17"/>
        <v/>
      </c>
      <c r="AT45" s="97"/>
      <c r="AZ45" s="477" t="s">
        <v>1164</v>
      </c>
      <c r="BB45" s="15"/>
      <c r="BC45" s="15"/>
      <c r="BD45" s="15"/>
      <c r="BE45" s="15"/>
      <c r="BF45" s="15"/>
      <c r="BG45" s="15"/>
      <c r="BJ45" s="13">
        <v>29</v>
      </c>
      <c r="CF45" s="586" t="str">
        <f t="shared" si="26"/>
        <v/>
      </c>
      <c r="CG45"/>
      <c r="CH45"/>
    </row>
    <row r="46" spans="1:86" s="13" customFormat="1" ht="13.75" customHeight="1">
      <c r="A46" s="137">
        <v>31</v>
      </c>
      <c r="B46" s="134"/>
      <c r="C46" s="8"/>
      <c r="D46" s="100"/>
      <c r="E46" s="8"/>
      <c r="F46" s="8"/>
      <c r="G46" s="190"/>
      <c r="H46" s="8"/>
      <c r="I46" s="9"/>
      <c r="J46" s="10"/>
      <c r="K46" s="8"/>
      <c r="L46" s="145"/>
      <c r="M46" s="146"/>
      <c r="N46" s="583"/>
      <c r="O46" s="229" t="str">
        <f t="shared" si="18"/>
        <v/>
      </c>
      <c r="P46" s="229" t="str">
        <f t="shared" si="19"/>
        <v/>
      </c>
      <c r="Q46" s="230" t="str">
        <f t="shared" si="20"/>
        <v/>
      </c>
      <c r="R46" s="323" t="str">
        <f t="shared" si="21"/>
        <v/>
      </c>
      <c r="S46" s="350"/>
      <c r="T46" s="43"/>
      <c r="U46" s="347" t="str">
        <f t="shared" si="22"/>
        <v/>
      </c>
      <c r="V46" s="7" t="e">
        <f t="shared" si="0"/>
        <v>#N/A</v>
      </c>
      <c r="W46" s="7" t="e">
        <f t="shared" si="1"/>
        <v>#N/A</v>
      </c>
      <c r="X46" s="7" t="e">
        <f t="shared" si="2"/>
        <v>#N/A</v>
      </c>
      <c r="Y46" s="7" t="str">
        <f t="shared" si="3"/>
        <v/>
      </c>
      <c r="Z46" s="11">
        <f t="shared" si="4"/>
        <v>1</v>
      </c>
      <c r="AA46" s="7" t="e">
        <f t="shared" si="5"/>
        <v>#N/A</v>
      </c>
      <c r="AB46" s="7" t="e">
        <f t="shared" si="23"/>
        <v>#N/A</v>
      </c>
      <c r="AC46" s="7" t="e">
        <f t="shared" si="6"/>
        <v>#N/A</v>
      </c>
      <c r="AD46" s="472" t="e">
        <f>VLOOKUP(AF46,'排出係数(2017)'!$A$4:$I$1151,9,FALSE)</f>
        <v>#N/A</v>
      </c>
      <c r="AE46" s="12" t="str">
        <f t="shared" si="7"/>
        <v xml:space="preserve"> </v>
      </c>
      <c r="AF46" s="7" t="e">
        <f t="shared" si="24"/>
        <v>#N/A</v>
      </c>
      <c r="AG46" s="7" t="e">
        <f t="shared" si="8"/>
        <v>#N/A</v>
      </c>
      <c r="AH46" s="472" t="e">
        <f>VLOOKUP(AF46,'排出係数(2017)'!$A$4:$I$1151,6,FALSE)</f>
        <v>#N/A</v>
      </c>
      <c r="AI46" s="7" t="e">
        <f t="shared" si="9"/>
        <v>#N/A</v>
      </c>
      <c r="AJ46" s="7" t="e">
        <f t="shared" si="10"/>
        <v>#N/A</v>
      </c>
      <c r="AK46" s="472" t="e">
        <f>VLOOKUP(AF46,'排出係数(2017)'!$A$4:$I$1151,7,FALSE)</f>
        <v>#N/A</v>
      </c>
      <c r="AL46" s="7" t="e">
        <f t="shared" si="11"/>
        <v>#N/A</v>
      </c>
      <c r="AM46" s="7" t="e">
        <f t="shared" si="12"/>
        <v>#N/A</v>
      </c>
      <c r="AN46" s="7" t="e">
        <f t="shared" si="13"/>
        <v>#N/A</v>
      </c>
      <c r="AO46" s="7">
        <f t="shared" si="14"/>
        <v>0</v>
      </c>
      <c r="AP46" s="7" t="e">
        <f t="shared" si="25"/>
        <v>#N/A</v>
      </c>
      <c r="AQ46" s="7" t="str">
        <f t="shared" si="15"/>
        <v/>
      </c>
      <c r="AR46" s="7" t="str">
        <f t="shared" si="16"/>
        <v/>
      </c>
      <c r="AS46" s="7" t="str">
        <f t="shared" si="17"/>
        <v/>
      </c>
      <c r="AT46" s="97"/>
      <c r="AZ46" s="477" t="s">
        <v>1221</v>
      </c>
      <c r="BB46" s="15"/>
      <c r="BC46" s="15"/>
      <c r="BD46" s="15"/>
      <c r="BE46" s="15"/>
      <c r="BF46" s="15"/>
      <c r="BG46" s="15"/>
      <c r="BJ46" s="13">
        <v>30</v>
      </c>
      <c r="CF46" s="586" t="str">
        <f t="shared" si="26"/>
        <v/>
      </c>
      <c r="CG46"/>
      <c r="CH46"/>
    </row>
    <row r="47" spans="1:86" s="13" customFormat="1" ht="13.75" customHeight="1">
      <c r="A47" s="137">
        <v>32</v>
      </c>
      <c r="B47" s="134"/>
      <c r="C47" s="8"/>
      <c r="D47" s="100"/>
      <c r="E47" s="8"/>
      <c r="F47" s="8"/>
      <c r="G47" s="190"/>
      <c r="H47" s="8"/>
      <c r="I47" s="9"/>
      <c r="J47" s="10"/>
      <c r="K47" s="8"/>
      <c r="L47" s="145"/>
      <c r="M47" s="146"/>
      <c r="N47" s="583"/>
      <c r="O47" s="229" t="str">
        <f t="shared" si="18"/>
        <v/>
      </c>
      <c r="P47" s="229" t="str">
        <f t="shared" si="19"/>
        <v/>
      </c>
      <c r="Q47" s="230" t="str">
        <f t="shared" si="20"/>
        <v/>
      </c>
      <c r="R47" s="323" t="str">
        <f t="shared" si="21"/>
        <v/>
      </c>
      <c r="S47" s="350"/>
      <c r="T47" s="43"/>
      <c r="U47" s="347" t="str">
        <f t="shared" si="22"/>
        <v/>
      </c>
      <c r="V47" s="7" t="e">
        <f t="shared" si="0"/>
        <v>#N/A</v>
      </c>
      <c r="W47" s="7" t="e">
        <f t="shared" si="1"/>
        <v>#N/A</v>
      </c>
      <c r="X47" s="7" t="e">
        <f t="shared" si="2"/>
        <v>#N/A</v>
      </c>
      <c r="Y47" s="7" t="str">
        <f t="shared" si="3"/>
        <v/>
      </c>
      <c r="Z47" s="11">
        <f t="shared" si="4"/>
        <v>1</v>
      </c>
      <c r="AA47" s="7" t="e">
        <f t="shared" si="5"/>
        <v>#N/A</v>
      </c>
      <c r="AB47" s="7" t="e">
        <f t="shared" si="23"/>
        <v>#N/A</v>
      </c>
      <c r="AC47" s="7" t="e">
        <f t="shared" si="6"/>
        <v>#N/A</v>
      </c>
      <c r="AD47" s="472" t="e">
        <f>VLOOKUP(AF47,'排出係数(2017)'!$A$4:$I$1151,9,FALSE)</f>
        <v>#N/A</v>
      </c>
      <c r="AE47" s="12" t="str">
        <f t="shared" si="7"/>
        <v xml:space="preserve"> </v>
      </c>
      <c r="AF47" s="7" t="e">
        <f t="shared" si="24"/>
        <v>#N/A</v>
      </c>
      <c r="AG47" s="7" t="e">
        <f t="shared" si="8"/>
        <v>#N/A</v>
      </c>
      <c r="AH47" s="472" t="e">
        <f>VLOOKUP(AF47,'排出係数(2017)'!$A$4:$I$1151,6,FALSE)</f>
        <v>#N/A</v>
      </c>
      <c r="AI47" s="7" t="e">
        <f t="shared" si="9"/>
        <v>#N/A</v>
      </c>
      <c r="AJ47" s="7" t="e">
        <f t="shared" si="10"/>
        <v>#N/A</v>
      </c>
      <c r="AK47" s="472" t="e">
        <f>VLOOKUP(AF47,'排出係数(2017)'!$A$4:$I$1151,7,FALSE)</f>
        <v>#N/A</v>
      </c>
      <c r="AL47" s="7" t="e">
        <f t="shared" si="11"/>
        <v>#N/A</v>
      </c>
      <c r="AM47" s="7" t="e">
        <f t="shared" si="12"/>
        <v>#N/A</v>
      </c>
      <c r="AN47" s="7" t="e">
        <f t="shared" si="13"/>
        <v>#N/A</v>
      </c>
      <c r="AO47" s="7">
        <f t="shared" si="14"/>
        <v>0</v>
      </c>
      <c r="AP47" s="7" t="e">
        <f t="shared" si="25"/>
        <v>#N/A</v>
      </c>
      <c r="AQ47" s="7" t="str">
        <f t="shared" si="15"/>
        <v/>
      </c>
      <c r="AR47" s="7" t="str">
        <f t="shared" si="16"/>
        <v/>
      </c>
      <c r="AS47" s="7" t="str">
        <f t="shared" si="17"/>
        <v/>
      </c>
      <c r="AT47" s="97"/>
      <c r="AZ47" s="477" t="s">
        <v>1698</v>
      </c>
      <c r="BB47" s="15"/>
      <c r="BC47" s="15"/>
      <c r="BD47" s="15"/>
      <c r="BE47" s="15"/>
      <c r="BF47" s="15"/>
      <c r="BG47" s="15"/>
      <c r="CF47" s="586" t="str">
        <f t="shared" si="26"/>
        <v/>
      </c>
      <c r="CG47"/>
      <c r="CH47"/>
    </row>
    <row r="48" spans="1:86" s="13" customFormat="1" ht="13.75" customHeight="1">
      <c r="A48" s="137">
        <v>33</v>
      </c>
      <c r="B48" s="134"/>
      <c r="C48" s="8"/>
      <c r="D48" s="100"/>
      <c r="E48" s="8"/>
      <c r="F48" s="8"/>
      <c r="G48" s="190"/>
      <c r="H48" s="8"/>
      <c r="I48" s="9"/>
      <c r="J48" s="10"/>
      <c r="K48" s="8"/>
      <c r="L48" s="145"/>
      <c r="M48" s="146"/>
      <c r="N48" s="583"/>
      <c r="O48" s="229" t="str">
        <f t="shared" si="18"/>
        <v/>
      </c>
      <c r="P48" s="229" t="str">
        <f t="shared" si="19"/>
        <v/>
      </c>
      <c r="Q48" s="230" t="str">
        <f t="shared" si="20"/>
        <v/>
      </c>
      <c r="R48" s="323" t="str">
        <f t="shared" si="21"/>
        <v/>
      </c>
      <c r="S48" s="350"/>
      <c r="T48" s="43"/>
      <c r="U48" s="347" t="str">
        <f t="shared" si="22"/>
        <v/>
      </c>
      <c r="V48" s="7" t="e">
        <f t="shared" si="0"/>
        <v>#N/A</v>
      </c>
      <c r="W48" s="7" t="e">
        <f t="shared" si="1"/>
        <v>#N/A</v>
      </c>
      <c r="X48" s="7" t="e">
        <f t="shared" si="2"/>
        <v>#N/A</v>
      </c>
      <c r="Y48" s="7" t="str">
        <f t="shared" si="3"/>
        <v/>
      </c>
      <c r="Z48" s="11">
        <f t="shared" si="4"/>
        <v>1</v>
      </c>
      <c r="AA48" s="7" t="e">
        <f t="shared" si="5"/>
        <v>#N/A</v>
      </c>
      <c r="AB48" s="7" t="e">
        <f t="shared" si="23"/>
        <v>#N/A</v>
      </c>
      <c r="AC48" s="7" t="e">
        <f t="shared" si="6"/>
        <v>#N/A</v>
      </c>
      <c r="AD48" s="472" t="e">
        <f>VLOOKUP(AF48,'排出係数(2017)'!$A$4:$I$1151,9,FALSE)</f>
        <v>#N/A</v>
      </c>
      <c r="AE48" s="12" t="str">
        <f t="shared" si="7"/>
        <v xml:space="preserve"> </v>
      </c>
      <c r="AF48" s="7" t="e">
        <f t="shared" si="24"/>
        <v>#N/A</v>
      </c>
      <c r="AG48" s="7" t="e">
        <f t="shared" si="8"/>
        <v>#N/A</v>
      </c>
      <c r="AH48" s="472" t="e">
        <f>VLOOKUP(AF48,'排出係数(2017)'!$A$4:$I$1151,6,FALSE)</f>
        <v>#N/A</v>
      </c>
      <c r="AI48" s="7" t="e">
        <f t="shared" si="9"/>
        <v>#N/A</v>
      </c>
      <c r="AJ48" s="7" t="e">
        <f t="shared" si="10"/>
        <v>#N/A</v>
      </c>
      <c r="AK48" s="472" t="e">
        <f>VLOOKUP(AF48,'排出係数(2017)'!$A$4:$I$1151,7,FALSE)</f>
        <v>#N/A</v>
      </c>
      <c r="AL48" s="7" t="e">
        <f t="shared" si="11"/>
        <v>#N/A</v>
      </c>
      <c r="AM48" s="7" t="e">
        <f t="shared" si="12"/>
        <v>#N/A</v>
      </c>
      <c r="AN48" s="7" t="e">
        <f t="shared" si="13"/>
        <v>#N/A</v>
      </c>
      <c r="AO48" s="7">
        <f t="shared" si="14"/>
        <v>0</v>
      </c>
      <c r="AP48" s="7" t="e">
        <f t="shared" si="25"/>
        <v>#N/A</v>
      </c>
      <c r="AQ48" s="7" t="str">
        <f t="shared" si="15"/>
        <v/>
      </c>
      <c r="AR48" s="7" t="str">
        <f t="shared" si="16"/>
        <v/>
      </c>
      <c r="AS48" s="7" t="str">
        <f t="shared" si="17"/>
        <v/>
      </c>
      <c r="AT48" s="97"/>
      <c r="AZ48" s="477" t="s">
        <v>1269</v>
      </c>
      <c r="BB48" s="15"/>
      <c r="BC48" s="15"/>
      <c r="BD48" s="15"/>
      <c r="BE48" s="15"/>
      <c r="BF48" s="15"/>
      <c r="BG48" s="15"/>
      <c r="CF48" s="586" t="str">
        <f t="shared" si="26"/>
        <v/>
      </c>
      <c r="CG48"/>
      <c r="CH48"/>
    </row>
    <row r="49" spans="1:86" s="13" customFormat="1" ht="13.75" customHeight="1">
      <c r="A49" s="137">
        <v>34</v>
      </c>
      <c r="B49" s="134"/>
      <c r="C49" s="8"/>
      <c r="D49" s="100"/>
      <c r="E49" s="8"/>
      <c r="F49" s="8"/>
      <c r="G49" s="190"/>
      <c r="H49" s="8"/>
      <c r="I49" s="9"/>
      <c r="J49" s="10"/>
      <c r="K49" s="8"/>
      <c r="L49" s="145"/>
      <c r="M49" s="146"/>
      <c r="N49" s="583"/>
      <c r="O49" s="229" t="str">
        <f t="shared" si="18"/>
        <v/>
      </c>
      <c r="P49" s="229" t="str">
        <f t="shared" si="19"/>
        <v/>
      </c>
      <c r="Q49" s="230" t="str">
        <f t="shared" si="20"/>
        <v/>
      </c>
      <c r="R49" s="323" t="str">
        <f t="shared" si="21"/>
        <v/>
      </c>
      <c r="S49" s="350"/>
      <c r="T49" s="43"/>
      <c r="U49" s="347" t="str">
        <f t="shared" si="22"/>
        <v/>
      </c>
      <c r="V49" s="7" t="e">
        <f t="shared" si="0"/>
        <v>#N/A</v>
      </c>
      <c r="W49" s="7" t="e">
        <f t="shared" si="1"/>
        <v>#N/A</v>
      </c>
      <c r="X49" s="7" t="e">
        <f t="shared" si="2"/>
        <v>#N/A</v>
      </c>
      <c r="Y49" s="7" t="str">
        <f t="shared" si="3"/>
        <v/>
      </c>
      <c r="Z49" s="11">
        <f t="shared" si="4"/>
        <v>1</v>
      </c>
      <c r="AA49" s="7" t="e">
        <f t="shared" si="5"/>
        <v>#N/A</v>
      </c>
      <c r="AB49" s="7" t="e">
        <f t="shared" si="23"/>
        <v>#N/A</v>
      </c>
      <c r="AC49" s="7" t="e">
        <f t="shared" si="6"/>
        <v>#N/A</v>
      </c>
      <c r="AD49" s="472" t="e">
        <f>VLOOKUP(AF49,'排出係数(2017)'!$A$4:$I$1151,9,FALSE)</f>
        <v>#N/A</v>
      </c>
      <c r="AE49" s="12" t="str">
        <f t="shared" si="7"/>
        <v xml:space="preserve"> </v>
      </c>
      <c r="AF49" s="7" t="e">
        <f t="shared" si="24"/>
        <v>#N/A</v>
      </c>
      <c r="AG49" s="7" t="e">
        <f t="shared" si="8"/>
        <v>#N/A</v>
      </c>
      <c r="AH49" s="472" t="e">
        <f>VLOOKUP(AF49,'排出係数(2017)'!$A$4:$I$1151,6,FALSE)</f>
        <v>#N/A</v>
      </c>
      <c r="AI49" s="7" t="e">
        <f t="shared" si="9"/>
        <v>#N/A</v>
      </c>
      <c r="AJ49" s="7" t="e">
        <f t="shared" si="10"/>
        <v>#N/A</v>
      </c>
      <c r="AK49" s="472" t="e">
        <f>VLOOKUP(AF49,'排出係数(2017)'!$A$4:$I$1151,7,FALSE)</f>
        <v>#N/A</v>
      </c>
      <c r="AL49" s="7" t="e">
        <f t="shared" si="11"/>
        <v>#N/A</v>
      </c>
      <c r="AM49" s="7" t="e">
        <f t="shared" si="12"/>
        <v>#N/A</v>
      </c>
      <c r="AN49" s="7" t="e">
        <f t="shared" si="13"/>
        <v>#N/A</v>
      </c>
      <c r="AO49" s="7">
        <f t="shared" si="14"/>
        <v>0</v>
      </c>
      <c r="AP49" s="7" t="e">
        <f t="shared" si="25"/>
        <v>#N/A</v>
      </c>
      <c r="AQ49" s="7" t="str">
        <f t="shared" si="15"/>
        <v/>
      </c>
      <c r="AR49" s="7" t="str">
        <f t="shared" si="16"/>
        <v/>
      </c>
      <c r="AS49" s="7" t="str">
        <f t="shared" si="17"/>
        <v/>
      </c>
      <c r="AT49" s="97"/>
      <c r="AZ49" s="477" t="s">
        <v>1301</v>
      </c>
      <c r="CF49" s="586" t="str">
        <f t="shared" si="26"/>
        <v/>
      </c>
      <c r="CG49"/>
      <c r="CH49"/>
    </row>
    <row r="50" spans="1:86" s="13" customFormat="1" ht="13.75" customHeight="1">
      <c r="A50" s="137">
        <v>35</v>
      </c>
      <c r="B50" s="134"/>
      <c r="C50" s="8"/>
      <c r="D50" s="100"/>
      <c r="E50" s="8"/>
      <c r="F50" s="8"/>
      <c r="G50" s="190"/>
      <c r="H50" s="8"/>
      <c r="I50" s="9"/>
      <c r="J50" s="10"/>
      <c r="K50" s="8"/>
      <c r="L50" s="145"/>
      <c r="M50" s="146"/>
      <c r="N50" s="583"/>
      <c r="O50" s="229" t="str">
        <f t="shared" si="18"/>
        <v/>
      </c>
      <c r="P50" s="229" t="str">
        <f t="shared" si="19"/>
        <v/>
      </c>
      <c r="Q50" s="230" t="str">
        <f t="shared" si="20"/>
        <v/>
      </c>
      <c r="R50" s="323" t="str">
        <f t="shared" si="21"/>
        <v/>
      </c>
      <c r="S50" s="350"/>
      <c r="T50" s="43"/>
      <c r="U50" s="347" t="str">
        <f t="shared" si="22"/>
        <v/>
      </c>
      <c r="V50" s="7" t="e">
        <f t="shared" si="0"/>
        <v>#N/A</v>
      </c>
      <c r="W50" s="7" t="e">
        <f t="shared" si="1"/>
        <v>#N/A</v>
      </c>
      <c r="X50" s="7" t="e">
        <f t="shared" si="2"/>
        <v>#N/A</v>
      </c>
      <c r="Y50" s="7" t="str">
        <f t="shared" si="3"/>
        <v/>
      </c>
      <c r="Z50" s="11">
        <f t="shared" si="4"/>
        <v>1</v>
      </c>
      <c r="AA50" s="7" t="e">
        <f t="shared" si="5"/>
        <v>#N/A</v>
      </c>
      <c r="AB50" s="7" t="e">
        <f t="shared" si="23"/>
        <v>#N/A</v>
      </c>
      <c r="AC50" s="7" t="e">
        <f t="shared" si="6"/>
        <v>#N/A</v>
      </c>
      <c r="AD50" s="472" t="e">
        <f>VLOOKUP(AF50,'排出係数(2017)'!$A$4:$I$1151,9,FALSE)</f>
        <v>#N/A</v>
      </c>
      <c r="AE50" s="12" t="str">
        <f t="shared" si="7"/>
        <v xml:space="preserve"> </v>
      </c>
      <c r="AF50" s="7" t="e">
        <f t="shared" si="24"/>
        <v>#N/A</v>
      </c>
      <c r="AG50" s="7" t="e">
        <f t="shared" si="8"/>
        <v>#N/A</v>
      </c>
      <c r="AH50" s="472" t="e">
        <f>VLOOKUP(AF50,'排出係数(2017)'!$A$4:$I$1151,6,FALSE)</f>
        <v>#N/A</v>
      </c>
      <c r="AI50" s="7" t="e">
        <f t="shared" si="9"/>
        <v>#N/A</v>
      </c>
      <c r="AJ50" s="7" t="e">
        <f t="shared" si="10"/>
        <v>#N/A</v>
      </c>
      <c r="AK50" s="472" t="e">
        <f>VLOOKUP(AF50,'排出係数(2017)'!$A$4:$I$1151,7,FALSE)</f>
        <v>#N/A</v>
      </c>
      <c r="AL50" s="7" t="e">
        <f t="shared" si="11"/>
        <v>#N/A</v>
      </c>
      <c r="AM50" s="7" t="e">
        <f t="shared" si="12"/>
        <v>#N/A</v>
      </c>
      <c r="AN50" s="7" t="e">
        <f t="shared" si="13"/>
        <v>#N/A</v>
      </c>
      <c r="AO50" s="7">
        <f t="shared" si="14"/>
        <v>0</v>
      </c>
      <c r="AP50" s="7" t="e">
        <f t="shared" si="25"/>
        <v>#N/A</v>
      </c>
      <c r="AQ50" s="7" t="str">
        <f t="shared" si="15"/>
        <v/>
      </c>
      <c r="AR50" s="7" t="str">
        <f t="shared" si="16"/>
        <v/>
      </c>
      <c r="AS50" s="7" t="str">
        <f t="shared" si="17"/>
        <v/>
      </c>
      <c r="AT50" s="97"/>
      <c r="AZ50" s="477" t="s">
        <v>1351</v>
      </c>
      <c r="CF50" s="586" t="str">
        <f t="shared" si="26"/>
        <v/>
      </c>
      <c r="CG50"/>
      <c r="CH50"/>
    </row>
    <row r="51" spans="1:86" s="13" customFormat="1" ht="13.75" customHeight="1">
      <c r="A51" s="137">
        <v>36</v>
      </c>
      <c r="B51" s="134"/>
      <c r="C51" s="8"/>
      <c r="D51" s="100"/>
      <c r="E51" s="8"/>
      <c r="F51" s="8"/>
      <c r="G51" s="190"/>
      <c r="H51" s="8"/>
      <c r="I51" s="9"/>
      <c r="J51" s="10"/>
      <c r="K51" s="8"/>
      <c r="L51" s="145"/>
      <c r="M51" s="146"/>
      <c r="N51" s="583"/>
      <c r="O51" s="229" t="str">
        <f t="shared" si="18"/>
        <v/>
      </c>
      <c r="P51" s="229" t="str">
        <f t="shared" si="19"/>
        <v/>
      </c>
      <c r="Q51" s="230" t="str">
        <f t="shared" si="20"/>
        <v/>
      </c>
      <c r="R51" s="323" t="str">
        <f t="shared" si="21"/>
        <v/>
      </c>
      <c r="S51" s="350"/>
      <c r="T51" s="43"/>
      <c r="U51" s="347" t="str">
        <f t="shared" si="22"/>
        <v/>
      </c>
      <c r="V51" s="7" t="e">
        <f t="shared" si="0"/>
        <v>#N/A</v>
      </c>
      <c r="W51" s="7" t="e">
        <f t="shared" si="1"/>
        <v>#N/A</v>
      </c>
      <c r="X51" s="7" t="e">
        <f t="shared" si="2"/>
        <v>#N/A</v>
      </c>
      <c r="Y51" s="7" t="str">
        <f t="shared" si="3"/>
        <v/>
      </c>
      <c r="Z51" s="11">
        <f t="shared" si="4"/>
        <v>1</v>
      </c>
      <c r="AA51" s="7" t="e">
        <f t="shared" si="5"/>
        <v>#N/A</v>
      </c>
      <c r="AB51" s="7" t="e">
        <f t="shared" si="23"/>
        <v>#N/A</v>
      </c>
      <c r="AC51" s="7" t="e">
        <f t="shared" si="6"/>
        <v>#N/A</v>
      </c>
      <c r="AD51" s="472" t="e">
        <f>VLOOKUP(AF51,'排出係数(2017)'!$A$4:$I$1151,9,FALSE)</f>
        <v>#N/A</v>
      </c>
      <c r="AE51" s="12" t="str">
        <f t="shared" si="7"/>
        <v xml:space="preserve"> </v>
      </c>
      <c r="AF51" s="7" t="e">
        <f t="shared" si="24"/>
        <v>#N/A</v>
      </c>
      <c r="AG51" s="7" t="e">
        <f t="shared" si="8"/>
        <v>#N/A</v>
      </c>
      <c r="AH51" s="472" t="e">
        <f>VLOOKUP(AF51,'排出係数(2017)'!$A$4:$I$1151,6,FALSE)</f>
        <v>#N/A</v>
      </c>
      <c r="AI51" s="7" t="e">
        <f t="shared" si="9"/>
        <v>#N/A</v>
      </c>
      <c r="AJ51" s="7" t="e">
        <f t="shared" si="10"/>
        <v>#N/A</v>
      </c>
      <c r="AK51" s="472" t="e">
        <f>VLOOKUP(AF51,'排出係数(2017)'!$A$4:$I$1151,7,FALSE)</f>
        <v>#N/A</v>
      </c>
      <c r="AL51" s="7" t="e">
        <f t="shared" si="11"/>
        <v>#N/A</v>
      </c>
      <c r="AM51" s="7" t="e">
        <f t="shared" si="12"/>
        <v>#N/A</v>
      </c>
      <c r="AN51" s="7" t="e">
        <f t="shared" si="13"/>
        <v>#N/A</v>
      </c>
      <c r="AO51" s="7">
        <f t="shared" si="14"/>
        <v>0</v>
      </c>
      <c r="AP51" s="7" t="e">
        <f t="shared" si="25"/>
        <v>#N/A</v>
      </c>
      <c r="AQ51" s="7" t="str">
        <f t="shared" si="15"/>
        <v/>
      </c>
      <c r="AR51" s="7" t="str">
        <f t="shared" si="16"/>
        <v/>
      </c>
      <c r="AS51" s="7" t="str">
        <f t="shared" si="17"/>
        <v/>
      </c>
      <c r="AT51" s="97"/>
      <c r="AZ51" s="477" t="s">
        <v>1696</v>
      </c>
      <c r="CF51" s="586" t="str">
        <f t="shared" si="26"/>
        <v/>
      </c>
      <c r="CG51"/>
      <c r="CH51"/>
    </row>
    <row r="52" spans="1:86" s="13" customFormat="1" ht="13.75" customHeight="1">
      <c r="A52" s="137">
        <v>37</v>
      </c>
      <c r="B52" s="134"/>
      <c r="C52" s="8"/>
      <c r="D52" s="100"/>
      <c r="E52" s="8"/>
      <c r="F52" s="8"/>
      <c r="G52" s="190"/>
      <c r="H52" s="8"/>
      <c r="I52" s="9"/>
      <c r="J52" s="10"/>
      <c r="K52" s="8"/>
      <c r="L52" s="145"/>
      <c r="M52" s="146"/>
      <c r="N52" s="583"/>
      <c r="O52" s="229" t="str">
        <f t="shared" si="18"/>
        <v/>
      </c>
      <c r="P52" s="229" t="str">
        <f t="shared" si="19"/>
        <v/>
      </c>
      <c r="Q52" s="230" t="str">
        <f t="shared" si="20"/>
        <v/>
      </c>
      <c r="R52" s="323" t="str">
        <f t="shared" si="21"/>
        <v/>
      </c>
      <c r="S52" s="350"/>
      <c r="T52" s="43"/>
      <c r="U52" s="347" t="str">
        <f t="shared" si="22"/>
        <v/>
      </c>
      <c r="V52" s="7" t="e">
        <f t="shared" si="0"/>
        <v>#N/A</v>
      </c>
      <c r="W52" s="7" t="e">
        <f t="shared" si="1"/>
        <v>#N/A</v>
      </c>
      <c r="X52" s="7" t="e">
        <f t="shared" si="2"/>
        <v>#N/A</v>
      </c>
      <c r="Y52" s="7" t="str">
        <f t="shared" si="3"/>
        <v/>
      </c>
      <c r="Z52" s="11">
        <f t="shared" si="4"/>
        <v>1</v>
      </c>
      <c r="AA52" s="7" t="e">
        <f t="shared" si="5"/>
        <v>#N/A</v>
      </c>
      <c r="AB52" s="7" t="e">
        <f t="shared" si="23"/>
        <v>#N/A</v>
      </c>
      <c r="AC52" s="7" t="e">
        <f t="shared" si="6"/>
        <v>#N/A</v>
      </c>
      <c r="AD52" s="472" t="e">
        <f>VLOOKUP(AF52,'排出係数(2017)'!$A$4:$I$1151,9,FALSE)</f>
        <v>#N/A</v>
      </c>
      <c r="AE52" s="12" t="str">
        <f t="shared" si="7"/>
        <v xml:space="preserve"> </v>
      </c>
      <c r="AF52" s="7" t="e">
        <f t="shared" si="24"/>
        <v>#N/A</v>
      </c>
      <c r="AG52" s="7" t="e">
        <f t="shared" si="8"/>
        <v>#N/A</v>
      </c>
      <c r="AH52" s="472" t="e">
        <f>VLOOKUP(AF52,'排出係数(2017)'!$A$4:$I$1151,6,FALSE)</f>
        <v>#N/A</v>
      </c>
      <c r="AI52" s="7" t="e">
        <f t="shared" si="9"/>
        <v>#N/A</v>
      </c>
      <c r="AJ52" s="7" t="e">
        <f t="shared" si="10"/>
        <v>#N/A</v>
      </c>
      <c r="AK52" s="472" t="e">
        <f>VLOOKUP(AF52,'排出係数(2017)'!$A$4:$I$1151,7,FALSE)</f>
        <v>#N/A</v>
      </c>
      <c r="AL52" s="7" t="e">
        <f t="shared" si="11"/>
        <v>#N/A</v>
      </c>
      <c r="AM52" s="7" t="e">
        <f t="shared" si="12"/>
        <v>#N/A</v>
      </c>
      <c r="AN52" s="7" t="e">
        <f t="shared" si="13"/>
        <v>#N/A</v>
      </c>
      <c r="AO52" s="7">
        <f t="shared" si="14"/>
        <v>0</v>
      </c>
      <c r="AP52" s="7" t="e">
        <f t="shared" si="25"/>
        <v>#N/A</v>
      </c>
      <c r="AQ52" s="7" t="str">
        <f t="shared" si="15"/>
        <v/>
      </c>
      <c r="AR52" s="7" t="str">
        <f t="shared" si="16"/>
        <v/>
      </c>
      <c r="AS52" s="7" t="str">
        <f t="shared" si="17"/>
        <v/>
      </c>
      <c r="AT52" s="97"/>
      <c r="AZ52" s="477" t="s">
        <v>1266</v>
      </c>
      <c r="CF52" s="586" t="str">
        <f t="shared" si="26"/>
        <v/>
      </c>
      <c r="CG52"/>
      <c r="CH52"/>
    </row>
    <row r="53" spans="1:86" s="13" customFormat="1" ht="13.75" customHeight="1">
      <c r="A53" s="137">
        <v>38</v>
      </c>
      <c r="B53" s="134"/>
      <c r="C53" s="8"/>
      <c r="D53" s="100"/>
      <c r="E53" s="8"/>
      <c r="F53" s="8"/>
      <c r="G53" s="190"/>
      <c r="H53" s="8"/>
      <c r="I53" s="9"/>
      <c r="J53" s="10"/>
      <c r="K53" s="8"/>
      <c r="L53" s="145"/>
      <c r="M53" s="146"/>
      <c r="N53" s="583"/>
      <c r="O53" s="229" t="str">
        <f t="shared" si="18"/>
        <v/>
      </c>
      <c r="P53" s="229" t="str">
        <f t="shared" si="19"/>
        <v/>
      </c>
      <c r="Q53" s="230" t="str">
        <f t="shared" si="20"/>
        <v/>
      </c>
      <c r="R53" s="323" t="str">
        <f t="shared" si="21"/>
        <v/>
      </c>
      <c r="S53" s="350"/>
      <c r="T53" s="43"/>
      <c r="U53" s="347" t="str">
        <f t="shared" si="22"/>
        <v/>
      </c>
      <c r="V53" s="7" t="e">
        <f t="shared" si="0"/>
        <v>#N/A</v>
      </c>
      <c r="W53" s="7" t="e">
        <f t="shared" si="1"/>
        <v>#N/A</v>
      </c>
      <c r="X53" s="7" t="e">
        <f t="shared" si="2"/>
        <v>#N/A</v>
      </c>
      <c r="Y53" s="7" t="str">
        <f t="shared" si="3"/>
        <v/>
      </c>
      <c r="Z53" s="11">
        <f t="shared" si="4"/>
        <v>1</v>
      </c>
      <c r="AA53" s="7" t="e">
        <f t="shared" si="5"/>
        <v>#N/A</v>
      </c>
      <c r="AB53" s="7" t="e">
        <f t="shared" si="23"/>
        <v>#N/A</v>
      </c>
      <c r="AC53" s="7" t="e">
        <f t="shared" si="6"/>
        <v>#N/A</v>
      </c>
      <c r="AD53" s="472" t="e">
        <f>VLOOKUP(AF53,'排出係数(2017)'!$A$4:$I$1151,9,FALSE)</f>
        <v>#N/A</v>
      </c>
      <c r="AE53" s="12" t="str">
        <f t="shared" si="7"/>
        <v xml:space="preserve"> </v>
      </c>
      <c r="AF53" s="7" t="e">
        <f t="shared" si="24"/>
        <v>#N/A</v>
      </c>
      <c r="AG53" s="7" t="e">
        <f t="shared" si="8"/>
        <v>#N/A</v>
      </c>
      <c r="AH53" s="472" t="e">
        <f>VLOOKUP(AF53,'排出係数(2017)'!$A$4:$I$1151,6,FALSE)</f>
        <v>#N/A</v>
      </c>
      <c r="AI53" s="7" t="e">
        <f t="shared" si="9"/>
        <v>#N/A</v>
      </c>
      <c r="AJ53" s="7" t="e">
        <f t="shared" si="10"/>
        <v>#N/A</v>
      </c>
      <c r="AK53" s="472" t="e">
        <f>VLOOKUP(AF53,'排出係数(2017)'!$A$4:$I$1151,7,FALSE)</f>
        <v>#N/A</v>
      </c>
      <c r="AL53" s="7" t="e">
        <f t="shared" si="11"/>
        <v>#N/A</v>
      </c>
      <c r="AM53" s="7" t="e">
        <f t="shared" si="12"/>
        <v>#N/A</v>
      </c>
      <c r="AN53" s="7" t="e">
        <f t="shared" si="13"/>
        <v>#N/A</v>
      </c>
      <c r="AO53" s="7">
        <f t="shared" si="14"/>
        <v>0</v>
      </c>
      <c r="AP53" s="7" t="e">
        <f t="shared" si="25"/>
        <v>#N/A</v>
      </c>
      <c r="AQ53" s="7" t="str">
        <f t="shared" si="15"/>
        <v/>
      </c>
      <c r="AR53" s="7" t="str">
        <f t="shared" si="16"/>
        <v/>
      </c>
      <c r="AS53" s="7" t="str">
        <f t="shared" si="17"/>
        <v/>
      </c>
      <c r="AT53" s="97"/>
      <c r="AZ53" s="477" t="s">
        <v>1299</v>
      </c>
      <c r="CF53" s="586" t="str">
        <f t="shared" si="26"/>
        <v/>
      </c>
      <c r="CG53"/>
      <c r="CH53"/>
    </row>
    <row r="54" spans="1:86" s="13" customFormat="1" ht="13.75" customHeight="1">
      <c r="A54" s="137">
        <v>39</v>
      </c>
      <c r="B54" s="134"/>
      <c r="C54" s="8"/>
      <c r="D54" s="100"/>
      <c r="E54" s="8"/>
      <c r="F54" s="8"/>
      <c r="G54" s="190"/>
      <c r="H54" s="8"/>
      <c r="I54" s="9"/>
      <c r="J54" s="10"/>
      <c r="K54" s="8"/>
      <c r="L54" s="145"/>
      <c r="M54" s="146"/>
      <c r="N54" s="583"/>
      <c r="O54" s="229" t="str">
        <f t="shared" si="18"/>
        <v/>
      </c>
      <c r="P54" s="229" t="str">
        <f t="shared" si="19"/>
        <v/>
      </c>
      <c r="Q54" s="230" t="str">
        <f t="shared" si="20"/>
        <v/>
      </c>
      <c r="R54" s="323" t="str">
        <f t="shared" si="21"/>
        <v/>
      </c>
      <c r="S54" s="350"/>
      <c r="T54" s="43"/>
      <c r="U54" s="347" t="str">
        <f t="shared" si="22"/>
        <v/>
      </c>
      <c r="V54" s="7" t="e">
        <f t="shared" si="0"/>
        <v>#N/A</v>
      </c>
      <c r="W54" s="7" t="e">
        <f t="shared" si="1"/>
        <v>#N/A</v>
      </c>
      <c r="X54" s="7" t="e">
        <f t="shared" si="2"/>
        <v>#N/A</v>
      </c>
      <c r="Y54" s="7" t="str">
        <f t="shared" si="3"/>
        <v/>
      </c>
      <c r="Z54" s="11">
        <f t="shared" si="4"/>
        <v>1</v>
      </c>
      <c r="AA54" s="7" t="e">
        <f t="shared" si="5"/>
        <v>#N/A</v>
      </c>
      <c r="AB54" s="7" t="e">
        <f t="shared" si="23"/>
        <v>#N/A</v>
      </c>
      <c r="AC54" s="7" t="e">
        <f t="shared" si="6"/>
        <v>#N/A</v>
      </c>
      <c r="AD54" s="472" t="e">
        <f>VLOOKUP(AF54,'排出係数(2017)'!$A$4:$I$1151,9,FALSE)</f>
        <v>#N/A</v>
      </c>
      <c r="AE54" s="12" t="str">
        <f t="shared" si="7"/>
        <v xml:space="preserve"> </v>
      </c>
      <c r="AF54" s="7" t="e">
        <f t="shared" si="24"/>
        <v>#N/A</v>
      </c>
      <c r="AG54" s="7" t="e">
        <f t="shared" si="8"/>
        <v>#N/A</v>
      </c>
      <c r="AH54" s="472" t="e">
        <f>VLOOKUP(AF54,'排出係数(2017)'!$A$4:$I$1151,6,FALSE)</f>
        <v>#N/A</v>
      </c>
      <c r="AI54" s="7" t="e">
        <f t="shared" si="9"/>
        <v>#N/A</v>
      </c>
      <c r="AJ54" s="7" t="e">
        <f t="shared" si="10"/>
        <v>#N/A</v>
      </c>
      <c r="AK54" s="472" t="e">
        <f>VLOOKUP(AF54,'排出係数(2017)'!$A$4:$I$1151,7,FALSE)</f>
        <v>#N/A</v>
      </c>
      <c r="AL54" s="7" t="e">
        <f t="shared" si="11"/>
        <v>#N/A</v>
      </c>
      <c r="AM54" s="7" t="e">
        <f t="shared" si="12"/>
        <v>#N/A</v>
      </c>
      <c r="AN54" s="7" t="e">
        <f t="shared" si="13"/>
        <v>#N/A</v>
      </c>
      <c r="AO54" s="7">
        <f t="shared" si="14"/>
        <v>0</v>
      </c>
      <c r="AP54" s="7" t="e">
        <f t="shared" si="25"/>
        <v>#N/A</v>
      </c>
      <c r="AQ54" s="7" t="str">
        <f t="shared" si="15"/>
        <v/>
      </c>
      <c r="AR54" s="7" t="str">
        <f t="shared" si="16"/>
        <v/>
      </c>
      <c r="AS54" s="7" t="str">
        <f t="shared" si="17"/>
        <v/>
      </c>
      <c r="AT54" s="97"/>
      <c r="AZ54" s="477" t="s">
        <v>1349</v>
      </c>
      <c r="CF54" s="586" t="str">
        <f t="shared" si="26"/>
        <v/>
      </c>
      <c r="CG54"/>
      <c r="CH54"/>
    </row>
    <row r="55" spans="1:86" s="13" customFormat="1" ht="13.75" customHeight="1">
      <c r="A55" s="137">
        <v>40</v>
      </c>
      <c r="B55" s="134"/>
      <c r="C55" s="8"/>
      <c r="D55" s="100"/>
      <c r="E55" s="8"/>
      <c r="F55" s="8"/>
      <c r="G55" s="190"/>
      <c r="H55" s="8"/>
      <c r="I55" s="9"/>
      <c r="J55" s="10"/>
      <c r="K55" s="8"/>
      <c r="L55" s="145"/>
      <c r="M55" s="146"/>
      <c r="N55" s="583"/>
      <c r="O55" s="229" t="str">
        <f t="shared" si="18"/>
        <v/>
      </c>
      <c r="P55" s="229" t="str">
        <f t="shared" si="19"/>
        <v/>
      </c>
      <c r="Q55" s="230" t="str">
        <f t="shared" si="20"/>
        <v/>
      </c>
      <c r="R55" s="323" t="str">
        <f t="shared" si="21"/>
        <v/>
      </c>
      <c r="S55" s="350"/>
      <c r="T55" s="43"/>
      <c r="U55" s="347" t="str">
        <f t="shared" si="22"/>
        <v/>
      </c>
      <c r="V55" s="7" t="e">
        <f t="shared" si="0"/>
        <v>#N/A</v>
      </c>
      <c r="W55" s="7" t="e">
        <f t="shared" si="1"/>
        <v>#N/A</v>
      </c>
      <c r="X55" s="7" t="e">
        <f t="shared" si="2"/>
        <v>#N/A</v>
      </c>
      <c r="Y55" s="7" t="str">
        <f t="shared" si="3"/>
        <v/>
      </c>
      <c r="Z55" s="11">
        <f t="shared" si="4"/>
        <v>1</v>
      </c>
      <c r="AA55" s="7" t="e">
        <f t="shared" si="5"/>
        <v>#N/A</v>
      </c>
      <c r="AB55" s="7" t="e">
        <f t="shared" si="23"/>
        <v>#N/A</v>
      </c>
      <c r="AC55" s="7" t="e">
        <f t="shared" si="6"/>
        <v>#N/A</v>
      </c>
      <c r="AD55" s="472" t="e">
        <f>VLOOKUP(AF55,'排出係数(2017)'!$A$4:$I$1151,9,FALSE)</f>
        <v>#N/A</v>
      </c>
      <c r="AE55" s="12" t="str">
        <f t="shared" si="7"/>
        <v xml:space="preserve"> </v>
      </c>
      <c r="AF55" s="7" t="e">
        <f t="shared" si="24"/>
        <v>#N/A</v>
      </c>
      <c r="AG55" s="7" t="e">
        <f t="shared" si="8"/>
        <v>#N/A</v>
      </c>
      <c r="AH55" s="472" t="e">
        <f>VLOOKUP(AF55,'排出係数(2017)'!$A$4:$I$1151,6,FALSE)</f>
        <v>#N/A</v>
      </c>
      <c r="AI55" s="7" t="e">
        <f t="shared" si="9"/>
        <v>#N/A</v>
      </c>
      <c r="AJ55" s="7" t="e">
        <f t="shared" si="10"/>
        <v>#N/A</v>
      </c>
      <c r="AK55" s="472" t="e">
        <f>VLOOKUP(AF55,'排出係数(2017)'!$A$4:$I$1151,7,FALSE)</f>
        <v>#N/A</v>
      </c>
      <c r="AL55" s="7" t="e">
        <f t="shared" si="11"/>
        <v>#N/A</v>
      </c>
      <c r="AM55" s="7" t="e">
        <f t="shared" si="12"/>
        <v>#N/A</v>
      </c>
      <c r="AN55" s="7" t="e">
        <f t="shared" si="13"/>
        <v>#N/A</v>
      </c>
      <c r="AO55" s="7">
        <f t="shared" si="14"/>
        <v>0</v>
      </c>
      <c r="AP55" s="7" t="e">
        <f t="shared" si="25"/>
        <v>#N/A</v>
      </c>
      <c r="AQ55" s="7" t="str">
        <f t="shared" si="15"/>
        <v/>
      </c>
      <c r="AR55" s="7" t="str">
        <f t="shared" si="16"/>
        <v/>
      </c>
      <c r="AS55" s="7" t="str">
        <f t="shared" si="17"/>
        <v/>
      </c>
      <c r="AT55" s="97"/>
      <c r="AZ55" s="477" t="s">
        <v>1011</v>
      </c>
      <c r="CF55" s="586" t="str">
        <f t="shared" si="26"/>
        <v/>
      </c>
      <c r="CG55"/>
      <c r="CH55"/>
    </row>
    <row r="56" spans="1:86" s="13" customFormat="1" ht="13.75" customHeight="1">
      <c r="A56" s="137">
        <v>41</v>
      </c>
      <c r="B56" s="134"/>
      <c r="C56" s="8"/>
      <c r="D56" s="100"/>
      <c r="E56" s="8"/>
      <c r="F56" s="8"/>
      <c r="G56" s="190"/>
      <c r="H56" s="8"/>
      <c r="I56" s="9"/>
      <c r="J56" s="10"/>
      <c r="K56" s="8"/>
      <c r="L56" s="145"/>
      <c r="M56" s="146"/>
      <c r="N56" s="583"/>
      <c r="O56" s="229" t="str">
        <f t="shared" si="18"/>
        <v/>
      </c>
      <c r="P56" s="229" t="str">
        <f t="shared" si="19"/>
        <v/>
      </c>
      <c r="Q56" s="230" t="str">
        <f t="shared" si="20"/>
        <v/>
      </c>
      <c r="R56" s="323" t="str">
        <f t="shared" si="21"/>
        <v/>
      </c>
      <c r="S56" s="350"/>
      <c r="T56" s="43"/>
      <c r="U56" s="347" t="str">
        <f t="shared" si="22"/>
        <v/>
      </c>
      <c r="V56" s="7" t="e">
        <f t="shared" si="0"/>
        <v>#N/A</v>
      </c>
      <c r="W56" s="7" t="e">
        <f t="shared" si="1"/>
        <v>#N/A</v>
      </c>
      <c r="X56" s="7" t="e">
        <f t="shared" si="2"/>
        <v>#N/A</v>
      </c>
      <c r="Y56" s="7" t="str">
        <f t="shared" si="3"/>
        <v/>
      </c>
      <c r="Z56" s="11">
        <f t="shared" si="4"/>
        <v>1</v>
      </c>
      <c r="AA56" s="7" t="e">
        <f t="shared" si="5"/>
        <v>#N/A</v>
      </c>
      <c r="AB56" s="7" t="e">
        <f t="shared" si="23"/>
        <v>#N/A</v>
      </c>
      <c r="AC56" s="7" t="e">
        <f t="shared" si="6"/>
        <v>#N/A</v>
      </c>
      <c r="AD56" s="472" t="e">
        <f>VLOOKUP(AF56,'排出係数(2017)'!$A$4:$I$1151,9,FALSE)</f>
        <v>#N/A</v>
      </c>
      <c r="AE56" s="12" t="str">
        <f t="shared" si="7"/>
        <v xml:space="preserve"> </v>
      </c>
      <c r="AF56" s="7" t="e">
        <f t="shared" si="24"/>
        <v>#N/A</v>
      </c>
      <c r="AG56" s="7" t="e">
        <f t="shared" si="8"/>
        <v>#N/A</v>
      </c>
      <c r="AH56" s="472" t="e">
        <f>VLOOKUP(AF56,'排出係数(2017)'!$A$4:$I$1151,6,FALSE)</f>
        <v>#N/A</v>
      </c>
      <c r="AI56" s="7" t="e">
        <f t="shared" si="9"/>
        <v>#N/A</v>
      </c>
      <c r="AJ56" s="7" t="e">
        <f t="shared" si="10"/>
        <v>#N/A</v>
      </c>
      <c r="AK56" s="472" t="e">
        <f>VLOOKUP(AF56,'排出係数(2017)'!$A$4:$I$1151,7,FALSE)</f>
        <v>#N/A</v>
      </c>
      <c r="AL56" s="7" t="e">
        <f t="shared" si="11"/>
        <v>#N/A</v>
      </c>
      <c r="AM56" s="7" t="e">
        <f t="shared" si="12"/>
        <v>#N/A</v>
      </c>
      <c r="AN56" s="7" t="e">
        <f t="shared" si="13"/>
        <v>#N/A</v>
      </c>
      <c r="AO56" s="7">
        <f t="shared" si="14"/>
        <v>0</v>
      </c>
      <c r="AP56" s="7" t="e">
        <f t="shared" si="25"/>
        <v>#N/A</v>
      </c>
      <c r="AQ56" s="7" t="str">
        <f t="shared" si="15"/>
        <v/>
      </c>
      <c r="AR56" s="7" t="str">
        <f t="shared" si="16"/>
        <v/>
      </c>
      <c r="AS56" s="7" t="str">
        <f t="shared" si="17"/>
        <v/>
      </c>
      <c r="AT56" s="97"/>
      <c r="AZ56" s="477" t="s">
        <v>1007</v>
      </c>
      <c r="CF56" s="586" t="str">
        <f t="shared" si="26"/>
        <v/>
      </c>
      <c r="CG56"/>
      <c r="CH56"/>
    </row>
    <row r="57" spans="1:86" s="13" customFormat="1" ht="13.75" customHeight="1">
      <c r="A57" s="137">
        <v>42</v>
      </c>
      <c r="B57" s="134"/>
      <c r="C57" s="8"/>
      <c r="D57" s="100"/>
      <c r="E57" s="8"/>
      <c r="F57" s="8"/>
      <c r="G57" s="190"/>
      <c r="H57" s="8"/>
      <c r="I57" s="9"/>
      <c r="J57" s="10"/>
      <c r="K57" s="8"/>
      <c r="L57" s="145"/>
      <c r="M57" s="146"/>
      <c r="N57" s="583"/>
      <c r="O57" s="229" t="str">
        <f t="shared" si="18"/>
        <v/>
      </c>
      <c r="P57" s="229" t="str">
        <f t="shared" si="19"/>
        <v/>
      </c>
      <c r="Q57" s="230" t="str">
        <f t="shared" si="20"/>
        <v/>
      </c>
      <c r="R57" s="323" t="str">
        <f t="shared" si="21"/>
        <v/>
      </c>
      <c r="S57" s="350"/>
      <c r="T57" s="43"/>
      <c r="U57" s="347" t="str">
        <f t="shared" si="22"/>
        <v/>
      </c>
      <c r="V57" s="7" t="e">
        <f t="shared" si="0"/>
        <v>#N/A</v>
      </c>
      <c r="W57" s="7" t="e">
        <f t="shared" si="1"/>
        <v>#N/A</v>
      </c>
      <c r="X57" s="7" t="e">
        <f t="shared" si="2"/>
        <v>#N/A</v>
      </c>
      <c r="Y57" s="7" t="str">
        <f t="shared" si="3"/>
        <v/>
      </c>
      <c r="Z57" s="11">
        <f t="shared" si="4"/>
        <v>1</v>
      </c>
      <c r="AA57" s="7" t="e">
        <f t="shared" si="5"/>
        <v>#N/A</v>
      </c>
      <c r="AB57" s="7" t="e">
        <f t="shared" si="23"/>
        <v>#N/A</v>
      </c>
      <c r="AC57" s="7" t="e">
        <f t="shared" si="6"/>
        <v>#N/A</v>
      </c>
      <c r="AD57" s="472" t="e">
        <f>VLOOKUP(AF57,'排出係数(2017)'!$A$4:$I$1151,9,FALSE)</f>
        <v>#N/A</v>
      </c>
      <c r="AE57" s="12" t="str">
        <f t="shared" si="7"/>
        <v xml:space="preserve"> </v>
      </c>
      <c r="AF57" s="7" t="e">
        <f t="shared" si="24"/>
        <v>#N/A</v>
      </c>
      <c r="AG57" s="7" t="e">
        <f t="shared" si="8"/>
        <v>#N/A</v>
      </c>
      <c r="AH57" s="472" t="e">
        <f>VLOOKUP(AF57,'排出係数(2017)'!$A$4:$I$1151,6,FALSE)</f>
        <v>#N/A</v>
      </c>
      <c r="AI57" s="7" t="e">
        <f t="shared" si="9"/>
        <v>#N/A</v>
      </c>
      <c r="AJ57" s="7" t="e">
        <f t="shared" si="10"/>
        <v>#N/A</v>
      </c>
      <c r="AK57" s="472" t="e">
        <f>VLOOKUP(AF57,'排出係数(2017)'!$A$4:$I$1151,7,FALSE)</f>
        <v>#N/A</v>
      </c>
      <c r="AL57" s="7" t="e">
        <f t="shared" si="11"/>
        <v>#N/A</v>
      </c>
      <c r="AM57" s="7" t="e">
        <f t="shared" si="12"/>
        <v>#N/A</v>
      </c>
      <c r="AN57" s="7" t="e">
        <f t="shared" si="13"/>
        <v>#N/A</v>
      </c>
      <c r="AO57" s="7">
        <f t="shared" si="14"/>
        <v>0</v>
      </c>
      <c r="AP57" s="7" t="e">
        <f t="shared" si="25"/>
        <v>#N/A</v>
      </c>
      <c r="AQ57" s="7" t="str">
        <f t="shared" si="15"/>
        <v/>
      </c>
      <c r="AR57" s="7" t="str">
        <f t="shared" si="16"/>
        <v/>
      </c>
      <c r="AS57" s="7" t="str">
        <f t="shared" si="17"/>
        <v/>
      </c>
      <c r="AT57" s="97"/>
      <c r="AZ57" s="477" t="s">
        <v>1404</v>
      </c>
      <c r="CF57" s="586" t="str">
        <f t="shared" si="26"/>
        <v/>
      </c>
      <c r="CG57"/>
      <c r="CH57"/>
    </row>
    <row r="58" spans="1:86" s="13" customFormat="1" ht="13.75" customHeight="1">
      <c r="A58" s="137">
        <v>43</v>
      </c>
      <c r="B58" s="134"/>
      <c r="C58" s="8"/>
      <c r="D58" s="100"/>
      <c r="E58" s="8"/>
      <c r="F58" s="8"/>
      <c r="G58" s="190"/>
      <c r="H58" s="8"/>
      <c r="I58" s="9"/>
      <c r="J58" s="10"/>
      <c r="K58" s="8"/>
      <c r="L58" s="145"/>
      <c r="M58" s="146"/>
      <c r="N58" s="583"/>
      <c r="O58" s="229" t="str">
        <f t="shared" si="18"/>
        <v/>
      </c>
      <c r="P58" s="229" t="str">
        <f t="shared" si="19"/>
        <v/>
      </c>
      <c r="Q58" s="230" t="str">
        <f t="shared" si="20"/>
        <v/>
      </c>
      <c r="R58" s="323" t="str">
        <f t="shared" si="21"/>
        <v/>
      </c>
      <c r="S58" s="350"/>
      <c r="T58" s="43"/>
      <c r="U58" s="347" t="str">
        <f t="shared" si="22"/>
        <v/>
      </c>
      <c r="V58" s="7" t="e">
        <f t="shared" si="0"/>
        <v>#N/A</v>
      </c>
      <c r="W58" s="7" t="e">
        <f t="shared" si="1"/>
        <v>#N/A</v>
      </c>
      <c r="X58" s="7" t="e">
        <f t="shared" si="2"/>
        <v>#N/A</v>
      </c>
      <c r="Y58" s="7" t="str">
        <f t="shared" si="3"/>
        <v/>
      </c>
      <c r="Z58" s="11">
        <f t="shared" si="4"/>
        <v>1</v>
      </c>
      <c r="AA58" s="7" t="e">
        <f t="shared" si="5"/>
        <v>#N/A</v>
      </c>
      <c r="AB58" s="7" t="e">
        <f t="shared" si="23"/>
        <v>#N/A</v>
      </c>
      <c r="AC58" s="7" t="e">
        <f t="shared" si="6"/>
        <v>#N/A</v>
      </c>
      <c r="AD58" s="472" t="e">
        <f>VLOOKUP(AF58,'排出係数(2017)'!$A$4:$I$1151,9,FALSE)</f>
        <v>#N/A</v>
      </c>
      <c r="AE58" s="12" t="str">
        <f t="shared" si="7"/>
        <v xml:space="preserve"> </v>
      </c>
      <c r="AF58" s="7" t="e">
        <f t="shared" si="24"/>
        <v>#N/A</v>
      </c>
      <c r="AG58" s="7" t="e">
        <f t="shared" si="8"/>
        <v>#N/A</v>
      </c>
      <c r="AH58" s="472" t="e">
        <f>VLOOKUP(AF58,'排出係数(2017)'!$A$4:$I$1151,6,FALSE)</f>
        <v>#N/A</v>
      </c>
      <c r="AI58" s="7" t="e">
        <f t="shared" si="9"/>
        <v>#N/A</v>
      </c>
      <c r="AJ58" s="7" t="e">
        <f t="shared" si="10"/>
        <v>#N/A</v>
      </c>
      <c r="AK58" s="472" t="e">
        <f>VLOOKUP(AF58,'排出係数(2017)'!$A$4:$I$1151,7,FALSE)</f>
        <v>#N/A</v>
      </c>
      <c r="AL58" s="7" t="e">
        <f t="shared" si="11"/>
        <v>#N/A</v>
      </c>
      <c r="AM58" s="7" t="e">
        <f t="shared" si="12"/>
        <v>#N/A</v>
      </c>
      <c r="AN58" s="7" t="e">
        <f t="shared" si="13"/>
        <v>#N/A</v>
      </c>
      <c r="AO58" s="7">
        <f t="shared" si="14"/>
        <v>0</v>
      </c>
      <c r="AP58" s="7" t="e">
        <f t="shared" si="25"/>
        <v>#N/A</v>
      </c>
      <c r="AQ58" s="7" t="str">
        <f t="shared" si="15"/>
        <v/>
      </c>
      <c r="AR58" s="7" t="str">
        <f t="shared" si="16"/>
        <v/>
      </c>
      <c r="AS58" s="7" t="str">
        <f t="shared" si="17"/>
        <v/>
      </c>
      <c r="AT58" s="97"/>
      <c r="AZ58" s="477" t="s">
        <v>2507</v>
      </c>
      <c r="CF58" s="586" t="str">
        <f t="shared" si="26"/>
        <v/>
      </c>
      <c r="CG58"/>
      <c r="CH58"/>
    </row>
    <row r="59" spans="1:86" s="13" customFormat="1" ht="13.75" customHeight="1">
      <c r="A59" s="137">
        <v>44</v>
      </c>
      <c r="B59" s="134"/>
      <c r="C59" s="8"/>
      <c r="D59" s="100"/>
      <c r="E59" s="8"/>
      <c r="F59" s="8"/>
      <c r="G59" s="190"/>
      <c r="H59" s="8"/>
      <c r="I59" s="9"/>
      <c r="J59" s="10"/>
      <c r="K59" s="8"/>
      <c r="L59" s="145"/>
      <c r="M59" s="146"/>
      <c r="N59" s="583"/>
      <c r="O59" s="229" t="str">
        <f t="shared" si="18"/>
        <v/>
      </c>
      <c r="P59" s="229" t="str">
        <f t="shared" si="19"/>
        <v/>
      </c>
      <c r="Q59" s="230" t="str">
        <f t="shared" si="20"/>
        <v/>
      </c>
      <c r="R59" s="323" t="str">
        <f t="shared" si="21"/>
        <v/>
      </c>
      <c r="S59" s="350"/>
      <c r="T59" s="43"/>
      <c r="U59" s="347" t="str">
        <f t="shared" si="22"/>
        <v/>
      </c>
      <c r="V59" s="7" t="e">
        <f t="shared" si="0"/>
        <v>#N/A</v>
      </c>
      <c r="W59" s="7" t="e">
        <f t="shared" si="1"/>
        <v>#N/A</v>
      </c>
      <c r="X59" s="7" t="e">
        <f t="shared" si="2"/>
        <v>#N/A</v>
      </c>
      <c r="Y59" s="7" t="str">
        <f t="shared" si="3"/>
        <v/>
      </c>
      <c r="Z59" s="11">
        <f t="shared" si="4"/>
        <v>1</v>
      </c>
      <c r="AA59" s="7" t="e">
        <f t="shared" si="5"/>
        <v>#N/A</v>
      </c>
      <c r="AB59" s="7" t="e">
        <f t="shared" si="23"/>
        <v>#N/A</v>
      </c>
      <c r="AC59" s="7" t="e">
        <f t="shared" si="6"/>
        <v>#N/A</v>
      </c>
      <c r="AD59" s="472" t="e">
        <f>VLOOKUP(AF59,'排出係数(2017)'!$A$4:$I$1151,9,FALSE)</f>
        <v>#N/A</v>
      </c>
      <c r="AE59" s="12" t="str">
        <f t="shared" si="7"/>
        <v xml:space="preserve"> </v>
      </c>
      <c r="AF59" s="7" t="e">
        <f t="shared" si="24"/>
        <v>#N/A</v>
      </c>
      <c r="AG59" s="7" t="e">
        <f t="shared" si="8"/>
        <v>#N/A</v>
      </c>
      <c r="AH59" s="472" t="e">
        <f>VLOOKUP(AF59,'排出係数(2017)'!$A$4:$I$1151,6,FALSE)</f>
        <v>#N/A</v>
      </c>
      <c r="AI59" s="7" t="e">
        <f t="shared" si="9"/>
        <v>#N/A</v>
      </c>
      <c r="AJ59" s="7" t="e">
        <f t="shared" si="10"/>
        <v>#N/A</v>
      </c>
      <c r="AK59" s="472" t="e">
        <f>VLOOKUP(AF59,'排出係数(2017)'!$A$4:$I$1151,7,FALSE)</f>
        <v>#N/A</v>
      </c>
      <c r="AL59" s="7" t="e">
        <f t="shared" si="11"/>
        <v>#N/A</v>
      </c>
      <c r="AM59" s="7" t="e">
        <f t="shared" si="12"/>
        <v>#N/A</v>
      </c>
      <c r="AN59" s="7" t="e">
        <f t="shared" si="13"/>
        <v>#N/A</v>
      </c>
      <c r="AO59" s="7">
        <f t="shared" si="14"/>
        <v>0</v>
      </c>
      <c r="AP59" s="7" t="e">
        <f t="shared" si="25"/>
        <v>#N/A</v>
      </c>
      <c r="AQ59" s="7" t="str">
        <f t="shared" si="15"/>
        <v/>
      </c>
      <c r="AR59" s="7" t="str">
        <f t="shared" si="16"/>
        <v/>
      </c>
      <c r="AS59" s="7" t="str">
        <f t="shared" si="17"/>
        <v/>
      </c>
      <c r="AT59" s="97"/>
      <c r="AZ59" s="477" t="s">
        <v>2508</v>
      </c>
      <c r="CF59" s="586" t="str">
        <f t="shared" si="26"/>
        <v/>
      </c>
      <c r="CG59"/>
      <c r="CH59"/>
    </row>
    <row r="60" spans="1:86" s="13" customFormat="1" ht="13.75" customHeight="1">
      <c r="A60" s="137">
        <v>45</v>
      </c>
      <c r="B60" s="134"/>
      <c r="C60" s="8"/>
      <c r="D60" s="100"/>
      <c r="E60" s="8"/>
      <c r="F60" s="8"/>
      <c r="G60" s="190"/>
      <c r="H60" s="8"/>
      <c r="I60" s="9"/>
      <c r="J60" s="10"/>
      <c r="K60" s="8"/>
      <c r="L60" s="145"/>
      <c r="M60" s="146"/>
      <c r="N60" s="583"/>
      <c r="O60" s="229" t="str">
        <f t="shared" si="18"/>
        <v/>
      </c>
      <c r="P60" s="229" t="str">
        <f t="shared" si="19"/>
        <v/>
      </c>
      <c r="Q60" s="230" t="str">
        <f t="shared" si="20"/>
        <v/>
      </c>
      <c r="R60" s="323" t="str">
        <f t="shared" si="21"/>
        <v/>
      </c>
      <c r="S60" s="350"/>
      <c r="T60" s="43"/>
      <c r="U60" s="347" t="str">
        <f t="shared" si="22"/>
        <v/>
      </c>
      <c r="V60" s="7" t="e">
        <f t="shared" si="0"/>
        <v>#N/A</v>
      </c>
      <c r="W60" s="7" t="e">
        <f t="shared" si="1"/>
        <v>#N/A</v>
      </c>
      <c r="X60" s="7" t="e">
        <f t="shared" si="2"/>
        <v>#N/A</v>
      </c>
      <c r="Y60" s="7" t="str">
        <f t="shared" si="3"/>
        <v/>
      </c>
      <c r="Z60" s="11">
        <f t="shared" si="4"/>
        <v>1</v>
      </c>
      <c r="AA60" s="7" t="e">
        <f t="shared" si="5"/>
        <v>#N/A</v>
      </c>
      <c r="AB60" s="7" t="e">
        <f t="shared" si="23"/>
        <v>#N/A</v>
      </c>
      <c r="AC60" s="7" t="e">
        <f t="shared" si="6"/>
        <v>#N/A</v>
      </c>
      <c r="AD60" s="472" t="e">
        <f>VLOOKUP(AF60,'排出係数(2017)'!$A$4:$I$1151,9,FALSE)</f>
        <v>#N/A</v>
      </c>
      <c r="AE60" s="12" t="str">
        <f t="shared" si="7"/>
        <v xml:space="preserve"> </v>
      </c>
      <c r="AF60" s="7" t="e">
        <f t="shared" si="24"/>
        <v>#N/A</v>
      </c>
      <c r="AG60" s="7" t="e">
        <f t="shared" si="8"/>
        <v>#N/A</v>
      </c>
      <c r="AH60" s="472" t="e">
        <f>VLOOKUP(AF60,'排出係数(2017)'!$A$4:$I$1151,6,FALSE)</f>
        <v>#N/A</v>
      </c>
      <c r="AI60" s="7" t="e">
        <f t="shared" si="9"/>
        <v>#N/A</v>
      </c>
      <c r="AJ60" s="7" t="e">
        <f t="shared" si="10"/>
        <v>#N/A</v>
      </c>
      <c r="AK60" s="472" t="e">
        <f>VLOOKUP(AF60,'排出係数(2017)'!$A$4:$I$1151,7,FALSE)</f>
        <v>#N/A</v>
      </c>
      <c r="AL60" s="7" t="e">
        <f t="shared" si="11"/>
        <v>#N/A</v>
      </c>
      <c r="AM60" s="7" t="e">
        <f t="shared" si="12"/>
        <v>#N/A</v>
      </c>
      <c r="AN60" s="7" t="e">
        <f t="shared" si="13"/>
        <v>#N/A</v>
      </c>
      <c r="AO60" s="7">
        <f t="shared" si="14"/>
        <v>0</v>
      </c>
      <c r="AP60" s="7" t="e">
        <f t="shared" si="25"/>
        <v>#N/A</v>
      </c>
      <c r="AQ60" s="7" t="str">
        <f t="shared" si="15"/>
        <v/>
      </c>
      <c r="AR60" s="7" t="str">
        <f t="shared" si="16"/>
        <v/>
      </c>
      <c r="AS60" s="7" t="str">
        <f t="shared" si="17"/>
        <v/>
      </c>
      <c r="AT60" s="97"/>
      <c r="AZ60" s="477" t="s">
        <v>2509</v>
      </c>
      <c r="CF60" s="586" t="str">
        <f t="shared" si="26"/>
        <v/>
      </c>
      <c r="CG60"/>
      <c r="CH60"/>
    </row>
    <row r="61" spans="1:86" s="13" customFormat="1" ht="13.75" customHeight="1">
      <c r="A61" s="137">
        <v>46</v>
      </c>
      <c r="B61" s="134"/>
      <c r="C61" s="8"/>
      <c r="D61" s="100"/>
      <c r="E61" s="8"/>
      <c r="F61" s="8"/>
      <c r="G61" s="190"/>
      <c r="H61" s="8"/>
      <c r="I61" s="9"/>
      <c r="J61" s="10"/>
      <c r="K61" s="8"/>
      <c r="L61" s="145"/>
      <c r="M61" s="146"/>
      <c r="N61" s="583"/>
      <c r="O61" s="229" t="str">
        <f t="shared" si="18"/>
        <v/>
      </c>
      <c r="P61" s="229" t="str">
        <f t="shared" si="19"/>
        <v/>
      </c>
      <c r="Q61" s="230" t="str">
        <f t="shared" si="20"/>
        <v/>
      </c>
      <c r="R61" s="323" t="str">
        <f t="shared" si="21"/>
        <v/>
      </c>
      <c r="S61" s="350"/>
      <c r="T61" s="43"/>
      <c r="U61" s="347" t="str">
        <f t="shared" si="22"/>
        <v/>
      </c>
      <c r="V61" s="7" t="e">
        <f t="shared" si="0"/>
        <v>#N/A</v>
      </c>
      <c r="W61" s="7" t="e">
        <f t="shared" si="1"/>
        <v>#N/A</v>
      </c>
      <c r="X61" s="7" t="e">
        <f t="shared" si="2"/>
        <v>#N/A</v>
      </c>
      <c r="Y61" s="7" t="str">
        <f t="shared" si="3"/>
        <v/>
      </c>
      <c r="Z61" s="11">
        <f t="shared" si="4"/>
        <v>1</v>
      </c>
      <c r="AA61" s="7" t="e">
        <f t="shared" si="5"/>
        <v>#N/A</v>
      </c>
      <c r="AB61" s="7" t="e">
        <f t="shared" si="23"/>
        <v>#N/A</v>
      </c>
      <c r="AC61" s="7" t="e">
        <f t="shared" si="6"/>
        <v>#N/A</v>
      </c>
      <c r="AD61" s="472" t="e">
        <f>VLOOKUP(AF61,'排出係数(2017)'!$A$4:$I$1151,9,FALSE)</f>
        <v>#N/A</v>
      </c>
      <c r="AE61" s="12" t="str">
        <f t="shared" si="7"/>
        <v xml:space="preserve"> </v>
      </c>
      <c r="AF61" s="7" t="e">
        <f t="shared" si="24"/>
        <v>#N/A</v>
      </c>
      <c r="AG61" s="7" t="e">
        <f t="shared" si="8"/>
        <v>#N/A</v>
      </c>
      <c r="AH61" s="472" t="e">
        <f>VLOOKUP(AF61,'排出係数(2017)'!$A$4:$I$1151,6,FALSE)</f>
        <v>#N/A</v>
      </c>
      <c r="AI61" s="7" t="e">
        <f t="shared" si="9"/>
        <v>#N/A</v>
      </c>
      <c r="AJ61" s="7" t="e">
        <f t="shared" si="10"/>
        <v>#N/A</v>
      </c>
      <c r="AK61" s="472" t="e">
        <f>VLOOKUP(AF61,'排出係数(2017)'!$A$4:$I$1151,7,FALSE)</f>
        <v>#N/A</v>
      </c>
      <c r="AL61" s="7" t="e">
        <f t="shared" si="11"/>
        <v>#N/A</v>
      </c>
      <c r="AM61" s="7" t="e">
        <f t="shared" si="12"/>
        <v>#N/A</v>
      </c>
      <c r="AN61" s="7" t="e">
        <f t="shared" si="13"/>
        <v>#N/A</v>
      </c>
      <c r="AO61" s="7">
        <f t="shared" si="14"/>
        <v>0</v>
      </c>
      <c r="AP61" s="7" t="e">
        <f t="shared" si="25"/>
        <v>#N/A</v>
      </c>
      <c r="AQ61" s="7" t="str">
        <f t="shared" si="15"/>
        <v/>
      </c>
      <c r="AR61" s="7" t="str">
        <f t="shared" si="16"/>
        <v/>
      </c>
      <c r="AS61" s="7" t="str">
        <f t="shared" si="17"/>
        <v/>
      </c>
      <c r="AT61" s="97"/>
      <c r="AZ61" s="477" t="s">
        <v>1550</v>
      </c>
      <c r="CF61" s="586" t="str">
        <f t="shared" si="26"/>
        <v/>
      </c>
      <c r="CG61"/>
      <c r="CH61"/>
    </row>
    <row r="62" spans="1:86" s="13" customFormat="1" ht="13.75" customHeight="1">
      <c r="A62" s="137">
        <v>47</v>
      </c>
      <c r="B62" s="134"/>
      <c r="C62" s="8"/>
      <c r="D62" s="100"/>
      <c r="E62" s="8"/>
      <c r="F62" s="8"/>
      <c r="G62" s="190"/>
      <c r="H62" s="8"/>
      <c r="I62" s="9"/>
      <c r="J62" s="10"/>
      <c r="K62" s="8"/>
      <c r="L62" s="145"/>
      <c r="M62" s="146"/>
      <c r="N62" s="583"/>
      <c r="O62" s="229" t="str">
        <f t="shared" si="18"/>
        <v/>
      </c>
      <c r="P62" s="229" t="str">
        <f t="shared" si="19"/>
        <v/>
      </c>
      <c r="Q62" s="230" t="str">
        <f t="shared" si="20"/>
        <v/>
      </c>
      <c r="R62" s="323" t="str">
        <f t="shared" si="21"/>
        <v/>
      </c>
      <c r="S62" s="350"/>
      <c r="T62" s="43"/>
      <c r="U62" s="347" t="str">
        <f t="shared" si="22"/>
        <v/>
      </c>
      <c r="V62" s="7" t="e">
        <f t="shared" si="0"/>
        <v>#N/A</v>
      </c>
      <c r="W62" s="7" t="e">
        <f t="shared" si="1"/>
        <v>#N/A</v>
      </c>
      <c r="X62" s="7" t="e">
        <f t="shared" si="2"/>
        <v>#N/A</v>
      </c>
      <c r="Y62" s="7" t="str">
        <f t="shared" si="3"/>
        <v/>
      </c>
      <c r="Z62" s="11">
        <f t="shared" si="4"/>
        <v>1</v>
      </c>
      <c r="AA62" s="7" t="e">
        <f t="shared" si="5"/>
        <v>#N/A</v>
      </c>
      <c r="AB62" s="7" t="e">
        <f t="shared" si="23"/>
        <v>#N/A</v>
      </c>
      <c r="AC62" s="7" t="e">
        <f t="shared" si="6"/>
        <v>#N/A</v>
      </c>
      <c r="AD62" s="472" t="e">
        <f>VLOOKUP(AF62,'排出係数(2017)'!$A$4:$I$1151,9,FALSE)</f>
        <v>#N/A</v>
      </c>
      <c r="AE62" s="12" t="str">
        <f t="shared" si="7"/>
        <v xml:space="preserve"> </v>
      </c>
      <c r="AF62" s="7" t="e">
        <f t="shared" si="24"/>
        <v>#N/A</v>
      </c>
      <c r="AG62" s="7" t="e">
        <f t="shared" si="8"/>
        <v>#N/A</v>
      </c>
      <c r="AH62" s="472" t="e">
        <f>VLOOKUP(AF62,'排出係数(2017)'!$A$4:$I$1151,6,FALSE)</f>
        <v>#N/A</v>
      </c>
      <c r="AI62" s="7" t="e">
        <f t="shared" si="9"/>
        <v>#N/A</v>
      </c>
      <c r="AJ62" s="7" t="e">
        <f t="shared" si="10"/>
        <v>#N/A</v>
      </c>
      <c r="AK62" s="472" t="e">
        <f>VLOOKUP(AF62,'排出係数(2017)'!$A$4:$I$1151,7,FALSE)</f>
        <v>#N/A</v>
      </c>
      <c r="AL62" s="7" t="e">
        <f t="shared" si="11"/>
        <v>#N/A</v>
      </c>
      <c r="AM62" s="7" t="e">
        <f t="shared" si="12"/>
        <v>#N/A</v>
      </c>
      <c r="AN62" s="7" t="e">
        <f t="shared" si="13"/>
        <v>#N/A</v>
      </c>
      <c r="AO62" s="7">
        <f t="shared" si="14"/>
        <v>0</v>
      </c>
      <c r="AP62" s="7" t="e">
        <f t="shared" si="25"/>
        <v>#N/A</v>
      </c>
      <c r="AQ62" s="7" t="str">
        <f t="shared" si="15"/>
        <v/>
      </c>
      <c r="AR62" s="7" t="str">
        <f t="shared" si="16"/>
        <v/>
      </c>
      <c r="AS62" s="7" t="str">
        <f t="shared" si="17"/>
        <v/>
      </c>
      <c r="AT62" s="97"/>
      <c r="AZ62" s="477" t="s">
        <v>1552</v>
      </c>
      <c r="CF62" s="586" t="str">
        <f t="shared" si="26"/>
        <v/>
      </c>
      <c r="CG62"/>
      <c r="CH62"/>
    </row>
    <row r="63" spans="1:86" s="13" customFormat="1" ht="13.75" customHeight="1">
      <c r="A63" s="137">
        <v>48</v>
      </c>
      <c r="B63" s="134"/>
      <c r="C63" s="8"/>
      <c r="D63" s="100"/>
      <c r="E63" s="8"/>
      <c r="F63" s="8"/>
      <c r="G63" s="190"/>
      <c r="H63" s="8"/>
      <c r="I63" s="9"/>
      <c r="J63" s="10"/>
      <c r="K63" s="8"/>
      <c r="L63" s="145"/>
      <c r="M63" s="146"/>
      <c r="N63" s="583"/>
      <c r="O63" s="229" t="str">
        <f t="shared" si="18"/>
        <v/>
      </c>
      <c r="P63" s="229" t="str">
        <f t="shared" si="19"/>
        <v/>
      </c>
      <c r="Q63" s="230" t="str">
        <f t="shared" si="20"/>
        <v/>
      </c>
      <c r="R63" s="323" t="str">
        <f t="shared" si="21"/>
        <v/>
      </c>
      <c r="S63" s="350"/>
      <c r="T63" s="43"/>
      <c r="U63" s="347" t="str">
        <f t="shared" si="22"/>
        <v/>
      </c>
      <c r="V63" s="7" t="e">
        <f t="shared" si="0"/>
        <v>#N/A</v>
      </c>
      <c r="W63" s="7" t="e">
        <f t="shared" si="1"/>
        <v>#N/A</v>
      </c>
      <c r="X63" s="7" t="e">
        <f t="shared" si="2"/>
        <v>#N/A</v>
      </c>
      <c r="Y63" s="7" t="str">
        <f t="shared" si="3"/>
        <v/>
      </c>
      <c r="Z63" s="11">
        <f t="shared" si="4"/>
        <v>1</v>
      </c>
      <c r="AA63" s="7" t="e">
        <f t="shared" si="5"/>
        <v>#N/A</v>
      </c>
      <c r="AB63" s="7" t="e">
        <f t="shared" si="23"/>
        <v>#N/A</v>
      </c>
      <c r="AC63" s="7" t="e">
        <f t="shared" si="6"/>
        <v>#N/A</v>
      </c>
      <c r="AD63" s="472" t="e">
        <f>VLOOKUP(AF63,'排出係数(2017)'!$A$4:$I$1151,9,FALSE)</f>
        <v>#N/A</v>
      </c>
      <c r="AE63" s="12" t="str">
        <f t="shared" si="7"/>
        <v xml:space="preserve"> </v>
      </c>
      <c r="AF63" s="7" t="e">
        <f t="shared" si="24"/>
        <v>#N/A</v>
      </c>
      <c r="AG63" s="7" t="e">
        <f t="shared" si="8"/>
        <v>#N/A</v>
      </c>
      <c r="AH63" s="472" t="e">
        <f>VLOOKUP(AF63,'排出係数(2017)'!$A$4:$I$1151,6,FALSE)</f>
        <v>#N/A</v>
      </c>
      <c r="AI63" s="7" t="e">
        <f t="shared" si="9"/>
        <v>#N/A</v>
      </c>
      <c r="AJ63" s="7" t="e">
        <f t="shared" si="10"/>
        <v>#N/A</v>
      </c>
      <c r="AK63" s="472" t="e">
        <f>VLOOKUP(AF63,'排出係数(2017)'!$A$4:$I$1151,7,FALSE)</f>
        <v>#N/A</v>
      </c>
      <c r="AL63" s="7" t="e">
        <f t="shared" si="11"/>
        <v>#N/A</v>
      </c>
      <c r="AM63" s="7" t="e">
        <f t="shared" si="12"/>
        <v>#N/A</v>
      </c>
      <c r="AN63" s="7" t="e">
        <f t="shared" si="13"/>
        <v>#N/A</v>
      </c>
      <c r="AO63" s="7">
        <f t="shared" si="14"/>
        <v>0</v>
      </c>
      <c r="AP63" s="7" t="e">
        <f t="shared" si="25"/>
        <v>#N/A</v>
      </c>
      <c r="AQ63" s="7" t="str">
        <f t="shared" si="15"/>
        <v/>
      </c>
      <c r="AR63" s="7" t="str">
        <f t="shared" si="16"/>
        <v/>
      </c>
      <c r="AS63" s="7" t="str">
        <f t="shared" si="17"/>
        <v/>
      </c>
      <c r="AT63" s="97"/>
      <c r="AZ63" s="477" t="s">
        <v>2510</v>
      </c>
      <c r="CF63" s="586" t="str">
        <f t="shared" si="26"/>
        <v/>
      </c>
      <c r="CG63"/>
      <c r="CH63"/>
    </row>
    <row r="64" spans="1:86" s="13" customFormat="1" ht="13.75" customHeight="1">
      <c r="A64" s="137">
        <v>49</v>
      </c>
      <c r="B64" s="134"/>
      <c r="C64" s="8"/>
      <c r="D64" s="100"/>
      <c r="E64" s="8"/>
      <c r="F64" s="8"/>
      <c r="G64" s="190"/>
      <c r="H64" s="8"/>
      <c r="I64" s="9"/>
      <c r="J64" s="10"/>
      <c r="K64" s="8"/>
      <c r="L64" s="145"/>
      <c r="M64" s="146"/>
      <c r="N64" s="583"/>
      <c r="O64" s="229" t="str">
        <f t="shared" si="18"/>
        <v/>
      </c>
      <c r="P64" s="229" t="str">
        <f t="shared" si="19"/>
        <v/>
      </c>
      <c r="Q64" s="230" t="str">
        <f t="shared" si="20"/>
        <v/>
      </c>
      <c r="R64" s="323" t="str">
        <f t="shared" si="21"/>
        <v/>
      </c>
      <c r="S64" s="350"/>
      <c r="T64" s="43"/>
      <c r="U64" s="347" t="str">
        <f t="shared" si="22"/>
        <v/>
      </c>
      <c r="V64" s="7" t="e">
        <f t="shared" si="0"/>
        <v>#N/A</v>
      </c>
      <c r="W64" s="7" t="e">
        <f t="shared" si="1"/>
        <v>#N/A</v>
      </c>
      <c r="X64" s="7" t="e">
        <f t="shared" si="2"/>
        <v>#N/A</v>
      </c>
      <c r="Y64" s="7" t="str">
        <f t="shared" si="3"/>
        <v/>
      </c>
      <c r="Z64" s="11">
        <f t="shared" si="4"/>
        <v>1</v>
      </c>
      <c r="AA64" s="7" t="e">
        <f t="shared" si="5"/>
        <v>#N/A</v>
      </c>
      <c r="AB64" s="7" t="e">
        <f t="shared" si="23"/>
        <v>#N/A</v>
      </c>
      <c r="AC64" s="7" t="e">
        <f t="shared" si="6"/>
        <v>#N/A</v>
      </c>
      <c r="AD64" s="472" t="e">
        <f>VLOOKUP(AF64,'排出係数(2017)'!$A$4:$I$1151,9,FALSE)</f>
        <v>#N/A</v>
      </c>
      <c r="AE64" s="12" t="str">
        <f t="shared" si="7"/>
        <v xml:space="preserve"> </v>
      </c>
      <c r="AF64" s="7" t="e">
        <f t="shared" si="24"/>
        <v>#N/A</v>
      </c>
      <c r="AG64" s="7" t="e">
        <f t="shared" si="8"/>
        <v>#N/A</v>
      </c>
      <c r="AH64" s="472" t="e">
        <f>VLOOKUP(AF64,'排出係数(2017)'!$A$4:$I$1151,6,FALSE)</f>
        <v>#N/A</v>
      </c>
      <c r="AI64" s="7" t="e">
        <f t="shared" si="9"/>
        <v>#N/A</v>
      </c>
      <c r="AJ64" s="7" t="e">
        <f t="shared" si="10"/>
        <v>#N/A</v>
      </c>
      <c r="AK64" s="472" t="e">
        <f>VLOOKUP(AF64,'排出係数(2017)'!$A$4:$I$1151,7,FALSE)</f>
        <v>#N/A</v>
      </c>
      <c r="AL64" s="7" t="e">
        <f t="shared" si="11"/>
        <v>#N/A</v>
      </c>
      <c r="AM64" s="7" t="e">
        <f t="shared" si="12"/>
        <v>#N/A</v>
      </c>
      <c r="AN64" s="7" t="e">
        <f t="shared" si="13"/>
        <v>#N/A</v>
      </c>
      <c r="AO64" s="7">
        <f t="shared" si="14"/>
        <v>0</v>
      </c>
      <c r="AP64" s="7" t="e">
        <f t="shared" si="25"/>
        <v>#N/A</v>
      </c>
      <c r="AQ64" s="7" t="str">
        <f t="shared" si="15"/>
        <v/>
      </c>
      <c r="AR64" s="7" t="str">
        <f t="shared" si="16"/>
        <v/>
      </c>
      <c r="AS64" s="7" t="str">
        <f t="shared" si="17"/>
        <v/>
      </c>
      <c r="AT64" s="97"/>
      <c r="AZ64" s="477" t="s">
        <v>2511</v>
      </c>
      <c r="CF64" s="586" t="str">
        <f t="shared" si="26"/>
        <v/>
      </c>
      <c r="CG64"/>
      <c r="CH64"/>
    </row>
    <row r="65" spans="1:86" s="13" customFormat="1" ht="13.75" customHeight="1">
      <c r="A65" s="137">
        <v>50</v>
      </c>
      <c r="B65" s="138"/>
      <c r="C65" s="139"/>
      <c r="D65" s="140"/>
      <c r="E65" s="139"/>
      <c r="F65" s="139"/>
      <c r="G65" s="191"/>
      <c r="H65" s="139"/>
      <c r="I65" s="141"/>
      <c r="J65" s="142"/>
      <c r="K65" s="139"/>
      <c r="L65" s="147"/>
      <c r="M65" s="148"/>
      <c r="N65" s="583"/>
      <c r="O65" s="229" t="str">
        <f t="shared" si="18"/>
        <v/>
      </c>
      <c r="P65" s="229" t="str">
        <f t="shared" si="19"/>
        <v/>
      </c>
      <c r="Q65" s="230" t="str">
        <f t="shared" si="20"/>
        <v/>
      </c>
      <c r="R65" s="323" t="str">
        <f t="shared" si="21"/>
        <v/>
      </c>
      <c r="S65" s="350"/>
      <c r="T65" s="43"/>
      <c r="U65" s="347" t="str">
        <f t="shared" si="22"/>
        <v/>
      </c>
      <c r="V65" s="7" t="e">
        <f t="shared" si="0"/>
        <v>#N/A</v>
      </c>
      <c r="W65" s="7" t="e">
        <f t="shared" si="1"/>
        <v>#N/A</v>
      </c>
      <c r="X65" s="7" t="e">
        <f t="shared" si="2"/>
        <v>#N/A</v>
      </c>
      <c r="Y65" s="7" t="str">
        <f t="shared" si="3"/>
        <v/>
      </c>
      <c r="Z65" s="11">
        <f t="shared" si="4"/>
        <v>1</v>
      </c>
      <c r="AA65" s="7" t="e">
        <f t="shared" si="5"/>
        <v>#N/A</v>
      </c>
      <c r="AB65" s="7" t="e">
        <f t="shared" si="23"/>
        <v>#N/A</v>
      </c>
      <c r="AC65" s="7" t="e">
        <f t="shared" si="6"/>
        <v>#N/A</v>
      </c>
      <c r="AD65" s="472" t="e">
        <f>VLOOKUP(AF65,'排出係数(2017)'!$A$4:$I$1151,9,FALSE)</f>
        <v>#N/A</v>
      </c>
      <c r="AE65" s="12" t="str">
        <f t="shared" si="7"/>
        <v xml:space="preserve"> </v>
      </c>
      <c r="AF65" s="7" t="e">
        <f t="shared" si="24"/>
        <v>#N/A</v>
      </c>
      <c r="AG65" s="7" t="e">
        <f t="shared" si="8"/>
        <v>#N/A</v>
      </c>
      <c r="AH65" s="472" t="e">
        <f>VLOOKUP(AF65,'排出係数(2017)'!$A$4:$I$1151,6,FALSE)</f>
        <v>#N/A</v>
      </c>
      <c r="AI65" s="7" t="e">
        <f t="shared" si="9"/>
        <v>#N/A</v>
      </c>
      <c r="AJ65" s="7" t="e">
        <f t="shared" si="10"/>
        <v>#N/A</v>
      </c>
      <c r="AK65" s="472" t="e">
        <f>VLOOKUP(AF65,'排出係数(2017)'!$A$4:$I$1151,7,FALSE)</f>
        <v>#N/A</v>
      </c>
      <c r="AL65" s="7" t="e">
        <f t="shared" si="11"/>
        <v>#N/A</v>
      </c>
      <c r="AM65" s="7" t="e">
        <f t="shared" si="12"/>
        <v>#N/A</v>
      </c>
      <c r="AN65" s="7" t="e">
        <f t="shared" si="13"/>
        <v>#N/A</v>
      </c>
      <c r="AO65" s="7">
        <f t="shared" si="14"/>
        <v>0</v>
      </c>
      <c r="AP65" s="7" t="e">
        <f t="shared" si="25"/>
        <v>#N/A</v>
      </c>
      <c r="AQ65" s="7" t="str">
        <f t="shared" si="15"/>
        <v/>
      </c>
      <c r="AR65" s="7" t="str">
        <f t="shared" si="16"/>
        <v/>
      </c>
      <c r="AS65" s="7" t="str">
        <f t="shared" si="17"/>
        <v/>
      </c>
      <c r="AT65" s="97"/>
      <c r="AZ65" s="477" t="s">
        <v>2512</v>
      </c>
      <c r="CF65" s="586" t="str">
        <f t="shared" si="26"/>
        <v/>
      </c>
      <c r="CG65"/>
      <c r="CH65"/>
    </row>
    <row r="66" spans="1:86" s="13" customFormat="1" ht="13.75" customHeight="1">
      <c r="A66" s="137">
        <v>51</v>
      </c>
      <c r="B66" s="138"/>
      <c r="C66" s="139"/>
      <c r="D66" s="140"/>
      <c r="E66" s="139"/>
      <c r="F66" s="139"/>
      <c r="G66" s="191"/>
      <c r="H66" s="139"/>
      <c r="I66" s="141"/>
      <c r="J66" s="142"/>
      <c r="K66" s="139"/>
      <c r="L66" s="147"/>
      <c r="M66" s="148"/>
      <c r="N66" s="583"/>
      <c r="O66" s="229" t="str">
        <f t="shared" si="18"/>
        <v/>
      </c>
      <c r="P66" s="229" t="str">
        <f t="shared" si="19"/>
        <v/>
      </c>
      <c r="Q66" s="230" t="str">
        <f t="shared" si="20"/>
        <v/>
      </c>
      <c r="R66" s="323" t="str">
        <f t="shared" si="21"/>
        <v/>
      </c>
      <c r="S66" s="350"/>
      <c r="T66" s="43"/>
      <c r="U66" s="347" t="str">
        <f t="shared" si="22"/>
        <v/>
      </c>
      <c r="V66" s="7" t="e">
        <f t="shared" si="0"/>
        <v>#N/A</v>
      </c>
      <c r="W66" s="7" t="e">
        <f t="shared" si="1"/>
        <v>#N/A</v>
      </c>
      <c r="X66" s="7" t="e">
        <f t="shared" si="2"/>
        <v>#N/A</v>
      </c>
      <c r="Y66" s="7" t="str">
        <f t="shared" si="3"/>
        <v/>
      </c>
      <c r="Z66" s="11">
        <f t="shared" si="4"/>
        <v>1</v>
      </c>
      <c r="AA66" s="7" t="e">
        <f t="shared" si="5"/>
        <v>#N/A</v>
      </c>
      <c r="AB66" s="7" t="e">
        <f t="shared" si="23"/>
        <v>#N/A</v>
      </c>
      <c r="AC66" s="7" t="e">
        <f t="shared" si="6"/>
        <v>#N/A</v>
      </c>
      <c r="AD66" s="472" t="e">
        <f>VLOOKUP(AF66,'排出係数(2017)'!$A$4:$I$1151,9,FALSE)</f>
        <v>#N/A</v>
      </c>
      <c r="AE66" s="12" t="str">
        <f t="shared" si="7"/>
        <v xml:space="preserve"> </v>
      </c>
      <c r="AF66" s="7" t="e">
        <f t="shared" si="24"/>
        <v>#N/A</v>
      </c>
      <c r="AG66" s="7" t="e">
        <f t="shared" si="8"/>
        <v>#N/A</v>
      </c>
      <c r="AH66" s="472" t="e">
        <f>VLOOKUP(AF66,'排出係数(2017)'!$A$4:$I$1151,6,FALSE)</f>
        <v>#N/A</v>
      </c>
      <c r="AI66" s="7" t="e">
        <f t="shared" si="9"/>
        <v>#N/A</v>
      </c>
      <c r="AJ66" s="7" t="e">
        <f t="shared" si="10"/>
        <v>#N/A</v>
      </c>
      <c r="AK66" s="472" t="e">
        <f>VLOOKUP(AF66,'排出係数(2017)'!$A$4:$I$1151,7,FALSE)</f>
        <v>#N/A</v>
      </c>
      <c r="AL66" s="7" t="e">
        <f t="shared" si="11"/>
        <v>#N/A</v>
      </c>
      <c r="AM66" s="7" t="e">
        <f t="shared" si="12"/>
        <v>#N/A</v>
      </c>
      <c r="AN66" s="7" t="e">
        <f t="shared" si="13"/>
        <v>#N/A</v>
      </c>
      <c r="AO66" s="7">
        <f t="shared" si="14"/>
        <v>0</v>
      </c>
      <c r="AP66" s="7" t="e">
        <f t="shared" si="25"/>
        <v>#N/A</v>
      </c>
      <c r="AQ66" s="7" t="str">
        <f t="shared" si="15"/>
        <v/>
      </c>
      <c r="AR66" s="7" t="str">
        <f t="shared" si="16"/>
        <v/>
      </c>
      <c r="AS66" s="7" t="str">
        <f t="shared" si="17"/>
        <v/>
      </c>
      <c r="AT66" s="97"/>
      <c r="AZ66" s="477" t="s">
        <v>46</v>
      </c>
      <c r="CF66" s="586" t="str">
        <f t="shared" si="26"/>
        <v/>
      </c>
      <c r="CG66"/>
      <c r="CH66"/>
    </row>
    <row r="67" spans="1:86" s="13" customFormat="1" ht="13.75" customHeight="1">
      <c r="A67" s="137">
        <v>52</v>
      </c>
      <c r="B67" s="138"/>
      <c r="C67" s="139"/>
      <c r="D67" s="140"/>
      <c r="E67" s="139"/>
      <c r="F67" s="139"/>
      <c r="G67" s="191"/>
      <c r="H67" s="139"/>
      <c r="I67" s="141"/>
      <c r="J67" s="142"/>
      <c r="K67" s="139"/>
      <c r="L67" s="147"/>
      <c r="M67" s="148"/>
      <c r="N67" s="583"/>
      <c r="O67" s="229" t="str">
        <f t="shared" si="18"/>
        <v/>
      </c>
      <c r="P67" s="229" t="str">
        <f t="shared" si="19"/>
        <v/>
      </c>
      <c r="Q67" s="230" t="str">
        <f t="shared" si="20"/>
        <v/>
      </c>
      <c r="R67" s="323" t="str">
        <f t="shared" si="21"/>
        <v/>
      </c>
      <c r="S67" s="350"/>
      <c r="T67" s="43"/>
      <c r="U67" s="347" t="str">
        <f t="shared" si="22"/>
        <v/>
      </c>
      <c r="V67" s="7" t="e">
        <f t="shared" si="0"/>
        <v>#N/A</v>
      </c>
      <c r="W67" s="7" t="e">
        <f t="shared" si="1"/>
        <v>#N/A</v>
      </c>
      <c r="X67" s="7" t="e">
        <f t="shared" si="2"/>
        <v>#N/A</v>
      </c>
      <c r="Y67" s="7" t="str">
        <f t="shared" si="3"/>
        <v/>
      </c>
      <c r="Z67" s="11">
        <f t="shared" si="4"/>
        <v>1</v>
      </c>
      <c r="AA67" s="7" t="e">
        <f t="shared" si="5"/>
        <v>#N/A</v>
      </c>
      <c r="AB67" s="7" t="e">
        <f t="shared" si="23"/>
        <v>#N/A</v>
      </c>
      <c r="AC67" s="7" t="e">
        <f t="shared" si="6"/>
        <v>#N/A</v>
      </c>
      <c r="AD67" s="472" t="e">
        <f>VLOOKUP(AF67,'排出係数(2017)'!$A$4:$I$1151,9,FALSE)</f>
        <v>#N/A</v>
      </c>
      <c r="AE67" s="12" t="str">
        <f t="shared" si="7"/>
        <v xml:space="preserve"> </v>
      </c>
      <c r="AF67" s="7" t="e">
        <f t="shared" si="24"/>
        <v>#N/A</v>
      </c>
      <c r="AG67" s="7" t="e">
        <f t="shared" si="8"/>
        <v>#N/A</v>
      </c>
      <c r="AH67" s="472" t="e">
        <f>VLOOKUP(AF67,'排出係数(2017)'!$A$4:$I$1151,6,FALSE)</f>
        <v>#N/A</v>
      </c>
      <c r="AI67" s="7" t="e">
        <f t="shared" si="9"/>
        <v>#N/A</v>
      </c>
      <c r="AJ67" s="7" t="e">
        <f t="shared" si="10"/>
        <v>#N/A</v>
      </c>
      <c r="AK67" s="472" t="e">
        <f>VLOOKUP(AF67,'排出係数(2017)'!$A$4:$I$1151,7,FALSE)</f>
        <v>#N/A</v>
      </c>
      <c r="AL67" s="7" t="e">
        <f t="shared" si="11"/>
        <v>#N/A</v>
      </c>
      <c r="AM67" s="7" t="e">
        <f t="shared" si="12"/>
        <v>#N/A</v>
      </c>
      <c r="AN67" s="7" t="e">
        <f t="shared" si="13"/>
        <v>#N/A</v>
      </c>
      <c r="AO67" s="7">
        <f t="shared" si="14"/>
        <v>0</v>
      </c>
      <c r="AP67" s="7" t="e">
        <f t="shared" si="25"/>
        <v>#N/A</v>
      </c>
      <c r="AQ67" s="7" t="str">
        <f t="shared" si="15"/>
        <v/>
      </c>
      <c r="AR67" s="7" t="str">
        <f t="shared" si="16"/>
        <v/>
      </c>
      <c r="AS67" s="7" t="str">
        <f t="shared" si="17"/>
        <v/>
      </c>
      <c r="AT67" s="97"/>
      <c r="AZ67" s="477" t="s">
        <v>1981</v>
      </c>
      <c r="CF67" s="586" t="str">
        <f t="shared" si="26"/>
        <v/>
      </c>
      <c r="CG67"/>
      <c r="CH67"/>
    </row>
    <row r="68" spans="1:86" s="13" customFormat="1" ht="13.75" customHeight="1">
      <c r="A68" s="137">
        <v>53</v>
      </c>
      <c r="B68" s="138"/>
      <c r="C68" s="139"/>
      <c r="D68" s="140"/>
      <c r="E68" s="139"/>
      <c r="F68" s="139"/>
      <c r="G68" s="191"/>
      <c r="H68" s="139"/>
      <c r="I68" s="141"/>
      <c r="J68" s="142"/>
      <c r="K68" s="139"/>
      <c r="L68" s="147"/>
      <c r="M68" s="148"/>
      <c r="N68" s="583"/>
      <c r="O68" s="229" t="str">
        <f t="shared" si="18"/>
        <v/>
      </c>
      <c r="P68" s="229" t="str">
        <f t="shared" si="19"/>
        <v/>
      </c>
      <c r="Q68" s="230" t="str">
        <f t="shared" si="20"/>
        <v/>
      </c>
      <c r="R68" s="323" t="str">
        <f t="shared" si="21"/>
        <v/>
      </c>
      <c r="S68" s="350"/>
      <c r="T68" s="43"/>
      <c r="U68" s="347" t="str">
        <f t="shared" si="22"/>
        <v/>
      </c>
      <c r="V68" s="7" t="e">
        <f t="shared" si="0"/>
        <v>#N/A</v>
      </c>
      <c r="W68" s="7" t="e">
        <f t="shared" si="1"/>
        <v>#N/A</v>
      </c>
      <c r="X68" s="7" t="e">
        <f t="shared" si="2"/>
        <v>#N/A</v>
      </c>
      <c r="Y68" s="7" t="str">
        <f t="shared" si="3"/>
        <v/>
      </c>
      <c r="Z68" s="11">
        <f t="shared" si="4"/>
        <v>1</v>
      </c>
      <c r="AA68" s="7" t="e">
        <f t="shared" si="5"/>
        <v>#N/A</v>
      </c>
      <c r="AB68" s="7" t="e">
        <f t="shared" si="23"/>
        <v>#N/A</v>
      </c>
      <c r="AC68" s="7" t="e">
        <f t="shared" si="6"/>
        <v>#N/A</v>
      </c>
      <c r="AD68" s="472" t="e">
        <f>VLOOKUP(AF68,'排出係数(2017)'!$A$4:$I$1151,9,FALSE)</f>
        <v>#N/A</v>
      </c>
      <c r="AE68" s="12" t="str">
        <f t="shared" si="7"/>
        <v xml:space="preserve"> </v>
      </c>
      <c r="AF68" s="7" t="e">
        <f t="shared" si="24"/>
        <v>#N/A</v>
      </c>
      <c r="AG68" s="7" t="e">
        <f t="shared" si="8"/>
        <v>#N/A</v>
      </c>
      <c r="AH68" s="472" t="e">
        <f>VLOOKUP(AF68,'排出係数(2017)'!$A$4:$I$1151,6,FALSE)</f>
        <v>#N/A</v>
      </c>
      <c r="AI68" s="7" t="e">
        <f t="shared" si="9"/>
        <v>#N/A</v>
      </c>
      <c r="AJ68" s="7" t="e">
        <f t="shared" si="10"/>
        <v>#N/A</v>
      </c>
      <c r="AK68" s="472" t="e">
        <f>VLOOKUP(AF68,'排出係数(2017)'!$A$4:$I$1151,7,FALSE)</f>
        <v>#N/A</v>
      </c>
      <c r="AL68" s="7" t="e">
        <f t="shared" si="11"/>
        <v>#N/A</v>
      </c>
      <c r="AM68" s="7" t="e">
        <f t="shared" si="12"/>
        <v>#N/A</v>
      </c>
      <c r="AN68" s="7" t="e">
        <f t="shared" si="13"/>
        <v>#N/A</v>
      </c>
      <c r="AO68" s="7">
        <f t="shared" si="14"/>
        <v>0</v>
      </c>
      <c r="AP68" s="7" t="e">
        <f t="shared" si="25"/>
        <v>#N/A</v>
      </c>
      <c r="AQ68" s="7" t="str">
        <f t="shared" si="15"/>
        <v/>
      </c>
      <c r="AR68" s="7" t="str">
        <f t="shared" si="16"/>
        <v/>
      </c>
      <c r="AS68" s="7" t="str">
        <f t="shared" si="17"/>
        <v/>
      </c>
      <c r="AT68" s="97"/>
      <c r="AZ68" s="477" t="s">
        <v>1982</v>
      </c>
      <c r="CF68" s="586" t="str">
        <f t="shared" si="26"/>
        <v/>
      </c>
      <c r="CG68"/>
      <c r="CH68"/>
    </row>
    <row r="69" spans="1:86" s="13" customFormat="1" ht="13.75" customHeight="1">
      <c r="A69" s="137">
        <v>54</v>
      </c>
      <c r="B69" s="138"/>
      <c r="C69" s="139"/>
      <c r="D69" s="140"/>
      <c r="E69" s="139"/>
      <c r="F69" s="139"/>
      <c r="G69" s="191"/>
      <c r="H69" s="139"/>
      <c r="I69" s="141"/>
      <c r="J69" s="142"/>
      <c r="K69" s="139"/>
      <c r="L69" s="147"/>
      <c r="M69" s="148"/>
      <c r="N69" s="583"/>
      <c r="O69" s="229" t="str">
        <f t="shared" si="18"/>
        <v/>
      </c>
      <c r="P69" s="229" t="str">
        <f t="shared" si="19"/>
        <v/>
      </c>
      <c r="Q69" s="230" t="str">
        <f t="shared" si="20"/>
        <v/>
      </c>
      <c r="R69" s="323" t="str">
        <f t="shared" si="21"/>
        <v/>
      </c>
      <c r="S69" s="350"/>
      <c r="T69" s="43"/>
      <c r="U69" s="347" t="str">
        <f t="shared" si="22"/>
        <v/>
      </c>
      <c r="V69" s="7" t="e">
        <f t="shared" si="0"/>
        <v>#N/A</v>
      </c>
      <c r="W69" s="7" t="e">
        <f t="shared" si="1"/>
        <v>#N/A</v>
      </c>
      <c r="X69" s="7" t="e">
        <f t="shared" si="2"/>
        <v>#N/A</v>
      </c>
      <c r="Y69" s="7" t="str">
        <f t="shared" si="3"/>
        <v/>
      </c>
      <c r="Z69" s="11">
        <f t="shared" si="4"/>
        <v>1</v>
      </c>
      <c r="AA69" s="7" t="e">
        <f t="shared" si="5"/>
        <v>#N/A</v>
      </c>
      <c r="AB69" s="7" t="e">
        <f t="shared" si="23"/>
        <v>#N/A</v>
      </c>
      <c r="AC69" s="7" t="e">
        <f t="shared" si="6"/>
        <v>#N/A</v>
      </c>
      <c r="AD69" s="472" t="e">
        <f>VLOOKUP(AF69,'排出係数(2017)'!$A$4:$I$1151,9,FALSE)</f>
        <v>#N/A</v>
      </c>
      <c r="AE69" s="12" t="str">
        <f t="shared" si="7"/>
        <v xml:space="preserve"> </v>
      </c>
      <c r="AF69" s="7" t="e">
        <f t="shared" si="24"/>
        <v>#N/A</v>
      </c>
      <c r="AG69" s="7" t="e">
        <f t="shared" si="8"/>
        <v>#N/A</v>
      </c>
      <c r="AH69" s="472" t="e">
        <f>VLOOKUP(AF69,'排出係数(2017)'!$A$4:$I$1151,6,FALSE)</f>
        <v>#N/A</v>
      </c>
      <c r="AI69" s="7" t="e">
        <f t="shared" si="9"/>
        <v>#N/A</v>
      </c>
      <c r="AJ69" s="7" t="e">
        <f t="shared" si="10"/>
        <v>#N/A</v>
      </c>
      <c r="AK69" s="472" t="e">
        <f>VLOOKUP(AF69,'排出係数(2017)'!$A$4:$I$1151,7,FALSE)</f>
        <v>#N/A</v>
      </c>
      <c r="AL69" s="7" t="e">
        <f t="shared" si="11"/>
        <v>#N/A</v>
      </c>
      <c r="AM69" s="7" t="e">
        <f t="shared" si="12"/>
        <v>#N/A</v>
      </c>
      <c r="AN69" s="7" t="e">
        <f t="shared" si="13"/>
        <v>#N/A</v>
      </c>
      <c r="AO69" s="7">
        <f t="shared" si="14"/>
        <v>0</v>
      </c>
      <c r="AP69" s="7" t="e">
        <f t="shared" si="25"/>
        <v>#N/A</v>
      </c>
      <c r="AQ69" s="7" t="str">
        <f t="shared" si="15"/>
        <v/>
      </c>
      <c r="AR69" s="7" t="str">
        <f t="shared" si="16"/>
        <v/>
      </c>
      <c r="AS69" s="7" t="str">
        <f t="shared" si="17"/>
        <v/>
      </c>
      <c r="AT69" s="97"/>
      <c r="AZ69" s="477" t="s">
        <v>2001</v>
      </c>
      <c r="CF69" s="586" t="str">
        <f t="shared" si="26"/>
        <v/>
      </c>
      <c r="CG69"/>
      <c r="CH69"/>
    </row>
    <row r="70" spans="1:86" s="13" customFormat="1" ht="13.75" customHeight="1">
      <c r="A70" s="137">
        <v>55</v>
      </c>
      <c r="B70" s="138"/>
      <c r="C70" s="139"/>
      <c r="D70" s="140"/>
      <c r="E70" s="139"/>
      <c r="F70" s="139"/>
      <c r="G70" s="191"/>
      <c r="H70" s="139"/>
      <c r="I70" s="141"/>
      <c r="J70" s="142"/>
      <c r="K70" s="139"/>
      <c r="L70" s="147"/>
      <c r="M70" s="148"/>
      <c r="N70" s="583"/>
      <c r="O70" s="229" t="str">
        <f t="shared" si="18"/>
        <v/>
      </c>
      <c r="P70" s="229" t="str">
        <f t="shared" si="19"/>
        <v/>
      </c>
      <c r="Q70" s="230" t="str">
        <f t="shared" si="20"/>
        <v/>
      </c>
      <c r="R70" s="323" t="str">
        <f t="shared" si="21"/>
        <v/>
      </c>
      <c r="S70" s="350"/>
      <c r="T70" s="43"/>
      <c r="U70" s="347" t="str">
        <f t="shared" si="22"/>
        <v/>
      </c>
      <c r="V70" s="7" t="e">
        <f t="shared" si="0"/>
        <v>#N/A</v>
      </c>
      <c r="W70" s="7" t="e">
        <f t="shared" si="1"/>
        <v>#N/A</v>
      </c>
      <c r="X70" s="7" t="e">
        <f t="shared" si="2"/>
        <v>#N/A</v>
      </c>
      <c r="Y70" s="7" t="str">
        <f t="shared" si="3"/>
        <v/>
      </c>
      <c r="Z70" s="11">
        <f t="shared" si="4"/>
        <v>1</v>
      </c>
      <c r="AA70" s="7" t="e">
        <f t="shared" si="5"/>
        <v>#N/A</v>
      </c>
      <c r="AB70" s="7" t="e">
        <f t="shared" si="23"/>
        <v>#N/A</v>
      </c>
      <c r="AC70" s="7" t="e">
        <f t="shared" si="6"/>
        <v>#N/A</v>
      </c>
      <c r="AD70" s="472" t="e">
        <f>VLOOKUP(AF70,'排出係数(2017)'!$A$4:$I$1151,9,FALSE)</f>
        <v>#N/A</v>
      </c>
      <c r="AE70" s="12" t="str">
        <f t="shared" si="7"/>
        <v xml:space="preserve"> </v>
      </c>
      <c r="AF70" s="7" t="e">
        <f t="shared" si="24"/>
        <v>#N/A</v>
      </c>
      <c r="AG70" s="7" t="e">
        <f t="shared" si="8"/>
        <v>#N/A</v>
      </c>
      <c r="AH70" s="472" t="e">
        <f>VLOOKUP(AF70,'排出係数(2017)'!$A$4:$I$1151,6,FALSE)</f>
        <v>#N/A</v>
      </c>
      <c r="AI70" s="7" t="e">
        <f t="shared" si="9"/>
        <v>#N/A</v>
      </c>
      <c r="AJ70" s="7" t="e">
        <f t="shared" si="10"/>
        <v>#N/A</v>
      </c>
      <c r="AK70" s="472" t="e">
        <f>VLOOKUP(AF70,'排出係数(2017)'!$A$4:$I$1151,7,FALSE)</f>
        <v>#N/A</v>
      </c>
      <c r="AL70" s="7" t="e">
        <f t="shared" si="11"/>
        <v>#N/A</v>
      </c>
      <c r="AM70" s="7" t="e">
        <f t="shared" si="12"/>
        <v>#N/A</v>
      </c>
      <c r="AN70" s="7" t="e">
        <f t="shared" si="13"/>
        <v>#N/A</v>
      </c>
      <c r="AO70" s="7">
        <f t="shared" si="14"/>
        <v>0</v>
      </c>
      <c r="AP70" s="7" t="e">
        <f t="shared" si="25"/>
        <v>#N/A</v>
      </c>
      <c r="AQ70" s="7" t="str">
        <f t="shared" si="15"/>
        <v/>
      </c>
      <c r="AR70" s="7" t="str">
        <f t="shared" si="16"/>
        <v/>
      </c>
      <c r="AS70" s="7" t="str">
        <f t="shared" si="17"/>
        <v/>
      </c>
      <c r="AT70" s="97"/>
      <c r="AZ70" s="477" t="s">
        <v>2002</v>
      </c>
      <c r="CF70" s="586" t="str">
        <f t="shared" si="26"/>
        <v/>
      </c>
      <c r="CG70"/>
      <c r="CH70"/>
    </row>
    <row r="71" spans="1:86" s="13" customFormat="1" ht="13.75" customHeight="1">
      <c r="A71" s="137">
        <v>56</v>
      </c>
      <c r="B71" s="138"/>
      <c r="C71" s="139"/>
      <c r="D71" s="140"/>
      <c r="E71" s="139"/>
      <c r="F71" s="139"/>
      <c r="G71" s="191"/>
      <c r="H71" s="139"/>
      <c r="I71" s="141"/>
      <c r="J71" s="142"/>
      <c r="K71" s="139"/>
      <c r="L71" s="147"/>
      <c r="M71" s="148"/>
      <c r="N71" s="583"/>
      <c r="O71" s="229" t="str">
        <f t="shared" si="18"/>
        <v/>
      </c>
      <c r="P71" s="229" t="str">
        <f t="shared" si="19"/>
        <v/>
      </c>
      <c r="Q71" s="230" t="str">
        <f t="shared" si="20"/>
        <v/>
      </c>
      <c r="R71" s="323" t="str">
        <f t="shared" si="21"/>
        <v/>
      </c>
      <c r="S71" s="350"/>
      <c r="T71" s="43"/>
      <c r="U71" s="347" t="str">
        <f t="shared" si="22"/>
        <v/>
      </c>
      <c r="V71" s="7" t="e">
        <f t="shared" si="0"/>
        <v>#N/A</v>
      </c>
      <c r="W71" s="7" t="e">
        <f t="shared" si="1"/>
        <v>#N/A</v>
      </c>
      <c r="X71" s="7" t="e">
        <f t="shared" si="2"/>
        <v>#N/A</v>
      </c>
      <c r="Y71" s="7" t="str">
        <f t="shared" si="3"/>
        <v/>
      </c>
      <c r="Z71" s="11">
        <f t="shared" si="4"/>
        <v>1</v>
      </c>
      <c r="AA71" s="7" t="e">
        <f t="shared" si="5"/>
        <v>#N/A</v>
      </c>
      <c r="AB71" s="7" t="e">
        <f t="shared" si="23"/>
        <v>#N/A</v>
      </c>
      <c r="AC71" s="7" t="e">
        <f t="shared" si="6"/>
        <v>#N/A</v>
      </c>
      <c r="AD71" s="472" t="e">
        <f>VLOOKUP(AF71,'排出係数(2017)'!$A$4:$I$1151,9,FALSE)</f>
        <v>#N/A</v>
      </c>
      <c r="AE71" s="12" t="str">
        <f t="shared" si="7"/>
        <v xml:space="preserve"> </v>
      </c>
      <c r="AF71" s="7" t="e">
        <f t="shared" si="24"/>
        <v>#N/A</v>
      </c>
      <c r="AG71" s="7" t="e">
        <f t="shared" si="8"/>
        <v>#N/A</v>
      </c>
      <c r="AH71" s="472" t="e">
        <f>VLOOKUP(AF71,'排出係数(2017)'!$A$4:$I$1151,6,FALSE)</f>
        <v>#N/A</v>
      </c>
      <c r="AI71" s="7" t="e">
        <f t="shared" si="9"/>
        <v>#N/A</v>
      </c>
      <c r="AJ71" s="7" t="e">
        <f t="shared" si="10"/>
        <v>#N/A</v>
      </c>
      <c r="AK71" s="472" t="e">
        <f>VLOOKUP(AF71,'排出係数(2017)'!$A$4:$I$1151,7,FALSE)</f>
        <v>#N/A</v>
      </c>
      <c r="AL71" s="7" t="e">
        <f t="shared" si="11"/>
        <v>#N/A</v>
      </c>
      <c r="AM71" s="7" t="e">
        <f t="shared" si="12"/>
        <v>#N/A</v>
      </c>
      <c r="AN71" s="7" t="e">
        <f t="shared" si="13"/>
        <v>#N/A</v>
      </c>
      <c r="AO71" s="7">
        <f t="shared" si="14"/>
        <v>0</v>
      </c>
      <c r="AP71" s="7" t="e">
        <f t="shared" si="25"/>
        <v>#N/A</v>
      </c>
      <c r="AQ71" s="7" t="str">
        <f t="shared" si="15"/>
        <v/>
      </c>
      <c r="AR71" s="7" t="str">
        <f t="shared" si="16"/>
        <v/>
      </c>
      <c r="AS71" s="7" t="str">
        <f t="shared" si="17"/>
        <v/>
      </c>
      <c r="AT71" s="97"/>
      <c r="AZ71" s="477" t="s">
        <v>2069</v>
      </c>
      <c r="CF71" s="586" t="str">
        <f t="shared" si="26"/>
        <v/>
      </c>
      <c r="CG71"/>
      <c r="CH71"/>
    </row>
    <row r="72" spans="1:86" s="13" customFormat="1" ht="13.75" customHeight="1">
      <c r="A72" s="137">
        <v>57</v>
      </c>
      <c r="B72" s="138"/>
      <c r="C72" s="139"/>
      <c r="D72" s="140"/>
      <c r="E72" s="139"/>
      <c r="F72" s="139"/>
      <c r="G72" s="191"/>
      <c r="H72" s="139"/>
      <c r="I72" s="141"/>
      <c r="J72" s="142"/>
      <c r="K72" s="139"/>
      <c r="L72" s="147"/>
      <c r="M72" s="148"/>
      <c r="N72" s="583"/>
      <c r="O72" s="229" t="str">
        <f t="shared" si="18"/>
        <v/>
      </c>
      <c r="P72" s="229" t="str">
        <f t="shared" si="19"/>
        <v/>
      </c>
      <c r="Q72" s="230" t="str">
        <f t="shared" si="20"/>
        <v/>
      </c>
      <c r="R72" s="323" t="str">
        <f t="shared" si="21"/>
        <v/>
      </c>
      <c r="S72" s="350"/>
      <c r="T72" s="43"/>
      <c r="U72" s="347" t="str">
        <f t="shared" si="22"/>
        <v/>
      </c>
      <c r="V72" s="7" t="e">
        <f t="shared" si="0"/>
        <v>#N/A</v>
      </c>
      <c r="W72" s="7" t="e">
        <f t="shared" si="1"/>
        <v>#N/A</v>
      </c>
      <c r="X72" s="7" t="e">
        <f t="shared" si="2"/>
        <v>#N/A</v>
      </c>
      <c r="Y72" s="7" t="str">
        <f t="shared" si="3"/>
        <v/>
      </c>
      <c r="Z72" s="11">
        <f t="shared" si="4"/>
        <v>1</v>
      </c>
      <c r="AA72" s="7" t="e">
        <f t="shared" si="5"/>
        <v>#N/A</v>
      </c>
      <c r="AB72" s="7" t="e">
        <f t="shared" si="23"/>
        <v>#N/A</v>
      </c>
      <c r="AC72" s="7" t="e">
        <f t="shared" si="6"/>
        <v>#N/A</v>
      </c>
      <c r="AD72" s="472" t="e">
        <f>VLOOKUP(AF72,'排出係数(2017)'!$A$4:$I$1151,9,FALSE)</f>
        <v>#N/A</v>
      </c>
      <c r="AE72" s="12" t="str">
        <f t="shared" si="7"/>
        <v xml:space="preserve"> </v>
      </c>
      <c r="AF72" s="7" t="e">
        <f t="shared" si="24"/>
        <v>#N/A</v>
      </c>
      <c r="AG72" s="7" t="e">
        <f t="shared" si="8"/>
        <v>#N/A</v>
      </c>
      <c r="AH72" s="472" t="e">
        <f>VLOOKUP(AF72,'排出係数(2017)'!$A$4:$I$1151,6,FALSE)</f>
        <v>#N/A</v>
      </c>
      <c r="AI72" s="7" t="e">
        <f t="shared" si="9"/>
        <v>#N/A</v>
      </c>
      <c r="AJ72" s="7" t="e">
        <f t="shared" si="10"/>
        <v>#N/A</v>
      </c>
      <c r="AK72" s="472" t="e">
        <f>VLOOKUP(AF72,'排出係数(2017)'!$A$4:$I$1151,7,FALSE)</f>
        <v>#N/A</v>
      </c>
      <c r="AL72" s="7" t="e">
        <f t="shared" si="11"/>
        <v>#N/A</v>
      </c>
      <c r="AM72" s="7" t="e">
        <f t="shared" si="12"/>
        <v>#N/A</v>
      </c>
      <c r="AN72" s="7" t="e">
        <f t="shared" si="13"/>
        <v>#N/A</v>
      </c>
      <c r="AO72" s="7">
        <f t="shared" si="14"/>
        <v>0</v>
      </c>
      <c r="AP72" s="7" t="e">
        <f t="shared" si="25"/>
        <v>#N/A</v>
      </c>
      <c r="AQ72" s="7" t="str">
        <f t="shared" si="15"/>
        <v/>
      </c>
      <c r="AR72" s="7" t="str">
        <f t="shared" si="16"/>
        <v/>
      </c>
      <c r="AS72" s="7" t="str">
        <f t="shared" si="17"/>
        <v/>
      </c>
      <c r="AT72" s="97"/>
      <c r="AZ72" s="477" t="s">
        <v>2070</v>
      </c>
      <c r="CF72" s="586" t="str">
        <f t="shared" si="26"/>
        <v/>
      </c>
      <c r="CG72"/>
      <c r="CH72"/>
    </row>
    <row r="73" spans="1:86" s="13" customFormat="1" ht="13.75" customHeight="1">
      <c r="A73" s="137">
        <v>58</v>
      </c>
      <c r="B73" s="138"/>
      <c r="C73" s="139"/>
      <c r="D73" s="140"/>
      <c r="E73" s="139"/>
      <c r="F73" s="139"/>
      <c r="G73" s="191"/>
      <c r="H73" s="139"/>
      <c r="I73" s="141"/>
      <c r="J73" s="142"/>
      <c r="K73" s="139"/>
      <c r="L73" s="147"/>
      <c r="M73" s="148"/>
      <c r="N73" s="583"/>
      <c r="O73" s="229" t="str">
        <f t="shared" si="18"/>
        <v/>
      </c>
      <c r="P73" s="229" t="str">
        <f t="shared" si="19"/>
        <v/>
      </c>
      <c r="Q73" s="230" t="str">
        <f t="shared" si="20"/>
        <v/>
      </c>
      <c r="R73" s="323" t="str">
        <f t="shared" si="21"/>
        <v/>
      </c>
      <c r="S73" s="350"/>
      <c r="T73" s="43"/>
      <c r="U73" s="347" t="str">
        <f t="shared" si="22"/>
        <v/>
      </c>
      <c r="V73" s="7" t="e">
        <f t="shared" si="0"/>
        <v>#N/A</v>
      </c>
      <c r="W73" s="7" t="e">
        <f t="shared" si="1"/>
        <v>#N/A</v>
      </c>
      <c r="X73" s="7" t="e">
        <f t="shared" si="2"/>
        <v>#N/A</v>
      </c>
      <c r="Y73" s="7" t="str">
        <f t="shared" si="3"/>
        <v/>
      </c>
      <c r="Z73" s="11">
        <f t="shared" si="4"/>
        <v>1</v>
      </c>
      <c r="AA73" s="7" t="e">
        <f t="shared" si="5"/>
        <v>#N/A</v>
      </c>
      <c r="AB73" s="7" t="e">
        <f t="shared" si="23"/>
        <v>#N/A</v>
      </c>
      <c r="AC73" s="7" t="e">
        <f t="shared" si="6"/>
        <v>#N/A</v>
      </c>
      <c r="AD73" s="472" t="e">
        <f>VLOOKUP(AF73,'排出係数(2017)'!$A$4:$I$1151,9,FALSE)</f>
        <v>#N/A</v>
      </c>
      <c r="AE73" s="12" t="str">
        <f t="shared" si="7"/>
        <v xml:space="preserve"> </v>
      </c>
      <c r="AF73" s="7" t="e">
        <f t="shared" si="24"/>
        <v>#N/A</v>
      </c>
      <c r="AG73" s="7" t="e">
        <f t="shared" si="8"/>
        <v>#N/A</v>
      </c>
      <c r="AH73" s="472" t="e">
        <f>VLOOKUP(AF73,'排出係数(2017)'!$A$4:$I$1151,6,FALSE)</f>
        <v>#N/A</v>
      </c>
      <c r="AI73" s="7" t="e">
        <f t="shared" si="9"/>
        <v>#N/A</v>
      </c>
      <c r="AJ73" s="7" t="e">
        <f t="shared" si="10"/>
        <v>#N/A</v>
      </c>
      <c r="AK73" s="472" t="e">
        <f>VLOOKUP(AF73,'排出係数(2017)'!$A$4:$I$1151,7,FALSE)</f>
        <v>#N/A</v>
      </c>
      <c r="AL73" s="7" t="e">
        <f t="shared" si="11"/>
        <v>#N/A</v>
      </c>
      <c r="AM73" s="7" t="e">
        <f t="shared" si="12"/>
        <v>#N/A</v>
      </c>
      <c r="AN73" s="7" t="e">
        <f t="shared" si="13"/>
        <v>#N/A</v>
      </c>
      <c r="AO73" s="7">
        <f t="shared" si="14"/>
        <v>0</v>
      </c>
      <c r="AP73" s="7" t="e">
        <f t="shared" si="25"/>
        <v>#N/A</v>
      </c>
      <c r="AQ73" s="7" t="str">
        <f t="shared" si="15"/>
        <v/>
      </c>
      <c r="AR73" s="7" t="str">
        <f t="shared" si="16"/>
        <v/>
      </c>
      <c r="AS73" s="7" t="str">
        <f t="shared" si="17"/>
        <v/>
      </c>
      <c r="AT73" s="97"/>
      <c r="AZ73" s="477" t="s">
        <v>2093</v>
      </c>
      <c r="CF73" s="586" t="str">
        <f t="shared" si="26"/>
        <v/>
      </c>
      <c r="CG73"/>
      <c r="CH73"/>
    </row>
    <row r="74" spans="1:86" s="13" customFormat="1" ht="13.75" customHeight="1">
      <c r="A74" s="137">
        <v>59</v>
      </c>
      <c r="B74" s="138"/>
      <c r="C74" s="139"/>
      <c r="D74" s="140"/>
      <c r="E74" s="139"/>
      <c r="F74" s="139"/>
      <c r="G74" s="191"/>
      <c r="H74" s="139"/>
      <c r="I74" s="141"/>
      <c r="J74" s="142"/>
      <c r="K74" s="139"/>
      <c r="L74" s="147"/>
      <c r="M74" s="148"/>
      <c r="N74" s="583"/>
      <c r="O74" s="229" t="str">
        <f t="shared" si="18"/>
        <v/>
      </c>
      <c r="P74" s="229" t="str">
        <f t="shared" si="19"/>
        <v/>
      </c>
      <c r="Q74" s="230" t="str">
        <f t="shared" si="20"/>
        <v/>
      </c>
      <c r="R74" s="323" t="str">
        <f t="shared" si="21"/>
        <v/>
      </c>
      <c r="S74" s="350"/>
      <c r="T74" s="43"/>
      <c r="U74" s="347" t="str">
        <f t="shared" si="22"/>
        <v/>
      </c>
      <c r="V74" s="7" t="e">
        <f t="shared" si="0"/>
        <v>#N/A</v>
      </c>
      <c r="W74" s="7" t="e">
        <f t="shared" si="1"/>
        <v>#N/A</v>
      </c>
      <c r="X74" s="7" t="e">
        <f t="shared" si="2"/>
        <v>#N/A</v>
      </c>
      <c r="Y74" s="7" t="str">
        <f t="shared" si="3"/>
        <v/>
      </c>
      <c r="Z74" s="11">
        <f t="shared" si="4"/>
        <v>1</v>
      </c>
      <c r="AA74" s="7" t="e">
        <f t="shared" si="5"/>
        <v>#N/A</v>
      </c>
      <c r="AB74" s="7" t="e">
        <f t="shared" si="23"/>
        <v>#N/A</v>
      </c>
      <c r="AC74" s="7" t="e">
        <f t="shared" si="6"/>
        <v>#N/A</v>
      </c>
      <c r="AD74" s="472" t="e">
        <f>VLOOKUP(AF74,'排出係数(2017)'!$A$4:$I$1151,9,FALSE)</f>
        <v>#N/A</v>
      </c>
      <c r="AE74" s="12" t="str">
        <f t="shared" si="7"/>
        <v xml:space="preserve"> </v>
      </c>
      <c r="AF74" s="7" t="e">
        <f t="shared" si="24"/>
        <v>#N/A</v>
      </c>
      <c r="AG74" s="7" t="e">
        <f t="shared" si="8"/>
        <v>#N/A</v>
      </c>
      <c r="AH74" s="472" t="e">
        <f>VLOOKUP(AF74,'排出係数(2017)'!$A$4:$I$1151,6,FALSE)</f>
        <v>#N/A</v>
      </c>
      <c r="AI74" s="7" t="e">
        <f t="shared" si="9"/>
        <v>#N/A</v>
      </c>
      <c r="AJ74" s="7" t="e">
        <f t="shared" si="10"/>
        <v>#N/A</v>
      </c>
      <c r="AK74" s="472" t="e">
        <f>VLOOKUP(AF74,'排出係数(2017)'!$A$4:$I$1151,7,FALSE)</f>
        <v>#N/A</v>
      </c>
      <c r="AL74" s="7" t="e">
        <f t="shared" si="11"/>
        <v>#N/A</v>
      </c>
      <c r="AM74" s="7" t="e">
        <f t="shared" si="12"/>
        <v>#N/A</v>
      </c>
      <c r="AN74" s="7" t="e">
        <f t="shared" si="13"/>
        <v>#N/A</v>
      </c>
      <c r="AO74" s="7">
        <f t="shared" si="14"/>
        <v>0</v>
      </c>
      <c r="AP74" s="7" t="e">
        <f t="shared" si="25"/>
        <v>#N/A</v>
      </c>
      <c r="AQ74" s="7" t="str">
        <f t="shared" si="15"/>
        <v/>
      </c>
      <c r="AR74" s="7" t="str">
        <f t="shared" si="16"/>
        <v/>
      </c>
      <c r="AS74" s="7" t="str">
        <f t="shared" si="17"/>
        <v/>
      </c>
      <c r="AT74" s="97"/>
      <c r="AZ74" s="477" t="s">
        <v>2094</v>
      </c>
      <c r="CF74" s="586" t="str">
        <f t="shared" si="26"/>
        <v/>
      </c>
      <c r="CG74"/>
      <c r="CH74"/>
    </row>
    <row r="75" spans="1:86" s="13" customFormat="1" ht="13.75" customHeight="1">
      <c r="A75" s="137">
        <v>60</v>
      </c>
      <c r="B75" s="138"/>
      <c r="C75" s="139"/>
      <c r="D75" s="140"/>
      <c r="E75" s="139"/>
      <c r="F75" s="139"/>
      <c r="G75" s="191"/>
      <c r="H75" s="139"/>
      <c r="I75" s="141"/>
      <c r="J75" s="142"/>
      <c r="K75" s="139"/>
      <c r="L75" s="147"/>
      <c r="M75" s="148"/>
      <c r="N75" s="583"/>
      <c r="O75" s="229" t="str">
        <f t="shared" si="18"/>
        <v/>
      </c>
      <c r="P75" s="229" t="str">
        <f t="shared" si="19"/>
        <v/>
      </c>
      <c r="Q75" s="230" t="str">
        <f t="shared" si="20"/>
        <v/>
      </c>
      <c r="R75" s="323" t="str">
        <f t="shared" si="21"/>
        <v/>
      </c>
      <c r="S75" s="350"/>
      <c r="T75" s="43"/>
      <c r="U75" s="347" t="str">
        <f t="shared" si="22"/>
        <v/>
      </c>
      <c r="V75" s="7" t="e">
        <f t="shared" si="0"/>
        <v>#N/A</v>
      </c>
      <c r="W75" s="7" t="e">
        <f t="shared" si="1"/>
        <v>#N/A</v>
      </c>
      <c r="X75" s="7" t="e">
        <f t="shared" si="2"/>
        <v>#N/A</v>
      </c>
      <c r="Y75" s="7" t="str">
        <f t="shared" si="3"/>
        <v/>
      </c>
      <c r="Z75" s="11">
        <f t="shared" si="4"/>
        <v>1</v>
      </c>
      <c r="AA75" s="7" t="e">
        <f t="shared" si="5"/>
        <v>#N/A</v>
      </c>
      <c r="AB75" s="7" t="e">
        <f t="shared" si="23"/>
        <v>#N/A</v>
      </c>
      <c r="AC75" s="7" t="e">
        <f t="shared" si="6"/>
        <v>#N/A</v>
      </c>
      <c r="AD75" s="472" t="e">
        <f>VLOOKUP(AF75,'排出係数(2017)'!$A$4:$I$1151,9,FALSE)</f>
        <v>#N/A</v>
      </c>
      <c r="AE75" s="12" t="str">
        <f t="shared" si="7"/>
        <v xml:space="preserve"> </v>
      </c>
      <c r="AF75" s="7" t="e">
        <f t="shared" si="24"/>
        <v>#N/A</v>
      </c>
      <c r="AG75" s="7" t="e">
        <f t="shared" si="8"/>
        <v>#N/A</v>
      </c>
      <c r="AH75" s="472" t="e">
        <f>VLOOKUP(AF75,'排出係数(2017)'!$A$4:$I$1151,6,FALSE)</f>
        <v>#N/A</v>
      </c>
      <c r="AI75" s="7" t="e">
        <f t="shared" si="9"/>
        <v>#N/A</v>
      </c>
      <c r="AJ75" s="7" t="e">
        <f t="shared" si="10"/>
        <v>#N/A</v>
      </c>
      <c r="AK75" s="472" t="e">
        <f>VLOOKUP(AF75,'排出係数(2017)'!$A$4:$I$1151,7,FALSE)</f>
        <v>#N/A</v>
      </c>
      <c r="AL75" s="7" t="e">
        <f t="shared" si="11"/>
        <v>#N/A</v>
      </c>
      <c r="AM75" s="7" t="e">
        <f t="shared" si="12"/>
        <v>#N/A</v>
      </c>
      <c r="AN75" s="7" t="e">
        <f t="shared" si="13"/>
        <v>#N/A</v>
      </c>
      <c r="AO75" s="7">
        <f t="shared" si="14"/>
        <v>0</v>
      </c>
      <c r="AP75" s="7" t="e">
        <f t="shared" si="25"/>
        <v>#N/A</v>
      </c>
      <c r="AQ75" s="7" t="str">
        <f t="shared" si="15"/>
        <v/>
      </c>
      <c r="AR75" s="7" t="str">
        <f t="shared" si="16"/>
        <v/>
      </c>
      <c r="AS75" s="7" t="str">
        <f t="shared" si="17"/>
        <v/>
      </c>
      <c r="AT75" s="97"/>
      <c r="AZ75" s="477" t="s">
        <v>1353</v>
      </c>
      <c r="CF75" s="586" t="str">
        <f t="shared" si="26"/>
        <v/>
      </c>
      <c r="CG75"/>
      <c r="CH75"/>
    </row>
    <row r="76" spans="1:86" s="13" customFormat="1" ht="13.75" customHeight="1">
      <c r="A76" s="137">
        <v>61</v>
      </c>
      <c r="B76" s="138"/>
      <c r="C76" s="139"/>
      <c r="D76" s="140"/>
      <c r="E76" s="139"/>
      <c r="F76" s="139"/>
      <c r="G76" s="191"/>
      <c r="H76" s="139"/>
      <c r="I76" s="141"/>
      <c r="J76" s="142"/>
      <c r="K76" s="139"/>
      <c r="L76" s="147"/>
      <c r="M76" s="148"/>
      <c r="N76" s="583"/>
      <c r="O76" s="229" t="str">
        <f t="shared" si="18"/>
        <v/>
      </c>
      <c r="P76" s="229" t="str">
        <f t="shared" si="19"/>
        <v/>
      </c>
      <c r="Q76" s="230" t="str">
        <f t="shared" si="20"/>
        <v/>
      </c>
      <c r="R76" s="323" t="str">
        <f t="shared" si="21"/>
        <v/>
      </c>
      <c r="S76" s="350"/>
      <c r="T76" s="43"/>
      <c r="U76" s="347" t="str">
        <f t="shared" si="22"/>
        <v/>
      </c>
      <c r="V76" s="7" t="e">
        <f t="shared" si="0"/>
        <v>#N/A</v>
      </c>
      <c r="W76" s="7" t="e">
        <f t="shared" si="1"/>
        <v>#N/A</v>
      </c>
      <c r="X76" s="7" t="e">
        <f t="shared" si="2"/>
        <v>#N/A</v>
      </c>
      <c r="Y76" s="7" t="str">
        <f t="shared" si="3"/>
        <v/>
      </c>
      <c r="Z76" s="11">
        <f t="shared" si="4"/>
        <v>1</v>
      </c>
      <c r="AA76" s="7" t="e">
        <f t="shared" si="5"/>
        <v>#N/A</v>
      </c>
      <c r="AB76" s="7" t="e">
        <f t="shared" si="23"/>
        <v>#N/A</v>
      </c>
      <c r="AC76" s="7" t="e">
        <f t="shared" si="6"/>
        <v>#N/A</v>
      </c>
      <c r="AD76" s="472" t="e">
        <f>VLOOKUP(AF76,'排出係数(2017)'!$A$4:$I$1151,9,FALSE)</f>
        <v>#N/A</v>
      </c>
      <c r="AE76" s="12" t="str">
        <f t="shared" si="7"/>
        <v xml:space="preserve"> </v>
      </c>
      <c r="AF76" s="7" t="e">
        <f t="shared" si="24"/>
        <v>#N/A</v>
      </c>
      <c r="AG76" s="7" t="e">
        <f t="shared" si="8"/>
        <v>#N/A</v>
      </c>
      <c r="AH76" s="472" t="e">
        <f>VLOOKUP(AF76,'排出係数(2017)'!$A$4:$I$1151,6,FALSE)</f>
        <v>#N/A</v>
      </c>
      <c r="AI76" s="7" t="e">
        <f t="shared" si="9"/>
        <v>#N/A</v>
      </c>
      <c r="AJ76" s="7" t="e">
        <f t="shared" si="10"/>
        <v>#N/A</v>
      </c>
      <c r="AK76" s="472" t="e">
        <f>VLOOKUP(AF76,'排出係数(2017)'!$A$4:$I$1151,7,FALSE)</f>
        <v>#N/A</v>
      </c>
      <c r="AL76" s="7" t="e">
        <f t="shared" si="11"/>
        <v>#N/A</v>
      </c>
      <c r="AM76" s="7" t="e">
        <f t="shared" si="12"/>
        <v>#N/A</v>
      </c>
      <c r="AN76" s="7" t="e">
        <f t="shared" si="13"/>
        <v>#N/A</v>
      </c>
      <c r="AO76" s="7">
        <f t="shared" si="14"/>
        <v>0</v>
      </c>
      <c r="AP76" s="7" t="e">
        <f t="shared" si="25"/>
        <v>#N/A</v>
      </c>
      <c r="AQ76" s="7" t="str">
        <f t="shared" si="15"/>
        <v/>
      </c>
      <c r="AR76" s="7" t="str">
        <f t="shared" si="16"/>
        <v/>
      </c>
      <c r="AS76" s="7" t="str">
        <f t="shared" si="17"/>
        <v/>
      </c>
      <c r="AT76" s="97"/>
      <c r="AZ76" s="477" t="s">
        <v>1355</v>
      </c>
      <c r="CF76" s="586" t="str">
        <f t="shared" si="26"/>
        <v/>
      </c>
      <c r="CG76"/>
      <c r="CH76"/>
    </row>
    <row r="77" spans="1:86" s="13" customFormat="1" ht="13.75" customHeight="1">
      <c r="A77" s="137">
        <v>62</v>
      </c>
      <c r="B77" s="138"/>
      <c r="C77" s="139"/>
      <c r="D77" s="140"/>
      <c r="E77" s="139"/>
      <c r="F77" s="139"/>
      <c r="G77" s="191"/>
      <c r="H77" s="139"/>
      <c r="I77" s="141"/>
      <c r="J77" s="142"/>
      <c r="K77" s="139"/>
      <c r="L77" s="147"/>
      <c r="M77" s="148"/>
      <c r="N77" s="583"/>
      <c r="O77" s="229" t="str">
        <f t="shared" si="18"/>
        <v/>
      </c>
      <c r="P77" s="229" t="str">
        <f t="shared" si="19"/>
        <v/>
      </c>
      <c r="Q77" s="230" t="str">
        <f t="shared" si="20"/>
        <v/>
      </c>
      <c r="R77" s="323" t="str">
        <f t="shared" si="21"/>
        <v/>
      </c>
      <c r="S77" s="350"/>
      <c r="T77" s="43"/>
      <c r="U77" s="347" t="str">
        <f t="shared" si="22"/>
        <v/>
      </c>
      <c r="V77" s="7" t="e">
        <f t="shared" si="0"/>
        <v>#N/A</v>
      </c>
      <c r="W77" s="7" t="e">
        <f t="shared" si="1"/>
        <v>#N/A</v>
      </c>
      <c r="X77" s="7" t="e">
        <f t="shared" si="2"/>
        <v>#N/A</v>
      </c>
      <c r="Y77" s="7" t="str">
        <f t="shared" si="3"/>
        <v/>
      </c>
      <c r="Z77" s="11">
        <f t="shared" si="4"/>
        <v>1</v>
      </c>
      <c r="AA77" s="7" t="e">
        <f t="shared" si="5"/>
        <v>#N/A</v>
      </c>
      <c r="AB77" s="7" t="e">
        <f t="shared" si="23"/>
        <v>#N/A</v>
      </c>
      <c r="AC77" s="7" t="e">
        <f t="shared" si="6"/>
        <v>#N/A</v>
      </c>
      <c r="AD77" s="472" t="e">
        <f>VLOOKUP(AF77,'排出係数(2017)'!$A$4:$I$1151,9,FALSE)</f>
        <v>#N/A</v>
      </c>
      <c r="AE77" s="12" t="str">
        <f t="shared" si="7"/>
        <v xml:space="preserve"> </v>
      </c>
      <c r="AF77" s="7" t="e">
        <f t="shared" si="24"/>
        <v>#N/A</v>
      </c>
      <c r="AG77" s="7" t="e">
        <f t="shared" si="8"/>
        <v>#N/A</v>
      </c>
      <c r="AH77" s="472" t="e">
        <f>VLOOKUP(AF77,'排出係数(2017)'!$A$4:$I$1151,6,FALSE)</f>
        <v>#N/A</v>
      </c>
      <c r="AI77" s="7" t="e">
        <f t="shared" si="9"/>
        <v>#N/A</v>
      </c>
      <c r="AJ77" s="7" t="e">
        <f t="shared" si="10"/>
        <v>#N/A</v>
      </c>
      <c r="AK77" s="472" t="e">
        <f>VLOOKUP(AF77,'排出係数(2017)'!$A$4:$I$1151,7,FALSE)</f>
        <v>#N/A</v>
      </c>
      <c r="AL77" s="7" t="e">
        <f t="shared" si="11"/>
        <v>#N/A</v>
      </c>
      <c r="AM77" s="7" t="e">
        <f t="shared" si="12"/>
        <v>#N/A</v>
      </c>
      <c r="AN77" s="7" t="e">
        <f t="shared" si="13"/>
        <v>#N/A</v>
      </c>
      <c r="AO77" s="7">
        <f t="shared" si="14"/>
        <v>0</v>
      </c>
      <c r="AP77" s="7" t="e">
        <f t="shared" si="25"/>
        <v>#N/A</v>
      </c>
      <c r="AQ77" s="7" t="str">
        <f t="shared" si="15"/>
        <v/>
      </c>
      <c r="AR77" s="7" t="str">
        <f t="shared" si="16"/>
        <v/>
      </c>
      <c r="AS77" s="7" t="str">
        <f t="shared" si="17"/>
        <v/>
      </c>
      <c r="AT77" s="97"/>
      <c r="AZ77" s="477" t="s">
        <v>1014</v>
      </c>
      <c r="CF77" s="586" t="str">
        <f t="shared" si="26"/>
        <v/>
      </c>
      <c r="CG77"/>
      <c r="CH77"/>
    </row>
    <row r="78" spans="1:86" s="13" customFormat="1" ht="13.75" customHeight="1">
      <c r="A78" s="137">
        <v>63</v>
      </c>
      <c r="B78" s="138"/>
      <c r="C78" s="139"/>
      <c r="D78" s="140"/>
      <c r="E78" s="139"/>
      <c r="F78" s="139"/>
      <c r="G78" s="191"/>
      <c r="H78" s="139"/>
      <c r="I78" s="141"/>
      <c r="J78" s="142"/>
      <c r="K78" s="139"/>
      <c r="L78" s="147"/>
      <c r="M78" s="148"/>
      <c r="N78" s="583"/>
      <c r="O78" s="229" t="str">
        <f t="shared" si="18"/>
        <v/>
      </c>
      <c r="P78" s="229" t="str">
        <f t="shared" si="19"/>
        <v/>
      </c>
      <c r="Q78" s="230" t="str">
        <f t="shared" si="20"/>
        <v/>
      </c>
      <c r="R78" s="323" t="str">
        <f t="shared" si="21"/>
        <v/>
      </c>
      <c r="S78" s="350"/>
      <c r="T78" s="43"/>
      <c r="U78" s="347" t="str">
        <f t="shared" si="22"/>
        <v/>
      </c>
      <c r="V78" s="7" t="e">
        <f t="shared" si="0"/>
        <v>#N/A</v>
      </c>
      <c r="W78" s="7" t="e">
        <f t="shared" si="1"/>
        <v>#N/A</v>
      </c>
      <c r="X78" s="7" t="e">
        <f t="shared" si="2"/>
        <v>#N/A</v>
      </c>
      <c r="Y78" s="7" t="str">
        <f t="shared" si="3"/>
        <v/>
      </c>
      <c r="Z78" s="11">
        <f t="shared" si="4"/>
        <v>1</v>
      </c>
      <c r="AA78" s="7" t="e">
        <f t="shared" si="5"/>
        <v>#N/A</v>
      </c>
      <c r="AB78" s="7" t="e">
        <f t="shared" si="23"/>
        <v>#N/A</v>
      </c>
      <c r="AC78" s="7" t="e">
        <f t="shared" si="6"/>
        <v>#N/A</v>
      </c>
      <c r="AD78" s="472" t="e">
        <f>VLOOKUP(AF78,'排出係数(2017)'!$A$4:$I$1151,9,FALSE)</f>
        <v>#N/A</v>
      </c>
      <c r="AE78" s="12" t="str">
        <f t="shared" si="7"/>
        <v xml:space="preserve"> </v>
      </c>
      <c r="AF78" s="7" t="e">
        <f t="shared" si="24"/>
        <v>#N/A</v>
      </c>
      <c r="AG78" s="7" t="e">
        <f t="shared" si="8"/>
        <v>#N/A</v>
      </c>
      <c r="AH78" s="472" t="e">
        <f>VLOOKUP(AF78,'排出係数(2017)'!$A$4:$I$1151,6,FALSE)</f>
        <v>#N/A</v>
      </c>
      <c r="AI78" s="7" t="e">
        <f t="shared" si="9"/>
        <v>#N/A</v>
      </c>
      <c r="AJ78" s="7" t="e">
        <f t="shared" si="10"/>
        <v>#N/A</v>
      </c>
      <c r="AK78" s="472" t="e">
        <f>VLOOKUP(AF78,'排出係数(2017)'!$A$4:$I$1151,7,FALSE)</f>
        <v>#N/A</v>
      </c>
      <c r="AL78" s="7" t="e">
        <f t="shared" si="11"/>
        <v>#N/A</v>
      </c>
      <c r="AM78" s="7" t="e">
        <f t="shared" si="12"/>
        <v>#N/A</v>
      </c>
      <c r="AN78" s="7" t="e">
        <f t="shared" si="13"/>
        <v>#N/A</v>
      </c>
      <c r="AO78" s="7">
        <f t="shared" si="14"/>
        <v>0</v>
      </c>
      <c r="AP78" s="7" t="e">
        <f t="shared" si="25"/>
        <v>#N/A</v>
      </c>
      <c r="AQ78" s="7" t="str">
        <f t="shared" si="15"/>
        <v/>
      </c>
      <c r="AR78" s="7" t="str">
        <f t="shared" si="16"/>
        <v/>
      </c>
      <c r="AS78" s="7" t="str">
        <f t="shared" si="17"/>
        <v/>
      </c>
      <c r="AT78" s="97"/>
      <c r="AZ78" s="477" t="s">
        <v>1017</v>
      </c>
      <c r="CF78" s="586" t="str">
        <f t="shared" si="26"/>
        <v/>
      </c>
      <c r="CG78"/>
      <c r="CH78"/>
    </row>
    <row r="79" spans="1:86" s="13" customFormat="1" ht="13.75" customHeight="1">
      <c r="A79" s="137">
        <v>64</v>
      </c>
      <c r="B79" s="138"/>
      <c r="C79" s="139"/>
      <c r="D79" s="140"/>
      <c r="E79" s="139"/>
      <c r="F79" s="139"/>
      <c r="G79" s="191"/>
      <c r="H79" s="139"/>
      <c r="I79" s="141"/>
      <c r="J79" s="142"/>
      <c r="K79" s="139"/>
      <c r="L79" s="147"/>
      <c r="M79" s="148"/>
      <c r="N79" s="583"/>
      <c r="O79" s="229" t="str">
        <f t="shared" si="18"/>
        <v/>
      </c>
      <c r="P79" s="229" t="str">
        <f t="shared" si="19"/>
        <v/>
      </c>
      <c r="Q79" s="230" t="str">
        <f t="shared" si="20"/>
        <v/>
      </c>
      <c r="R79" s="323" t="str">
        <f t="shared" si="21"/>
        <v/>
      </c>
      <c r="S79" s="350"/>
      <c r="T79" s="43"/>
      <c r="U79" s="347" t="str">
        <f t="shared" si="22"/>
        <v/>
      </c>
      <c r="V79" s="7" t="e">
        <f t="shared" si="0"/>
        <v>#N/A</v>
      </c>
      <c r="W79" s="7" t="e">
        <f t="shared" si="1"/>
        <v>#N/A</v>
      </c>
      <c r="X79" s="7" t="e">
        <f t="shared" si="2"/>
        <v>#N/A</v>
      </c>
      <c r="Y79" s="7" t="str">
        <f t="shared" si="3"/>
        <v/>
      </c>
      <c r="Z79" s="11">
        <f t="shared" si="4"/>
        <v>1</v>
      </c>
      <c r="AA79" s="7" t="e">
        <f t="shared" si="5"/>
        <v>#N/A</v>
      </c>
      <c r="AB79" s="7" t="e">
        <f t="shared" si="23"/>
        <v>#N/A</v>
      </c>
      <c r="AC79" s="7" t="e">
        <f t="shared" si="6"/>
        <v>#N/A</v>
      </c>
      <c r="AD79" s="472" t="e">
        <f>VLOOKUP(AF79,'排出係数(2017)'!$A$4:$I$1151,9,FALSE)</f>
        <v>#N/A</v>
      </c>
      <c r="AE79" s="12" t="str">
        <f t="shared" si="7"/>
        <v xml:space="preserve"> </v>
      </c>
      <c r="AF79" s="7" t="e">
        <f t="shared" si="24"/>
        <v>#N/A</v>
      </c>
      <c r="AG79" s="7" t="e">
        <f t="shared" si="8"/>
        <v>#N/A</v>
      </c>
      <c r="AH79" s="472" t="e">
        <f>VLOOKUP(AF79,'排出係数(2017)'!$A$4:$I$1151,6,FALSE)</f>
        <v>#N/A</v>
      </c>
      <c r="AI79" s="7" t="e">
        <f t="shared" si="9"/>
        <v>#N/A</v>
      </c>
      <c r="AJ79" s="7" t="e">
        <f t="shared" si="10"/>
        <v>#N/A</v>
      </c>
      <c r="AK79" s="472" t="e">
        <f>VLOOKUP(AF79,'排出係数(2017)'!$A$4:$I$1151,7,FALSE)</f>
        <v>#N/A</v>
      </c>
      <c r="AL79" s="7" t="e">
        <f t="shared" si="11"/>
        <v>#N/A</v>
      </c>
      <c r="AM79" s="7" t="e">
        <f t="shared" si="12"/>
        <v>#N/A</v>
      </c>
      <c r="AN79" s="7" t="e">
        <f t="shared" si="13"/>
        <v>#N/A</v>
      </c>
      <c r="AO79" s="7">
        <f t="shared" si="14"/>
        <v>0</v>
      </c>
      <c r="AP79" s="7" t="e">
        <f t="shared" si="25"/>
        <v>#N/A</v>
      </c>
      <c r="AQ79" s="7" t="str">
        <f t="shared" si="15"/>
        <v/>
      </c>
      <c r="AR79" s="7" t="str">
        <f t="shared" si="16"/>
        <v/>
      </c>
      <c r="AS79" s="7" t="str">
        <f t="shared" si="17"/>
        <v/>
      </c>
      <c r="AT79" s="97"/>
      <c r="AZ79" s="477" t="s">
        <v>2513</v>
      </c>
      <c r="CF79" s="586" t="str">
        <f t="shared" si="26"/>
        <v/>
      </c>
      <c r="CG79"/>
      <c r="CH79"/>
    </row>
    <row r="80" spans="1:86" s="13" customFormat="1" ht="13.75" customHeight="1">
      <c r="A80" s="137">
        <v>65</v>
      </c>
      <c r="B80" s="138"/>
      <c r="C80" s="139"/>
      <c r="D80" s="140"/>
      <c r="E80" s="139"/>
      <c r="F80" s="139"/>
      <c r="G80" s="191"/>
      <c r="H80" s="139"/>
      <c r="I80" s="141"/>
      <c r="J80" s="142"/>
      <c r="K80" s="139"/>
      <c r="L80" s="147"/>
      <c r="M80" s="148"/>
      <c r="N80" s="583"/>
      <c r="O80" s="229" t="str">
        <f t="shared" si="18"/>
        <v/>
      </c>
      <c r="P80" s="229" t="str">
        <f t="shared" si="19"/>
        <v/>
      </c>
      <c r="Q80" s="230" t="str">
        <f t="shared" si="20"/>
        <v/>
      </c>
      <c r="R80" s="323" t="str">
        <f t="shared" si="21"/>
        <v/>
      </c>
      <c r="S80" s="350"/>
      <c r="T80" s="43"/>
      <c r="U80" s="347" t="str">
        <f t="shared" ref="U80:U143" si="27">IF(ISBLANK(H80)=TRUE,"",IF(OR(ISBLANK(B80)=TRUE),1,""))</f>
        <v/>
      </c>
      <c r="V80" s="7" t="e">
        <f t="shared" ref="V80:V143" si="28">VLOOKUP(H80,$AU$17:$AX$23,2,FALSE)</f>
        <v>#N/A</v>
      </c>
      <c r="W80" s="7" t="e">
        <f t="shared" ref="W80:W143" si="29">VLOOKUP(H80,$AU$17:$AX$23,3,FALSE)</f>
        <v>#N/A</v>
      </c>
      <c r="X80" s="7" t="e">
        <f t="shared" ref="X80:X143" si="30">VLOOKUP(H80,$AU$17:$AX$23,4,FALSE)</f>
        <v>#N/A</v>
      </c>
      <c r="Y80" s="7" t="str">
        <f t="shared" ref="Y80:Y143" si="31">IF(ISERROR(SEARCH("-",I80,1))=TRUE,ASC(UPPER(I80)),ASC(UPPER(LEFT(I80,SEARCH("-",I80,1)-1))))</f>
        <v/>
      </c>
      <c r="Z80" s="11">
        <f t="shared" ref="Z80:Z143" si="32">IF(J80&gt;3500,J80/1000,1)</f>
        <v>1</v>
      </c>
      <c r="AA80" s="7" t="e">
        <f t="shared" ref="AA80:AA143" si="33">IF(X80=9,0,IF(J80&lt;=1700,1,IF(J80&lt;=2500,2,IF(J80&lt;=3500,3,4))))</f>
        <v>#N/A</v>
      </c>
      <c r="AB80" s="7" t="e">
        <f t="shared" ref="AB80:AB143" si="34">IF(X80=5,0,IF(X80=9,0,IF(J80&lt;=1700,1,IF(J80&lt;=2500,2,IF(J80&lt;=3500,3,4)))))</f>
        <v>#N/A</v>
      </c>
      <c r="AC80" s="7" t="e">
        <f t="shared" ref="AC80:AC143" si="35">VLOOKUP(K80,$BC$17:$BD$25,2,FALSE)</f>
        <v>#N/A</v>
      </c>
      <c r="AD80" s="472" t="e">
        <f>VLOOKUP(AF80,'排出係数(2017)'!$A$4:$I$1151,9,FALSE)</f>
        <v>#N/A</v>
      </c>
      <c r="AE80" s="12" t="str">
        <f t="shared" ref="AE80:AE143" si="36">IF(OR(ISBLANK(K80)=TRUE,ISBLANK(B80)=TRUE)," ",CONCATENATE(B80,X80,AA80))</f>
        <v xml:space="preserve"> </v>
      </c>
      <c r="AF80" s="7" t="e">
        <f t="shared" si="24"/>
        <v>#N/A</v>
      </c>
      <c r="AG80" s="7" t="e">
        <f t="shared" ref="AG80:AG143" si="37">IF(AND(L80="あり",AC80="軽"),AI80,AH80)</f>
        <v>#N/A</v>
      </c>
      <c r="AH80" s="472" t="e">
        <f>VLOOKUP(AF80,'排出係数(2017)'!$A$4:$I$1151,6,FALSE)</f>
        <v>#N/A</v>
      </c>
      <c r="AI80" s="7" t="e">
        <f t="shared" ref="AI80:AI143" si="38">VLOOKUP(AB80,$BQ$17:$BU$21,2,FALSE)</f>
        <v>#N/A</v>
      </c>
      <c r="AJ80" s="7" t="e">
        <f t="shared" ref="AJ80:AJ143" si="39">IF(AND(L80="あり",M80="なし",AC80="軽"),AL80,IF(AND(L80="あり",M80="あり(H17なし)",AC80="軽"),AL80,IF(AND(L80="あり",M80="",AC80="軽"),AL80,IF(AND(L80="なし",M80="あり(H17なし)",AC80="軽"),AM80,IF(AND(L80="",M80="あり(H17なし)",AC80="軽"),AM80,IF(AND(M80="あり(H17あり)",AC80="軽"),AN80,AK80))))))</f>
        <v>#N/A</v>
      </c>
      <c r="AK80" s="472" t="e">
        <f>VLOOKUP(AF80,'排出係数(2017)'!$A$4:$I$1151,7,FALSE)</f>
        <v>#N/A</v>
      </c>
      <c r="AL80" s="7" t="e">
        <f t="shared" ref="AL80:AL143" si="40">VLOOKUP(AB80,$BQ$17:$BU$21,3,FALSE)</f>
        <v>#N/A</v>
      </c>
      <c r="AM80" s="7" t="e">
        <f t="shared" ref="AM80:AM143" si="41">VLOOKUP(AB80,$BQ$17:$BU$21,4,FALSE)</f>
        <v>#N/A</v>
      </c>
      <c r="AN80" s="7" t="e">
        <f t="shared" ref="AN80:AN143" si="42">VLOOKUP(AB80,$BQ$17:$BU$21,5,FALSE)</f>
        <v>#N/A</v>
      </c>
      <c r="AO80" s="7">
        <f t="shared" ref="AO80:AO143" si="43">IF(AND(L80="なし",M80="なし"),0,IF(AND(L80="",M80=""),0,IF(AND(L80="",M80="なし"),0,IF(AND(L80="なし",M80=""),0,1))))</f>
        <v>0</v>
      </c>
      <c r="AP80" s="7" t="e">
        <f t="shared" si="25"/>
        <v>#N/A</v>
      </c>
      <c r="AQ80" s="7" t="str">
        <f t="shared" ref="AQ80:AQ143" si="44">IF(H80="","",VLOOKUP(H80,$AU$17:$AY$25,5,FALSE))</f>
        <v/>
      </c>
      <c r="AR80" s="7" t="str">
        <f t="shared" ref="AR80:AR143" si="45">IF(D80="","",VLOOKUP(CONCATENATE("A",LEFT(D80)),$BN$17:$BO$26,2,FALSE))</f>
        <v/>
      </c>
      <c r="AS80" s="7" t="str">
        <f t="shared" ref="AS80:AS143" si="46">IF(AQ80=AR80,"",1)</f>
        <v/>
      </c>
      <c r="AT80" s="97"/>
      <c r="AZ80" s="477" t="s">
        <v>2514</v>
      </c>
      <c r="CF80" s="586" t="str">
        <f t="shared" si="26"/>
        <v/>
      </c>
      <c r="CG80"/>
      <c r="CH80"/>
    </row>
    <row r="81" spans="1:86" s="13" customFormat="1" ht="13.75" customHeight="1">
      <c r="A81" s="137">
        <v>66</v>
      </c>
      <c r="B81" s="138"/>
      <c r="C81" s="139"/>
      <c r="D81" s="140"/>
      <c r="E81" s="139"/>
      <c r="F81" s="139"/>
      <c r="G81" s="191"/>
      <c r="H81" s="139"/>
      <c r="I81" s="141"/>
      <c r="J81" s="142"/>
      <c r="K81" s="139"/>
      <c r="L81" s="147"/>
      <c r="M81" s="148"/>
      <c r="N81" s="583"/>
      <c r="O81" s="229" t="str">
        <f t="shared" ref="O81:O144" si="47">IF(ISBLANK(K81)=TRUE,"",IF(ISNUMBER(AG81)=TRUE,AG81,"0"))</f>
        <v/>
      </c>
      <c r="P81" s="229" t="str">
        <f t="shared" ref="P81:P144" si="48">IF(ISBLANK($K81)=TRUE,"",IF(ISNUMBER(AJ81)=TRUE,AJ81,"0"))</f>
        <v/>
      </c>
      <c r="Q81" s="230" t="str">
        <f t="shared" ref="Q81:Q144" si="49">IF(O81="","",IF(ISERROR(O81*N81*Z81),"0",IF(ISBLANK(O81)=TRUE,"0",IF(ISBLANK(N81)=TRUE,"0",IF(AS81=1,"0",O81*N81*Z81/1000)))))</f>
        <v/>
      </c>
      <c r="R81" s="323" t="str">
        <f t="shared" ref="R81:R144" si="50">IF(P81="","",IF(ISERROR(P81*N81*Z81),"0",IF(ISBLANK(P81)=TRUE,"0",IF(ISBLANK(N81)=TRUE,"0",IF(AS81=1,"0",P81*N81*Z81/1000)))))</f>
        <v/>
      </c>
      <c r="S81" s="350"/>
      <c r="T81" s="43"/>
      <c r="U81" s="347" t="str">
        <f t="shared" si="27"/>
        <v/>
      </c>
      <c r="V81" s="7" t="e">
        <f t="shared" si="28"/>
        <v>#N/A</v>
      </c>
      <c r="W81" s="7" t="e">
        <f t="shared" si="29"/>
        <v>#N/A</v>
      </c>
      <c r="X81" s="7" t="e">
        <f t="shared" si="30"/>
        <v>#N/A</v>
      </c>
      <c r="Y81" s="7" t="str">
        <f t="shared" si="31"/>
        <v/>
      </c>
      <c r="Z81" s="11">
        <f t="shared" si="32"/>
        <v>1</v>
      </c>
      <c r="AA81" s="7" t="e">
        <f t="shared" si="33"/>
        <v>#N/A</v>
      </c>
      <c r="AB81" s="7" t="e">
        <f t="shared" si="34"/>
        <v>#N/A</v>
      </c>
      <c r="AC81" s="7" t="e">
        <f t="shared" si="35"/>
        <v>#N/A</v>
      </c>
      <c r="AD81" s="472" t="e">
        <f>VLOOKUP(AF81,'排出係数(2017)'!$A$4:$I$1151,9,FALSE)</f>
        <v>#N/A</v>
      </c>
      <c r="AE81" s="12" t="str">
        <f t="shared" si="36"/>
        <v xml:space="preserve"> </v>
      </c>
      <c r="AF81" s="7" t="e">
        <f t="shared" ref="AF81:AF144" si="51">CONCATENATE(V81,AB81,AC81,Y81)</f>
        <v>#N/A</v>
      </c>
      <c r="AG81" s="7" t="e">
        <f t="shared" si="37"/>
        <v>#N/A</v>
      </c>
      <c r="AH81" s="472" t="e">
        <f>VLOOKUP(AF81,'排出係数(2017)'!$A$4:$I$1151,6,FALSE)</f>
        <v>#N/A</v>
      </c>
      <c r="AI81" s="7" t="e">
        <f t="shared" si="38"/>
        <v>#N/A</v>
      </c>
      <c r="AJ81" s="7" t="e">
        <f t="shared" si="39"/>
        <v>#N/A</v>
      </c>
      <c r="AK81" s="472" t="e">
        <f>VLOOKUP(AF81,'排出係数(2017)'!$A$4:$I$1151,7,FALSE)</f>
        <v>#N/A</v>
      </c>
      <c r="AL81" s="7" t="e">
        <f t="shared" si="40"/>
        <v>#N/A</v>
      </c>
      <c r="AM81" s="7" t="e">
        <f t="shared" si="41"/>
        <v>#N/A</v>
      </c>
      <c r="AN81" s="7" t="e">
        <f t="shared" si="42"/>
        <v>#N/A</v>
      </c>
      <c r="AO81" s="7">
        <f t="shared" si="43"/>
        <v>0</v>
      </c>
      <c r="AP81" s="7" t="e">
        <f t="shared" ref="AP81:AP144" si="52">VLOOKUP(AF81,排出係数表,8,FALSE)</f>
        <v>#N/A</v>
      </c>
      <c r="AQ81" s="7" t="str">
        <f t="shared" si="44"/>
        <v/>
      </c>
      <c r="AR81" s="7" t="str">
        <f t="shared" si="45"/>
        <v/>
      </c>
      <c r="AS81" s="7" t="str">
        <f t="shared" si="46"/>
        <v/>
      </c>
      <c r="AT81" s="97"/>
      <c r="AZ81" s="477" t="s">
        <v>47</v>
      </c>
      <c r="CF81" s="586" t="str">
        <f t="shared" ref="CF81:CF144" si="53">IF(COUNTA(B81:F81,H81:K81)&gt;0,IF(OR(ISNUMBER(AH81)=FALSE,ISNUMBER(AK81)=FALSE,COUNTA(B81:F81,H81:K81)&lt;9),"×","〇"),"")</f>
        <v/>
      </c>
      <c r="CG81"/>
      <c r="CH81"/>
    </row>
    <row r="82" spans="1:86" s="13" customFormat="1" ht="13.75" customHeight="1">
      <c r="A82" s="137">
        <v>67</v>
      </c>
      <c r="B82" s="138"/>
      <c r="C82" s="139"/>
      <c r="D82" s="140"/>
      <c r="E82" s="139"/>
      <c r="F82" s="139"/>
      <c r="G82" s="191"/>
      <c r="H82" s="139"/>
      <c r="I82" s="141"/>
      <c r="J82" s="142"/>
      <c r="K82" s="139"/>
      <c r="L82" s="147"/>
      <c r="M82" s="148"/>
      <c r="N82" s="583"/>
      <c r="O82" s="229" t="str">
        <f t="shared" si="47"/>
        <v/>
      </c>
      <c r="P82" s="229" t="str">
        <f t="shared" si="48"/>
        <v/>
      </c>
      <c r="Q82" s="230" t="str">
        <f t="shared" si="49"/>
        <v/>
      </c>
      <c r="R82" s="323" t="str">
        <f t="shared" si="50"/>
        <v/>
      </c>
      <c r="S82" s="350"/>
      <c r="T82" s="43"/>
      <c r="U82" s="347" t="str">
        <f t="shared" si="27"/>
        <v/>
      </c>
      <c r="V82" s="7" t="e">
        <f t="shared" si="28"/>
        <v>#N/A</v>
      </c>
      <c r="W82" s="7" t="e">
        <f t="shared" si="29"/>
        <v>#N/A</v>
      </c>
      <c r="X82" s="7" t="e">
        <f t="shared" si="30"/>
        <v>#N/A</v>
      </c>
      <c r="Y82" s="7" t="str">
        <f t="shared" si="31"/>
        <v/>
      </c>
      <c r="Z82" s="11">
        <f t="shared" si="32"/>
        <v>1</v>
      </c>
      <c r="AA82" s="7" t="e">
        <f t="shared" si="33"/>
        <v>#N/A</v>
      </c>
      <c r="AB82" s="7" t="e">
        <f t="shared" si="34"/>
        <v>#N/A</v>
      </c>
      <c r="AC82" s="7" t="e">
        <f t="shared" si="35"/>
        <v>#N/A</v>
      </c>
      <c r="AD82" s="472" t="e">
        <f>VLOOKUP(AF82,'排出係数(2017)'!$A$4:$I$1151,9,FALSE)</f>
        <v>#N/A</v>
      </c>
      <c r="AE82" s="12" t="str">
        <f t="shared" si="36"/>
        <v xml:space="preserve"> </v>
      </c>
      <c r="AF82" s="7" t="e">
        <f t="shared" si="51"/>
        <v>#N/A</v>
      </c>
      <c r="AG82" s="7" t="e">
        <f t="shared" si="37"/>
        <v>#N/A</v>
      </c>
      <c r="AH82" s="472" t="e">
        <f>VLOOKUP(AF82,'排出係数(2017)'!$A$4:$I$1151,6,FALSE)</f>
        <v>#N/A</v>
      </c>
      <c r="AI82" s="7" t="e">
        <f t="shared" si="38"/>
        <v>#N/A</v>
      </c>
      <c r="AJ82" s="7" t="e">
        <f t="shared" si="39"/>
        <v>#N/A</v>
      </c>
      <c r="AK82" s="472" t="e">
        <f>VLOOKUP(AF82,'排出係数(2017)'!$A$4:$I$1151,7,FALSE)</f>
        <v>#N/A</v>
      </c>
      <c r="AL82" s="7" t="e">
        <f t="shared" si="40"/>
        <v>#N/A</v>
      </c>
      <c r="AM82" s="7" t="e">
        <f t="shared" si="41"/>
        <v>#N/A</v>
      </c>
      <c r="AN82" s="7" t="e">
        <f t="shared" si="42"/>
        <v>#N/A</v>
      </c>
      <c r="AO82" s="7">
        <f t="shared" si="43"/>
        <v>0</v>
      </c>
      <c r="AP82" s="7" t="e">
        <f t="shared" si="52"/>
        <v>#N/A</v>
      </c>
      <c r="AQ82" s="7" t="str">
        <f t="shared" si="44"/>
        <v/>
      </c>
      <c r="AR82" s="7" t="str">
        <f t="shared" si="45"/>
        <v/>
      </c>
      <c r="AS82" s="7" t="str">
        <f t="shared" si="46"/>
        <v/>
      </c>
      <c r="AT82" s="97"/>
      <c r="AZ82" s="477" t="s">
        <v>2109</v>
      </c>
      <c r="CF82" s="586" t="str">
        <f t="shared" si="53"/>
        <v/>
      </c>
      <c r="CG82"/>
      <c r="CH82"/>
    </row>
    <row r="83" spans="1:86" s="13" customFormat="1" ht="13.75" customHeight="1">
      <c r="A83" s="137">
        <v>68</v>
      </c>
      <c r="B83" s="138"/>
      <c r="C83" s="139"/>
      <c r="D83" s="140"/>
      <c r="E83" s="139"/>
      <c r="F83" s="139"/>
      <c r="G83" s="191"/>
      <c r="H83" s="139"/>
      <c r="I83" s="141"/>
      <c r="J83" s="142"/>
      <c r="K83" s="139"/>
      <c r="L83" s="147"/>
      <c r="M83" s="148"/>
      <c r="N83" s="583"/>
      <c r="O83" s="229" t="str">
        <f t="shared" si="47"/>
        <v/>
      </c>
      <c r="P83" s="229" t="str">
        <f t="shared" si="48"/>
        <v/>
      </c>
      <c r="Q83" s="230" t="str">
        <f t="shared" si="49"/>
        <v/>
      </c>
      <c r="R83" s="323" t="str">
        <f t="shared" si="50"/>
        <v/>
      </c>
      <c r="S83" s="350"/>
      <c r="T83" s="43"/>
      <c r="U83" s="347" t="str">
        <f t="shared" si="27"/>
        <v/>
      </c>
      <c r="V83" s="7" t="e">
        <f t="shared" si="28"/>
        <v>#N/A</v>
      </c>
      <c r="W83" s="7" t="e">
        <f t="shared" si="29"/>
        <v>#N/A</v>
      </c>
      <c r="X83" s="7" t="e">
        <f t="shared" si="30"/>
        <v>#N/A</v>
      </c>
      <c r="Y83" s="7" t="str">
        <f t="shared" si="31"/>
        <v/>
      </c>
      <c r="Z83" s="11">
        <f t="shared" si="32"/>
        <v>1</v>
      </c>
      <c r="AA83" s="7" t="e">
        <f t="shared" si="33"/>
        <v>#N/A</v>
      </c>
      <c r="AB83" s="7" t="e">
        <f t="shared" si="34"/>
        <v>#N/A</v>
      </c>
      <c r="AC83" s="7" t="e">
        <f t="shared" si="35"/>
        <v>#N/A</v>
      </c>
      <c r="AD83" s="472" t="e">
        <f>VLOOKUP(AF83,'排出係数(2017)'!$A$4:$I$1151,9,FALSE)</f>
        <v>#N/A</v>
      </c>
      <c r="AE83" s="12" t="str">
        <f t="shared" si="36"/>
        <v xml:space="preserve"> </v>
      </c>
      <c r="AF83" s="7" t="e">
        <f t="shared" si="51"/>
        <v>#N/A</v>
      </c>
      <c r="AG83" s="7" t="e">
        <f t="shared" si="37"/>
        <v>#N/A</v>
      </c>
      <c r="AH83" s="472" t="e">
        <f>VLOOKUP(AF83,'排出係数(2017)'!$A$4:$I$1151,6,FALSE)</f>
        <v>#N/A</v>
      </c>
      <c r="AI83" s="7" t="e">
        <f t="shared" si="38"/>
        <v>#N/A</v>
      </c>
      <c r="AJ83" s="7" t="e">
        <f t="shared" si="39"/>
        <v>#N/A</v>
      </c>
      <c r="AK83" s="472" t="e">
        <f>VLOOKUP(AF83,'排出係数(2017)'!$A$4:$I$1151,7,FALSE)</f>
        <v>#N/A</v>
      </c>
      <c r="AL83" s="7" t="e">
        <f t="shared" si="40"/>
        <v>#N/A</v>
      </c>
      <c r="AM83" s="7" t="e">
        <f t="shared" si="41"/>
        <v>#N/A</v>
      </c>
      <c r="AN83" s="7" t="e">
        <f t="shared" si="42"/>
        <v>#N/A</v>
      </c>
      <c r="AO83" s="7">
        <f t="shared" si="43"/>
        <v>0</v>
      </c>
      <c r="AP83" s="7" t="e">
        <f t="shared" si="52"/>
        <v>#N/A</v>
      </c>
      <c r="AQ83" s="7" t="str">
        <f t="shared" si="44"/>
        <v/>
      </c>
      <c r="AR83" s="7" t="str">
        <f t="shared" si="45"/>
        <v/>
      </c>
      <c r="AS83" s="7" t="str">
        <f t="shared" si="46"/>
        <v/>
      </c>
      <c r="AT83" s="97"/>
      <c r="AZ83" s="477" t="s">
        <v>1983</v>
      </c>
      <c r="CF83" s="586" t="str">
        <f t="shared" si="53"/>
        <v/>
      </c>
      <c r="CG83"/>
      <c r="CH83"/>
    </row>
    <row r="84" spans="1:86" s="13" customFormat="1" ht="13.75" customHeight="1">
      <c r="A84" s="137">
        <v>69</v>
      </c>
      <c r="B84" s="138"/>
      <c r="C84" s="139"/>
      <c r="D84" s="140"/>
      <c r="E84" s="139"/>
      <c r="F84" s="139"/>
      <c r="G84" s="191"/>
      <c r="H84" s="139"/>
      <c r="I84" s="141"/>
      <c r="J84" s="142"/>
      <c r="K84" s="139"/>
      <c r="L84" s="147"/>
      <c r="M84" s="148"/>
      <c r="N84" s="583"/>
      <c r="O84" s="229" t="str">
        <f t="shared" si="47"/>
        <v/>
      </c>
      <c r="P84" s="229" t="str">
        <f t="shared" si="48"/>
        <v/>
      </c>
      <c r="Q84" s="230" t="str">
        <f t="shared" si="49"/>
        <v/>
      </c>
      <c r="R84" s="323" t="str">
        <f t="shared" si="50"/>
        <v/>
      </c>
      <c r="S84" s="350"/>
      <c r="T84" s="43"/>
      <c r="U84" s="347" t="str">
        <f t="shared" si="27"/>
        <v/>
      </c>
      <c r="V84" s="7" t="e">
        <f t="shared" si="28"/>
        <v>#N/A</v>
      </c>
      <c r="W84" s="7" t="e">
        <f t="shared" si="29"/>
        <v>#N/A</v>
      </c>
      <c r="X84" s="7" t="e">
        <f t="shared" si="30"/>
        <v>#N/A</v>
      </c>
      <c r="Y84" s="7" t="str">
        <f t="shared" si="31"/>
        <v/>
      </c>
      <c r="Z84" s="11">
        <f t="shared" si="32"/>
        <v>1</v>
      </c>
      <c r="AA84" s="7" t="e">
        <f t="shared" si="33"/>
        <v>#N/A</v>
      </c>
      <c r="AB84" s="7" t="e">
        <f t="shared" si="34"/>
        <v>#N/A</v>
      </c>
      <c r="AC84" s="7" t="e">
        <f t="shared" si="35"/>
        <v>#N/A</v>
      </c>
      <c r="AD84" s="472" t="e">
        <f>VLOOKUP(AF84,'排出係数(2017)'!$A$4:$I$1151,9,FALSE)</f>
        <v>#N/A</v>
      </c>
      <c r="AE84" s="12" t="str">
        <f t="shared" si="36"/>
        <v xml:space="preserve"> </v>
      </c>
      <c r="AF84" s="7" t="e">
        <f t="shared" si="51"/>
        <v>#N/A</v>
      </c>
      <c r="AG84" s="7" t="e">
        <f t="shared" si="37"/>
        <v>#N/A</v>
      </c>
      <c r="AH84" s="472" t="e">
        <f>VLOOKUP(AF84,'排出係数(2017)'!$A$4:$I$1151,6,FALSE)</f>
        <v>#N/A</v>
      </c>
      <c r="AI84" s="7" t="e">
        <f t="shared" si="38"/>
        <v>#N/A</v>
      </c>
      <c r="AJ84" s="7" t="e">
        <f t="shared" si="39"/>
        <v>#N/A</v>
      </c>
      <c r="AK84" s="472" t="e">
        <f>VLOOKUP(AF84,'排出係数(2017)'!$A$4:$I$1151,7,FALSE)</f>
        <v>#N/A</v>
      </c>
      <c r="AL84" s="7" t="e">
        <f t="shared" si="40"/>
        <v>#N/A</v>
      </c>
      <c r="AM84" s="7" t="e">
        <f t="shared" si="41"/>
        <v>#N/A</v>
      </c>
      <c r="AN84" s="7" t="e">
        <f t="shared" si="42"/>
        <v>#N/A</v>
      </c>
      <c r="AO84" s="7">
        <f t="shared" si="43"/>
        <v>0</v>
      </c>
      <c r="AP84" s="7" t="e">
        <f t="shared" si="52"/>
        <v>#N/A</v>
      </c>
      <c r="AQ84" s="7" t="str">
        <f t="shared" si="44"/>
        <v/>
      </c>
      <c r="AR84" s="7" t="str">
        <f t="shared" si="45"/>
        <v/>
      </c>
      <c r="AS84" s="7" t="str">
        <f t="shared" si="46"/>
        <v/>
      </c>
      <c r="AT84" s="97"/>
      <c r="AZ84" s="477" t="s">
        <v>1991</v>
      </c>
      <c r="CF84" s="586" t="str">
        <f t="shared" si="53"/>
        <v/>
      </c>
      <c r="CG84"/>
      <c r="CH84"/>
    </row>
    <row r="85" spans="1:86" s="13" customFormat="1" ht="13.75" customHeight="1">
      <c r="A85" s="137">
        <v>70</v>
      </c>
      <c r="B85" s="138"/>
      <c r="C85" s="139"/>
      <c r="D85" s="140"/>
      <c r="E85" s="139"/>
      <c r="F85" s="139"/>
      <c r="G85" s="191"/>
      <c r="H85" s="139"/>
      <c r="I85" s="141"/>
      <c r="J85" s="142"/>
      <c r="K85" s="139"/>
      <c r="L85" s="147"/>
      <c r="M85" s="148"/>
      <c r="N85" s="583"/>
      <c r="O85" s="229" t="str">
        <f t="shared" si="47"/>
        <v/>
      </c>
      <c r="P85" s="229" t="str">
        <f t="shared" si="48"/>
        <v/>
      </c>
      <c r="Q85" s="230" t="str">
        <f t="shared" si="49"/>
        <v/>
      </c>
      <c r="R85" s="323" t="str">
        <f t="shared" si="50"/>
        <v/>
      </c>
      <c r="S85" s="350"/>
      <c r="T85" s="43"/>
      <c r="U85" s="347" t="str">
        <f t="shared" si="27"/>
        <v/>
      </c>
      <c r="V85" s="7" t="e">
        <f t="shared" si="28"/>
        <v>#N/A</v>
      </c>
      <c r="W85" s="7" t="e">
        <f t="shared" si="29"/>
        <v>#N/A</v>
      </c>
      <c r="X85" s="7" t="e">
        <f t="shared" si="30"/>
        <v>#N/A</v>
      </c>
      <c r="Y85" s="7" t="str">
        <f t="shared" si="31"/>
        <v/>
      </c>
      <c r="Z85" s="11">
        <f t="shared" si="32"/>
        <v>1</v>
      </c>
      <c r="AA85" s="7" t="e">
        <f t="shared" si="33"/>
        <v>#N/A</v>
      </c>
      <c r="AB85" s="7" t="e">
        <f t="shared" si="34"/>
        <v>#N/A</v>
      </c>
      <c r="AC85" s="7" t="e">
        <f t="shared" si="35"/>
        <v>#N/A</v>
      </c>
      <c r="AD85" s="472" t="e">
        <f>VLOOKUP(AF85,'排出係数(2017)'!$A$4:$I$1151,9,FALSE)</f>
        <v>#N/A</v>
      </c>
      <c r="AE85" s="12" t="str">
        <f t="shared" si="36"/>
        <v xml:space="preserve"> </v>
      </c>
      <c r="AF85" s="7" t="e">
        <f t="shared" si="51"/>
        <v>#N/A</v>
      </c>
      <c r="AG85" s="7" t="e">
        <f t="shared" si="37"/>
        <v>#N/A</v>
      </c>
      <c r="AH85" s="472" t="e">
        <f>VLOOKUP(AF85,'排出係数(2017)'!$A$4:$I$1151,6,FALSE)</f>
        <v>#N/A</v>
      </c>
      <c r="AI85" s="7" t="e">
        <f t="shared" si="38"/>
        <v>#N/A</v>
      </c>
      <c r="AJ85" s="7" t="e">
        <f t="shared" si="39"/>
        <v>#N/A</v>
      </c>
      <c r="AK85" s="472" t="e">
        <f>VLOOKUP(AF85,'排出係数(2017)'!$A$4:$I$1151,7,FALSE)</f>
        <v>#N/A</v>
      </c>
      <c r="AL85" s="7" t="e">
        <f t="shared" si="40"/>
        <v>#N/A</v>
      </c>
      <c r="AM85" s="7" t="e">
        <f t="shared" si="41"/>
        <v>#N/A</v>
      </c>
      <c r="AN85" s="7" t="e">
        <f t="shared" si="42"/>
        <v>#N/A</v>
      </c>
      <c r="AO85" s="7">
        <f t="shared" si="43"/>
        <v>0</v>
      </c>
      <c r="AP85" s="7" t="e">
        <f t="shared" si="52"/>
        <v>#N/A</v>
      </c>
      <c r="AQ85" s="7" t="str">
        <f t="shared" si="44"/>
        <v/>
      </c>
      <c r="AR85" s="7" t="str">
        <f t="shared" si="45"/>
        <v/>
      </c>
      <c r="AS85" s="7" t="str">
        <f t="shared" si="46"/>
        <v/>
      </c>
      <c r="AT85" s="97"/>
      <c r="AZ85" s="477" t="s">
        <v>2110</v>
      </c>
      <c r="CF85" s="586" t="str">
        <f t="shared" si="53"/>
        <v/>
      </c>
      <c r="CG85"/>
      <c r="CH85"/>
    </row>
    <row r="86" spans="1:86" s="13" customFormat="1" ht="13.75" customHeight="1">
      <c r="A86" s="137">
        <v>71</v>
      </c>
      <c r="B86" s="138"/>
      <c r="C86" s="139"/>
      <c r="D86" s="140"/>
      <c r="E86" s="139"/>
      <c r="F86" s="139"/>
      <c r="G86" s="191"/>
      <c r="H86" s="139"/>
      <c r="I86" s="141"/>
      <c r="J86" s="142"/>
      <c r="K86" s="139"/>
      <c r="L86" s="147"/>
      <c r="M86" s="148"/>
      <c r="N86" s="583"/>
      <c r="O86" s="229" t="str">
        <f t="shared" si="47"/>
        <v/>
      </c>
      <c r="P86" s="229" t="str">
        <f t="shared" si="48"/>
        <v/>
      </c>
      <c r="Q86" s="230" t="str">
        <f t="shared" si="49"/>
        <v/>
      </c>
      <c r="R86" s="323" t="str">
        <f t="shared" si="50"/>
        <v/>
      </c>
      <c r="S86" s="350"/>
      <c r="T86" s="43"/>
      <c r="U86" s="347" t="str">
        <f t="shared" si="27"/>
        <v/>
      </c>
      <c r="V86" s="7" t="e">
        <f t="shared" si="28"/>
        <v>#N/A</v>
      </c>
      <c r="W86" s="7" t="e">
        <f t="shared" si="29"/>
        <v>#N/A</v>
      </c>
      <c r="X86" s="7" t="e">
        <f t="shared" si="30"/>
        <v>#N/A</v>
      </c>
      <c r="Y86" s="7" t="str">
        <f t="shared" si="31"/>
        <v/>
      </c>
      <c r="Z86" s="11">
        <f t="shared" si="32"/>
        <v>1</v>
      </c>
      <c r="AA86" s="7" t="e">
        <f t="shared" si="33"/>
        <v>#N/A</v>
      </c>
      <c r="AB86" s="7" t="e">
        <f t="shared" si="34"/>
        <v>#N/A</v>
      </c>
      <c r="AC86" s="7" t="e">
        <f t="shared" si="35"/>
        <v>#N/A</v>
      </c>
      <c r="AD86" s="472" t="e">
        <f>VLOOKUP(AF86,'排出係数(2017)'!$A$4:$I$1151,9,FALSE)</f>
        <v>#N/A</v>
      </c>
      <c r="AE86" s="12" t="str">
        <f t="shared" si="36"/>
        <v xml:space="preserve"> </v>
      </c>
      <c r="AF86" s="7" t="e">
        <f t="shared" si="51"/>
        <v>#N/A</v>
      </c>
      <c r="AG86" s="7" t="e">
        <f t="shared" si="37"/>
        <v>#N/A</v>
      </c>
      <c r="AH86" s="472" t="e">
        <f>VLOOKUP(AF86,'排出係数(2017)'!$A$4:$I$1151,6,FALSE)</f>
        <v>#N/A</v>
      </c>
      <c r="AI86" s="7" t="e">
        <f t="shared" si="38"/>
        <v>#N/A</v>
      </c>
      <c r="AJ86" s="7" t="e">
        <f t="shared" si="39"/>
        <v>#N/A</v>
      </c>
      <c r="AK86" s="472" t="e">
        <f>VLOOKUP(AF86,'排出係数(2017)'!$A$4:$I$1151,7,FALSE)</f>
        <v>#N/A</v>
      </c>
      <c r="AL86" s="7" t="e">
        <f t="shared" si="40"/>
        <v>#N/A</v>
      </c>
      <c r="AM86" s="7" t="e">
        <f t="shared" si="41"/>
        <v>#N/A</v>
      </c>
      <c r="AN86" s="7" t="e">
        <f t="shared" si="42"/>
        <v>#N/A</v>
      </c>
      <c r="AO86" s="7">
        <f t="shared" si="43"/>
        <v>0</v>
      </c>
      <c r="AP86" s="7" t="e">
        <f t="shared" si="52"/>
        <v>#N/A</v>
      </c>
      <c r="AQ86" s="7" t="str">
        <f t="shared" si="44"/>
        <v/>
      </c>
      <c r="AR86" s="7" t="str">
        <f t="shared" si="45"/>
        <v/>
      </c>
      <c r="AS86" s="7" t="str">
        <f t="shared" si="46"/>
        <v/>
      </c>
      <c r="AT86" s="97"/>
      <c r="AZ86" s="477" t="s">
        <v>1984</v>
      </c>
      <c r="CF86" s="586" t="str">
        <f t="shared" si="53"/>
        <v/>
      </c>
      <c r="CG86"/>
      <c r="CH86"/>
    </row>
    <row r="87" spans="1:86" s="13" customFormat="1" ht="13.75" customHeight="1">
      <c r="A87" s="137">
        <v>72</v>
      </c>
      <c r="B87" s="138"/>
      <c r="C87" s="139"/>
      <c r="D87" s="140"/>
      <c r="E87" s="139"/>
      <c r="F87" s="139"/>
      <c r="G87" s="191"/>
      <c r="H87" s="139"/>
      <c r="I87" s="141"/>
      <c r="J87" s="142"/>
      <c r="K87" s="139"/>
      <c r="L87" s="147"/>
      <c r="M87" s="148"/>
      <c r="N87" s="583"/>
      <c r="O87" s="229" t="str">
        <f t="shared" si="47"/>
        <v/>
      </c>
      <c r="P87" s="229" t="str">
        <f t="shared" si="48"/>
        <v/>
      </c>
      <c r="Q87" s="230" t="str">
        <f t="shared" si="49"/>
        <v/>
      </c>
      <c r="R87" s="323" t="str">
        <f t="shared" si="50"/>
        <v/>
      </c>
      <c r="S87" s="350"/>
      <c r="T87" s="43"/>
      <c r="U87" s="347" t="str">
        <f t="shared" si="27"/>
        <v/>
      </c>
      <c r="V87" s="7" t="e">
        <f t="shared" si="28"/>
        <v>#N/A</v>
      </c>
      <c r="W87" s="7" t="e">
        <f t="shared" si="29"/>
        <v>#N/A</v>
      </c>
      <c r="X87" s="7" t="e">
        <f t="shared" si="30"/>
        <v>#N/A</v>
      </c>
      <c r="Y87" s="7" t="str">
        <f t="shared" si="31"/>
        <v/>
      </c>
      <c r="Z87" s="11">
        <f t="shared" si="32"/>
        <v>1</v>
      </c>
      <c r="AA87" s="7" t="e">
        <f t="shared" si="33"/>
        <v>#N/A</v>
      </c>
      <c r="AB87" s="7" t="e">
        <f t="shared" si="34"/>
        <v>#N/A</v>
      </c>
      <c r="AC87" s="7" t="e">
        <f t="shared" si="35"/>
        <v>#N/A</v>
      </c>
      <c r="AD87" s="472" t="e">
        <f>VLOOKUP(AF87,'排出係数(2017)'!$A$4:$I$1151,9,FALSE)</f>
        <v>#N/A</v>
      </c>
      <c r="AE87" s="12" t="str">
        <f t="shared" si="36"/>
        <v xml:space="preserve"> </v>
      </c>
      <c r="AF87" s="7" t="e">
        <f t="shared" si="51"/>
        <v>#N/A</v>
      </c>
      <c r="AG87" s="7" t="e">
        <f t="shared" si="37"/>
        <v>#N/A</v>
      </c>
      <c r="AH87" s="472" t="e">
        <f>VLOOKUP(AF87,'排出係数(2017)'!$A$4:$I$1151,6,FALSE)</f>
        <v>#N/A</v>
      </c>
      <c r="AI87" s="7" t="e">
        <f t="shared" si="38"/>
        <v>#N/A</v>
      </c>
      <c r="AJ87" s="7" t="e">
        <f t="shared" si="39"/>
        <v>#N/A</v>
      </c>
      <c r="AK87" s="472" t="e">
        <f>VLOOKUP(AF87,'排出係数(2017)'!$A$4:$I$1151,7,FALSE)</f>
        <v>#N/A</v>
      </c>
      <c r="AL87" s="7" t="e">
        <f t="shared" si="40"/>
        <v>#N/A</v>
      </c>
      <c r="AM87" s="7" t="e">
        <f t="shared" si="41"/>
        <v>#N/A</v>
      </c>
      <c r="AN87" s="7" t="e">
        <f t="shared" si="42"/>
        <v>#N/A</v>
      </c>
      <c r="AO87" s="7">
        <f t="shared" si="43"/>
        <v>0</v>
      </c>
      <c r="AP87" s="7" t="e">
        <f t="shared" si="52"/>
        <v>#N/A</v>
      </c>
      <c r="AQ87" s="7" t="str">
        <f t="shared" si="44"/>
        <v/>
      </c>
      <c r="AR87" s="7" t="str">
        <f t="shared" si="45"/>
        <v/>
      </c>
      <c r="AS87" s="7" t="str">
        <f t="shared" si="46"/>
        <v/>
      </c>
      <c r="AT87" s="97"/>
      <c r="AZ87" s="477" t="s">
        <v>1992</v>
      </c>
      <c r="CF87" s="586" t="str">
        <f t="shared" si="53"/>
        <v/>
      </c>
      <c r="CG87"/>
      <c r="CH87"/>
    </row>
    <row r="88" spans="1:86" s="13" customFormat="1" ht="13.75" customHeight="1">
      <c r="A88" s="137">
        <v>73</v>
      </c>
      <c r="B88" s="138"/>
      <c r="C88" s="139"/>
      <c r="D88" s="140"/>
      <c r="E88" s="139"/>
      <c r="F88" s="139"/>
      <c r="G88" s="191"/>
      <c r="H88" s="139"/>
      <c r="I88" s="141"/>
      <c r="J88" s="142"/>
      <c r="K88" s="139"/>
      <c r="L88" s="147"/>
      <c r="M88" s="148"/>
      <c r="N88" s="583"/>
      <c r="O88" s="229" t="str">
        <f t="shared" si="47"/>
        <v/>
      </c>
      <c r="P88" s="229" t="str">
        <f t="shared" si="48"/>
        <v/>
      </c>
      <c r="Q88" s="230" t="str">
        <f t="shared" si="49"/>
        <v/>
      </c>
      <c r="R88" s="323" t="str">
        <f t="shared" si="50"/>
        <v/>
      </c>
      <c r="S88" s="350"/>
      <c r="T88" s="43"/>
      <c r="U88" s="347" t="str">
        <f t="shared" si="27"/>
        <v/>
      </c>
      <c r="V88" s="7" t="e">
        <f t="shared" si="28"/>
        <v>#N/A</v>
      </c>
      <c r="W88" s="7" t="e">
        <f t="shared" si="29"/>
        <v>#N/A</v>
      </c>
      <c r="X88" s="7" t="e">
        <f t="shared" si="30"/>
        <v>#N/A</v>
      </c>
      <c r="Y88" s="7" t="str">
        <f t="shared" si="31"/>
        <v/>
      </c>
      <c r="Z88" s="11">
        <f t="shared" si="32"/>
        <v>1</v>
      </c>
      <c r="AA88" s="7" t="e">
        <f t="shared" si="33"/>
        <v>#N/A</v>
      </c>
      <c r="AB88" s="7" t="e">
        <f t="shared" si="34"/>
        <v>#N/A</v>
      </c>
      <c r="AC88" s="7" t="e">
        <f t="shared" si="35"/>
        <v>#N/A</v>
      </c>
      <c r="AD88" s="472" t="e">
        <f>VLOOKUP(AF88,'排出係数(2017)'!$A$4:$I$1151,9,FALSE)</f>
        <v>#N/A</v>
      </c>
      <c r="AE88" s="12" t="str">
        <f t="shared" si="36"/>
        <v xml:space="preserve"> </v>
      </c>
      <c r="AF88" s="7" t="e">
        <f t="shared" si="51"/>
        <v>#N/A</v>
      </c>
      <c r="AG88" s="7" t="e">
        <f t="shared" si="37"/>
        <v>#N/A</v>
      </c>
      <c r="AH88" s="472" t="e">
        <f>VLOOKUP(AF88,'排出係数(2017)'!$A$4:$I$1151,6,FALSE)</f>
        <v>#N/A</v>
      </c>
      <c r="AI88" s="7" t="e">
        <f t="shared" si="38"/>
        <v>#N/A</v>
      </c>
      <c r="AJ88" s="7" t="e">
        <f t="shared" si="39"/>
        <v>#N/A</v>
      </c>
      <c r="AK88" s="472" t="e">
        <f>VLOOKUP(AF88,'排出係数(2017)'!$A$4:$I$1151,7,FALSE)</f>
        <v>#N/A</v>
      </c>
      <c r="AL88" s="7" t="e">
        <f t="shared" si="40"/>
        <v>#N/A</v>
      </c>
      <c r="AM88" s="7" t="e">
        <f t="shared" si="41"/>
        <v>#N/A</v>
      </c>
      <c r="AN88" s="7" t="e">
        <f t="shared" si="42"/>
        <v>#N/A</v>
      </c>
      <c r="AO88" s="7">
        <f t="shared" si="43"/>
        <v>0</v>
      </c>
      <c r="AP88" s="7" t="e">
        <f t="shared" si="52"/>
        <v>#N/A</v>
      </c>
      <c r="AQ88" s="7" t="str">
        <f t="shared" si="44"/>
        <v/>
      </c>
      <c r="AR88" s="7" t="str">
        <f t="shared" si="45"/>
        <v/>
      </c>
      <c r="AS88" s="7" t="str">
        <f t="shared" si="46"/>
        <v/>
      </c>
      <c r="AT88" s="97"/>
      <c r="AZ88" s="477" t="s">
        <v>2117</v>
      </c>
      <c r="CF88" s="586" t="str">
        <f t="shared" si="53"/>
        <v/>
      </c>
      <c r="CG88"/>
      <c r="CH88"/>
    </row>
    <row r="89" spans="1:86" s="13" customFormat="1" ht="13.75" customHeight="1">
      <c r="A89" s="137">
        <v>74</v>
      </c>
      <c r="B89" s="138"/>
      <c r="C89" s="139"/>
      <c r="D89" s="140"/>
      <c r="E89" s="139"/>
      <c r="F89" s="139"/>
      <c r="G89" s="191"/>
      <c r="H89" s="139"/>
      <c r="I89" s="141"/>
      <c r="J89" s="142"/>
      <c r="K89" s="139"/>
      <c r="L89" s="147"/>
      <c r="M89" s="148"/>
      <c r="N89" s="583"/>
      <c r="O89" s="229" t="str">
        <f t="shared" si="47"/>
        <v/>
      </c>
      <c r="P89" s="229" t="str">
        <f t="shared" si="48"/>
        <v/>
      </c>
      <c r="Q89" s="230" t="str">
        <f t="shared" si="49"/>
        <v/>
      </c>
      <c r="R89" s="323" t="str">
        <f t="shared" si="50"/>
        <v/>
      </c>
      <c r="S89" s="350"/>
      <c r="T89" s="43"/>
      <c r="U89" s="347" t="str">
        <f t="shared" si="27"/>
        <v/>
      </c>
      <c r="V89" s="7" t="e">
        <f t="shared" si="28"/>
        <v>#N/A</v>
      </c>
      <c r="W89" s="7" t="e">
        <f t="shared" si="29"/>
        <v>#N/A</v>
      </c>
      <c r="X89" s="7" t="e">
        <f t="shared" si="30"/>
        <v>#N/A</v>
      </c>
      <c r="Y89" s="7" t="str">
        <f t="shared" si="31"/>
        <v/>
      </c>
      <c r="Z89" s="11">
        <f t="shared" si="32"/>
        <v>1</v>
      </c>
      <c r="AA89" s="7" t="e">
        <f t="shared" si="33"/>
        <v>#N/A</v>
      </c>
      <c r="AB89" s="7" t="e">
        <f t="shared" si="34"/>
        <v>#N/A</v>
      </c>
      <c r="AC89" s="7" t="e">
        <f t="shared" si="35"/>
        <v>#N/A</v>
      </c>
      <c r="AD89" s="472" t="e">
        <f>VLOOKUP(AF89,'排出係数(2017)'!$A$4:$I$1151,9,FALSE)</f>
        <v>#N/A</v>
      </c>
      <c r="AE89" s="12" t="str">
        <f t="shared" si="36"/>
        <v xml:space="preserve"> </v>
      </c>
      <c r="AF89" s="7" t="e">
        <f t="shared" si="51"/>
        <v>#N/A</v>
      </c>
      <c r="AG89" s="7" t="e">
        <f t="shared" si="37"/>
        <v>#N/A</v>
      </c>
      <c r="AH89" s="472" t="e">
        <f>VLOOKUP(AF89,'排出係数(2017)'!$A$4:$I$1151,6,FALSE)</f>
        <v>#N/A</v>
      </c>
      <c r="AI89" s="7" t="e">
        <f t="shared" si="38"/>
        <v>#N/A</v>
      </c>
      <c r="AJ89" s="7" t="e">
        <f t="shared" si="39"/>
        <v>#N/A</v>
      </c>
      <c r="AK89" s="472" t="e">
        <f>VLOOKUP(AF89,'排出係数(2017)'!$A$4:$I$1151,7,FALSE)</f>
        <v>#N/A</v>
      </c>
      <c r="AL89" s="7" t="e">
        <f t="shared" si="40"/>
        <v>#N/A</v>
      </c>
      <c r="AM89" s="7" t="e">
        <f t="shared" si="41"/>
        <v>#N/A</v>
      </c>
      <c r="AN89" s="7" t="e">
        <f t="shared" si="42"/>
        <v>#N/A</v>
      </c>
      <c r="AO89" s="7">
        <f t="shared" si="43"/>
        <v>0</v>
      </c>
      <c r="AP89" s="7" t="e">
        <f t="shared" si="52"/>
        <v>#N/A</v>
      </c>
      <c r="AQ89" s="7" t="str">
        <f t="shared" si="44"/>
        <v/>
      </c>
      <c r="AR89" s="7" t="str">
        <f t="shared" si="45"/>
        <v/>
      </c>
      <c r="AS89" s="7" t="str">
        <f t="shared" si="46"/>
        <v/>
      </c>
      <c r="AT89" s="97"/>
      <c r="AZ89" s="477" t="s">
        <v>2118</v>
      </c>
      <c r="CF89" s="586" t="str">
        <f t="shared" si="53"/>
        <v/>
      </c>
      <c r="CG89"/>
      <c r="CH89"/>
    </row>
    <row r="90" spans="1:86" s="13" customFormat="1" ht="13.75" customHeight="1">
      <c r="A90" s="137">
        <v>75</v>
      </c>
      <c r="B90" s="138"/>
      <c r="C90" s="139"/>
      <c r="D90" s="140"/>
      <c r="E90" s="139"/>
      <c r="F90" s="139"/>
      <c r="G90" s="191"/>
      <c r="H90" s="139"/>
      <c r="I90" s="141"/>
      <c r="J90" s="142"/>
      <c r="K90" s="139"/>
      <c r="L90" s="147"/>
      <c r="M90" s="148"/>
      <c r="N90" s="583"/>
      <c r="O90" s="229" t="str">
        <f t="shared" si="47"/>
        <v/>
      </c>
      <c r="P90" s="229" t="str">
        <f t="shared" si="48"/>
        <v/>
      </c>
      <c r="Q90" s="230" t="str">
        <f t="shared" si="49"/>
        <v/>
      </c>
      <c r="R90" s="323" t="str">
        <f t="shared" si="50"/>
        <v/>
      </c>
      <c r="S90" s="350"/>
      <c r="T90" s="43"/>
      <c r="U90" s="347" t="str">
        <f t="shared" si="27"/>
        <v/>
      </c>
      <c r="V90" s="7" t="e">
        <f t="shared" si="28"/>
        <v>#N/A</v>
      </c>
      <c r="W90" s="7" t="e">
        <f t="shared" si="29"/>
        <v>#N/A</v>
      </c>
      <c r="X90" s="7" t="e">
        <f t="shared" si="30"/>
        <v>#N/A</v>
      </c>
      <c r="Y90" s="7" t="str">
        <f t="shared" si="31"/>
        <v/>
      </c>
      <c r="Z90" s="11">
        <f t="shared" si="32"/>
        <v>1</v>
      </c>
      <c r="AA90" s="7" t="e">
        <f t="shared" si="33"/>
        <v>#N/A</v>
      </c>
      <c r="AB90" s="7" t="e">
        <f t="shared" si="34"/>
        <v>#N/A</v>
      </c>
      <c r="AC90" s="7" t="e">
        <f t="shared" si="35"/>
        <v>#N/A</v>
      </c>
      <c r="AD90" s="472" t="e">
        <f>VLOOKUP(AF90,'排出係数(2017)'!$A$4:$I$1151,9,FALSE)</f>
        <v>#N/A</v>
      </c>
      <c r="AE90" s="12" t="str">
        <f t="shared" si="36"/>
        <v xml:space="preserve"> </v>
      </c>
      <c r="AF90" s="7" t="e">
        <f t="shared" si="51"/>
        <v>#N/A</v>
      </c>
      <c r="AG90" s="7" t="e">
        <f t="shared" si="37"/>
        <v>#N/A</v>
      </c>
      <c r="AH90" s="472" t="e">
        <f>VLOOKUP(AF90,'排出係数(2017)'!$A$4:$I$1151,6,FALSE)</f>
        <v>#N/A</v>
      </c>
      <c r="AI90" s="7" t="e">
        <f t="shared" si="38"/>
        <v>#N/A</v>
      </c>
      <c r="AJ90" s="7" t="e">
        <f t="shared" si="39"/>
        <v>#N/A</v>
      </c>
      <c r="AK90" s="472" t="e">
        <f>VLOOKUP(AF90,'排出係数(2017)'!$A$4:$I$1151,7,FALSE)</f>
        <v>#N/A</v>
      </c>
      <c r="AL90" s="7" t="e">
        <f t="shared" si="40"/>
        <v>#N/A</v>
      </c>
      <c r="AM90" s="7" t="e">
        <f t="shared" si="41"/>
        <v>#N/A</v>
      </c>
      <c r="AN90" s="7" t="e">
        <f t="shared" si="42"/>
        <v>#N/A</v>
      </c>
      <c r="AO90" s="7">
        <f t="shared" si="43"/>
        <v>0</v>
      </c>
      <c r="AP90" s="7" t="e">
        <f t="shared" si="52"/>
        <v>#N/A</v>
      </c>
      <c r="AQ90" s="7" t="str">
        <f t="shared" si="44"/>
        <v/>
      </c>
      <c r="AR90" s="7" t="str">
        <f t="shared" si="45"/>
        <v/>
      </c>
      <c r="AS90" s="7" t="str">
        <f t="shared" si="46"/>
        <v/>
      </c>
      <c r="AT90" s="97"/>
      <c r="AZ90" s="477" t="s">
        <v>2039</v>
      </c>
      <c r="CF90" s="586" t="str">
        <f t="shared" si="53"/>
        <v/>
      </c>
      <c r="CG90"/>
      <c r="CH90"/>
    </row>
    <row r="91" spans="1:86" s="13" customFormat="1" ht="13.75" customHeight="1">
      <c r="A91" s="137">
        <v>76</v>
      </c>
      <c r="B91" s="138"/>
      <c r="C91" s="139"/>
      <c r="D91" s="140"/>
      <c r="E91" s="139"/>
      <c r="F91" s="139"/>
      <c r="G91" s="191"/>
      <c r="H91" s="139"/>
      <c r="I91" s="141"/>
      <c r="J91" s="142"/>
      <c r="K91" s="139"/>
      <c r="L91" s="147"/>
      <c r="M91" s="148"/>
      <c r="N91" s="583"/>
      <c r="O91" s="229" t="str">
        <f t="shared" si="47"/>
        <v/>
      </c>
      <c r="P91" s="229" t="str">
        <f t="shared" si="48"/>
        <v/>
      </c>
      <c r="Q91" s="230" t="str">
        <f t="shared" si="49"/>
        <v/>
      </c>
      <c r="R91" s="323" t="str">
        <f t="shared" si="50"/>
        <v/>
      </c>
      <c r="S91" s="350"/>
      <c r="T91" s="43"/>
      <c r="U91" s="347" t="str">
        <f t="shared" si="27"/>
        <v/>
      </c>
      <c r="V91" s="7" t="e">
        <f t="shared" si="28"/>
        <v>#N/A</v>
      </c>
      <c r="W91" s="7" t="e">
        <f t="shared" si="29"/>
        <v>#N/A</v>
      </c>
      <c r="X91" s="7" t="e">
        <f t="shared" si="30"/>
        <v>#N/A</v>
      </c>
      <c r="Y91" s="7" t="str">
        <f t="shared" si="31"/>
        <v/>
      </c>
      <c r="Z91" s="11">
        <f t="shared" si="32"/>
        <v>1</v>
      </c>
      <c r="AA91" s="7" t="e">
        <f t="shared" si="33"/>
        <v>#N/A</v>
      </c>
      <c r="AB91" s="7" t="e">
        <f t="shared" si="34"/>
        <v>#N/A</v>
      </c>
      <c r="AC91" s="7" t="e">
        <f t="shared" si="35"/>
        <v>#N/A</v>
      </c>
      <c r="AD91" s="472" t="e">
        <f>VLOOKUP(AF91,'排出係数(2017)'!$A$4:$I$1151,9,FALSE)</f>
        <v>#N/A</v>
      </c>
      <c r="AE91" s="12" t="str">
        <f t="shared" si="36"/>
        <v xml:space="preserve"> </v>
      </c>
      <c r="AF91" s="7" t="e">
        <f t="shared" si="51"/>
        <v>#N/A</v>
      </c>
      <c r="AG91" s="7" t="e">
        <f t="shared" si="37"/>
        <v>#N/A</v>
      </c>
      <c r="AH91" s="472" t="e">
        <f>VLOOKUP(AF91,'排出係数(2017)'!$A$4:$I$1151,6,FALSE)</f>
        <v>#N/A</v>
      </c>
      <c r="AI91" s="7" t="e">
        <f t="shared" si="38"/>
        <v>#N/A</v>
      </c>
      <c r="AJ91" s="7" t="e">
        <f t="shared" si="39"/>
        <v>#N/A</v>
      </c>
      <c r="AK91" s="472" t="e">
        <f>VLOOKUP(AF91,'排出係数(2017)'!$A$4:$I$1151,7,FALSE)</f>
        <v>#N/A</v>
      </c>
      <c r="AL91" s="7" t="e">
        <f t="shared" si="40"/>
        <v>#N/A</v>
      </c>
      <c r="AM91" s="7" t="e">
        <f t="shared" si="41"/>
        <v>#N/A</v>
      </c>
      <c r="AN91" s="7" t="e">
        <f t="shared" si="42"/>
        <v>#N/A</v>
      </c>
      <c r="AO91" s="7">
        <f t="shared" si="43"/>
        <v>0</v>
      </c>
      <c r="AP91" s="7" t="e">
        <f t="shared" si="52"/>
        <v>#N/A</v>
      </c>
      <c r="AQ91" s="7" t="str">
        <f t="shared" si="44"/>
        <v/>
      </c>
      <c r="AR91" s="7" t="str">
        <f t="shared" si="45"/>
        <v/>
      </c>
      <c r="AS91" s="7" t="str">
        <f t="shared" si="46"/>
        <v/>
      </c>
      <c r="AT91" s="97"/>
      <c r="AZ91" s="477" t="s">
        <v>2049</v>
      </c>
      <c r="CF91" s="586" t="str">
        <f t="shared" si="53"/>
        <v/>
      </c>
      <c r="CG91"/>
      <c r="CH91"/>
    </row>
    <row r="92" spans="1:86" s="13" customFormat="1" ht="13.75" customHeight="1">
      <c r="A92" s="137">
        <v>77</v>
      </c>
      <c r="B92" s="138"/>
      <c r="C92" s="139"/>
      <c r="D92" s="140"/>
      <c r="E92" s="139"/>
      <c r="F92" s="139"/>
      <c r="G92" s="191"/>
      <c r="H92" s="139"/>
      <c r="I92" s="141"/>
      <c r="J92" s="142"/>
      <c r="K92" s="139"/>
      <c r="L92" s="147"/>
      <c r="M92" s="148"/>
      <c r="N92" s="583"/>
      <c r="O92" s="229" t="str">
        <f t="shared" si="47"/>
        <v/>
      </c>
      <c r="P92" s="229" t="str">
        <f t="shared" si="48"/>
        <v/>
      </c>
      <c r="Q92" s="230" t="str">
        <f t="shared" si="49"/>
        <v/>
      </c>
      <c r="R92" s="323" t="str">
        <f t="shared" si="50"/>
        <v/>
      </c>
      <c r="S92" s="350"/>
      <c r="T92" s="43"/>
      <c r="U92" s="347" t="str">
        <f t="shared" si="27"/>
        <v/>
      </c>
      <c r="V92" s="7" t="e">
        <f t="shared" si="28"/>
        <v>#N/A</v>
      </c>
      <c r="W92" s="7" t="e">
        <f t="shared" si="29"/>
        <v>#N/A</v>
      </c>
      <c r="X92" s="7" t="e">
        <f t="shared" si="30"/>
        <v>#N/A</v>
      </c>
      <c r="Y92" s="7" t="str">
        <f t="shared" si="31"/>
        <v/>
      </c>
      <c r="Z92" s="11">
        <f t="shared" si="32"/>
        <v>1</v>
      </c>
      <c r="AA92" s="7" t="e">
        <f t="shared" si="33"/>
        <v>#N/A</v>
      </c>
      <c r="AB92" s="7" t="e">
        <f t="shared" si="34"/>
        <v>#N/A</v>
      </c>
      <c r="AC92" s="7" t="e">
        <f t="shared" si="35"/>
        <v>#N/A</v>
      </c>
      <c r="AD92" s="472" t="e">
        <f>VLOOKUP(AF92,'排出係数(2017)'!$A$4:$I$1151,9,FALSE)</f>
        <v>#N/A</v>
      </c>
      <c r="AE92" s="12" t="str">
        <f t="shared" si="36"/>
        <v xml:space="preserve"> </v>
      </c>
      <c r="AF92" s="7" t="e">
        <f t="shared" si="51"/>
        <v>#N/A</v>
      </c>
      <c r="AG92" s="7" t="e">
        <f t="shared" si="37"/>
        <v>#N/A</v>
      </c>
      <c r="AH92" s="472" t="e">
        <f>VLOOKUP(AF92,'排出係数(2017)'!$A$4:$I$1151,6,FALSE)</f>
        <v>#N/A</v>
      </c>
      <c r="AI92" s="7" t="e">
        <f t="shared" si="38"/>
        <v>#N/A</v>
      </c>
      <c r="AJ92" s="7" t="e">
        <f t="shared" si="39"/>
        <v>#N/A</v>
      </c>
      <c r="AK92" s="472" t="e">
        <f>VLOOKUP(AF92,'排出係数(2017)'!$A$4:$I$1151,7,FALSE)</f>
        <v>#N/A</v>
      </c>
      <c r="AL92" s="7" t="e">
        <f t="shared" si="40"/>
        <v>#N/A</v>
      </c>
      <c r="AM92" s="7" t="e">
        <f t="shared" si="41"/>
        <v>#N/A</v>
      </c>
      <c r="AN92" s="7" t="e">
        <f t="shared" si="42"/>
        <v>#N/A</v>
      </c>
      <c r="AO92" s="7">
        <f t="shared" si="43"/>
        <v>0</v>
      </c>
      <c r="AP92" s="7" t="e">
        <f t="shared" si="52"/>
        <v>#N/A</v>
      </c>
      <c r="AQ92" s="7" t="str">
        <f t="shared" si="44"/>
        <v/>
      </c>
      <c r="AR92" s="7" t="str">
        <f t="shared" si="45"/>
        <v/>
      </c>
      <c r="AS92" s="7" t="str">
        <f t="shared" si="46"/>
        <v/>
      </c>
      <c r="AT92" s="97"/>
      <c r="AZ92" s="477" t="s">
        <v>2119</v>
      </c>
      <c r="CF92" s="586" t="str">
        <f t="shared" si="53"/>
        <v/>
      </c>
      <c r="CG92"/>
      <c r="CH92"/>
    </row>
    <row r="93" spans="1:86" s="13" customFormat="1" ht="13.75" customHeight="1">
      <c r="A93" s="137">
        <v>78</v>
      </c>
      <c r="B93" s="138"/>
      <c r="C93" s="139"/>
      <c r="D93" s="140"/>
      <c r="E93" s="139"/>
      <c r="F93" s="139"/>
      <c r="G93" s="191"/>
      <c r="H93" s="139"/>
      <c r="I93" s="141"/>
      <c r="J93" s="142"/>
      <c r="K93" s="139"/>
      <c r="L93" s="147"/>
      <c r="M93" s="148"/>
      <c r="N93" s="583"/>
      <c r="O93" s="229" t="str">
        <f t="shared" si="47"/>
        <v/>
      </c>
      <c r="P93" s="229" t="str">
        <f t="shared" si="48"/>
        <v/>
      </c>
      <c r="Q93" s="230" t="str">
        <f t="shared" si="49"/>
        <v/>
      </c>
      <c r="R93" s="323" t="str">
        <f t="shared" si="50"/>
        <v/>
      </c>
      <c r="S93" s="350"/>
      <c r="T93" s="43"/>
      <c r="U93" s="347" t="str">
        <f t="shared" si="27"/>
        <v/>
      </c>
      <c r="V93" s="7" t="e">
        <f t="shared" si="28"/>
        <v>#N/A</v>
      </c>
      <c r="W93" s="7" t="e">
        <f t="shared" si="29"/>
        <v>#N/A</v>
      </c>
      <c r="X93" s="7" t="e">
        <f t="shared" si="30"/>
        <v>#N/A</v>
      </c>
      <c r="Y93" s="7" t="str">
        <f t="shared" si="31"/>
        <v/>
      </c>
      <c r="Z93" s="11">
        <f t="shared" si="32"/>
        <v>1</v>
      </c>
      <c r="AA93" s="7" t="e">
        <f t="shared" si="33"/>
        <v>#N/A</v>
      </c>
      <c r="AB93" s="7" t="e">
        <f t="shared" si="34"/>
        <v>#N/A</v>
      </c>
      <c r="AC93" s="7" t="e">
        <f t="shared" si="35"/>
        <v>#N/A</v>
      </c>
      <c r="AD93" s="472" t="e">
        <f>VLOOKUP(AF93,'排出係数(2017)'!$A$4:$I$1151,9,FALSE)</f>
        <v>#N/A</v>
      </c>
      <c r="AE93" s="12" t="str">
        <f t="shared" si="36"/>
        <v xml:space="preserve"> </v>
      </c>
      <c r="AF93" s="7" t="e">
        <f t="shared" si="51"/>
        <v>#N/A</v>
      </c>
      <c r="AG93" s="7" t="e">
        <f t="shared" si="37"/>
        <v>#N/A</v>
      </c>
      <c r="AH93" s="472" t="e">
        <f>VLOOKUP(AF93,'排出係数(2017)'!$A$4:$I$1151,6,FALSE)</f>
        <v>#N/A</v>
      </c>
      <c r="AI93" s="7" t="e">
        <f t="shared" si="38"/>
        <v>#N/A</v>
      </c>
      <c r="AJ93" s="7" t="e">
        <f t="shared" si="39"/>
        <v>#N/A</v>
      </c>
      <c r="AK93" s="472" t="e">
        <f>VLOOKUP(AF93,'排出係数(2017)'!$A$4:$I$1151,7,FALSE)</f>
        <v>#N/A</v>
      </c>
      <c r="AL93" s="7" t="e">
        <f t="shared" si="40"/>
        <v>#N/A</v>
      </c>
      <c r="AM93" s="7" t="e">
        <f t="shared" si="41"/>
        <v>#N/A</v>
      </c>
      <c r="AN93" s="7" t="e">
        <f t="shared" si="42"/>
        <v>#N/A</v>
      </c>
      <c r="AO93" s="7">
        <f t="shared" si="43"/>
        <v>0</v>
      </c>
      <c r="AP93" s="7" t="e">
        <f t="shared" si="52"/>
        <v>#N/A</v>
      </c>
      <c r="AQ93" s="7" t="str">
        <f t="shared" si="44"/>
        <v/>
      </c>
      <c r="AR93" s="7" t="str">
        <f t="shared" si="45"/>
        <v/>
      </c>
      <c r="AS93" s="7" t="str">
        <f t="shared" si="46"/>
        <v/>
      </c>
      <c r="AT93" s="97"/>
      <c r="AZ93" s="477" t="s">
        <v>2120</v>
      </c>
      <c r="CF93" s="586" t="str">
        <f t="shared" si="53"/>
        <v/>
      </c>
      <c r="CG93"/>
      <c r="CH93"/>
    </row>
    <row r="94" spans="1:86" s="13" customFormat="1" ht="13.75" customHeight="1">
      <c r="A94" s="137">
        <v>79</v>
      </c>
      <c r="B94" s="138"/>
      <c r="C94" s="139"/>
      <c r="D94" s="140"/>
      <c r="E94" s="139"/>
      <c r="F94" s="139"/>
      <c r="G94" s="191"/>
      <c r="H94" s="139"/>
      <c r="I94" s="141"/>
      <c r="J94" s="142"/>
      <c r="K94" s="139"/>
      <c r="L94" s="147"/>
      <c r="M94" s="148"/>
      <c r="N94" s="583"/>
      <c r="O94" s="229" t="str">
        <f t="shared" si="47"/>
        <v/>
      </c>
      <c r="P94" s="229" t="str">
        <f t="shared" si="48"/>
        <v/>
      </c>
      <c r="Q94" s="230" t="str">
        <f t="shared" si="49"/>
        <v/>
      </c>
      <c r="R94" s="323" t="str">
        <f t="shared" si="50"/>
        <v/>
      </c>
      <c r="S94" s="350"/>
      <c r="T94" s="43"/>
      <c r="U94" s="347" t="str">
        <f t="shared" si="27"/>
        <v/>
      </c>
      <c r="V94" s="7" t="e">
        <f t="shared" si="28"/>
        <v>#N/A</v>
      </c>
      <c r="W94" s="7" t="e">
        <f t="shared" si="29"/>
        <v>#N/A</v>
      </c>
      <c r="X94" s="7" t="e">
        <f t="shared" si="30"/>
        <v>#N/A</v>
      </c>
      <c r="Y94" s="7" t="str">
        <f t="shared" si="31"/>
        <v/>
      </c>
      <c r="Z94" s="11">
        <f t="shared" si="32"/>
        <v>1</v>
      </c>
      <c r="AA94" s="7" t="e">
        <f t="shared" si="33"/>
        <v>#N/A</v>
      </c>
      <c r="AB94" s="7" t="e">
        <f t="shared" si="34"/>
        <v>#N/A</v>
      </c>
      <c r="AC94" s="7" t="e">
        <f t="shared" si="35"/>
        <v>#N/A</v>
      </c>
      <c r="AD94" s="472" t="e">
        <f>VLOOKUP(AF94,'排出係数(2017)'!$A$4:$I$1151,9,FALSE)</f>
        <v>#N/A</v>
      </c>
      <c r="AE94" s="12" t="str">
        <f t="shared" si="36"/>
        <v xml:space="preserve"> </v>
      </c>
      <c r="AF94" s="7" t="e">
        <f t="shared" si="51"/>
        <v>#N/A</v>
      </c>
      <c r="AG94" s="7" t="e">
        <f t="shared" si="37"/>
        <v>#N/A</v>
      </c>
      <c r="AH94" s="472" t="e">
        <f>VLOOKUP(AF94,'排出係数(2017)'!$A$4:$I$1151,6,FALSE)</f>
        <v>#N/A</v>
      </c>
      <c r="AI94" s="7" t="e">
        <f t="shared" si="38"/>
        <v>#N/A</v>
      </c>
      <c r="AJ94" s="7" t="e">
        <f t="shared" si="39"/>
        <v>#N/A</v>
      </c>
      <c r="AK94" s="472" t="e">
        <f>VLOOKUP(AF94,'排出係数(2017)'!$A$4:$I$1151,7,FALSE)</f>
        <v>#N/A</v>
      </c>
      <c r="AL94" s="7" t="e">
        <f t="shared" si="40"/>
        <v>#N/A</v>
      </c>
      <c r="AM94" s="7" t="e">
        <f t="shared" si="41"/>
        <v>#N/A</v>
      </c>
      <c r="AN94" s="7" t="e">
        <f t="shared" si="42"/>
        <v>#N/A</v>
      </c>
      <c r="AO94" s="7">
        <f t="shared" si="43"/>
        <v>0</v>
      </c>
      <c r="AP94" s="7" t="e">
        <f t="shared" si="52"/>
        <v>#N/A</v>
      </c>
      <c r="AQ94" s="7" t="str">
        <f t="shared" si="44"/>
        <v/>
      </c>
      <c r="AR94" s="7" t="str">
        <f t="shared" si="45"/>
        <v/>
      </c>
      <c r="AS94" s="7" t="str">
        <f t="shared" si="46"/>
        <v/>
      </c>
      <c r="AT94" s="97"/>
      <c r="AZ94" s="477" t="s">
        <v>2040</v>
      </c>
      <c r="CF94" s="586" t="str">
        <f t="shared" si="53"/>
        <v/>
      </c>
      <c r="CG94"/>
      <c r="CH94"/>
    </row>
    <row r="95" spans="1:86" s="13" customFormat="1" ht="13.75" customHeight="1">
      <c r="A95" s="137">
        <v>80</v>
      </c>
      <c r="B95" s="138"/>
      <c r="C95" s="139"/>
      <c r="D95" s="140"/>
      <c r="E95" s="139"/>
      <c r="F95" s="139"/>
      <c r="G95" s="191"/>
      <c r="H95" s="139"/>
      <c r="I95" s="141"/>
      <c r="J95" s="142"/>
      <c r="K95" s="139"/>
      <c r="L95" s="147"/>
      <c r="M95" s="148"/>
      <c r="N95" s="583"/>
      <c r="O95" s="229" t="str">
        <f t="shared" si="47"/>
        <v/>
      </c>
      <c r="P95" s="229" t="str">
        <f t="shared" si="48"/>
        <v/>
      </c>
      <c r="Q95" s="230" t="str">
        <f t="shared" si="49"/>
        <v/>
      </c>
      <c r="R95" s="323" t="str">
        <f t="shared" si="50"/>
        <v/>
      </c>
      <c r="S95" s="350"/>
      <c r="T95" s="43"/>
      <c r="U95" s="347" t="str">
        <f t="shared" si="27"/>
        <v/>
      </c>
      <c r="V95" s="7" t="e">
        <f t="shared" si="28"/>
        <v>#N/A</v>
      </c>
      <c r="W95" s="7" t="e">
        <f t="shared" si="29"/>
        <v>#N/A</v>
      </c>
      <c r="X95" s="7" t="e">
        <f t="shared" si="30"/>
        <v>#N/A</v>
      </c>
      <c r="Y95" s="7" t="str">
        <f t="shared" si="31"/>
        <v/>
      </c>
      <c r="Z95" s="11">
        <f t="shared" si="32"/>
        <v>1</v>
      </c>
      <c r="AA95" s="7" t="e">
        <f t="shared" si="33"/>
        <v>#N/A</v>
      </c>
      <c r="AB95" s="7" t="e">
        <f t="shared" si="34"/>
        <v>#N/A</v>
      </c>
      <c r="AC95" s="7" t="e">
        <f t="shared" si="35"/>
        <v>#N/A</v>
      </c>
      <c r="AD95" s="472" t="e">
        <f>VLOOKUP(AF95,'排出係数(2017)'!$A$4:$I$1151,9,FALSE)</f>
        <v>#N/A</v>
      </c>
      <c r="AE95" s="12" t="str">
        <f t="shared" si="36"/>
        <v xml:space="preserve"> </v>
      </c>
      <c r="AF95" s="7" t="e">
        <f t="shared" si="51"/>
        <v>#N/A</v>
      </c>
      <c r="AG95" s="7" t="e">
        <f t="shared" si="37"/>
        <v>#N/A</v>
      </c>
      <c r="AH95" s="472" t="e">
        <f>VLOOKUP(AF95,'排出係数(2017)'!$A$4:$I$1151,6,FALSE)</f>
        <v>#N/A</v>
      </c>
      <c r="AI95" s="7" t="e">
        <f t="shared" si="38"/>
        <v>#N/A</v>
      </c>
      <c r="AJ95" s="7" t="e">
        <f t="shared" si="39"/>
        <v>#N/A</v>
      </c>
      <c r="AK95" s="472" t="e">
        <f>VLOOKUP(AF95,'排出係数(2017)'!$A$4:$I$1151,7,FALSE)</f>
        <v>#N/A</v>
      </c>
      <c r="AL95" s="7" t="e">
        <f t="shared" si="40"/>
        <v>#N/A</v>
      </c>
      <c r="AM95" s="7" t="e">
        <f t="shared" si="41"/>
        <v>#N/A</v>
      </c>
      <c r="AN95" s="7" t="e">
        <f t="shared" si="42"/>
        <v>#N/A</v>
      </c>
      <c r="AO95" s="7">
        <f t="shared" si="43"/>
        <v>0</v>
      </c>
      <c r="AP95" s="7" t="e">
        <f t="shared" si="52"/>
        <v>#N/A</v>
      </c>
      <c r="AQ95" s="7" t="str">
        <f t="shared" si="44"/>
        <v/>
      </c>
      <c r="AR95" s="7" t="str">
        <f t="shared" si="45"/>
        <v/>
      </c>
      <c r="AS95" s="7" t="str">
        <f t="shared" si="46"/>
        <v/>
      </c>
      <c r="AT95" s="97"/>
      <c r="AZ95" s="477" t="s">
        <v>2050</v>
      </c>
      <c r="CF95" s="586" t="str">
        <f t="shared" si="53"/>
        <v/>
      </c>
      <c r="CG95"/>
      <c r="CH95"/>
    </row>
    <row r="96" spans="1:86" s="13" customFormat="1" ht="13.75" customHeight="1">
      <c r="A96" s="137">
        <v>81</v>
      </c>
      <c r="B96" s="138"/>
      <c r="C96" s="139"/>
      <c r="D96" s="140"/>
      <c r="E96" s="139"/>
      <c r="F96" s="139"/>
      <c r="G96" s="191"/>
      <c r="H96" s="139"/>
      <c r="I96" s="141"/>
      <c r="J96" s="142"/>
      <c r="K96" s="139"/>
      <c r="L96" s="147"/>
      <c r="M96" s="148"/>
      <c r="N96" s="583"/>
      <c r="O96" s="229" t="str">
        <f t="shared" si="47"/>
        <v/>
      </c>
      <c r="P96" s="229" t="str">
        <f t="shared" si="48"/>
        <v/>
      </c>
      <c r="Q96" s="230" t="str">
        <f t="shared" si="49"/>
        <v/>
      </c>
      <c r="R96" s="323" t="str">
        <f t="shared" si="50"/>
        <v/>
      </c>
      <c r="S96" s="350"/>
      <c r="T96" s="43"/>
      <c r="U96" s="347" t="str">
        <f t="shared" si="27"/>
        <v/>
      </c>
      <c r="V96" s="7" t="e">
        <f t="shared" si="28"/>
        <v>#N/A</v>
      </c>
      <c r="W96" s="7" t="e">
        <f t="shared" si="29"/>
        <v>#N/A</v>
      </c>
      <c r="X96" s="7" t="e">
        <f t="shared" si="30"/>
        <v>#N/A</v>
      </c>
      <c r="Y96" s="7" t="str">
        <f t="shared" si="31"/>
        <v/>
      </c>
      <c r="Z96" s="11">
        <f t="shared" si="32"/>
        <v>1</v>
      </c>
      <c r="AA96" s="7" t="e">
        <f t="shared" si="33"/>
        <v>#N/A</v>
      </c>
      <c r="AB96" s="7" t="e">
        <f t="shared" si="34"/>
        <v>#N/A</v>
      </c>
      <c r="AC96" s="7" t="e">
        <f t="shared" si="35"/>
        <v>#N/A</v>
      </c>
      <c r="AD96" s="472" t="e">
        <f>VLOOKUP(AF96,'排出係数(2017)'!$A$4:$I$1151,9,FALSE)</f>
        <v>#N/A</v>
      </c>
      <c r="AE96" s="12" t="str">
        <f t="shared" si="36"/>
        <v xml:space="preserve"> </v>
      </c>
      <c r="AF96" s="7" t="e">
        <f t="shared" si="51"/>
        <v>#N/A</v>
      </c>
      <c r="AG96" s="7" t="e">
        <f t="shared" si="37"/>
        <v>#N/A</v>
      </c>
      <c r="AH96" s="472" t="e">
        <f>VLOOKUP(AF96,'排出係数(2017)'!$A$4:$I$1151,6,FALSE)</f>
        <v>#N/A</v>
      </c>
      <c r="AI96" s="7" t="e">
        <f t="shared" si="38"/>
        <v>#N/A</v>
      </c>
      <c r="AJ96" s="7" t="e">
        <f t="shared" si="39"/>
        <v>#N/A</v>
      </c>
      <c r="AK96" s="472" t="e">
        <f>VLOOKUP(AF96,'排出係数(2017)'!$A$4:$I$1151,7,FALSE)</f>
        <v>#N/A</v>
      </c>
      <c r="AL96" s="7" t="e">
        <f t="shared" si="40"/>
        <v>#N/A</v>
      </c>
      <c r="AM96" s="7" t="e">
        <f t="shared" si="41"/>
        <v>#N/A</v>
      </c>
      <c r="AN96" s="7" t="e">
        <f t="shared" si="42"/>
        <v>#N/A</v>
      </c>
      <c r="AO96" s="7">
        <f t="shared" si="43"/>
        <v>0</v>
      </c>
      <c r="AP96" s="7" t="e">
        <f t="shared" si="52"/>
        <v>#N/A</v>
      </c>
      <c r="AQ96" s="7" t="str">
        <f t="shared" si="44"/>
        <v/>
      </c>
      <c r="AR96" s="7" t="str">
        <f t="shared" si="45"/>
        <v/>
      </c>
      <c r="AS96" s="7" t="str">
        <f t="shared" si="46"/>
        <v/>
      </c>
      <c r="AT96" s="97"/>
      <c r="AZ96" s="477" t="s">
        <v>2126</v>
      </c>
      <c r="CF96" s="586" t="str">
        <f t="shared" si="53"/>
        <v/>
      </c>
      <c r="CG96"/>
      <c r="CH96"/>
    </row>
    <row r="97" spans="1:86" s="13" customFormat="1" ht="13.75" customHeight="1">
      <c r="A97" s="137">
        <v>82</v>
      </c>
      <c r="B97" s="138"/>
      <c r="C97" s="139"/>
      <c r="D97" s="140"/>
      <c r="E97" s="139"/>
      <c r="F97" s="139"/>
      <c r="G97" s="191"/>
      <c r="H97" s="139"/>
      <c r="I97" s="141"/>
      <c r="J97" s="142"/>
      <c r="K97" s="139"/>
      <c r="L97" s="147"/>
      <c r="M97" s="148"/>
      <c r="N97" s="583"/>
      <c r="O97" s="229" t="str">
        <f t="shared" si="47"/>
        <v/>
      </c>
      <c r="P97" s="229" t="str">
        <f t="shared" si="48"/>
        <v/>
      </c>
      <c r="Q97" s="230" t="str">
        <f t="shared" si="49"/>
        <v/>
      </c>
      <c r="R97" s="323" t="str">
        <f t="shared" si="50"/>
        <v/>
      </c>
      <c r="S97" s="350"/>
      <c r="T97" s="43"/>
      <c r="U97" s="347" t="str">
        <f t="shared" si="27"/>
        <v/>
      </c>
      <c r="V97" s="7" t="e">
        <f t="shared" si="28"/>
        <v>#N/A</v>
      </c>
      <c r="W97" s="7" t="e">
        <f t="shared" si="29"/>
        <v>#N/A</v>
      </c>
      <c r="X97" s="7" t="e">
        <f t="shared" si="30"/>
        <v>#N/A</v>
      </c>
      <c r="Y97" s="7" t="str">
        <f t="shared" si="31"/>
        <v/>
      </c>
      <c r="Z97" s="11">
        <f t="shared" si="32"/>
        <v>1</v>
      </c>
      <c r="AA97" s="7" t="e">
        <f t="shared" si="33"/>
        <v>#N/A</v>
      </c>
      <c r="AB97" s="7" t="e">
        <f t="shared" si="34"/>
        <v>#N/A</v>
      </c>
      <c r="AC97" s="7" t="e">
        <f t="shared" si="35"/>
        <v>#N/A</v>
      </c>
      <c r="AD97" s="472" t="e">
        <f>VLOOKUP(AF97,'排出係数(2017)'!$A$4:$I$1151,9,FALSE)</f>
        <v>#N/A</v>
      </c>
      <c r="AE97" s="12" t="str">
        <f t="shared" si="36"/>
        <v xml:space="preserve"> </v>
      </c>
      <c r="AF97" s="7" t="e">
        <f t="shared" si="51"/>
        <v>#N/A</v>
      </c>
      <c r="AG97" s="7" t="e">
        <f t="shared" si="37"/>
        <v>#N/A</v>
      </c>
      <c r="AH97" s="472" t="e">
        <f>VLOOKUP(AF97,'排出係数(2017)'!$A$4:$I$1151,6,FALSE)</f>
        <v>#N/A</v>
      </c>
      <c r="AI97" s="7" t="e">
        <f t="shared" si="38"/>
        <v>#N/A</v>
      </c>
      <c r="AJ97" s="7" t="e">
        <f t="shared" si="39"/>
        <v>#N/A</v>
      </c>
      <c r="AK97" s="472" t="e">
        <f>VLOOKUP(AF97,'排出係数(2017)'!$A$4:$I$1151,7,FALSE)</f>
        <v>#N/A</v>
      </c>
      <c r="AL97" s="7" t="e">
        <f t="shared" si="40"/>
        <v>#N/A</v>
      </c>
      <c r="AM97" s="7" t="e">
        <f t="shared" si="41"/>
        <v>#N/A</v>
      </c>
      <c r="AN97" s="7" t="e">
        <f t="shared" si="42"/>
        <v>#N/A</v>
      </c>
      <c r="AO97" s="7">
        <f t="shared" si="43"/>
        <v>0</v>
      </c>
      <c r="AP97" s="7" t="e">
        <f t="shared" si="52"/>
        <v>#N/A</v>
      </c>
      <c r="AQ97" s="7" t="str">
        <f t="shared" si="44"/>
        <v/>
      </c>
      <c r="AR97" s="7" t="str">
        <f t="shared" si="45"/>
        <v/>
      </c>
      <c r="AS97" s="7" t="str">
        <f t="shared" si="46"/>
        <v/>
      </c>
      <c r="AT97" s="97"/>
      <c r="AZ97" s="477" t="s">
        <v>2077</v>
      </c>
      <c r="CF97" s="586" t="str">
        <f t="shared" si="53"/>
        <v/>
      </c>
      <c r="CG97"/>
      <c r="CH97"/>
    </row>
    <row r="98" spans="1:86" s="13" customFormat="1" ht="13.75" customHeight="1">
      <c r="A98" s="137">
        <v>83</v>
      </c>
      <c r="B98" s="138"/>
      <c r="C98" s="139"/>
      <c r="D98" s="140"/>
      <c r="E98" s="139"/>
      <c r="F98" s="139"/>
      <c r="G98" s="191"/>
      <c r="H98" s="139"/>
      <c r="I98" s="141"/>
      <c r="J98" s="142"/>
      <c r="K98" s="139"/>
      <c r="L98" s="147"/>
      <c r="M98" s="148"/>
      <c r="N98" s="583"/>
      <c r="O98" s="229" t="str">
        <f t="shared" si="47"/>
        <v/>
      </c>
      <c r="P98" s="229" t="str">
        <f t="shared" si="48"/>
        <v/>
      </c>
      <c r="Q98" s="230" t="str">
        <f t="shared" si="49"/>
        <v/>
      </c>
      <c r="R98" s="323" t="str">
        <f t="shared" si="50"/>
        <v/>
      </c>
      <c r="S98" s="350"/>
      <c r="T98" s="43"/>
      <c r="U98" s="347" t="str">
        <f t="shared" si="27"/>
        <v/>
      </c>
      <c r="V98" s="7" t="e">
        <f t="shared" si="28"/>
        <v>#N/A</v>
      </c>
      <c r="W98" s="7" t="e">
        <f t="shared" si="29"/>
        <v>#N/A</v>
      </c>
      <c r="X98" s="7" t="e">
        <f t="shared" si="30"/>
        <v>#N/A</v>
      </c>
      <c r="Y98" s="7" t="str">
        <f t="shared" si="31"/>
        <v/>
      </c>
      <c r="Z98" s="11">
        <f t="shared" si="32"/>
        <v>1</v>
      </c>
      <c r="AA98" s="7" t="e">
        <f t="shared" si="33"/>
        <v>#N/A</v>
      </c>
      <c r="AB98" s="7" t="e">
        <f t="shared" si="34"/>
        <v>#N/A</v>
      </c>
      <c r="AC98" s="7" t="e">
        <f t="shared" si="35"/>
        <v>#N/A</v>
      </c>
      <c r="AD98" s="472" t="e">
        <f>VLOOKUP(AF98,'排出係数(2017)'!$A$4:$I$1151,9,FALSE)</f>
        <v>#N/A</v>
      </c>
      <c r="AE98" s="12" t="str">
        <f t="shared" si="36"/>
        <v xml:space="preserve"> </v>
      </c>
      <c r="AF98" s="7" t="e">
        <f t="shared" si="51"/>
        <v>#N/A</v>
      </c>
      <c r="AG98" s="7" t="e">
        <f t="shared" si="37"/>
        <v>#N/A</v>
      </c>
      <c r="AH98" s="472" t="e">
        <f>VLOOKUP(AF98,'排出係数(2017)'!$A$4:$I$1151,6,FALSE)</f>
        <v>#N/A</v>
      </c>
      <c r="AI98" s="7" t="e">
        <f t="shared" si="38"/>
        <v>#N/A</v>
      </c>
      <c r="AJ98" s="7" t="e">
        <f t="shared" si="39"/>
        <v>#N/A</v>
      </c>
      <c r="AK98" s="472" t="e">
        <f>VLOOKUP(AF98,'排出係数(2017)'!$A$4:$I$1151,7,FALSE)</f>
        <v>#N/A</v>
      </c>
      <c r="AL98" s="7" t="e">
        <f t="shared" si="40"/>
        <v>#N/A</v>
      </c>
      <c r="AM98" s="7" t="e">
        <f t="shared" si="41"/>
        <v>#N/A</v>
      </c>
      <c r="AN98" s="7" t="e">
        <f t="shared" si="42"/>
        <v>#N/A</v>
      </c>
      <c r="AO98" s="7">
        <f t="shared" si="43"/>
        <v>0</v>
      </c>
      <c r="AP98" s="7" t="e">
        <f t="shared" si="52"/>
        <v>#N/A</v>
      </c>
      <c r="AQ98" s="7" t="str">
        <f t="shared" si="44"/>
        <v/>
      </c>
      <c r="AR98" s="7" t="str">
        <f t="shared" si="45"/>
        <v/>
      </c>
      <c r="AS98" s="7" t="str">
        <f t="shared" si="46"/>
        <v/>
      </c>
      <c r="AT98" s="97"/>
      <c r="AZ98" s="477" t="s">
        <v>2086</v>
      </c>
      <c r="CF98" s="586" t="str">
        <f t="shared" si="53"/>
        <v/>
      </c>
      <c r="CG98"/>
      <c r="CH98"/>
    </row>
    <row r="99" spans="1:86" s="13" customFormat="1" ht="13.75" customHeight="1">
      <c r="A99" s="137">
        <v>84</v>
      </c>
      <c r="B99" s="138"/>
      <c r="C99" s="139"/>
      <c r="D99" s="140"/>
      <c r="E99" s="139"/>
      <c r="F99" s="139"/>
      <c r="G99" s="191"/>
      <c r="H99" s="139"/>
      <c r="I99" s="141"/>
      <c r="J99" s="142"/>
      <c r="K99" s="139"/>
      <c r="L99" s="147"/>
      <c r="M99" s="148"/>
      <c r="N99" s="583"/>
      <c r="O99" s="229" t="str">
        <f t="shared" si="47"/>
        <v/>
      </c>
      <c r="P99" s="229" t="str">
        <f t="shared" si="48"/>
        <v/>
      </c>
      <c r="Q99" s="230" t="str">
        <f t="shared" si="49"/>
        <v/>
      </c>
      <c r="R99" s="323" t="str">
        <f t="shared" si="50"/>
        <v/>
      </c>
      <c r="S99" s="350"/>
      <c r="T99" s="43"/>
      <c r="U99" s="347" t="str">
        <f t="shared" si="27"/>
        <v/>
      </c>
      <c r="V99" s="7" t="e">
        <f t="shared" si="28"/>
        <v>#N/A</v>
      </c>
      <c r="W99" s="7" t="e">
        <f t="shared" si="29"/>
        <v>#N/A</v>
      </c>
      <c r="X99" s="7" t="e">
        <f t="shared" si="30"/>
        <v>#N/A</v>
      </c>
      <c r="Y99" s="7" t="str">
        <f t="shared" si="31"/>
        <v/>
      </c>
      <c r="Z99" s="11">
        <f t="shared" si="32"/>
        <v>1</v>
      </c>
      <c r="AA99" s="7" t="e">
        <f t="shared" si="33"/>
        <v>#N/A</v>
      </c>
      <c r="AB99" s="7" t="e">
        <f t="shared" si="34"/>
        <v>#N/A</v>
      </c>
      <c r="AC99" s="7" t="e">
        <f t="shared" si="35"/>
        <v>#N/A</v>
      </c>
      <c r="AD99" s="472" t="e">
        <f>VLOOKUP(AF99,'排出係数(2017)'!$A$4:$I$1151,9,FALSE)</f>
        <v>#N/A</v>
      </c>
      <c r="AE99" s="12" t="str">
        <f t="shared" si="36"/>
        <v xml:space="preserve"> </v>
      </c>
      <c r="AF99" s="7" t="e">
        <f t="shared" si="51"/>
        <v>#N/A</v>
      </c>
      <c r="AG99" s="7" t="e">
        <f t="shared" si="37"/>
        <v>#N/A</v>
      </c>
      <c r="AH99" s="472" t="e">
        <f>VLOOKUP(AF99,'排出係数(2017)'!$A$4:$I$1151,6,FALSE)</f>
        <v>#N/A</v>
      </c>
      <c r="AI99" s="7" t="e">
        <f t="shared" si="38"/>
        <v>#N/A</v>
      </c>
      <c r="AJ99" s="7" t="e">
        <f t="shared" si="39"/>
        <v>#N/A</v>
      </c>
      <c r="AK99" s="472" t="e">
        <f>VLOOKUP(AF99,'排出係数(2017)'!$A$4:$I$1151,7,FALSE)</f>
        <v>#N/A</v>
      </c>
      <c r="AL99" s="7" t="e">
        <f t="shared" si="40"/>
        <v>#N/A</v>
      </c>
      <c r="AM99" s="7" t="e">
        <f t="shared" si="41"/>
        <v>#N/A</v>
      </c>
      <c r="AN99" s="7" t="e">
        <f t="shared" si="42"/>
        <v>#N/A</v>
      </c>
      <c r="AO99" s="7">
        <f t="shared" si="43"/>
        <v>0</v>
      </c>
      <c r="AP99" s="7" t="e">
        <f t="shared" si="52"/>
        <v>#N/A</v>
      </c>
      <c r="AQ99" s="7" t="str">
        <f t="shared" si="44"/>
        <v/>
      </c>
      <c r="AR99" s="7" t="str">
        <f t="shared" si="45"/>
        <v/>
      </c>
      <c r="AS99" s="7" t="str">
        <f t="shared" si="46"/>
        <v/>
      </c>
      <c r="AT99" s="97"/>
      <c r="AZ99" s="477" t="s">
        <v>2127</v>
      </c>
      <c r="CF99" s="586" t="str">
        <f t="shared" si="53"/>
        <v/>
      </c>
      <c r="CG99"/>
      <c r="CH99"/>
    </row>
    <row r="100" spans="1:86" s="13" customFormat="1" ht="13.75" customHeight="1">
      <c r="A100" s="137">
        <v>85</v>
      </c>
      <c r="B100" s="138"/>
      <c r="C100" s="139"/>
      <c r="D100" s="140"/>
      <c r="E100" s="139"/>
      <c r="F100" s="139"/>
      <c r="G100" s="191"/>
      <c r="H100" s="139"/>
      <c r="I100" s="141"/>
      <c r="J100" s="142"/>
      <c r="K100" s="139"/>
      <c r="L100" s="147"/>
      <c r="M100" s="148"/>
      <c r="N100" s="583"/>
      <c r="O100" s="229" t="str">
        <f t="shared" si="47"/>
        <v/>
      </c>
      <c r="P100" s="229" t="str">
        <f t="shared" si="48"/>
        <v/>
      </c>
      <c r="Q100" s="230" t="str">
        <f t="shared" si="49"/>
        <v/>
      </c>
      <c r="R100" s="323" t="str">
        <f t="shared" si="50"/>
        <v/>
      </c>
      <c r="S100" s="350"/>
      <c r="T100" s="43"/>
      <c r="U100" s="347" t="str">
        <f t="shared" si="27"/>
        <v/>
      </c>
      <c r="V100" s="7" t="e">
        <f t="shared" si="28"/>
        <v>#N/A</v>
      </c>
      <c r="W100" s="7" t="e">
        <f t="shared" si="29"/>
        <v>#N/A</v>
      </c>
      <c r="X100" s="7" t="e">
        <f t="shared" si="30"/>
        <v>#N/A</v>
      </c>
      <c r="Y100" s="7" t="str">
        <f t="shared" si="31"/>
        <v/>
      </c>
      <c r="Z100" s="11">
        <f t="shared" si="32"/>
        <v>1</v>
      </c>
      <c r="AA100" s="7" t="e">
        <f t="shared" si="33"/>
        <v>#N/A</v>
      </c>
      <c r="AB100" s="7" t="e">
        <f t="shared" si="34"/>
        <v>#N/A</v>
      </c>
      <c r="AC100" s="7" t="e">
        <f t="shared" si="35"/>
        <v>#N/A</v>
      </c>
      <c r="AD100" s="472" t="e">
        <f>VLOOKUP(AF100,'排出係数(2017)'!$A$4:$I$1151,9,FALSE)</f>
        <v>#N/A</v>
      </c>
      <c r="AE100" s="12" t="str">
        <f t="shared" si="36"/>
        <v xml:space="preserve"> </v>
      </c>
      <c r="AF100" s="7" t="e">
        <f t="shared" si="51"/>
        <v>#N/A</v>
      </c>
      <c r="AG100" s="7" t="e">
        <f t="shared" si="37"/>
        <v>#N/A</v>
      </c>
      <c r="AH100" s="472" t="e">
        <f>VLOOKUP(AF100,'排出係数(2017)'!$A$4:$I$1151,6,FALSE)</f>
        <v>#N/A</v>
      </c>
      <c r="AI100" s="7" t="e">
        <f t="shared" si="38"/>
        <v>#N/A</v>
      </c>
      <c r="AJ100" s="7" t="e">
        <f t="shared" si="39"/>
        <v>#N/A</v>
      </c>
      <c r="AK100" s="472" t="e">
        <f>VLOOKUP(AF100,'排出係数(2017)'!$A$4:$I$1151,7,FALSE)</f>
        <v>#N/A</v>
      </c>
      <c r="AL100" s="7" t="e">
        <f t="shared" si="40"/>
        <v>#N/A</v>
      </c>
      <c r="AM100" s="7" t="e">
        <f t="shared" si="41"/>
        <v>#N/A</v>
      </c>
      <c r="AN100" s="7" t="e">
        <f t="shared" si="42"/>
        <v>#N/A</v>
      </c>
      <c r="AO100" s="7">
        <f t="shared" si="43"/>
        <v>0</v>
      </c>
      <c r="AP100" s="7" t="e">
        <f t="shared" si="52"/>
        <v>#N/A</v>
      </c>
      <c r="AQ100" s="7" t="str">
        <f t="shared" si="44"/>
        <v/>
      </c>
      <c r="AR100" s="7" t="str">
        <f t="shared" si="45"/>
        <v/>
      </c>
      <c r="AS100" s="7" t="str">
        <f t="shared" si="46"/>
        <v/>
      </c>
      <c r="AT100" s="97"/>
      <c r="AZ100" s="477" t="s">
        <v>2078</v>
      </c>
      <c r="CF100" s="586" t="str">
        <f t="shared" si="53"/>
        <v/>
      </c>
      <c r="CG100"/>
      <c r="CH100"/>
    </row>
    <row r="101" spans="1:86" s="13" customFormat="1" ht="13.75" customHeight="1">
      <c r="A101" s="137">
        <v>86</v>
      </c>
      <c r="B101" s="138"/>
      <c r="C101" s="139"/>
      <c r="D101" s="140"/>
      <c r="E101" s="139"/>
      <c r="F101" s="139"/>
      <c r="G101" s="191"/>
      <c r="H101" s="139"/>
      <c r="I101" s="141"/>
      <c r="J101" s="142"/>
      <c r="K101" s="139"/>
      <c r="L101" s="147"/>
      <c r="M101" s="148"/>
      <c r="N101" s="583"/>
      <c r="O101" s="229" t="str">
        <f t="shared" si="47"/>
        <v/>
      </c>
      <c r="P101" s="229" t="str">
        <f t="shared" si="48"/>
        <v/>
      </c>
      <c r="Q101" s="230" t="str">
        <f t="shared" si="49"/>
        <v/>
      </c>
      <c r="R101" s="323" t="str">
        <f t="shared" si="50"/>
        <v/>
      </c>
      <c r="S101" s="350"/>
      <c r="T101" s="43"/>
      <c r="U101" s="347" t="str">
        <f t="shared" si="27"/>
        <v/>
      </c>
      <c r="V101" s="7" t="e">
        <f t="shared" si="28"/>
        <v>#N/A</v>
      </c>
      <c r="W101" s="7" t="e">
        <f t="shared" si="29"/>
        <v>#N/A</v>
      </c>
      <c r="X101" s="7" t="e">
        <f t="shared" si="30"/>
        <v>#N/A</v>
      </c>
      <c r="Y101" s="7" t="str">
        <f t="shared" si="31"/>
        <v/>
      </c>
      <c r="Z101" s="11">
        <f t="shared" si="32"/>
        <v>1</v>
      </c>
      <c r="AA101" s="7" t="e">
        <f t="shared" si="33"/>
        <v>#N/A</v>
      </c>
      <c r="AB101" s="7" t="e">
        <f t="shared" si="34"/>
        <v>#N/A</v>
      </c>
      <c r="AC101" s="7" t="e">
        <f t="shared" si="35"/>
        <v>#N/A</v>
      </c>
      <c r="AD101" s="472" t="e">
        <f>VLOOKUP(AF101,'排出係数(2017)'!$A$4:$I$1151,9,FALSE)</f>
        <v>#N/A</v>
      </c>
      <c r="AE101" s="12" t="str">
        <f t="shared" si="36"/>
        <v xml:space="preserve"> </v>
      </c>
      <c r="AF101" s="7" t="e">
        <f t="shared" si="51"/>
        <v>#N/A</v>
      </c>
      <c r="AG101" s="7" t="e">
        <f t="shared" si="37"/>
        <v>#N/A</v>
      </c>
      <c r="AH101" s="472" t="e">
        <f>VLOOKUP(AF101,'排出係数(2017)'!$A$4:$I$1151,6,FALSE)</f>
        <v>#N/A</v>
      </c>
      <c r="AI101" s="7" t="e">
        <f t="shared" si="38"/>
        <v>#N/A</v>
      </c>
      <c r="AJ101" s="7" t="e">
        <f t="shared" si="39"/>
        <v>#N/A</v>
      </c>
      <c r="AK101" s="472" t="e">
        <f>VLOOKUP(AF101,'排出係数(2017)'!$A$4:$I$1151,7,FALSE)</f>
        <v>#N/A</v>
      </c>
      <c r="AL101" s="7" t="e">
        <f t="shared" si="40"/>
        <v>#N/A</v>
      </c>
      <c r="AM101" s="7" t="e">
        <f t="shared" si="41"/>
        <v>#N/A</v>
      </c>
      <c r="AN101" s="7" t="e">
        <f t="shared" si="42"/>
        <v>#N/A</v>
      </c>
      <c r="AO101" s="7">
        <f t="shared" si="43"/>
        <v>0</v>
      </c>
      <c r="AP101" s="7" t="e">
        <f t="shared" si="52"/>
        <v>#N/A</v>
      </c>
      <c r="AQ101" s="7" t="str">
        <f t="shared" si="44"/>
        <v/>
      </c>
      <c r="AR101" s="7" t="str">
        <f t="shared" si="45"/>
        <v/>
      </c>
      <c r="AS101" s="7" t="str">
        <f t="shared" si="46"/>
        <v/>
      </c>
      <c r="AT101" s="97"/>
      <c r="AZ101" s="477" t="s">
        <v>2087</v>
      </c>
      <c r="CF101" s="586" t="str">
        <f t="shared" si="53"/>
        <v/>
      </c>
      <c r="CG101"/>
      <c r="CH101"/>
    </row>
    <row r="102" spans="1:86" s="13" customFormat="1" ht="13.75" customHeight="1">
      <c r="A102" s="137">
        <v>87</v>
      </c>
      <c r="B102" s="138"/>
      <c r="C102" s="139"/>
      <c r="D102" s="140"/>
      <c r="E102" s="139"/>
      <c r="F102" s="139"/>
      <c r="G102" s="191"/>
      <c r="H102" s="139"/>
      <c r="I102" s="141"/>
      <c r="J102" s="142"/>
      <c r="K102" s="139"/>
      <c r="L102" s="147"/>
      <c r="M102" s="148"/>
      <c r="N102" s="583"/>
      <c r="O102" s="229" t="str">
        <f t="shared" si="47"/>
        <v/>
      </c>
      <c r="P102" s="229" t="str">
        <f t="shared" si="48"/>
        <v/>
      </c>
      <c r="Q102" s="230" t="str">
        <f t="shared" si="49"/>
        <v/>
      </c>
      <c r="R102" s="323" t="str">
        <f t="shared" si="50"/>
        <v/>
      </c>
      <c r="S102" s="350"/>
      <c r="T102" s="43"/>
      <c r="U102" s="347" t="str">
        <f t="shared" si="27"/>
        <v/>
      </c>
      <c r="V102" s="7" t="e">
        <f t="shared" si="28"/>
        <v>#N/A</v>
      </c>
      <c r="W102" s="7" t="e">
        <f t="shared" si="29"/>
        <v>#N/A</v>
      </c>
      <c r="X102" s="7" t="e">
        <f t="shared" si="30"/>
        <v>#N/A</v>
      </c>
      <c r="Y102" s="7" t="str">
        <f t="shared" si="31"/>
        <v/>
      </c>
      <c r="Z102" s="11">
        <f t="shared" si="32"/>
        <v>1</v>
      </c>
      <c r="AA102" s="7" t="e">
        <f t="shared" si="33"/>
        <v>#N/A</v>
      </c>
      <c r="AB102" s="7" t="e">
        <f t="shared" si="34"/>
        <v>#N/A</v>
      </c>
      <c r="AC102" s="7" t="e">
        <f t="shared" si="35"/>
        <v>#N/A</v>
      </c>
      <c r="AD102" s="472" t="e">
        <f>VLOOKUP(AF102,'排出係数(2017)'!$A$4:$I$1151,9,FALSE)</f>
        <v>#N/A</v>
      </c>
      <c r="AE102" s="12" t="str">
        <f t="shared" si="36"/>
        <v xml:space="preserve"> </v>
      </c>
      <c r="AF102" s="7" t="e">
        <f t="shared" si="51"/>
        <v>#N/A</v>
      </c>
      <c r="AG102" s="7" t="e">
        <f t="shared" si="37"/>
        <v>#N/A</v>
      </c>
      <c r="AH102" s="472" t="e">
        <f>VLOOKUP(AF102,'排出係数(2017)'!$A$4:$I$1151,6,FALSE)</f>
        <v>#N/A</v>
      </c>
      <c r="AI102" s="7" t="e">
        <f t="shared" si="38"/>
        <v>#N/A</v>
      </c>
      <c r="AJ102" s="7" t="e">
        <f t="shared" si="39"/>
        <v>#N/A</v>
      </c>
      <c r="AK102" s="472" t="e">
        <f>VLOOKUP(AF102,'排出係数(2017)'!$A$4:$I$1151,7,FALSE)</f>
        <v>#N/A</v>
      </c>
      <c r="AL102" s="7" t="e">
        <f t="shared" si="40"/>
        <v>#N/A</v>
      </c>
      <c r="AM102" s="7" t="e">
        <f t="shared" si="41"/>
        <v>#N/A</v>
      </c>
      <c r="AN102" s="7" t="e">
        <f t="shared" si="42"/>
        <v>#N/A</v>
      </c>
      <c r="AO102" s="7">
        <f t="shared" si="43"/>
        <v>0</v>
      </c>
      <c r="AP102" s="7" t="e">
        <f t="shared" si="52"/>
        <v>#N/A</v>
      </c>
      <c r="AQ102" s="7" t="str">
        <f t="shared" si="44"/>
        <v/>
      </c>
      <c r="AR102" s="7" t="str">
        <f t="shared" si="45"/>
        <v/>
      </c>
      <c r="AS102" s="7" t="str">
        <f t="shared" si="46"/>
        <v/>
      </c>
      <c r="AT102" s="97"/>
      <c r="AZ102" s="477" t="s">
        <v>1914</v>
      </c>
      <c r="CF102" s="586" t="str">
        <f t="shared" si="53"/>
        <v/>
      </c>
      <c r="CG102"/>
      <c r="CH102"/>
    </row>
    <row r="103" spans="1:86" s="13" customFormat="1" ht="13.75" customHeight="1">
      <c r="A103" s="137">
        <v>88</v>
      </c>
      <c r="B103" s="138"/>
      <c r="C103" s="139"/>
      <c r="D103" s="140"/>
      <c r="E103" s="139"/>
      <c r="F103" s="139"/>
      <c r="G103" s="191"/>
      <c r="H103" s="139"/>
      <c r="I103" s="141"/>
      <c r="J103" s="142"/>
      <c r="K103" s="139"/>
      <c r="L103" s="147"/>
      <c r="M103" s="148"/>
      <c r="N103" s="583"/>
      <c r="O103" s="229" t="str">
        <f t="shared" si="47"/>
        <v/>
      </c>
      <c r="P103" s="229" t="str">
        <f t="shared" si="48"/>
        <v/>
      </c>
      <c r="Q103" s="230" t="str">
        <f t="shared" si="49"/>
        <v/>
      </c>
      <c r="R103" s="323" t="str">
        <f t="shared" si="50"/>
        <v/>
      </c>
      <c r="S103" s="350"/>
      <c r="T103" s="43"/>
      <c r="U103" s="347" t="str">
        <f t="shared" si="27"/>
        <v/>
      </c>
      <c r="V103" s="7" t="e">
        <f t="shared" si="28"/>
        <v>#N/A</v>
      </c>
      <c r="W103" s="7" t="e">
        <f t="shared" si="29"/>
        <v>#N/A</v>
      </c>
      <c r="X103" s="7" t="e">
        <f t="shared" si="30"/>
        <v>#N/A</v>
      </c>
      <c r="Y103" s="7" t="str">
        <f t="shared" si="31"/>
        <v/>
      </c>
      <c r="Z103" s="11">
        <f t="shared" si="32"/>
        <v>1</v>
      </c>
      <c r="AA103" s="7" t="e">
        <f t="shared" si="33"/>
        <v>#N/A</v>
      </c>
      <c r="AB103" s="7" t="e">
        <f t="shared" si="34"/>
        <v>#N/A</v>
      </c>
      <c r="AC103" s="7" t="e">
        <f t="shared" si="35"/>
        <v>#N/A</v>
      </c>
      <c r="AD103" s="472" t="e">
        <f>VLOOKUP(AF103,'排出係数(2017)'!$A$4:$I$1151,9,FALSE)</f>
        <v>#N/A</v>
      </c>
      <c r="AE103" s="12" t="str">
        <f t="shared" si="36"/>
        <v xml:space="preserve"> </v>
      </c>
      <c r="AF103" s="7" t="e">
        <f t="shared" si="51"/>
        <v>#N/A</v>
      </c>
      <c r="AG103" s="7" t="e">
        <f t="shared" si="37"/>
        <v>#N/A</v>
      </c>
      <c r="AH103" s="472" t="e">
        <f>VLOOKUP(AF103,'排出係数(2017)'!$A$4:$I$1151,6,FALSE)</f>
        <v>#N/A</v>
      </c>
      <c r="AI103" s="7" t="e">
        <f t="shared" si="38"/>
        <v>#N/A</v>
      </c>
      <c r="AJ103" s="7" t="e">
        <f t="shared" si="39"/>
        <v>#N/A</v>
      </c>
      <c r="AK103" s="472" t="e">
        <f>VLOOKUP(AF103,'排出係数(2017)'!$A$4:$I$1151,7,FALSE)</f>
        <v>#N/A</v>
      </c>
      <c r="AL103" s="7" t="e">
        <f t="shared" si="40"/>
        <v>#N/A</v>
      </c>
      <c r="AM103" s="7" t="e">
        <f t="shared" si="41"/>
        <v>#N/A</v>
      </c>
      <c r="AN103" s="7" t="e">
        <f t="shared" si="42"/>
        <v>#N/A</v>
      </c>
      <c r="AO103" s="7">
        <f t="shared" si="43"/>
        <v>0</v>
      </c>
      <c r="AP103" s="7" t="e">
        <f t="shared" si="52"/>
        <v>#N/A</v>
      </c>
      <c r="AQ103" s="7" t="str">
        <f t="shared" si="44"/>
        <v/>
      </c>
      <c r="AR103" s="7" t="str">
        <f t="shared" si="45"/>
        <v/>
      </c>
      <c r="AS103" s="7" t="str">
        <f t="shared" si="46"/>
        <v/>
      </c>
      <c r="AT103" s="97"/>
      <c r="AZ103" s="477" t="s">
        <v>1915</v>
      </c>
      <c r="CF103" s="586" t="str">
        <f t="shared" si="53"/>
        <v/>
      </c>
      <c r="CG103"/>
      <c r="CH103"/>
    </row>
    <row r="104" spans="1:86" s="13" customFormat="1" ht="13.75" customHeight="1">
      <c r="A104" s="137">
        <v>89</v>
      </c>
      <c r="B104" s="138"/>
      <c r="C104" s="139"/>
      <c r="D104" s="140"/>
      <c r="E104" s="139"/>
      <c r="F104" s="139"/>
      <c r="G104" s="191"/>
      <c r="H104" s="139"/>
      <c r="I104" s="141"/>
      <c r="J104" s="142"/>
      <c r="K104" s="139"/>
      <c r="L104" s="147"/>
      <c r="M104" s="148"/>
      <c r="N104" s="583"/>
      <c r="O104" s="229" t="str">
        <f t="shared" si="47"/>
        <v/>
      </c>
      <c r="P104" s="229" t="str">
        <f t="shared" si="48"/>
        <v/>
      </c>
      <c r="Q104" s="230" t="str">
        <f t="shared" si="49"/>
        <v/>
      </c>
      <c r="R104" s="323" t="str">
        <f t="shared" si="50"/>
        <v/>
      </c>
      <c r="S104" s="350"/>
      <c r="T104" s="43"/>
      <c r="U104" s="347" t="str">
        <f t="shared" si="27"/>
        <v/>
      </c>
      <c r="V104" s="7" t="e">
        <f t="shared" si="28"/>
        <v>#N/A</v>
      </c>
      <c r="W104" s="7" t="e">
        <f t="shared" si="29"/>
        <v>#N/A</v>
      </c>
      <c r="X104" s="7" t="e">
        <f t="shared" si="30"/>
        <v>#N/A</v>
      </c>
      <c r="Y104" s="7" t="str">
        <f t="shared" si="31"/>
        <v/>
      </c>
      <c r="Z104" s="11">
        <f t="shared" si="32"/>
        <v>1</v>
      </c>
      <c r="AA104" s="7" t="e">
        <f t="shared" si="33"/>
        <v>#N/A</v>
      </c>
      <c r="AB104" s="7" t="e">
        <f t="shared" si="34"/>
        <v>#N/A</v>
      </c>
      <c r="AC104" s="7" t="e">
        <f t="shared" si="35"/>
        <v>#N/A</v>
      </c>
      <c r="AD104" s="472" t="e">
        <f>VLOOKUP(AF104,'排出係数(2017)'!$A$4:$I$1151,9,FALSE)</f>
        <v>#N/A</v>
      </c>
      <c r="AE104" s="12" t="str">
        <f t="shared" si="36"/>
        <v xml:space="preserve"> </v>
      </c>
      <c r="AF104" s="7" t="e">
        <f t="shared" si="51"/>
        <v>#N/A</v>
      </c>
      <c r="AG104" s="7" t="e">
        <f t="shared" si="37"/>
        <v>#N/A</v>
      </c>
      <c r="AH104" s="472" t="e">
        <f>VLOOKUP(AF104,'排出係数(2017)'!$A$4:$I$1151,6,FALSE)</f>
        <v>#N/A</v>
      </c>
      <c r="AI104" s="7" t="e">
        <f t="shared" si="38"/>
        <v>#N/A</v>
      </c>
      <c r="AJ104" s="7" t="e">
        <f t="shared" si="39"/>
        <v>#N/A</v>
      </c>
      <c r="AK104" s="472" t="e">
        <f>VLOOKUP(AF104,'排出係数(2017)'!$A$4:$I$1151,7,FALSE)</f>
        <v>#N/A</v>
      </c>
      <c r="AL104" s="7" t="e">
        <f t="shared" si="40"/>
        <v>#N/A</v>
      </c>
      <c r="AM104" s="7" t="e">
        <f t="shared" si="41"/>
        <v>#N/A</v>
      </c>
      <c r="AN104" s="7" t="e">
        <f t="shared" si="42"/>
        <v>#N/A</v>
      </c>
      <c r="AO104" s="7">
        <f t="shared" si="43"/>
        <v>0</v>
      </c>
      <c r="AP104" s="7" t="e">
        <f t="shared" si="52"/>
        <v>#N/A</v>
      </c>
      <c r="AQ104" s="7" t="str">
        <f t="shared" si="44"/>
        <v/>
      </c>
      <c r="AR104" s="7" t="str">
        <f t="shared" si="45"/>
        <v/>
      </c>
      <c r="AS104" s="7" t="str">
        <f t="shared" si="46"/>
        <v/>
      </c>
      <c r="AT104" s="97"/>
      <c r="AZ104" s="477" t="s">
        <v>1916</v>
      </c>
      <c r="CF104" s="586" t="str">
        <f t="shared" si="53"/>
        <v/>
      </c>
      <c r="CG104"/>
      <c r="CH104"/>
    </row>
    <row r="105" spans="1:86" s="13" customFormat="1" ht="13.75" customHeight="1">
      <c r="A105" s="137">
        <v>90</v>
      </c>
      <c r="B105" s="138"/>
      <c r="C105" s="139"/>
      <c r="D105" s="140"/>
      <c r="E105" s="139"/>
      <c r="F105" s="139"/>
      <c r="G105" s="191"/>
      <c r="H105" s="139"/>
      <c r="I105" s="141"/>
      <c r="J105" s="142"/>
      <c r="K105" s="139"/>
      <c r="L105" s="147"/>
      <c r="M105" s="148"/>
      <c r="N105" s="583"/>
      <c r="O105" s="229" t="str">
        <f t="shared" si="47"/>
        <v/>
      </c>
      <c r="P105" s="229" t="str">
        <f t="shared" si="48"/>
        <v/>
      </c>
      <c r="Q105" s="230" t="str">
        <f t="shared" si="49"/>
        <v/>
      </c>
      <c r="R105" s="323" t="str">
        <f t="shared" si="50"/>
        <v/>
      </c>
      <c r="S105" s="350"/>
      <c r="T105" s="43"/>
      <c r="U105" s="347" t="str">
        <f t="shared" si="27"/>
        <v/>
      </c>
      <c r="V105" s="7" t="e">
        <f t="shared" si="28"/>
        <v>#N/A</v>
      </c>
      <c r="W105" s="7" t="e">
        <f t="shared" si="29"/>
        <v>#N/A</v>
      </c>
      <c r="X105" s="7" t="e">
        <f t="shared" si="30"/>
        <v>#N/A</v>
      </c>
      <c r="Y105" s="7" t="str">
        <f t="shared" si="31"/>
        <v/>
      </c>
      <c r="Z105" s="11">
        <f t="shared" si="32"/>
        <v>1</v>
      </c>
      <c r="AA105" s="7" t="e">
        <f t="shared" si="33"/>
        <v>#N/A</v>
      </c>
      <c r="AB105" s="7" t="e">
        <f t="shared" si="34"/>
        <v>#N/A</v>
      </c>
      <c r="AC105" s="7" t="e">
        <f t="shared" si="35"/>
        <v>#N/A</v>
      </c>
      <c r="AD105" s="472" t="e">
        <f>VLOOKUP(AF105,'排出係数(2017)'!$A$4:$I$1151,9,FALSE)</f>
        <v>#N/A</v>
      </c>
      <c r="AE105" s="12" t="str">
        <f t="shared" si="36"/>
        <v xml:space="preserve"> </v>
      </c>
      <c r="AF105" s="7" t="e">
        <f t="shared" si="51"/>
        <v>#N/A</v>
      </c>
      <c r="AG105" s="7" t="e">
        <f t="shared" si="37"/>
        <v>#N/A</v>
      </c>
      <c r="AH105" s="472" t="e">
        <f>VLOOKUP(AF105,'排出係数(2017)'!$A$4:$I$1151,6,FALSE)</f>
        <v>#N/A</v>
      </c>
      <c r="AI105" s="7" t="e">
        <f t="shared" si="38"/>
        <v>#N/A</v>
      </c>
      <c r="AJ105" s="7" t="e">
        <f t="shared" si="39"/>
        <v>#N/A</v>
      </c>
      <c r="AK105" s="472" t="e">
        <f>VLOOKUP(AF105,'排出係数(2017)'!$A$4:$I$1151,7,FALSE)</f>
        <v>#N/A</v>
      </c>
      <c r="AL105" s="7" t="e">
        <f t="shared" si="40"/>
        <v>#N/A</v>
      </c>
      <c r="AM105" s="7" t="e">
        <f t="shared" si="41"/>
        <v>#N/A</v>
      </c>
      <c r="AN105" s="7" t="e">
        <f t="shared" si="42"/>
        <v>#N/A</v>
      </c>
      <c r="AO105" s="7">
        <f t="shared" si="43"/>
        <v>0</v>
      </c>
      <c r="AP105" s="7" t="e">
        <f t="shared" si="52"/>
        <v>#N/A</v>
      </c>
      <c r="AQ105" s="7" t="str">
        <f t="shared" si="44"/>
        <v/>
      </c>
      <c r="AR105" s="7" t="str">
        <f t="shared" si="45"/>
        <v/>
      </c>
      <c r="AS105" s="7" t="str">
        <f t="shared" si="46"/>
        <v/>
      </c>
      <c r="AT105" s="97"/>
      <c r="AZ105" s="477" t="s">
        <v>1918</v>
      </c>
      <c r="CF105" s="586" t="str">
        <f t="shared" si="53"/>
        <v/>
      </c>
      <c r="CG105"/>
      <c r="CH105"/>
    </row>
    <row r="106" spans="1:86" s="13" customFormat="1" ht="13.75" customHeight="1">
      <c r="A106" s="137">
        <v>91</v>
      </c>
      <c r="B106" s="138"/>
      <c r="C106" s="139"/>
      <c r="D106" s="140"/>
      <c r="E106" s="139"/>
      <c r="F106" s="139"/>
      <c r="G106" s="191"/>
      <c r="H106" s="139"/>
      <c r="I106" s="141"/>
      <c r="J106" s="142"/>
      <c r="K106" s="139"/>
      <c r="L106" s="147"/>
      <c r="M106" s="148"/>
      <c r="N106" s="583"/>
      <c r="O106" s="229" t="str">
        <f t="shared" si="47"/>
        <v/>
      </c>
      <c r="P106" s="229" t="str">
        <f t="shared" si="48"/>
        <v/>
      </c>
      <c r="Q106" s="230" t="str">
        <f t="shared" si="49"/>
        <v/>
      </c>
      <c r="R106" s="323" t="str">
        <f t="shared" si="50"/>
        <v/>
      </c>
      <c r="S106" s="350"/>
      <c r="T106" s="43"/>
      <c r="U106" s="347" t="str">
        <f t="shared" si="27"/>
        <v/>
      </c>
      <c r="V106" s="7" t="e">
        <f t="shared" si="28"/>
        <v>#N/A</v>
      </c>
      <c r="W106" s="7" t="e">
        <f t="shared" si="29"/>
        <v>#N/A</v>
      </c>
      <c r="X106" s="7" t="e">
        <f t="shared" si="30"/>
        <v>#N/A</v>
      </c>
      <c r="Y106" s="7" t="str">
        <f t="shared" si="31"/>
        <v/>
      </c>
      <c r="Z106" s="11">
        <f t="shared" si="32"/>
        <v>1</v>
      </c>
      <c r="AA106" s="7" t="e">
        <f t="shared" si="33"/>
        <v>#N/A</v>
      </c>
      <c r="AB106" s="7" t="e">
        <f t="shared" si="34"/>
        <v>#N/A</v>
      </c>
      <c r="AC106" s="7" t="e">
        <f t="shared" si="35"/>
        <v>#N/A</v>
      </c>
      <c r="AD106" s="472" t="e">
        <f>VLOOKUP(AF106,'排出係数(2017)'!$A$4:$I$1151,9,FALSE)</f>
        <v>#N/A</v>
      </c>
      <c r="AE106" s="12" t="str">
        <f t="shared" si="36"/>
        <v xml:space="preserve"> </v>
      </c>
      <c r="AF106" s="7" t="e">
        <f t="shared" si="51"/>
        <v>#N/A</v>
      </c>
      <c r="AG106" s="7" t="e">
        <f t="shared" si="37"/>
        <v>#N/A</v>
      </c>
      <c r="AH106" s="472" t="e">
        <f>VLOOKUP(AF106,'排出係数(2017)'!$A$4:$I$1151,6,FALSE)</f>
        <v>#N/A</v>
      </c>
      <c r="AI106" s="7" t="e">
        <f t="shared" si="38"/>
        <v>#N/A</v>
      </c>
      <c r="AJ106" s="7" t="e">
        <f t="shared" si="39"/>
        <v>#N/A</v>
      </c>
      <c r="AK106" s="472" t="e">
        <f>VLOOKUP(AF106,'排出係数(2017)'!$A$4:$I$1151,7,FALSE)</f>
        <v>#N/A</v>
      </c>
      <c r="AL106" s="7" t="e">
        <f t="shared" si="40"/>
        <v>#N/A</v>
      </c>
      <c r="AM106" s="7" t="e">
        <f t="shared" si="41"/>
        <v>#N/A</v>
      </c>
      <c r="AN106" s="7" t="e">
        <f t="shared" si="42"/>
        <v>#N/A</v>
      </c>
      <c r="AO106" s="7">
        <f t="shared" si="43"/>
        <v>0</v>
      </c>
      <c r="AP106" s="7" t="e">
        <f t="shared" si="52"/>
        <v>#N/A</v>
      </c>
      <c r="AQ106" s="7" t="str">
        <f t="shared" si="44"/>
        <v/>
      </c>
      <c r="AR106" s="7" t="str">
        <f t="shared" si="45"/>
        <v/>
      </c>
      <c r="AS106" s="7" t="str">
        <f t="shared" si="46"/>
        <v/>
      </c>
      <c r="AT106" s="97"/>
      <c r="AZ106" s="477" t="s">
        <v>1919</v>
      </c>
      <c r="CF106" s="586" t="str">
        <f t="shared" si="53"/>
        <v/>
      </c>
      <c r="CG106"/>
      <c r="CH106"/>
    </row>
    <row r="107" spans="1:86" s="13" customFormat="1" ht="13.75" customHeight="1">
      <c r="A107" s="137">
        <v>92</v>
      </c>
      <c r="B107" s="138"/>
      <c r="C107" s="139"/>
      <c r="D107" s="140"/>
      <c r="E107" s="139"/>
      <c r="F107" s="139"/>
      <c r="G107" s="191"/>
      <c r="H107" s="139"/>
      <c r="I107" s="141"/>
      <c r="J107" s="142"/>
      <c r="K107" s="139"/>
      <c r="L107" s="147"/>
      <c r="M107" s="148"/>
      <c r="N107" s="583"/>
      <c r="O107" s="229" t="str">
        <f t="shared" si="47"/>
        <v/>
      </c>
      <c r="P107" s="229" t="str">
        <f t="shared" si="48"/>
        <v/>
      </c>
      <c r="Q107" s="230" t="str">
        <f t="shared" si="49"/>
        <v/>
      </c>
      <c r="R107" s="323" t="str">
        <f t="shared" si="50"/>
        <v/>
      </c>
      <c r="S107" s="350"/>
      <c r="T107" s="43"/>
      <c r="U107" s="347" t="str">
        <f t="shared" si="27"/>
        <v/>
      </c>
      <c r="V107" s="7" t="e">
        <f t="shared" si="28"/>
        <v>#N/A</v>
      </c>
      <c r="W107" s="7" t="e">
        <f t="shared" si="29"/>
        <v>#N/A</v>
      </c>
      <c r="X107" s="7" t="e">
        <f t="shared" si="30"/>
        <v>#N/A</v>
      </c>
      <c r="Y107" s="7" t="str">
        <f t="shared" si="31"/>
        <v/>
      </c>
      <c r="Z107" s="11">
        <f t="shared" si="32"/>
        <v>1</v>
      </c>
      <c r="AA107" s="7" t="e">
        <f t="shared" si="33"/>
        <v>#N/A</v>
      </c>
      <c r="AB107" s="7" t="e">
        <f t="shared" si="34"/>
        <v>#N/A</v>
      </c>
      <c r="AC107" s="7" t="e">
        <f t="shared" si="35"/>
        <v>#N/A</v>
      </c>
      <c r="AD107" s="472" t="e">
        <f>VLOOKUP(AF107,'排出係数(2017)'!$A$4:$I$1151,9,FALSE)</f>
        <v>#N/A</v>
      </c>
      <c r="AE107" s="12" t="str">
        <f t="shared" si="36"/>
        <v xml:space="preserve"> </v>
      </c>
      <c r="AF107" s="7" t="e">
        <f t="shared" si="51"/>
        <v>#N/A</v>
      </c>
      <c r="AG107" s="7" t="e">
        <f t="shared" si="37"/>
        <v>#N/A</v>
      </c>
      <c r="AH107" s="472" t="e">
        <f>VLOOKUP(AF107,'排出係数(2017)'!$A$4:$I$1151,6,FALSE)</f>
        <v>#N/A</v>
      </c>
      <c r="AI107" s="7" t="e">
        <f t="shared" si="38"/>
        <v>#N/A</v>
      </c>
      <c r="AJ107" s="7" t="e">
        <f t="shared" si="39"/>
        <v>#N/A</v>
      </c>
      <c r="AK107" s="472" t="e">
        <f>VLOOKUP(AF107,'排出係数(2017)'!$A$4:$I$1151,7,FALSE)</f>
        <v>#N/A</v>
      </c>
      <c r="AL107" s="7" t="e">
        <f t="shared" si="40"/>
        <v>#N/A</v>
      </c>
      <c r="AM107" s="7" t="e">
        <f t="shared" si="41"/>
        <v>#N/A</v>
      </c>
      <c r="AN107" s="7" t="e">
        <f t="shared" si="42"/>
        <v>#N/A</v>
      </c>
      <c r="AO107" s="7">
        <f t="shared" si="43"/>
        <v>0</v>
      </c>
      <c r="AP107" s="7" t="e">
        <f t="shared" si="52"/>
        <v>#N/A</v>
      </c>
      <c r="AQ107" s="7" t="str">
        <f t="shared" si="44"/>
        <v/>
      </c>
      <c r="AR107" s="7" t="str">
        <f t="shared" si="45"/>
        <v/>
      </c>
      <c r="AS107" s="7" t="str">
        <f t="shared" si="46"/>
        <v/>
      </c>
      <c r="AT107" s="97"/>
      <c r="AZ107" s="477" t="s">
        <v>1920</v>
      </c>
      <c r="CF107" s="586" t="str">
        <f t="shared" si="53"/>
        <v/>
      </c>
      <c r="CG107"/>
      <c r="CH107"/>
    </row>
    <row r="108" spans="1:86" s="13" customFormat="1" ht="13.75" customHeight="1">
      <c r="A108" s="137">
        <v>93</v>
      </c>
      <c r="B108" s="138"/>
      <c r="C108" s="139"/>
      <c r="D108" s="140"/>
      <c r="E108" s="139"/>
      <c r="F108" s="139"/>
      <c r="G108" s="191"/>
      <c r="H108" s="139"/>
      <c r="I108" s="141"/>
      <c r="J108" s="142"/>
      <c r="K108" s="139"/>
      <c r="L108" s="147"/>
      <c r="M108" s="148"/>
      <c r="N108" s="583"/>
      <c r="O108" s="229" t="str">
        <f t="shared" si="47"/>
        <v/>
      </c>
      <c r="P108" s="229" t="str">
        <f t="shared" si="48"/>
        <v/>
      </c>
      <c r="Q108" s="230" t="str">
        <f t="shared" si="49"/>
        <v/>
      </c>
      <c r="R108" s="323" t="str">
        <f t="shared" si="50"/>
        <v/>
      </c>
      <c r="S108" s="350"/>
      <c r="T108" s="43"/>
      <c r="U108" s="347" t="str">
        <f t="shared" si="27"/>
        <v/>
      </c>
      <c r="V108" s="7" t="e">
        <f t="shared" si="28"/>
        <v>#N/A</v>
      </c>
      <c r="W108" s="7" t="e">
        <f t="shared" si="29"/>
        <v>#N/A</v>
      </c>
      <c r="X108" s="7" t="e">
        <f t="shared" si="30"/>
        <v>#N/A</v>
      </c>
      <c r="Y108" s="7" t="str">
        <f t="shared" si="31"/>
        <v/>
      </c>
      <c r="Z108" s="11">
        <f t="shared" si="32"/>
        <v>1</v>
      </c>
      <c r="AA108" s="7" t="e">
        <f t="shared" si="33"/>
        <v>#N/A</v>
      </c>
      <c r="AB108" s="7" t="e">
        <f t="shared" si="34"/>
        <v>#N/A</v>
      </c>
      <c r="AC108" s="7" t="e">
        <f t="shared" si="35"/>
        <v>#N/A</v>
      </c>
      <c r="AD108" s="472" t="e">
        <f>VLOOKUP(AF108,'排出係数(2017)'!$A$4:$I$1151,9,FALSE)</f>
        <v>#N/A</v>
      </c>
      <c r="AE108" s="12" t="str">
        <f t="shared" si="36"/>
        <v xml:space="preserve"> </v>
      </c>
      <c r="AF108" s="7" t="e">
        <f t="shared" si="51"/>
        <v>#N/A</v>
      </c>
      <c r="AG108" s="7" t="e">
        <f t="shared" si="37"/>
        <v>#N/A</v>
      </c>
      <c r="AH108" s="472" t="e">
        <f>VLOOKUP(AF108,'排出係数(2017)'!$A$4:$I$1151,6,FALSE)</f>
        <v>#N/A</v>
      </c>
      <c r="AI108" s="7" t="e">
        <f t="shared" si="38"/>
        <v>#N/A</v>
      </c>
      <c r="AJ108" s="7" t="e">
        <f t="shared" si="39"/>
        <v>#N/A</v>
      </c>
      <c r="AK108" s="472" t="e">
        <f>VLOOKUP(AF108,'排出係数(2017)'!$A$4:$I$1151,7,FALSE)</f>
        <v>#N/A</v>
      </c>
      <c r="AL108" s="7" t="e">
        <f t="shared" si="40"/>
        <v>#N/A</v>
      </c>
      <c r="AM108" s="7" t="e">
        <f t="shared" si="41"/>
        <v>#N/A</v>
      </c>
      <c r="AN108" s="7" t="e">
        <f t="shared" si="42"/>
        <v>#N/A</v>
      </c>
      <c r="AO108" s="7">
        <f t="shared" si="43"/>
        <v>0</v>
      </c>
      <c r="AP108" s="7" t="e">
        <f t="shared" si="52"/>
        <v>#N/A</v>
      </c>
      <c r="AQ108" s="7" t="str">
        <f t="shared" si="44"/>
        <v/>
      </c>
      <c r="AR108" s="7" t="str">
        <f t="shared" si="45"/>
        <v/>
      </c>
      <c r="AS108" s="7" t="str">
        <f t="shared" si="46"/>
        <v/>
      </c>
      <c r="AT108" s="97"/>
      <c r="AZ108" s="477" t="s">
        <v>1410</v>
      </c>
      <c r="CF108" s="586" t="str">
        <f t="shared" si="53"/>
        <v/>
      </c>
      <c r="CG108"/>
      <c r="CH108"/>
    </row>
    <row r="109" spans="1:86" s="13" customFormat="1" ht="13.75" customHeight="1">
      <c r="A109" s="137">
        <v>94</v>
      </c>
      <c r="B109" s="138"/>
      <c r="C109" s="139"/>
      <c r="D109" s="140"/>
      <c r="E109" s="139"/>
      <c r="F109" s="139"/>
      <c r="G109" s="191"/>
      <c r="H109" s="139"/>
      <c r="I109" s="141"/>
      <c r="J109" s="142"/>
      <c r="K109" s="139"/>
      <c r="L109" s="147"/>
      <c r="M109" s="148"/>
      <c r="N109" s="583"/>
      <c r="O109" s="229" t="str">
        <f t="shared" si="47"/>
        <v/>
      </c>
      <c r="P109" s="229" t="str">
        <f t="shared" si="48"/>
        <v/>
      </c>
      <c r="Q109" s="230" t="str">
        <f t="shared" si="49"/>
        <v/>
      </c>
      <c r="R109" s="323" t="str">
        <f t="shared" si="50"/>
        <v/>
      </c>
      <c r="S109" s="350"/>
      <c r="T109" s="43"/>
      <c r="U109" s="347" t="str">
        <f t="shared" si="27"/>
        <v/>
      </c>
      <c r="V109" s="7" t="e">
        <f t="shared" si="28"/>
        <v>#N/A</v>
      </c>
      <c r="W109" s="7" t="e">
        <f t="shared" si="29"/>
        <v>#N/A</v>
      </c>
      <c r="X109" s="7" t="e">
        <f t="shared" si="30"/>
        <v>#N/A</v>
      </c>
      <c r="Y109" s="7" t="str">
        <f t="shared" si="31"/>
        <v/>
      </c>
      <c r="Z109" s="11">
        <f t="shared" si="32"/>
        <v>1</v>
      </c>
      <c r="AA109" s="7" t="e">
        <f t="shared" si="33"/>
        <v>#N/A</v>
      </c>
      <c r="AB109" s="7" t="e">
        <f t="shared" si="34"/>
        <v>#N/A</v>
      </c>
      <c r="AC109" s="7" t="e">
        <f t="shared" si="35"/>
        <v>#N/A</v>
      </c>
      <c r="AD109" s="472" t="e">
        <f>VLOOKUP(AF109,'排出係数(2017)'!$A$4:$I$1151,9,FALSE)</f>
        <v>#N/A</v>
      </c>
      <c r="AE109" s="12" t="str">
        <f t="shared" si="36"/>
        <v xml:space="preserve"> </v>
      </c>
      <c r="AF109" s="7" t="e">
        <f t="shared" si="51"/>
        <v>#N/A</v>
      </c>
      <c r="AG109" s="7" t="e">
        <f t="shared" si="37"/>
        <v>#N/A</v>
      </c>
      <c r="AH109" s="472" t="e">
        <f>VLOOKUP(AF109,'排出係数(2017)'!$A$4:$I$1151,6,FALSE)</f>
        <v>#N/A</v>
      </c>
      <c r="AI109" s="7" t="e">
        <f t="shared" si="38"/>
        <v>#N/A</v>
      </c>
      <c r="AJ109" s="7" t="e">
        <f t="shared" si="39"/>
        <v>#N/A</v>
      </c>
      <c r="AK109" s="472" t="e">
        <f>VLOOKUP(AF109,'排出係数(2017)'!$A$4:$I$1151,7,FALSE)</f>
        <v>#N/A</v>
      </c>
      <c r="AL109" s="7" t="e">
        <f t="shared" si="40"/>
        <v>#N/A</v>
      </c>
      <c r="AM109" s="7" t="e">
        <f t="shared" si="41"/>
        <v>#N/A</v>
      </c>
      <c r="AN109" s="7" t="e">
        <f t="shared" si="42"/>
        <v>#N/A</v>
      </c>
      <c r="AO109" s="7">
        <f t="shared" si="43"/>
        <v>0</v>
      </c>
      <c r="AP109" s="7" t="e">
        <f t="shared" si="52"/>
        <v>#N/A</v>
      </c>
      <c r="AQ109" s="7" t="str">
        <f t="shared" si="44"/>
        <v/>
      </c>
      <c r="AR109" s="7" t="str">
        <f t="shared" si="45"/>
        <v/>
      </c>
      <c r="AS109" s="7" t="str">
        <f t="shared" si="46"/>
        <v/>
      </c>
      <c r="AT109" s="97"/>
      <c r="AZ109" s="477" t="s">
        <v>2515</v>
      </c>
      <c r="CF109" s="586" t="str">
        <f t="shared" si="53"/>
        <v/>
      </c>
      <c r="CG109"/>
      <c r="CH109"/>
    </row>
    <row r="110" spans="1:86" s="13" customFormat="1" ht="13.75" customHeight="1">
      <c r="A110" s="137">
        <v>95</v>
      </c>
      <c r="B110" s="138"/>
      <c r="C110" s="139"/>
      <c r="D110" s="140"/>
      <c r="E110" s="139"/>
      <c r="F110" s="139"/>
      <c r="G110" s="191"/>
      <c r="H110" s="139"/>
      <c r="I110" s="141"/>
      <c r="J110" s="142"/>
      <c r="K110" s="139"/>
      <c r="L110" s="147"/>
      <c r="M110" s="148"/>
      <c r="N110" s="583"/>
      <c r="O110" s="229" t="str">
        <f t="shared" si="47"/>
        <v/>
      </c>
      <c r="P110" s="229" t="str">
        <f t="shared" si="48"/>
        <v/>
      </c>
      <c r="Q110" s="230" t="str">
        <f t="shared" si="49"/>
        <v/>
      </c>
      <c r="R110" s="323" t="str">
        <f t="shared" si="50"/>
        <v/>
      </c>
      <c r="S110" s="350"/>
      <c r="T110" s="43"/>
      <c r="U110" s="347" t="str">
        <f t="shared" si="27"/>
        <v/>
      </c>
      <c r="V110" s="7" t="e">
        <f t="shared" si="28"/>
        <v>#N/A</v>
      </c>
      <c r="W110" s="7" t="e">
        <f t="shared" si="29"/>
        <v>#N/A</v>
      </c>
      <c r="X110" s="7" t="e">
        <f t="shared" si="30"/>
        <v>#N/A</v>
      </c>
      <c r="Y110" s="7" t="str">
        <f t="shared" si="31"/>
        <v/>
      </c>
      <c r="Z110" s="11">
        <f t="shared" si="32"/>
        <v>1</v>
      </c>
      <c r="AA110" s="7" t="e">
        <f t="shared" si="33"/>
        <v>#N/A</v>
      </c>
      <c r="AB110" s="7" t="e">
        <f t="shared" si="34"/>
        <v>#N/A</v>
      </c>
      <c r="AC110" s="7" t="e">
        <f t="shared" si="35"/>
        <v>#N/A</v>
      </c>
      <c r="AD110" s="472" t="e">
        <f>VLOOKUP(AF110,'排出係数(2017)'!$A$4:$I$1151,9,FALSE)</f>
        <v>#N/A</v>
      </c>
      <c r="AE110" s="12" t="str">
        <f t="shared" si="36"/>
        <v xml:space="preserve"> </v>
      </c>
      <c r="AF110" s="7" t="e">
        <f t="shared" si="51"/>
        <v>#N/A</v>
      </c>
      <c r="AG110" s="7" t="e">
        <f t="shared" si="37"/>
        <v>#N/A</v>
      </c>
      <c r="AH110" s="472" t="e">
        <f>VLOOKUP(AF110,'排出係数(2017)'!$A$4:$I$1151,6,FALSE)</f>
        <v>#N/A</v>
      </c>
      <c r="AI110" s="7" t="e">
        <f t="shared" si="38"/>
        <v>#N/A</v>
      </c>
      <c r="AJ110" s="7" t="e">
        <f t="shared" si="39"/>
        <v>#N/A</v>
      </c>
      <c r="AK110" s="472" t="e">
        <f>VLOOKUP(AF110,'排出係数(2017)'!$A$4:$I$1151,7,FALSE)</f>
        <v>#N/A</v>
      </c>
      <c r="AL110" s="7" t="e">
        <f t="shared" si="40"/>
        <v>#N/A</v>
      </c>
      <c r="AM110" s="7" t="e">
        <f t="shared" si="41"/>
        <v>#N/A</v>
      </c>
      <c r="AN110" s="7" t="e">
        <f t="shared" si="42"/>
        <v>#N/A</v>
      </c>
      <c r="AO110" s="7">
        <f t="shared" si="43"/>
        <v>0</v>
      </c>
      <c r="AP110" s="7" t="e">
        <f t="shared" si="52"/>
        <v>#N/A</v>
      </c>
      <c r="AQ110" s="7" t="str">
        <f t="shared" si="44"/>
        <v/>
      </c>
      <c r="AR110" s="7" t="str">
        <f t="shared" si="45"/>
        <v/>
      </c>
      <c r="AS110" s="7" t="str">
        <f t="shared" si="46"/>
        <v/>
      </c>
      <c r="AT110" s="97"/>
      <c r="AZ110" s="477" t="s">
        <v>2516</v>
      </c>
      <c r="CF110" s="586" t="str">
        <f t="shared" si="53"/>
        <v/>
      </c>
      <c r="CG110"/>
      <c r="CH110"/>
    </row>
    <row r="111" spans="1:86" s="13" customFormat="1" ht="13.75" customHeight="1">
      <c r="A111" s="137">
        <v>96</v>
      </c>
      <c r="B111" s="138"/>
      <c r="C111" s="139"/>
      <c r="D111" s="140"/>
      <c r="E111" s="139"/>
      <c r="F111" s="139"/>
      <c r="G111" s="191"/>
      <c r="H111" s="139"/>
      <c r="I111" s="141"/>
      <c r="J111" s="142"/>
      <c r="K111" s="139"/>
      <c r="L111" s="147"/>
      <c r="M111" s="148"/>
      <c r="N111" s="583"/>
      <c r="O111" s="229" t="str">
        <f t="shared" si="47"/>
        <v/>
      </c>
      <c r="P111" s="229" t="str">
        <f t="shared" si="48"/>
        <v/>
      </c>
      <c r="Q111" s="230" t="str">
        <f t="shared" si="49"/>
        <v/>
      </c>
      <c r="R111" s="323" t="str">
        <f t="shared" si="50"/>
        <v/>
      </c>
      <c r="S111" s="350"/>
      <c r="T111" s="43"/>
      <c r="U111" s="347" t="str">
        <f t="shared" si="27"/>
        <v/>
      </c>
      <c r="V111" s="7" t="e">
        <f t="shared" si="28"/>
        <v>#N/A</v>
      </c>
      <c r="W111" s="7" t="e">
        <f t="shared" si="29"/>
        <v>#N/A</v>
      </c>
      <c r="X111" s="7" t="e">
        <f t="shared" si="30"/>
        <v>#N/A</v>
      </c>
      <c r="Y111" s="7" t="str">
        <f t="shared" si="31"/>
        <v/>
      </c>
      <c r="Z111" s="11">
        <f t="shared" si="32"/>
        <v>1</v>
      </c>
      <c r="AA111" s="7" t="e">
        <f t="shared" si="33"/>
        <v>#N/A</v>
      </c>
      <c r="AB111" s="7" t="e">
        <f t="shared" si="34"/>
        <v>#N/A</v>
      </c>
      <c r="AC111" s="7" t="e">
        <f t="shared" si="35"/>
        <v>#N/A</v>
      </c>
      <c r="AD111" s="472" t="e">
        <f>VLOOKUP(AF111,'排出係数(2017)'!$A$4:$I$1151,9,FALSE)</f>
        <v>#N/A</v>
      </c>
      <c r="AE111" s="12" t="str">
        <f t="shared" si="36"/>
        <v xml:space="preserve"> </v>
      </c>
      <c r="AF111" s="7" t="e">
        <f t="shared" si="51"/>
        <v>#N/A</v>
      </c>
      <c r="AG111" s="7" t="e">
        <f t="shared" si="37"/>
        <v>#N/A</v>
      </c>
      <c r="AH111" s="472" t="e">
        <f>VLOOKUP(AF111,'排出係数(2017)'!$A$4:$I$1151,6,FALSE)</f>
        <v>#N/A</v>
      </c>
      <c r="AI111" s="7" t="e">
        <f t="shared" si="38"/>
        <v>#N/A</v>
      </c>
      <c r="AJ111" s="7" t="e">
        <f t="shared" si="39"/>
        <v>#N/A</v>
      </c>
      <c r="AK111" s="472" t="e">
        <f>VLOOKUP(AF111,'排出係数(2017)'!$A$4:$I$1151,7,FALSE)</f>
        <v>#N/A</v>
      </c>
      <c r="AL111" s="7" t="e">
        <f t="shared" si="40"/>
        <v>#N/A</v>
      </c>
      <c r="AM111" s="7" t="e">
        <f t="shared" si="41"/>
        <v>#N/A</v>
      </c>
      <c r="AN111" s="7" t="e">
        <f t="shared" si="42"/>
        <v>#N/A</v>
      </c>
      <c r="AO111" s="7">
        <f t="shared" si="43"/>
        <v>0</v>
      </c>
      <c r="AP111" s="7" t="e">
        <f t="shared" si="52"/>
        <v>#N/A</v>
      </c>
      <c r="AQ111" s="7" t="str">
        <f t="shared" si="44"/>
        <v/>
      </c>
      <c r="AR111" s="7" t="str">
        <f t="shared" si="45"/>
        <v/>
      </c>
      <c r="AS111" s="7" t="str">
        <f t="shared" si="46"/>
        <v/>
      </c>
      <c r="AT111" s="97"/>
      <c r="AZ111" s="477" t="s">
        <v>1558</v>
      </c>
      <c r="CF111" s="586" t="str">
        <f t="shared" si="53"/>
        <v/>
      </c>
      <c r="CG111"/>
      <c r="CH111"/>
    </row>
    <row r="112" spans="1:86" s="13" customFormat="1" ht="13.75" customHeight="1">
      <c r="A112" s="137">
        <v>97</v>
      </c>
      <c r="B112" s="138"/>
      <c r="C112" s="139"/>
      <c r="D112" s="140"/>
      <c r="E112" s="139"/>
      <c r="F112" s="139"/>
      <c r="G112" s="191"/>
      <c r="H112" s="139"/>
      <c r="I112" s="141"/>
      <c r="J112" s="142"/>
      <c r="K112" s="139"/>
      <c r="L112" s="147"/>
      <c r="M112" s="148"/>
      <c r="N112" s="583"/>
      <c r="O112" s="229" t="str">
        <f t="shared" si="47"/>
        <v/>
      </c>
      <c r="P112" s="229" t="str">
        <f t="shared" si="48"/>
        <v/>
      </c>
      <c r="Q112" s="230" t="str">
        <f t="shared" si="49"/>
        <v/>
      </c>
      <c r="R112" s="323" t="str">
        <f t="shared" si="50"/>
        <v/>
      </c>
      <c r="S112" s="350"/>
      <c r="T112" s="43"/>
      <c r="U112" s="347" t="str">
        <f t="shared" si="27"/>
        <v/>
      </c>
      <c r="V112" s="7" t="e">
        <f t="shared" si="28"/>
        <v>#N/A</v>
      </c>
      <c r="W112" s="7" t="e">
        <f t="shared" si="29"/>
        <v>#N/A</v>
      </c>
      <c r="X112" s="7" t="e">
        <f t="shared" si="30"/>
        <v>#N/A</v>
      </c>
      <c r="Y112" s="7" t="str">
        <f t="shared" si="31"/>
        <v/>
      </c>
      <c r="Z112" s="11">
        <f t="shared" si="32"/>
        <v>1</v>
      </c>
      <c r="AA112" s="7" t="e">
        <f t="shared" si="33"/>
        <v>#N/A</v>
      </c>
      <c r="AB112" s="7" t="e">
        <f t="shared" si="34"/>
        <v>#N/A</v>
      </c>
      <c r="AC112" s="7" t="e">
        <f t="shared" si="35"/>
        <v>#N/A</v>
      </c>
      <c r="AD112" s="472" t="e">
        <f>VLOOKUP(AF112,'排出係数(2017)'!$A$4:$I$1151,9,FALSE)</f>
        <v>#N/A</v>
      </c>
      <c r="AE112" s="12" t="str">
        <f t="shared" si="36"/>
        <v xml:space="preserve"> </v>
      </c>
      <c r="AF112" s="7" t="e">
        <f t="shared" si="51"/>
        <v>#N/A</v>
      </c>
      <c r="AG112" s="7" t="e">
        <f t="shared" si="37"/>
        <v>#N/A</v>
      </c>
      <c r="AH112" s="472" t="e">
        <f>VLOOKUP(AF112,'排出係数(2017)'!$A$4:$I$1151,6,FALSE)</f>
        <v>#N/A</v>
      </c>
      <c r="AI112" s="7" t="e">
        <f t="shared" si="38"/>
        <v>#N/A</v>
      </c>
      <c r="AJ112" s="7" t="e">
        <f t="shared" si="39"/>
        <v>#N/A</v>
      </c>
      <c r="AK112" s="472" t="e">
        <f>VLOOKUP(AF112,'排出係数(2017)'!$A$4:$I$1151,7,FALSE)</f>
        <v>#N/A</v>
      </c>
      <c r="AL112" s="7" t="e">
        <f t="shared" si="40"/>
        <v>#N/A</v>
      </c>
      <c r="AM112" s="7" t="e">
        <f t="shared" si="41"/>
        <v>#N/A</v>
      </c>
      <c r="AN112" s="7" t="e">
        <f t="shared" si="42"/>
        <v>#N/A</v>
      </c>
      <c r="AO112" s="7">
        <f t="shared" si="43"/>
        <v>0</v>
      </c>
      <c r="AP112" s="7" t="e">
        <f t="shared" si="52"/>
        <v>#N/A</v>
      </c>
      <c r="AQ112" s="7" t="str">
        <f t="shared" si="44"/>
        <v/>
      </c>
      <c r="AR112" s="7" t="str">
        <f t="shared" si="45"/>
        <v/>
      </c>
      <c r="AS112" s="7" t="str">
        <f t="shared" si="46"/>
        <v/>
      </c>
      <c r="AT112" s="97"/>
      <c r="AZ112" s="477" t="s">
        <v>1560</v>
      </c>
      <c r="CF112" s="586" t="str">
        <f t="shared" si="53"/>
        <v/>
      </c>
      <c r="CG112"/>
      <c r="CH112"/>
    </row>
    <row r="113" spans="1:86" s="13" customFormat="1" ht="13.75" customHeight="1">
      <c r="A113" s="137">
        <v>98</v>
      </c>
      <c r="B113" s="138"/>
      <c r="C113" s="139"/>
      <c r="D113" s="140"/>
      <c r="E113" s="139"/>
      <c r="F113" s="139"/>
      <c r="G113" s="191"/>
      <c r="H113" s="139"/>
      <c r="I113" s="141"/>
      <c r="J113" s="142"/>
      <c r="K113" s="139"/>
      <c r="L113" s="147"/>
      <c r="M113" s="148"/>
      <c r="N113" s="583"/>
      <c r="O113" s="229" t="str">
        <f t="shared" si="47"/>
        <v/>
      </c>
      <c r="P113" s="229" t="str">
        <f t="shared" si="48"/>
        <v/>
      </c>
      <c r="Q113" s="230" t="str">
        <f t="shared" si="49"/>
        <v/>
      </c>
      <c r="R113" s="323" t="str">
        <f t="shared" si="50"/>
        <v/>
      </c>
      <c r="S113" s="350"/>
      <c r="T113" s="43"/>
      <c r="U113" s="347" t="str">
        <f t="shared" si="27"/>
        <v/>
      </c>
      <c r="V113" s="7" t="e">
        <f t="shared" si="28"/>
        <v>#N/A</v>
      </c>
      <c r="W113" s="7" t="e">
        <f t="shared" si="29"/>
        <v>#N/A</v>
      </c>
      <c r="X113" s="7" t="e">
        <f t="shared" si="30"/>
        <v>#N/A</v>
      </c>
      <c r="Y113" s="7" t="str">
        <f t="shared" si="31"/>
        <v/>
      </c>
      <c r="Z113" s="11">
        <f t="shared" si="32"/>
        <v>1</v>
      </c>
      <c r="AA113" s="7" t="e">
        <f t="shared" si="33"/>
        <v>#N/A</v>
      </c>
      <c r="AB113" s="7" t="e">
        <f t="shared" si="34"/>
        <v>#N/A</v>
      </c>
      <c r="AC113" s="7" t="e">
        <f t="shared" si="35"/>
        <v>#N/A</v>
      </c>
      <c r="AD113" s="472" t="e">
        <f>VLOOKUP(AF113,'排出係数(2017)'!$A$4:$I$1151,9,FALSE)</f>
        <v>#N/A</v>
      </c>
      <c r="AE113" s="12" t="str">
        <f t="shared" si="36"/>
        <v xml:space="preserve"> </v>
      </c>
      <c r="AF113" s="7" t="e">
        <f t="shared" si="51"/>
        <v>#N/A</v>
      </c>
      <c r="AG113" s="7" t="e">
        <f t="shared" si="37"/>
        <v>#N/A</v>
      </c>
      <c r="AH113" s="472" t="e">
        <f>VLOOKUP(AF113,'排出係数(2017)'!$A$4:$I$1151,6,FALSE)</f>
        <v>#N/A</v>
      </c>
      <c r="AI113" s="7" t="e">
        <f t="shared" si="38"/>
        <v>#N/A</v>
      </c>
      <c r="AJ113" s="7" t="e">
        <f t="shared" si="39"/>
        <v>#N/A</v>
      </c>
      <c r="AK113" s="472" t="e">
        <f>VLOOKUP(AF113,'排出係数(2017)'!$A$4:$I$1151,7,FALSE)</f>
        <v>#N/A</v>
      </c>
      <c r="AL113" s="7" t="e">
        <f t="shared" si="40"/>
        <v>#N/A</v>
      </c>
      <c r="AM113" s="7" t="e">
        <f t="shared" si="41"/>
        <v>#N/A</v>
      </c>
      <c r="AN113" s="7" t="e">
        <f t="shared" si="42"/>
        <v>#N/A</v>
      </c>
      <c r="AO113" s="7">
        <f t="shared" si="43"/>
        <v>0</v>
      </c>
      <c r="AP113" s="7" t="e">
        <f t="shared" si="52"/>
        <v>#N/A</v>
      </c>
      <c r="AQ113" s="7" t="str">
        <f t="shared" si="44"/>
        <v/>
      </c>
      <c r="AR113" s="7" t="str">
        <f t="shared" si="45"/>
        <v/>
      </c>
      <c r="AS113" s="7" t="str">
        <f t="shared" si="46"/>
        <v/>
      </c>
      <c r="AT113" s="97"/>
      <c r="AZ113" s="477" t="s">
        <v>2517</v>
      </c>
      <c r="CF113" s="586" t="str">
        <f t="shared" si="53"/>
        <v/>
      </c>
      <c r="CG113"/>
      <c r="CH113"/>
    </row>
    <row r="114" spans="1:86" s="13" customFormat="1" ht="13.75" customHeight="1">
      <c r="A114" s="137">
        <v>99</v>
      </c>
      <c r="B114" s="138"/>
      <c r="C114" s="139"/>
      <c r="D114" s="140"/>
      <c r="E114" s="139"/>
      <c r="F114" s="139"/>
      <c r="G114" s="191"/>
      <c r="H114" s="139"/>
      <c r="I114" s="141"/>
      <c r="J114" s="142"/>
      <c r="K114" s="139"/>
      <c r="L114" s="147"/>
      <c r="M114" s="148"/>
      <c r="N114" s="583"/>
      <c r="O114" s="229" t="str">
        <f t="shared" si="47"/>
        <v/>
      </c>
      <c r="P114" s="229" t="str">
        <f t="shared" si="48"/>
        <v/>
      </c>
      <c r="Q114" s="230" t="str">
        <f t="shared" si="49"/>
        <v/>
      </c>
      <c r="R114" s="323" t="str">
        <f t="shared" si="50"/>
        <v/>
      </c>
      <c r="S114" s="350"/>
      <c r="T114" s="43"/>
      <c r="U114" s="347" t="str">
        <f t="shared" si="27"/>
        <v/>
      </c>
      <c r="V114" s="7" t="e">
        <f t="shared" si="28"/>
        <v>#N/A</v>
      </c>
      <c r="W114" s="7" t="e">
        <f t="shared" si="29"/>
        <v>#N/A</v>
      </c>
      <c r="X114" s="7" t="e">
        <f t="shared" si="30"/>
        <v>#N/A</v>
      </c>
      <c r="Y114" s="7" t="str">
        <f t="shared" si="31"/>
        <v/>
      </c>
      <c r="Z114" s="11">
        <f t="shared" si="32"/>
        <v>1</v>
      </c>
      <c r="AA114" s="7" t="e">
        <f t="shared" si="33"/>
        <v>#N/A</v>
      </c>
      <c r="AB114" s="7" t="e">
        <f t="shared" si="34"/>
        <v>#N/A</v>
      </c>
      <c r="AC114" s="7" t="e">
        <f t="shared" si="35"/>
        <v>#N/A</v>
      </c>
      <c r="AD114" s="472" t="e">
        <f>VLOOKUP(AF114,'排出係数(2017)'!$A$4:$I$1151,9,FALSE)</f>
        <v>#N/A</v>
      </c>
      <c r="AE114" s="12" t="str">
        <f t="shared" si="36"/>
        <v xml:space="preserve"> </v>
      </c>
      <c r="AF114" s="7" t="e">
        <f t="shared" si="51"/>
        <v>#N/A</v>
      </c>
      <c r="AG114" s="7" t="e">
        <f t="shared" si="37"/>
        <v>#N/A</v>
      </c>
      <c r="AH114" s="472" t="e">
        <f>VLOOKUP(AF114,'排出係数(2017)'!$A$4:$I$1151,6,FALSE)</f>
        <v>#N/A</v>
      </c>
      <c r="AI114" s="7" t="e">
        <f t="shared" si="38"/>
        <v>#N/A</v>
      </c>
      <c r="AJ114" s="7" t="e">
        <f t="shared" si="39"/>
        <v>#N/A</v>
      </c>
      <c r="AK114" s="472" t="e">
        <f>VLOOKUP(AF114,'排出係数(2017)'!$A$4:$I$1151,7,FALSE)</f>
        <v>#N/A</v>
      </c>
      <c r="AL114" s="7" t="e">
        <f t="shared" si="40"/>
        <v>#N/A</v>
      </c>
      <c r="AM114" s="7" t="e">
        <f t="shared" si="41"/>
        <v>#N/A</v>
      </c>
      <c r="AN114" s="7" t="e">
        <f t="shared" si="42"/>
        <v>#N/A</v>
      </c>
      <c r="AO114" s="7">
        <f t="shared" si="43"/>
        <v>0</v>
      </c>
      <c r="AP114" s="7" t="e">
        <f t="shared" si="52"/>
        <v>#N/A</v>
      </c>
      <c r="AQ114" s="7" t="str">
        <f t="shared" si="44"/>
        <v/>
      </c>
      <c r="AR114" s="7" t="str">
        <f t="shared" si="45"/>
        <v/>
      </c>
      <c r="AS114" s="7" t="str">
        <f t="shared" si="46"/>
        <v/>
      </c>
      <c r="AT114" s="97"/>
      <c r="AZ114" s="477" t="s">
        <v>2518</v>
      </c>
      <c r="CF114" s="586" t="str">
        <f t="shared" si="53"/>
        <v/>
      </c>
      <c r="CG114"/>
      <c r="CH114"/>
    </row>
    <row r="115" spans="1:86" s="13" customFormat="1" ht="13.75" customHeight="1">
      <c r="A115" s="137">
        <v>100</v>
      </c>
      <c r="B115" s="138"/>
      <c r="C115" s="139"/>
      <c r="D115" s="140"/>
      <c r="E115" s="139"/>
      <c r="F115" s="139"/>
      <c r="G115" s="191"/>
      <c r="H115" s="139"/>
      <c r="I115" s="141"/>
      <c r="J115" s="142"/>
      <c r="K115" s="139"/>
      <c r="L115" s="147"/>
      <c r="M115" s="148"/>
      <c r="N115" s="583"/>
      <c r="O115" s="229" t="str">
        <f t="shared" si="47"/>
        <v/>
      </c>
      <c r="P115" s="229" t="str">
        <f t="shared" si="48"/>
        <v/>
      </c>
      <c r="Q115" s="230" t="str">
        <f t="shared" si="49"/>
        <v/>
      </c>
      <c r="R115" s="323" t="str">
        <f t="shared" si="50"/>
        <v/>
      </c>
      <c r="S115" s="350"/>
      <c r="T115" s="43"/>
      <c r="U115" s="347" t="str">
        <f t="shared" si="27"/>
        <v/>
      </c>
      <c r="V115" s="7" t="e">
        <f t="shared" si="28"/>
        <v>#N/A</v>
      </c>
      <c r="W115" s="7" t="e">
        <f t="shared" si="29"/>
        <v>#N/A</v>
      </c>
      <c r="X115" s="7" t="e">
        <f t="shared" si="30"/>
        <v>#N/A</v>
      </c>
      <c r="Y115" s="7" t="str">
        <f t="shared" si="31"/>
        <v/>
      </c>
      <c r="Z115" s="11">
        <f t="shared" si="32"/>
        <v>1</v>
      </c>
      <c r="AA115" s="7" t="e">
        <f t="shared" si="33"/>
        <v>#N/A</v>
      </c>
      <c r="AB115" s="7" t="e">
        <f t="shared" si="34"/>
        <v>#N/A</v>
      </c>
      <c r="AC115" s="7" t="e">
        <f t="shared" si="35"/>
        <v>#N/A</v>
      </c>
      <c r="AD115" s="472" t="e">
        <f>VLOOKUP(AF115,'排出係数(2017)'!$A$4:$I$1151,9,FALSE)</f>
        <v>#N/A</v>
      </c>
      <c r="AE115" s="12" t="str">
        <f t="shared" si="36"/>
        <v xml:space="preserve"> </v>
      </c>
      <c r="AF115" s="7" t="e">
        <f t="shared" si="51"/>
        <v>#N/A</v>
      </c>
      <c r="AG115" s="7" t="e">
        <f t="shared" si="37"/>
        <v>#N/A</v>
      </c>
      <c r="AH115" s="472" t="e">
        <f>VLOOKUP(AF115,'排出係数(2017)'!$A$4:$I$1151,6,FALSE)</f>
        <v>#N/A</v>
      </c>
      <c r="AI115" s="7" t="e">
        <f t="shared" si="38"/>
        <v>#N/A</v>
      </c>
      <c r="AJ115" s="7" t="e">
        <f t="shared" si="39"/>
        <v>#N/A</v>
      </c>
      <c r="AK115" s="472" t="e">
        <f>VLOOKUP(AF115,'排出係数(2017)'!$A$4:$I$1151,7,FALSE)</f>
        <v>#N/A</v>
      </c>
      <c r="AL115" s="7" t="e">
        <f t="shared" si="40"/>
        <v>#N/A</v>
      </c>
      <c r="AM115" s="7" t="e">
        <f t="shared" si="41"/>
        <v>#N/A</v>
      </c>
      <c r="AN115" s="7" t="e">
        <f t="shared" si="42"/>
        <v>#N/A</v>
      </c>
      <c r="AO115" s="7">
        <f t="shared" si="43"/>
        <v>0</v>
      </c>
      <c r="AP115" s="7" t="e">
        <f t="shared" si="52"/>
        <v>#N/A</v>
      </c>
      <c r="AQ115" s="7" t="str">
        <f t="shared" si="44"/>
        <v/>
      </c>
      <c r="AR115" s="7" t="str">
        <f t="shared" si="45"/>
        <v/>
      </c>
      <c r="AS115" s="7" t="str">
        <f t="shared" si="46"/>
        <v/>
      </c>
      <c r="AT115" s="97"/>
      <c r="AZ115" s="477" t="s">
        <v>1490</v>
      </c>
      <c r="CF115" s="586" t="str">
        <f t="shared" si="53"/>
        <v/>
      </c>
      <c r="CG115"/>
      <c r="CH115"/>
    </row>
    <row r="116" spans="1:86" s="13" customFormat="1" ht="13.75" customHeight="1">
      <c r="A116" s="137">
        <v>101</v>
      </c>
      <c r="B116" s="138"/>
      <c r="C116" s="139"/>
      <c r="D116" s="140"/>
      <c r="E116" s="139"/>
      <c r="F116" s="139"/>
      <c r="G116" s="191"/>
      <c r="H116" s="139"/>
      <c r="I116" s="141"/>
      <c r="J116" s="142"/>
      <c r="K116" s="139"/>
      <c r="L116" s="147"/>
      <c r="M116" s="148"/>
      <c r="N116" s="583"/>
      <c r="O116" s="229" t="str">
        <f t="shared" si="47"/>
        <v/>
      </c>
      <c r="P116" s="229" t="str">
        <f t="shared" si="48"/>
        <v/>
      </c>
      <c r="Q116" s="230" t="str">
        <f t="shared" si="49"/>
        <v/>
      </c>
      <c r="R116" s="323" t="str">
        <f t="shared" si="50"/>
        <v/>
      </c>
      <c r="S116" s="350"/>
      <c r="T116" s="43"/>
      <c r="U116" s="347" t="str">
        <f t="shared" si="27"/>
        <v/>
      </c>
      <c r="V116" s="7" t="e">
        <f t="shared" si="28"/>
        <v>#N/A</v>
      </c>
      <c r="W116" s="7" t="e">
        <f t="shared" si="29"/>
        <v>#N/A</v>
      </c>
      <c r="X116" s="7" t="e">
        <f t="shared" si="30"/>
        <v>#N/A</v>
      </c>
      <c r="Y116" s="7" t="str">
        <f t="shared" si="31"/>
        <v/>
      </c>
      <c r="Z116" s="11">
        <f t="shared" si="32"/>
        <v>1</v>
      </c>
      <c r="AA116" s="7" t="e">
        <f t="shared" si="33"/>
        <v>#N/A</v>
      </c>
      <c r="AB116" s="7" t="e">
        <f t="shared" si="34"/>
        <v>#N/A</v>
      </c>
      <c r="AC116" s="7" t="e">
        <f t="shared" si="35"/>
        <v>#N/A</v>
      </c>
      <c r="AD116" s="472" t="e">
        <f>VLOOKUP(AF116,'排出係数(2017)'!$A$4:$I$1151,9,FALSE)</f>
        <v>#N/A</v>
      </c>
      <c r="AE116" s="12" t="str">
        <f t="shared" si="36"/>
        <v xml:space="preserve"> </v>
      </c>
      <c r="AF116" s="7" t="e">
        <f t="shared" si="51"/>
        <v>#N/A</v>
      </c>
      <c r="AG116" s="7" t="e">
        <f t="shared" si="37"/>
        <v>#N/A</v>
      </c>
      <c r="AH116" s="472" t="e">
        <f>VLOOKUP(AF116,'排出係数(2017)'!$A$4:$I$1151,6,FALSE)</f>
        <v>#N/A</v>
      </c>
      <c r="AI116" s="7" t="e">
        <f t="shared" si="38"/>
        <v>#N/A</v>
      </c>
      <c r="AJ116" s="7" t="e">
        <f t="shared" si="39"/>
        <v>#N/A</v>
      </c>
      <c r="AK116" s="472" t="e">
        <f>VLOOKUP(AF116,'排出係数(2017)'!$A$4:$I$1151,7,FALSE)</f>
        <v>#N/A</v>
      </c>
      <c r="AL116" s="7" t="e">
        <f t="shared" si="40"/>
        <v>#N/A</v>
      </c>
      <c r="AM116" s="7" t="e">
        <f t="shared" si="41"/>
        <v>#N/A</v>
      </c>
      <c r="AN116" s="7" t="e">
        <f t="shared" si="42"/>
        <v>#N/A</v>
      </c>
      <c r="AO116" s="7">
        <f t="shared" si="43"/>
        <v>0</v>
      </c>
      <c r="AP116" s="7" t="e">
        <f t="shared" si="52"/>
        <v>#N/A</v>
      </c>
      <c r="AQ116" s="7" t="str">
        <f t="shared" si="44"/>
        <v/>
      </c>
      <c r="AR116" s="7" t="str">
        <f t="shared" si="45"/>
        <v/>
      </c>
      <c r="AS116" s="7" t="str">
        <f t="shared" si="46"/>
        <v/>
      </c>
      <c r="AT116" s="97"/>
      <c r="AZ116" s="477" t="s">
        <v>2111</v>
      </c>
      <c r="CF116" s="586" t="str">
        <f t="shared" si="53"/>
        <v/>
      </c>
      <c r="CG116"/>
      <c r="CH116"/>
    </row>
    <row r="117" spans="1:86" s="13" customFormat="1" ht="13.75" customHeight="1">
      <c r="A117" s="137">
        <v>102</v>
      </c>
      <c r="B117" s="138"/>
      <c r="C117" s="139"/>
      <c r="D117" s="140"/>
      <c r="E117" s="139"/>
      <c r="F117" s="139"/>
      <c r="G117" s="191"/>
      <c r="H117" s="139"/>
      <c r="I117" s="141"/>
      <c r="J117" s="142"/>
      <c r="K117" s="139"/>
      <c r="L117" s="147"/>
      <c r="M117" s="148"/>
      <c r="N117" s="583"/>
      <c r="O117" s="229" t="str">
        <f t="shared" si="47"/>
        <v/>
      </c>
      <c r="P117" s="229" t="str">
        <f t="shared" si="48"/>
        <v/>
      </c>
      <c r="Q117" s="230" t="str">
        <f t="shared" si="49"/>
        <v/>
      </c>
      <c r="R117" s="323" t="str">
        <f t="shared" si="50"/>
        <v/>
      </c>
      <c r="S117" s="350"/>
      <c r="T117" s="43"/>
      <c r="U117" s="347" t="str">
        <f t="shared" si="27"/>
        <v/>
      </c>
      <c r="V117" s="7" t="e">
        <f t="shared" si="28"/>
        <v>#N/A</v>
      </c>
      <c r="W117" s="7" t="e">
        <f t="shared" si="29"/>
        <v>#N/A</v>
      </c>
      <c r="X117" s="7" t="e">
        <f t="shared" si="30"/>
        <v>#N/A</v>
      </c>
      <c r="Y117" s="7" t="str">
        <f t="shared" si="31"/>
        <v/>
      </c>
      <c r="Z117" s="11">
        <f t="shared" si="32"/>
        <v>1</v>
      </c>
      <c r="AA117" s="7" t="e">
        <f t="shared" si="33"/>
        <v>#N/A</v>
      </c>
      <c r="AB117" s="7" t="e">
        <f t="shared" si="34"/>
        <v>#N/A</v>
      </c>
      <c r="AC117" s="7" t="e">
        <f t="shared" si="35"/>
        <v>#N/A</v>
      </c>
      <c r="AD117" s="472" t="e">
        <f>VLOOKUP(AF117,'排出係数(2017)'!$A$4:$I$1151,9,FALSE)</f>
        <v>#N/A</v>
      </c>
      <c r="AE117" s="12" t="str">
        <f t="shared" si="36"/>
        <v xml:space="preserve"> </v>
      </c>
      <c r="AF117" s="7" t="e">
        <f t="shared" si="51"/>
        <v>#N/A</v>
      </c>
      <c r="AG117" s="7" t="e">
        <f t="shared" si="37"/>
        <v>#N/A</v>
      </c>
      <c r="AH117" s="472" t="e">
        <f>VLOOKUP(AF117,'排出係数(2017)'!$A$4:$I$1151,6,FALSE)</f>
        <v>#N/A</v>
      </c>
      <c r="AI117" s="7" t="e">
        <f t="shared" si="38"/>
        <v>#N/A</v>
      </c>
      <c r="AJ117" s="7" t="e">
        <f t="shared" si="39"/>
        <v>#N/A</v>
      </c>
      <c r="AK117" s="472" t="e">
        <f>VLOOKUP(AF117,'排出係数(2017)'!$A$4:$I$1151,7,FALSE)</f>
        <v>#N/A</v>
      </c>
      <c r="AL117" s="7" t="e">
        <f t="shared" si="40"/>
        <v>#N/A</v>
      </c>
      <c r="AM117" s="7" t="e">
        <f t="shared" si="41"/>
        <v>#N/A</v>
      </c>
      <c r="AN117" s="7" t="e">
        <f t="shared" si="42"/>
        <v>#N/A</v>
      </c>
      <c r="AO117" s="7">
        <f t="shared" si="43"/>
        <v>0</v>
      </c>
      <c r="AP117" s="7" t="e">
        <f t="shared" si="52"/>
        <v>#N/A</v>
      </c>
      <c r="AQ117" s="7" t="str">
        <f t="shared" si="44"/>
        <v/>
      </c>
      <c r="AR117" s="7" t="str">
        <f t="shared" si="45"/>
        <v/>
      </c>
      <c r="AS117" s="7" t="str">
        <f t="shared" si="46"/>
        <v/>
      </c>
      <c r="AT117" s="97"/>
      <c r="AZ117" s="477" t="s">
        <v>1985</v>
      </c>
      <c r="CF117" s="586" t="str">
        <f t="shared" si="53"/>
        <v/>
      </c>
      <c r="CG117"/>
      <c r="CH117"/>
    </row>
    <row r="118" spans="1:86" s="13" customFormat="1" ht="13.75" customHeight="1">
      <c r="A118" s="137">
        <v>103</v>
      </c>
      <c r="B118" s="138"/>
      <c r="C118" s="139"/>
      <c r="D118" s="140"/>
      <c r="E118" s="139"/>
      <c r="F118" s="139"/>
      <c r="G118" s="191"/>
      <c r="H118" s="139"/>
      <c r="I118" s="141"/>
      <c r="J118" s="142"/>
      <c r="K118" s="139"/>
      <c r="L118" s="147"/>
      <c r="M118" s="148"/>
      <c r="N118" s="583"/>
      <c r="O118" s="229" t="str">
        <f t="shared" si="47"/>
        <v/>
      </c>
      <c r="P118" s="229" t="str">
        <f t="shared" si="48"/>
        <v/>
      </c>
      <c r="Q118" s="230" t="str">
        <f t="shared" si="49"/>
        <v/>
      </c>
      <c r="R118" s="323" t="str">
        <f t="shared" si="50"/>
        <v/>
      </c>
      <c r="S118" s="350"/>
      <c r="T118" s="43"/>
      <c r="U118" s="347" t="str">
        <f t="shared" si="27"/>
        <v/>
      </c>
      <c r="V118" s="7" t="e">
        <f t="shared" si="28"/>
        <v>#N/A</v>
      </c>
      <c r="W118" s="7" t="e">
        <f t="shared" si="29"/>
        <v>#N/A</v>
      </c>
      <c r="X118" s="7" t="e">
        <f t="shared" si="30"/>
        <v>#N/A</v>
      </c>
      <c r="Y118" s="7" t="str">
        <f t="shared" si="31"/>
        <v/>
      </c>
      <c r="Z118" s="11">
        <f t="shared" si="32"/>
        <v>1</v>
      </c>
      <c r="AA118" s="7" t="e">
        <f t="shared" si="33"/>
        <v>#N/A</v>
      </c>
      <c r="AB118" s="7" t="e">
        <f t="shared" si="34"/>
        <v>#N/A</v>
      </c>
      <c r="AC118" s="7" t="e">
        <f t="shared" si="35"/>
        <v>#N/A</v>
      </c>
      <c r="AD118" s="472" t="e">
        <f>VLOOKUP(AF118,'排出係数(2017)'!$A$4:$I$1151,9,FALSE)</f>
        <v>#N/A</v>
      </c>
      <c r="AE118" s="12" t="str">
        <f t="shared" si="36"/>
        <v xml:space="preserve"> </v>
      </c>
      <c r="AF118" s="7" t="e">
        <f t="shared" si="51"/>
        <v>#N/A</v>
      </c>
      <c r="AG118" s="7" t="e">
        <f t="shared" si="37"/>
        <v>#N/A</v>
      </c>
      <c r="AH118" s="472" t="e">
        <f>VLOOKUP(AF118,'排出係数(2017)'!$A$4:$I$1151,6,FALSE)</f>
        <v>#N/A</v>
      </c>
      <c r="AI118" s="7" t="e">
        <f t="shared" si="38"/>
        <v>#N/A</v>
      </c>
      <c r="AJ118" s="7" t="e">
        <f t="shared" si="39"/>
        <v>#N/A</v>
      </c>
      <c r="AK118" s="472" t="e">
        <f>VLOOKUP(AF118,'排出係数(2017)'!$A$4:$I$1151,7,FALSE)</f>
        <v>#N/A</v>
      </c>
      <c r="AL118" s="7" t="e">
        <f t="shared" si="40"/>
        <v>#N/A</v>
      </c>
      <c r="AM118" s="7" t="e">
        <f t="shared" si="41"/>
        <v>#N/A</v>
      </c>
      <c r="AN118" s="7" t="e">
        <f t="shared" si="42"/>
        <v>#N/A</v>
      </c>
      <c r="AO118" s="7">
        <f t="shared" si="43"/>
        <v>0</v>
      </c>
      <c r="AP118" s="7" t="e">
        <f t="shared" si="52"/>
        <v>#N/A</v>
      </c>
      <c r="AQ118" s="7" t="str">
        <f t="shared" si="44"/>
        <v/>
      </c>
      <c r="AR118" s="7" t="str">
        <f t="shared" si="45"/>
        <v/>
      </c>
      <c r="AS118" s="7" t="str">
        <f t="shared" si="46"/>
        <v/>
      </c>
      <c r="AT118" s="97"/>
      <c r="AZ118" s="477" t="s">
        <v>1993</v>
      </c>
      <c r="CF118" s="586" t="str">
        <f t="shared" si="53"/>
        <v/>
      </c>
      <c r="CG118"/>
      <c r="CH118"/>
    </row>
    <row r="119" spans="1:86" s="13" customFormat="1" ht="13.75" customHeight="1">
      <c r="A119" s="137">
        <v>104</v>
      </c>
      <c r="B119" s="138"/>
      <c r="C119" s="139"/>
      <c r="D119" s="140"/>
      <c r="E119" s="139"/>
      <c r="F119" s="139"/>
      <c r="G119" s="191"/>
      <c r="H119" s="139"/>
      <c r="I119" s="141"/>
      <c r="J119" s="142"/>
      <c r="K119" s="139"/>
      <c r="L119" s="147"/>
      <c r="M119" s="148"/>
      <c r="N119" s="583"/>
      <c r="O119" s="229" t="str">
        <f t="shared" si="47"/>
        <v/>
      </c>
      <c r="P119" s="229" t="str">
        <f t="shared" si="48"/>
        <v/>
      </c>
      <c r="Q119" s="230" t="str">
        <f t="shared" si="49"/>
        <v/>
      </c>
      <c r="R119" s="323" t="str">
        <f t="shared" si="50"/>
        <v/>
      </c>
      <c r="S119" s="350"/>
      <c r="T119" s="43"/>
      <c r="U119" s="347" t="str">
        <f t="shared" si="27"/>
        <v/>
      </c>
      <c r="V119" s="7" t="e">
        <f t="shared" si="28"/>
        <v>#N/A</v>
      </c>
      <c r="W119" s="7" t="e">
        <f t="shared" si="29"/>
        <v>#N/A</v>
      </c>
      <c r="X119" s="7" t="e">
        <f t="shared" si="30"/>
        <v>#N/A</v>
      </c>
      <c r="Y119" s="7" t="str">
        <f t="shared" si="31"/>
        <v/>
      </c>
      <c r="Z119" s="11">
        <f t="shared" si="32"/>
        <v>1</v>
      </c>
      <c r="AA119" s="7" t="e">
        <f t="shared" si="33"/>
        <v>#N/A</v>
      </c>
      <c r="AB119" s="7" t="e">
        <f t="shared" si="34"/>
        <v>#N/A</v>
      </c>
      <c r="AC119" s="7" t="e">
        <f t="shared" si="35"/>
        <v>#N/A</v>
      </c>
      <c r="AD119" s="472" t="e">
        <f>VLOOKUP(AF119,'排出係数(2017)'!$A$4:$I$1151,9,FALSE)</f>
        <v>#N/A</v>
      </c>
      <c r="AE119" s="12" t="str">
        <f t="shared" si="36"/>
        <v xml:space="preserve"> </v>
      </c>
      <c r="AF119" s="7" t="e">
        <f t="shared" si="51"/>
        <v>#N/A</v>
      </c>
      <c r="AG119" s="7" t="e">
        <f t="shared" si="37"/>
        <v>#N/A</v>
      </c>
      <c r="AH119" s="472" t="e">
        <f>VLOOKUP(AF119,'排出係数(2017)'!$A$4:$I$1151,6,FALSE)</f>
        <v>#N/A</v>
      </c>
      <c r="AI119" s="7" t="e">
        <f t="shared" si="38"/>
        <v>#N/A</v>
      </c>
      <c r="AJ119" s="7" t="e">
        <f t="shared" si="39"/>
        <v>#N/A</v>
      </c>
      <c r="AK119" s="472" t="e">
        <f>VLOOKUP(AF119,'排出係数(2017)'!$A$4:$I$1151,7,FALSE)</f>
        <v>#N/A</v>
      </c>
      <c r="AL119" s="7" t="e">
        <f t="shared" si="40"/>
        <v>#N/A</v>
      </c>
      <c r="AM119" s="7" t="e">
        <f t="shared" si="41"/>
        <v>#N/A</v>
      </c>
      <c r="AN119" s="7" t="e">
        <f t="shared" si="42"/>
        <v>#N/A</v>
      </c>
      <c r="AO119" s="7">
        <f t="shared" si="43"/>
        <v>0</v>
      </c>
      <c r="AP119" s="7" t="e">
        <f t="shared" si="52"/>
        <v>#N/A</v>
      </c>
      <c r="AQ119" s="7" t="str">
        <f t="shared" si="44"/>
        <v/>
      </c>
      <c r="AR119" s="7" t="str">
        <f t="shared" si="45"/>
        <v/>
      </c>
      <c r="AS119" s="7" t="str">
        <f t="shared" si="46"/>
        <v/>
      </c>
      <c r="AT119" s="97"/>
      <c r="AZ119" s="477" t="s">
        <v>1494</v>
      </c>
      <c r="CF119" s="586" t="str">
        <f t="shared" si="53"/>
        <v/>
      </c>
      <c r="CG119"/>
      <c r="CH119"/>
    </row>
    <row r="120" spans="1:86" s="13" customFormat="1" ht="13.75" customHeight="1">
      <c r="A120" s="137">
        <v>105</v>
      </c>
      <c r="B120" s="138"/>
      <c r="C120" s="139"/>
      <c r="D120" s="140"/>
      <c r="E120" s="139"/>
      <c r="F120" s="139"/>
      <c r="G120" s="191"/>
      <c r="H120" s="139"/>
      <c r="I120" s="141"/>
      <c r="J120" s="142"/>
      <c r="K120" s="139"/>
      <c r="L120" s="147"/>
      <c r="M120" s="148"/>
      <c r="N120" s="583"/>
      <c r="O120" s="229" t="str">
        <f t="shared" si="47"/>
        <v/>
      </c>
      <c r="P120" s="229" t="str">
        <f t="shared" si="48"/>
        <v/>
      </c>
      <c r="Q120" s="230" t="str">
        <f t="shared" si="49"/>
        <v/>
      </c>
      <c r="R120" s="323" t="str">
        <f t="shared" si="50"/>
        <v/>
      </c>
      <c r="S120" s="350"/>
      <c r="T120" s="43"/>
      <c r="U120" s="347" t="str">
        <f t="shared" si="27"/>
        <v/>
      </c>
      <c r="V120" s="7" t="e">
        <f t="shared" si="28"/>
        <v>#N/A</v>
      </c>
      <c r="W120" s="7" t="e">
        <f t="shared" si="29"/>
        <v>#N/A</v>
      </c>
      <c r="X120" s="7" t="e">
        <f t="shared" si="30"/>
        <v>#N/A</v>
      </c>
      <c r="Y120" s="7" t="str">
        <f t="shared" si="31"/>
        <v/>
      </c>
      <c r="Z120" s="11">
        <f t="shared" si="32"/>
        <v>1</v>
      </c>
      <c r="AA120" s="7" t="e">
        <f t="shared" si="33"/>
        <v>#N/A</v>
      </c>
      <c r="AB120" s="7" t="e">
        <f t="shared" si="34"/>
        <v>#N/A</v>
      </c>
      <c r="AC120" s="7" t="e">
        <f t="shared" si="35"/>
        <v>#N/A</v>
      </c>
      <c r="AD120" s="472" t="e">
        <f>VLOOKUP(AF120,'排出係数(2017)'!$A$4:$I$1151,9,FALSE)</f>
        <v>#N/A</v>
      </c>
      <c r="AE120" s="12" t="str">
        <f t="shared" si="36"/>
        <v xml:space="preserve"> </v>
      </c>
      <c r="AF120" s="7" t="e">
        <f t="shared" si="51"/>
        <v>#N/A</v>
      </c>
      <c r="AG120" s="7" t="e">
        <f t="shared" si="37"/>
        <v>#N/A</v>
      </c>
      <c r="AH120" s="472" t="e">
        <f>VLOOKUP(AF120,'排出係数(2017)'!$A$4:$I$1151,6,FALSE)</f>
        <v>#N/A</v>
      </c>
      <c r="AI120" s="7" t="e">
        <f t="shared" si="38"/>
        <v>#N/A</v>
      </c>
      <c r="AJ120" s="7" t="e">
        <f t="shared" si="39"/>
        <v>#N/A</v>
      </c>
      <c r="AK120" s="472" t="e">
        <f>VLOOKUP(AF120,'排出係数(2017)'!$A$4:$I$1151,7,FALSE)</f>
        <v>#N/A</v>
      </c>
      <c r="AL120" s="7" t="e">
        <f t="shared" si="40"/>
        <v>#N/A</v>
      </c>
      <c r="AM120" s="7" t="e">
        <f t="shared" si="41"/>
        <v>#N/A</v>
      </c>
      <c r="AN120" s="7" t="e">
        <f t="shared" si="42"/>
        <v>#N/A</v>
      </c>
      <c r="AO120" s="7">
        <f t="shared" si="43"/>
        <v>0</v>
      </c>
      <c r="AP120" s="7" t="e">
        <f t="shared" si="52"/>
        <v>#N/A</v>
      </c>
      <c r="AQ120" s="7" t="str">
        <f t="shared" si="44"/>
        <v/>
      </c>
      <c r="AR120" s="7" t="str">
        <f t="shared" si="45"/>
        <v/>
      </c>
      <c r="AS120" s="7" t="str">
        <f t="shared" si="46"/>
        <v/>
      </c>
      <c r="AT120" s="97"/>
      <c r="AZ120" s="477" t="s">
        <v>2112</v>
      </c>
      <c r="CF120" s="586" t="str">
        <f t="shared" si="53"/>
        <v/>
      </c>
      <c r="CG120"/>
      <c r="CH120"/>
    </row>
    <row r="121" spans="1:86" s="13" customFormat="1" ht="13.75" customHeight="1">
      <c r="A121" s="137">
        <v>106</v>
      </c>
      <c r="B121" s="138"/>
      <c r="C121" s="139"/>
      <c r="D121" s="140"/>
      <c r="E121" s="139"/>
      <c r="F121" s="139"/>
      <c r="G121" s="191"/>
      <c r="H121" s="139"/>
      <c r="I121" s="141"/>
      <c r="J121" s="142"/>
      <c r="K121" s="139"/>
      <c r="L121" s="147"/>
      <c r="M121" s="148"/>
      <c r="N121" s="583"/>
      <c r="O121" s="229" t="str">
        <f t="shared" si="47"/>
        <v/>
      </c>
      <c r="P121" s="229" t="str">
        <f t="shared" si="48"/>
        <v/>
      </c>
      <c r="Q121" s="230" t="str">
        <f t="shared" si="49"/>
        <v/>
      </c>
      <c r="R121" s="323" t="str">
        <f t="shared" si="50"/>
        <v/>
      </c>
      <c r="S121" s="350"/>
      <c r="T121" s="43"/>
      <c r="U121" s="347" t="str">
        <f t="shared" si="27"/>
        <v/>
      </c>
      <c r="V121" s="7" t="e">
        <f t="shared" si="28"/>
        <v>#N/A</v>
      </c>
      <c r="W121" s="7" t="e">
        <f t="shared" si="29"/>
        <v>#N/A</v>
      </c>
      <c r="X121" s="7" t="e">
        <f t="shared" si="30"/>
        <v>#N/A</v>
      </c>
      <c r="Y121" s="7" t="str">
        <f t="shared" si="31"/>
        <v/>
      </c>
      <c r="Z121" s="11">
        <f t="shared" si="32"/>
        <v>1</v>
      </c>
      <c r="AA121" s="7" t="e">
        <f t="shared" si="33"/>
        <v>#N/A</v>
      </c>
      <c r="AB121" s="7" t="e">
        <f t="shared" si="34"/>
        <v>#N/A</v>
      </c>
      <c r="AC121" s="7" t="e">
        <f t="shared" si="35"/>
        <v>#N/A</v>
      </c>
      <c r="AD121" s="472" t="e">
        <f>VLOOKUP(AF121,'排出係数(2017)'!$A$4:$I$1151,9,FALSE)</f>
        <v>#N/A</v>
      </c>
      <c r="AE121" s="12" t="str">
        <f t="shared" si="36"/>
        <v xml:space="preserve"> </v>
      </c>
      <c r="AF121" s="7" t="e">
        <f t="shared" si="51"/>
        <v>#N/A</v>
      </c>
      <c r="AG121" s="7" t="e">
        <f t="shared" si="37"/>
        <v>#N/A</v>
      </c>
      <c r="AH121" s="472" t="e">
        <f>VLOOKUP(AF121,'排出係数(2017)'!$A$4:$I$1151,6,FALSE)</f>
        <v>#N/A</v>
      </c>
      <c r="AI121" s="7" t="e">
        <f t="shared" si="38"/>
        <v>#N/A</v>
      </c>
      <c r="AJ121" s="7" t="e">
        <f t="shared" si="39"/>
        <v>#N/A</v>
      </c>
      <c r="AK121" s="472" t="e">
        <f>VLOOKUP(AF121,'排出係数(2017)'!$A$4:$I$1151,7,FALSE)</f>
        <v>#N/A</v>
      </c>
      <c r="AL121" s="7" t="e">
        <f t="shared" si="40"/>
        <v>#N/A</v>
      </c>
      <c r="AM121" s="7" t="e">
        <f t="shared" si="41"/>
        <v>#N/A</v>
      </c>
      <c r="AN121" s="7" t="e">
        <f t="shared" si="42"/>
        <v>#N/A</v>
      </c>
      <c r="AO121" s="7">
        <f t="shared" si="43"/>
        <v>0</v>
      </c>
      <c r="AP121" s="7" t="e">
        <f t="shared" si="52"/>
        <v>#N/A</v>
      </c>
      <c r="AQ121" s="7" t="str">
        <f t="shared" si="44"/>
        <v/>
      </c>
      <c r="AR121" s="7" t="str">
        <f t="shared" si="45"/>
        <v/>
      </c>
      <c r="AS121" s="7" t="str">
        <f t="shared" si="46"/>
        <v/>
      </c>
      <c r="AT121" s="97"/>
      <c r="AZ121" s="477" t="s">
        <v>1986</v>
      </c>
      <c r="CF121" s="586" t="str">
        <f t="shared" si="53"/>
        <v/>
      </c>
      <c r="CG121"/>
      <c r="CH121"/>
    </row>
    <row r="122" spans="1:86" s="13" customFormat="1" ht="13.75" customHeight="1">
      <c r="A122" s="137">
        <v>107</v>
      </c>
      <c r="B122" s="138"/>
      <c r="C122" s="139"/>
      <c r="D122" s="140"/>
      <c r="E122" s="139"/>
      <c r="F122" s="139"/>
      <c r="G122" s="191"/>
      <c r="H122" s="139"/>
      <c r="I122" s="141"/>
      <c r="J122" s="142"/>
      <c r="K122" s="139"/>
      <c r="L122" s="147"/>
      <c r="M122" s="148"/>
      <c r="N122" s="583"/>
      <c r="O122" s="229" t="str">
        <f t="shared" si="47"/>
        <v/>
      </c>
      <c r="P122" s="229" t="str">
        <f t="shared" si="48"/>
        <v/>
      </c>
      <c r="Q122" s="230" t="str">
        <f t="shared" si="49"/>
        <v/>
      </c>
      <c r="R122" s="323" t="str">
        <f t="shared" si="50"/>
        <v/>
      </c>
      <c r="S122" s="350"/>
      <c r="T122" s="43"/>
      <c r="U122" s="347" t="str">
        <f t="shared" si="27"/>
        <v/>
      </c>
      <c r="V122" s="7" t="e">
        <f t="shared" si="28"/>
        <v>#N/A</v>
      </c>
      <c r="W122" s="7" t="e">
        <f t="shared" si="29"/>
        <v>#N/A</v>
      </c>
      <c r="X122" s="7" t="e">
        <f t="shared" si="30"/>
        <v>#N/A</v>
      </c>
      <c r="Y122" s="7" t="str">
        <f t="shared" si="31"/>
        <v/>
      </c>
      <c r="Z122" s="11">
        <f t="shared" si="32"/>
        <v>1</v>
      </c>
      <c r="AA122" s="7" t="e">
        <f t="shared" si="33"/>
        <v>#N/A</v>
      </c>
      <c r="AB122" s="7" t="e">
        <f t="shared" si="34"/>
        <v>#N/A</v>
      </c>
      <c r="AC122" s="7" t="e">
        <f t="shared" si="35"/>
        <v>#N/A</v>
      </c>
      <c r="AD122" s="472" t="e">
        <f>VLOOKUP(AF122,'排出係数(2017)'!$A$4:$I$1151,9,FALSE)</f>
        <v>#N/A</v>
      </c>
      <c r="AE122" s="12" t="str">
        <f t="shared" si="36"/>
        <v xml:space="preserve"> </v>
      </c>
      <c r="AF122" s="7" t="e">
        <f t="shared" si="51"/>
        <v>#N/A</v>
      </c>
      <c r="AG122" s="7" t="e">
        <f t="shared" si="37"/>
        <v>#N/A</v>
      </c>
      <c r="AH122" s="472" t="e">
        <f>VLOOKUP(AF122,'排出係数(2017)'!$A$4:$I$1151,6,FALSE)</f>
        <v>#N/A</v>
      </c>
      <c r="AI122" s="7" t="e">
        <f t="shared" si="38"/>
        <v>#N/A</v>
      </c>
      <c r="AJ122" s="7" t="e">
        <f t="shared" si="39"/>
        <v>#N/A</v>
      </c>
      <c r="AK122" s="472" t="e">
        <f>VLOOKUP(AF122,'排出係数(2017)'!$A$4:$I$1151,7,FALSE)</f>
        <v>#N/A</v>
      </c>
      <c r="AL122" s="7" t="e">
        <f t="shared" si="40"/>
        <v>#N/A</v>
      </c>
      <c r="AM122" s="7" t="e">
        <f t="shared" si="41"/>
        <v>#N/A</v>
      </c>
      <c r="AN122" s="7" t="e">
        <f t="shared" si="42"/>
        <v>#N/A</v>
      </c>
      <c r="AO122" s="7">
        <f t="shared" si="43"/>
        <v>0</v>
      </c>
      <c r="AP122" s="7" t="e">
        <f t="shared" si="52"/>
        <v>#N/A</v>
      </c>
      <c r="AQ122" s="7" t="str">
        <f t="shared" si="44"/>
        <v/>
      </c>
      <c r="AR122" s="7" t="str">
        <f t="shared" si="45"/>
        <v/>
      </c>
      <c r="AS122" s="7" t="str">
        <f t="shared" si="46"/>
        <v/>
      </c>
      <c r="AT122" s="97"/>
      <c r="AZ122" s="477" t="s">
        <v>1994</v>
      </c>
      <c r="CF122" s="586" t="str">
        <f t="shared" si="53"/>
        <v/>
      </c>
      <c r="CG122"/>
      <c r="CH122"/>
    </row>
    <row r="123" spans="1:86" s="13" customFormat="1" ht="13.75" customHeight="1">
      <c r="A123" s="137">
        <v>108</v>
      </c>
      <c r="B123" s="138"/>
      <c r="C123" s="139"/>
      <c r="D123" s="140"/>
      <c r="E123" s="139"/>
      <c r="F123" s="139"/>
      <c r="G123" s="191"/>
      <c r="H123" s="139"/>
      <c r="I123" s="141"/>
      <c r="J123" s="142"/>
      <c r="K123" s="139"/>
      <c r="L123" s="147"/>
      <c r="M123" s="148"/>
      <c r="N123" s="583"/>
      <c r="O123" s="229" t="str">
        <f t="shared" si="47"/>
        <v/>
      </c>
      <c r="P123" s="229" t="str">
        <f t="shared" si="48"/>
        <v/>
      </c>
      <c r="Q123" s="230" t="str">
        <f t="shared" si="49"/>
        <v/>
      </c>
      <c r="R123" s="323" t="str">
        <f t="shared" si="50"/>
        <v/>
      </c>
      <c r="S123" s="350"/>
      <c r="T123" s="43"/>
      <c r="U123" s="347" t="str">
        <f t="shared" si="27"/>
        <v/>
      </c>
      <c r="V123" s="7" t="e">
        <f t="shared" si="28"/>
        <v>#N/A</v>
      </c>
      <c r="W123" s="7" t="e">
        <f t="shared" si="29"/>
        <v>#N/A</v>
      </c>
      <c r="X123" s="7" t="e">
        <f t="shared" si="30"/>
        <v>#N/A</v>
      </c>
      <c r="Y123" s="7" t="str">
        <f t="shared" si="31"/>
        <v/>
      </c>
      <c r="Z123" s="11">
        <f t="shared" si="32"/>
        <v>1</v>
      </c>
      <c r="AA123" s="7" t="e">
        <f t="shared" si="33"/>
        <v>#N/A</v>
      </c>
      <c r="AB123" s="7" t="e">
        <f t="shared" si="34"/>
        <v>#N/A</v>
      </c>
      <c r="AC123" s="7" t="e">
        <f t="shared" si="35"/>
        <v>#N/A</v>
      </c>
      <c r="AD123" s="472" t="e">
        <f>VLOOKUP(AF123,'排出係数(2017)'!$A$4:$I$1151,9,FALSE)</f>
        <v>#N/A</v>
      </c>
      <c r="AE123" s="12" t="str">
        <f t="shared" si="36"/>
        <v xml:space="preserve"> </v>
      </c>
      <c r="AF123" s="7" t="e">
        <f t="shared" si="51"/>
        <v>#N/A</v>
      </c>
      <c r="AG123" s="7" t="e">
        <f t="shared" si="37"/>
        <v>#N/A</v>
      </c>
      <c r="AH123" s="472" t="e">
        <f>VLOOKUP(AF123,'排出係数(2017)'!$A$4:$I$1151,6,FALSE)</f>
        <v>#N/A</v>
      </c>
      <c r="AI123" s="7" t="e">
        <f t="shared" si="38"/>
        <v>#N/A</v>
      </c>
      <c r="AJ123" s="7" t="e">
        <f t="shared" si="39"/>
        <v>#N/A</v>
      </c>
      <c r="AK123" s="472" t="e">
        <f>VLOOKUP(AF123,'排出係数(2017)'!$A$4:$I$1151,7,FALSE)</f>
        <v>#N/A</v>
      </c>
      <c r="AL123" s="7" t="e">
        <f t="shared" si="40"/>
        <v>#N/A</v>
      </c>
      <c r="AM123" s="7" t="e">
        <f t="shared" si="41"/>
        <v>#N/A</v>
      </c>
      <c r="AN123" s="7" t="e">
        <f t="shared" si="42"/>
        <v>#N/A</v>
      </c>
      <c r="AO123" s="7">
        <f t="shared" si="43"/>
        <v>0</v>
      </c>
      <c r="AP123" s="7" t="e">
        <f t="shared" si="52"/>
        <v>#N/A</v>
      </c>
      <c r="AQ123" s="7" t="str">
        <f t="shared" si="44"/>
        <v/>
      </c>
      <c r="AR123" s="7" t="str">
        <f t="shared" si="45"/>
        <v/>
      </c>
      <c r="AS123" s="7" t="str">
        <f t="shared" si="46"/>
        <v/>
      </c>
      <c r="AT123" s="97"/>
      <c r="AZ123" s="477" t="s">
        <v>1498</v>
      </c>
      <c r="CF123" s="586" t="str">
        <f t="shared" si="53"/>
        <v/>
      </c>
      <c r="CG123"/>
      <c r="CH123"/>
    </row>
    <row r="124" spans="1:86" s="13" customFormat="1" ht="13.75" customHeight="1">
      <c r="A124" s="137">
        <v>109</v>
      </c>
      <c r="B124" s="138"/>
      <c r="C124" s="139"/>
      <c r="D124" s="140"/>
      <c r="E124" s="139"/>
      <c r="F124" s="139"/>
      <c r="G124" s="191"/>
      <c r="H124" s="139"/>
      <c r="I124" s="141"/>
      <c r="J124" s="142"/>
      <c r="K124" s="139"/>
      <c r="L124" s="147"/>
      <c r="M124" s="148"/>
      <c r="N124" s="583"/>
      <c r="O124" s="229" t="str">
        <f t="shared" si="47"/>
        <v/>
      </c>
      <c r="P124" s="229" t="str">
        <f t="shared" si="48"/>
        <v/>
      </c>
      <c r="Q124" s="230" t="str">
        <f t="shared" si="49"/>
        <v/>
      </c>
      <c r="R124" s="323" t="str">
        <f t="shared" si="50"/>
        <v/>
      </c>
      <c r="S124" s="350"/>
      <c r="T124" s="43"/>
      <c r="U124" s="347" t="str">
        <f t="shared" si="27"/>
        <v/>
      </c>
      <c r="V124" s="7" t="e">
        <f t="shared" si="28"/>
        <v>#N/A</v>
      </c>
      <c r="W124" s="7" t="e">
        <f t="shared" si="29"/>
        <v>#N/A</v>
      </c>
      <c r="X124" s="7" t="e">
        <f t="shared" si="30"/>
        <v>#N/A</v>
      </c>
      <c r="Y124" s="7" t="str">
        <f t="shared" si="31"/>
        <v/>
      </c>
      <c r="Z124" s="11">
        <f t="shared" si="32"/>
        <v>1</v>
      </c>
      <c r="AA124" s="7" t="e">
        <f t="shared" si="33"/>
        <v>#N/A</v>
      </c>
      <c r="AB124" s="7" t="e">
        <f t="shared" si="34"/>
        <v>#N/A</v>
      </c>
      <c r="AC124" s="7" t="e">
        <f t="shared" si="35"/>
        <v>#N/A</v>
      </c>
      <c r="AD124" s="472" t="e">
        <f>VLOOKUP(AF124,'排出係数(2017)'!$A$4:$I$1151,9,FALSE)</f>
        <v>#N/A</v>
      </c>
      <c r="AE124" s="12" t="str">
        <f t="shared" si="36"/>
        <v xml:space="preserve"> </v>
      </c>
      <c r="AF124" s="7" t="e">
        <f t="shared" si="51"/>
        <v>#N/A</v>
      </c>
      <c r="AG124" s="7" t="e">
        <f t="shared" si="37"/>
        <v>#N/A</v>
      </c>
      <c r="AH124" s="472" t="e">
        <f>VLOOKUP(AF124,'排出係数(2017)'!$A$4:$I$1151,6,FALSE)</f>
        <v>#N/A</v>
      </c>
      <c r="AI124" s="7" t="e">
        <f t="shared" si="38"/>
        <v>#N/A</v>
      </c>
      <c r="AJ124" s="7" t="e">
        <f t="shared" si="39"/>
        <v>#N/A</v>
      </c>
      <c r="AK124" s="472" t="e">
        <f>VLOOKUP(AF124,'排出係数(2017)'!$A$4:$I$1151,7,FALSE)</f>
        <v>#N/A</v>
      </c>
      <c r="AL124" s="7" t="e">
        <f t="shared" si="40"/>
        <v>#N/A</v>
      </c>
      <c r="AM124" s="7" t="e">
        <f t="shared" si="41"/>
        <v>#N/A</v>
      </c>
      <c r="AN124" s="7" t="e">
        <f t="shared" si="42"/>
        <v>#N/A</v>
      </c>
      <c r="AO124" s="7">
        <f t="shared" si="43"/>
        <v>0</v>
      </c>
      <c r="AP124" s="7" t="e">
        <f t="shared" si="52"/>
        <v>#N/A</v>
      </c>
      <c r="AQ124" s="7" t="str">
        <f t="shared" si="44"/>
        <v/>
      </c>
      <c r="AR124" s="7" t="str">
        <f t="shared" si="45"/>
        <v/>
      </c>
      <c r="AS124" s="7" t="str">
        <f t="shared" si="46"/>
        <v/>
      </c>
      <c r="AT124" s="97"/>
      <c r="AZ124" s="477" t="s">
        <v>2121</v>
      </c>
      <c r="CF124" s="586" t="str">
        <f t="shared" si="53"/>
        <v/>
      </c>
      <c r="CG124"/>
      <c r="CH124"/>
    </row>
    <row r="125" spans="1:86" s="13" customFormat="1" ht="13.75" customHeight="1">
      <c r="A125" s="137">
        <v>110</v>
      </c>
      <c r="B125" s="138"/>
      <c r="C125" s="139"/>
      <c r="D125" s="140"/>
      <c r="E125" s="139"/>
      <c r="F125" s="139"/>
      <c r="G125" s="191"/>
      <c r="H125" s="139"/>
      <c r="I125" s="141"/>
      <c r="J125" s="142"/>
      <c r="K125" s="139"/>
      <c r="L125" s="147"/>
      <c r="M125" s="148"/>
      <c r="N125" s="583"/>
      <c r="O125" s="229" t="str">
        <f t="shared" si="47"/>
        <v/>
      </c>
      <c r="P125" s="229" t="str">
        <f t="shared" si="48"/>
        <v/>
      </c>
      <c r="Q125" s="230" t="str">
        <f t="shared" si="49"/>
        <v/>
      </c>
      <c r="R125" s="323" t="str">
        <f t="shared" si="50"/>
        <v/>
      </c>
      <c r="S125" s="350"/>
      <c r="T125" s="43"/>
      <c r="U125" s="347" t="str">
        <f t="shared" si="27"/>
        <v/>
      </c>
      <c r="V125" s="7" t="e">
        <f t="shared" si="28"/>
        <v>#N/A</v>
      </c>
      <c r="W125" s="7" t="e">
        <f t="shared" si="29"/>
        <v>#N/A</v>
      </c>
      <c r="X125" s="7" t="e">
        <f t="shared" si="30"/>
        <v>#N/A</v>
      </c>
      <c r="Y125" s="7" t="str">
        <f t="shared" si="31"/>
        <v/>
      </c>
      <c r="Z125" s="11">
        <f t="shared" si="32"/>
        <v>1</v>
      </c>
      <c r="AA125" s="7" t="e">
        <f t="shared" si="33"/>
        <v>#N/A</v>
      </c>
      <c r="AB125" s="7" t="e">
        <f t="shared" si="34"/>
        <v>#N/A</v>
      </c>
      <c r="AC125" s="7" t="e">
        <f t="shared" si="35"/>
        <v>#N/A</v>
      </c>
      <c r="AD125" s="472" t="e">
        <f>VLOOKUP(AF125,'排出係数(2017)'!$A$4:$I$1151,9,FALSE)</f>
        <v>#N/A</v>
      </c>
      <c r="AE125" s="12" t="str">
        <f t="shared" si="36"/>
        <v xml:space="preserve"> </v>
      </c>
      <c r="AF125" s="7" t="e">
        <f t="shared" si="51"/>
        <v>#N/A</v>
      </c>
      <c r="AG125" s="7" t="e">
        <f t="shared" si="37"/>
        <v>#N/A</v>
      </c>
      <c r="AH125" s="472" t="e">
        <f>VLOOKUP(AF125,'排出係数(2017)'!$A$4:$I$1151,6,FALSE)</f>
        <v>#N/A</v>
      </c>
      <c r="AI125" s="7" t="e">
        <f t="shared" si="38"/>
        <v>#N/A</v>
      </c>
      <c r="AJ125" s="7" t="e">
        <f t="shared" si="39"/>
        <v>#N/A</v>
      </c>
      <c r="AK125" s="472" t="e">
        <f>VLOOKUP(AF125,'排出係数(2017)'!$A$4:$I$1151,7,FALSE)</f>
        <v>#N/A</v>
      </c>
      <c r="AL125" s="7" t="e">
        <f t="shared" si="40"/>
        <v>#N/A</v>
      </c>
      <c r="AM125" s="7" t="e">
        <f t="shared" si="41"/>
        <v>#N/A</v>
      </c>
      <c r="AN125" s="7" t="e">
        <f t="shared" si="42"/>
        <v>#N/A</v>
      </c>
      <c r="AO125" s="7">
        <f t="shared" si="43"/>
        <v>0</v>
      </c>
      <c r="AP125" s="7" t="e">
        <f t="shared" si="52"/>
        <v>#N/A</v>
      </c>
      <c r="AQ125" s="7" t="str">
        <f t="shared" si="44"/>
        <v/>
      </c>
      <c r="AR125" s="7" t="str">
        <f t="shared" si="45"/>
        <v/>
      </c>
      <c r="AS125" s="7" t="str">
        <f t="shared" si="46"/>
        <v/>
      </c>
      <c r="AT125" s="97"/>
      <c r="AZ125" s="477" t="s">
        <v>2122</v>
      </c>
      <c r="CF125" s="586" t="str">
        <f t="shared" si="53"/>
        <v/>
      </c>
      <c r="CG125"/>
      <c r="CH125"/>
    </row>
    <row r="126" spans="1:86" s="13" customFormat="1" ht="13.75" customHeight="1">
      <c r="A126" s="137">
        <v>111</v>
      </c>
      <c r="B126" s="138"/>
      <c r="C126" s="139"/>
      <c r="D126" s="140"/>
      <c r="E126" s="139"/>
      <c r="F126" s="139"/>
      <c r="G126" s="191"/>
      <c r="H126" s="139"/>
      <c r="I126" s="141"/>
      <c r="J126" s="142"/>
      <c r="K126" s="139"/>
      <c r="L126" s="147"/>
      <c r="M126" s="148"/>
      <c r="N126" s="583"/>
      <c r="O126" s="229" t="str">
        <f t="shared" si="47"/>
        <v/>
      </c>
      <c r="P126" s="229" t="str">
        <f t="shared" si="48"/>
        <v/>
      </c>
      <c r="Q126" s="230" t="str">
        <f t="shared" si="49"/>
        <v/>
      </c>
      <c r="R126" s="323" t="str">
        <f t="shared" si="50"/>
        <v/>
      </c>
      <c r="S126" s="350"/>
      <c r="T126" s="43"/>
      <c r="U126" s="347" t="str">
        <f t="shared" si="27"/>
        <v/>
      </c>
      <c r="V126" s="7" t="e">
        <f t="shared" si="28"/>
        <v>#N/A</v>
      </c>
      <c r="W126" s="7" t="e">
        <f t="shared" si="29"/>
        <v>#N/A</v>
      </c>
      <c r="X126" s="7" t="e">
        <f t="shared" si="30"/>
        <v>#N/A</v>
      </c>
      <c r="Y126" s="7" t="str">
        <f t="shared" si="31"/>
        <v/>
      </c>
      <c r="Z126" s="11">
        <f t="shared" si="32"/>
        <v>1</v>
      </c>
      <c r="AA126" s="7" t="e">
        <f t="shared" si="33"/>
        <v>#N/A</v>
      </c>
      <c r="AB126" s="7" t="e">
        <f t="shared" si="34"/>
        <v>#N/A</v>
      </c>
      <c r="AC126" s="7" t="e">
        <f t="shared" si="35"/>
        <v>#N/A</v>
      </c>
      <c r="AD126" s="472" t="e">
        <f>VLOOKUP(AF126,'排出係数(2017)'!$A$4:$I$1151,9,FALSE)</f>
        <v>#N/A</v>
      </c>
      <c r="AE126" s="12" t="str">
        <f t="shared" si="36"/>
        <v xml:space="preserve"> </v>
      </c>
      <c r="AF126" s="7" t="e">
        <f t="shared" si="51"/>
        <v>#N/A</v>
      </c>
      <c r="AG126" s="7" t="e">
        <f t="shared" si="37"/>
        <v>#N/A</v>
      </c>
      <c r="AH126" s="472" t="e">
        <f>VLOOKUP(AF126,'排出係数(2017)'!$A$4:$I$1151,6,FALSE)</f>
        <v>#N/A</v>
      </c>
      <c r="AI126" s="7" t="e">
        <f t="shared" si="38"/>
        <v>#N/A</v>
      </c>
      <c r="AJ126" s="7" t="e">
        <f t="shared" si="39"/>
        <v>#N/A</v>
      </c>
      <c r="AK126" s="472" t="e">
        <f>VLOOKUP(AF126,'排出係数(2017)'!$A$4:$I$1151,7,FALSE)</f>
        <v>#N/A</v>
      </c>
      <c r="AL126" s="7" t="e">
        <f t="shared" si="40"/>
        <v>#N/A</v>
      </c>
      <c r="AM126" s="7" t="e">
        <f t="shared" si="41"/>
        <v>#N/A</v>
      </c>
      <c r="AN126" s="7" t="e">
        <f t="shared" si="42"/>
        <v>#N/A</v>
      </c>
      <c r="AO126" s="7">
        <f t="shared" si="43"/>
        <v>0</v>
      </c>
      <c r="AP126" s="7" t="e">
        <f t="shared" si="52"/>
        <v>#N/A</v>
      </c>
      <c r="AQ126" s="7" t="str">
        <f t="shared" si="44"/>
        <v/>
      </c>
      <c r="AR126" s="7" t="str">
        <f t="shared" si="45"/>
        <v/>
      </c>
      <c r="AS126" s="7" t="str">
        <f t="shared" si="46"/>
        <v/>
      </c>
      <c r="AT126" s="97"/>
      <c r="AZ126" s="477" t="s">
        <v>2041</v>
      </c>
      <c r="CF126" s="586" t="str">
        <f t="shared" si="53"/>
        <v/>
      </c>
      <c r="CG126"/>
      <c r="CH126"/>
    </row>
    <row r="127" spans="1:86" s="13" customFormat="1" ht="13.75" customHeight="1">
      <c r="A127" s="137">
        <v>112</v>
      </c>
      <c r="B127" s="138"/>
      <c r="C127" s="139"/>
      <c r="D127" s="140"/>
      <c r="E127" s="139"/>
      <c r="F127" s="139"/>
      <c r="G127" s="191"/>
      <c r="H127" s="139"/>
      <c r="I127" s="141"/>
      <c r="J127" s="142"/>
      <c r="K127" s="139"/>
      <c r="L127" s="147"/>
      <c r="M127" s="148"/>
      <c r="N127" s="583"/>
      <c r="O127" s="229" t="str">
        <f t="shared" si="47"/>
        <v/>
      </c>
      <c r="P127" s="229" t="str">
        <f t="shared" si="48"/>
        <v/>
      </c>
      <c r="Q127" s="230" t="str">
        <f t="shared" si="49"/>
        <v/>
      </c>
      <c r="R127" s="323" t="str">
        <f t="shared" si="50"/>
        <v/>
      </c>
      <c r="S127" s="350"/>
      <c r="T127" s="43"/>
      <c r="U127" s="347" t="str">
        <f t="shared" si="27"/>
        <v/>
      </c>
      <c r="V127" s="7" t="e">
        <f t="shared" si="28"/>
        <v>#N/A</v>
      </c>
      <c r="W127" s="7" t="e">
        <f t="shared" si="29"/>
        <v>#N/A</v>
      </c>
      <c r="X127" s="7" t="e">
        <f t="shared" si="30"/>
        <v>#N/A</v>
      </c>
      <c r="Y127" s="7" t="str">
        <f t="shared" si="31"/>
        <v/>
      </c>
      <c r="Z127" s="11">
        <f t="shared" si="32"/>
        <v>1</v>
      </c>
      <c r="AA127" s="7" t="e">
        <f t="shared" si="33"/>
        <v>#N/A</v>
      </c>
      <c r="AB127" s="7" t="e">
        <f t="shared" si="34"/>
        <v>#N/A</v>
      </c>
      <c r="AC127" s="7" t="e">
        <f t="shared" si="35"/>
        <v>#N/A</v>
      </c>
      <c r="AD127" s="472" t="e">
        <f>VLOOKUP(AF127,'排出係数(2017)'!$A$4:$I$1151,9,FALSE)</f>
        <v>#N/A</v>
      </c>
      <c r="AE127" s="12" t="str">
        <f t="shared" si="36"/>
        <v xml:space="preserve"> </v>
      </c>
      <c r="AF127" s="7" t="e">
        <f t="shared" si="51"/>
        <v>#N/A</v>
      </c>
      <c r="AG127" s="7" t="e">
        <f t="shared" si="37"/>
        <v>#N/A</v>
      </c>
      <c r="AH127" s="472" t="e">
        <f>VLOOKUP(AF127,'排出係数(2017)'!$A$4:$I$1151,6,FALSE)</f>
        <v>#N/A</v>
      </c>
      <c r="AI127" s="7" t="e">
        <f t="shared" si="38"/>
        <v>#N/A</v>
      </c>
      <c r="AJ127" s="7" t="e">
        <f t="shared" si="39"/>
        <v>#N/A</v>
      </c>
      <c r="AK127" s="472" t="e">
        <f>VLOOKUP(AF127,'排出係数(2017)'!$A$4:$I$1151,7,FALSE)</f>
        <v>#N/A</v>
      </c>
      <c r="AL127" s="7" t="e">
        <f t="shared" si="40"/>
        <v>#N/A</v>
      </c>
      <c r="AM127" s="7" t="e">
        <f t="shared" si="41"/>
        <v>#N/A</v>
      </c>
      <c r="AN127" s="7" t="e">
        <f t="shared" si="42"/>
        <v>#N/A</v>
      </c>
      <c r="AO127" s="7">
        <f t="shared" si="43"/>
        <v>0</v>
      </c>
      <c r="AP127" s="7" t="e">
        <f t="shared" si="52"/>
        <v>#N/A</v>
      </c>
      <c r="AQ127" s="7" t="str">
        <f t="shared" si="44"/>
        <v/>
      </c>
      <c r="AR127" s="7" t="str">
        <f t="shared" si="45"/>
        <v/>
      </c>
      <c r="AS127" s="7" t="str">
        <f t="shared" si="46"/>
        <v/>
      </c>
      <c r="AT127" s="97"/>
      <c r="AZ127" s="477" t="s">
        <v>2051</v>
      </c>
      <c r="CF127" s="586" t="str">
        <f t="shared" si="53"/>
        <v/>
      </c>
      <c r="CG127"/>
      <c r="CH127"/>
    </row>
    <row r="128" spans="1:86" s="13" customFormat="1" ht="13.75" customHeight="1">
      <c r="A128" s="137">
        <v>113</v>
      </c>
      <c r="B128" s="138"/>
      <c r="C128" s="139"/>
      <c r="D128" s="140"/>
      <c r="E128" s="139"/>
      <c r="F128" s="139"/>
      <c r="G128" s="191"/>
      <c r="H128" s="139"/>
      <c r="I128" s="141"/>
      <c r="J128" s="142"/>
      <c r="K128" s="139"/>
      <c r="L128" s="147"/>
      <c r="M128" s="148"/>
      <c r="N128" s="583"/>
      <c r="O128" s="229" t="str">
        <f t="shared" si="47"/>
        <v/>
      </c>
      <c r="P128" s="229" t="str">
        <f t="shared" si="48"/>
        <v/>
      </c>
      <c r="Q128" s="230" t="str">
        <f t="shared" si="49"/>
        <v/>
      </c>
      <c r="R128" s="323" t="str">
        <f t="shared" si="50"/>
        <v/>
      </c>
      <c r="S128" s="350"/>
      <c r="T128" s="43"/>
      <c r="U128" s="347" t="str">
        <f t="shared" si="27"/>
        <v/>
      </c>
      <c r="V128" s="7" t="e">
        <f t="shared" si="28"/>
        <v>#N/A</v>
      </c>
      <c r="W128" s="7" t="e">
        <f t="shared" si="29"/>
        <v>#N/A</v>
      </c>
      <c r="X128" s="7" t="e">
        <f t="shared" si="30"/>
        <v>#N/A</v>
      </c>
      <c r="Y128" s="7" t="str">
        <f t="shared" si="31"/>
        <v/>
      </c>
      <c r="Z128" s="11">
        <f t="shared" si="32"/>
        <v>1</v>
      </c>
      <c r="AA128" s="7" t="e">
        <f t="shared" si="33"/>
        <v>#N/A</v>
      </c>
      <c r="AB128" s="7" t="e">
        <f t="shared" si="34"/>
        <v>#N/A</v>
      </c>
      <c r="AC128" s="7" t="e">
        <f t="shared" si="35"/>
        <v>#N/A</v>
      </c>
      <c r="AD128" s="472" t="e">
        <f>VLOOKUP(AF128,'排出係数(2017)'!$A$4:$I$1151,9,FALSE)</f>
        <v>#N/A</v>
      </c>
      <c r="AE128" s="12" t="str">
        <f t="shared" si="36"/>
        <v xml:space="preserve"> </v>
      </c>
      <c r="AF128" s="7" t="e">
        <f t="shared" si="51"/>
        <v>#N/A</v>
      </c>
      <c r="AG128" s="7" t="e">
        <f t="shared" si="37"/>
        <v>#N/A</v>
      </c>
      <c r="AH128" s="472" t="e">
        <f>VLOOKUP(AF128,'排出係数(2017)'!$A$4:$I$1151,6,FALSE)</f>
        <v>#N/A</v>
      </c>
      <c r="AI128" s="7" t="e">
        <f t="shared" si="38"/>
        <v>#N/A</v>
      </c>
      <c r="AJ128" s="7" t="e">
        <f t="shared" si="39"/>
        <v>#N/A</v>
      </c>
      <c r="AK128" s="472" t="e">
        <f>VLOOKUP(AF128,'排出係数(2017)'!$A$4:$I$1151,7,FALSE)</f>
        <v>#N/A</v>
      </c>
      <c r="AL128" s="7" t="e">
        <f t="shared" si="40"/>
        <v>#N/A</v>
      </c>
      <c r="AM128" s="7" t="e">
        <f t="shared" si="41"/>
        <v>#N/A</v>
      </c>
      <c r="AN128" s="7" t="e">
        <f t="shared" si="42"/>
        <v>#N/A</v>
      </c>
      <c r="AO128" s="7">
        <f t="shared" si="43"/>
        <v>0</v>
      </c>
      <c r="AP128" s="7" t="e">
        <f t="shared" si="52"/>
        <v>#N/A</v>
      </c>
      <c r="AQ128" s="7" t="str">
        <f t="shared" si="44"/>
        <v/>
      </c>
      <c r="AR128" s="7" t="str">
        <f t="shared" si="45"/>
        <v/>
      </c>
      <c r="AS128" s="7" t="str">
        <f t="shared" si="46"/>
        <v/>
      </c>
      <c r="AT128" s="97"/>
      <c r="AZ128" s="477" t="s">
        <v>681</v>
      </c>
      <c r="CF128" s="586" t="str">
        <f t="shared" si="53"/>
        <v/>
      </c>
      <c r="CG128"/>
      <c r="CH128"/>
    </row>
    <row r="129" spans="1:86" s="13" customFormat="1" ht="13.75" customHeight="1">
      <c r="A129" s="137">
        <v>114</v>
      </c>
      <c r="B129" s="138"/>
      <c r="C129" s="139"/>
      <c r="D129" s="140"/>
      <c r="E129" s="139"/>
      <c r="F129" s="139"/>
      <c r="G129" s="191"/>
      <c r="H129" s="139"/>
      <c r="I129" s="141"/>
      <c r="J129" s="142"/>
      <c r="K129" s="139"/>
      <c r="L129" s="147"/>
      <c r="M129" s="148"/>
      <c r="N129" s="583"/>
      <c r="O129" s="229" t="str">
        <f t="shared" si="47"/>
        <v/>
      </c>
      <c r="P129" s="229" t="str">
        <f t="shared" si="48"/>
        <v/>
      </c>
      <c r="Q129" s="230" t="str">
        <f t="shared" si="49"/>
        <v/>
      </c>
      <c r="R129" s="323" t="str">
        <f t="shared" si="50"/>
        <v/>
      </c>
      <c r="S129" s="350"/>
      <c r="T129" s="43"/>
      <c r="U129" s="347" t="str">
        <f t="shared" si="27"/>
        <v/>
      </c>
      <c r="V129" s="7" t="e">
        <f t="shared" si="28"/>
        <v>#N/A</v>
      </c>
      <c r="W129" s="7" t="e">
        <f t="shared" si="29"/>
        <v>#N/A</v>
      </c>
      <c r="X129" s="7" t="e">
        <f t="shared" si="30"/>
        <v>#N/A</v>
      </c>
      <c r="Y129" s="7" t="str">
        <f t="shared" si="31"/>
        <v/>
      </c>
      <c r="Z129" s="11">
        <f t="shared" si="32"/>
        <v>1</v>
      </c>
      <c r="AA129" s="7" t="e">
        <f t="shared" si="33"/>
        <v>#N/A</v>
      </c>
      <c r="AB129" s="7" t="e">
        <f t="shared" si="34"/>
        <v>#N/A</v>
      </c>
      <c r="AC129" s="7" t="e">
        <f t="shared" si="35"/>
        <v>#N/A</v>
      </c>
      <c r="AD129" s="472" t="e">
        <f>VLOOKUP(AF129,'排出係数(2017)'!$A$4:$I$1151,9,FALSE)</f>
        <v>#N/A</v>
      </c>
      <c r="AE129" s="12" t="str">
        <f t="shared" si="36"/>
        <v xml:space="preserve"> </v>
      </c>
      <c r="AF129" s="7" t="e">
        <f t="shared" si="51"/>
        <v>#N/A</v>
      </c>
      <c r="AG129" s="7" t="e">
        <f t="shared" si="37"/>
        <v>#N/A</v>
      </c>
      <c r="AH129" s="472" t="e">
        <f>VLOOKUP(AF129,'排出係数(2017)'!$A$4:$I$1151,6,FALSE)</f>
        <v>#N/A</v>
      </c>
      <c r="AI129" s="7" t="e">
        <f t="shared" si="38"/>
        <v>#N/A</v>
      </c>
      <c r="AJ129" s="7" t="e">
        <f t="shared" si="39"/>
        <v>#N/A</v>
      </c>
      <c r="AK129" s="472" t="e">
        <f>VLOOKUP(AF129,'排出係数(2017)'!$A$4:$I$1151,7,FALSE)</f>
        <v>#N/A</v>
      </c>
      <c r="AL129" s="7" t="e">
        <f t="shared" si="40"/>
        <v>#N/A</v>
      </c>
      <c r="AM129" s="7" t="e">
        <f t="shared" si="41"/>
        <v>#N/A</v>
      </c>
      <c r="AN129" s="7" t="e">
        <f t="shared" si="42"/>
        <v>#N/A</v>
      </c>
      <c r="AO129" s="7">
        <f t="shared" si="43"/>
        <v>0</v>
      </c>
      <c r="AP129" s="7" t="e">
        <f t="shared" si="52"/>
        <v>#N/A</v>
      </c>
      <c r="AQ129" s="7" t="str">
        <f t="shared" si="44"/>
        <v/>
      </c>
      <c r="AR129" s="7" t="str">
        <f t="shared" si="45"/>
        <v/>
      </c>
      <c r="AS129" s="7" t="str">
        <f t="shared" si="46"/>
        <v/>
      </c>
      <c r="AT129" s="97"/>
      <c r="AZ129" s="477" t="s">
        <v>2123</v>
      </c>
      <c r="CF129" s="586" t="str">
        <f t="shared" si="53"/>
        <v/>
      </c>
      <c r="CG129"/>
      <c r="CH129"/>
    </row>
    <row r="130" spans="1:86" s="13" customFormat="1" ht="13.75" customHeight="1">
      <c r="A130" s="137">
        <v>115</v>
      </c>
      <c r="B130" s="138"/>
      <c r="C130" s="139"/>
      <c r="D130" s="140"/>
      <c r="E130" s="139"/>
      <c r="F130" s="139"/>
      <c r="G130" s="191"/>
      <c r="H130" s="139"/>
      <c r="I130" s="141"/>
      <c r="J130" s="142"/>
      <c r="K130" s="139"/>
      <c r="L130" s="147"/>
      <c r="M130" s="148"/>
      <c r="N130" s="583"/>
      <c r="O130" s="229" t="str">
        <f t="shared" si="47"/>
        <v/>
      </c>
      <c r="P130" s="229" t="str">
        <f t="shared" si="48"/>
        <v/>
      </c>
      <c r="Q130" s="230" t="str">
        <f t="shared" si="49"/>
        <v/>
      </c>
      <c r="R130" s="323" t="str">
        <f t="shared" si="50"/>
        <v/>
      </c>
      <c r="S130" s="350"/>
      <c r="T130" s="43"/>
      <c r="U130" s="347" t="str">
        <f t="shared" si="27"/>
        <v/>
      </c>
      <c r="V130" s="7" t="e">
        <f t="shared" si="28"/>
        <v>#N/A</v>
      </c>
      <c r="W130" s="7" t="e">
        <f t="shared" si="29"/>
        <v>#N/A</v>
      </c>
      <c r="X130" s="7" t="e">
        <f t="shared" si="30"/>
        <v>#N/A</v>
      </c>
      <c r="Y130" s="7" t="str">
        <f t="shared" si="31"/>
        <v/>
      </c>
      <c r="Z130" s="11">
        <f t="shared" si="32"/>
        <v>1</v>
      </c>
      <c r="AA130" s="7" t="e">
        <f t="shared" si="33"/>
        <v>#N/A</v>
      </c>
      <c r="AB130" s="7" t="e">
        <f t="shared" si="34"/>
        <v>#N/A</v>
      </c>
      <c r="AC130" s="7" t="e">
        <f t="shared" si="35"/>
        <v>#N/A</v>
      </c>
      <c r="AD130" s="472" t="e">
        <f>VLOOKUP(AF130,'排出係数(2017)'!$A$4:$I$1151,9,FALSE)</f>
        <v>#N/A</v>
      </c>
      <c r="AE130" s="12" t="str">
        <f t="shared" si="36"/>
        <v xml:space="preserve"> </v>
      </c>
      <c r="AF130" s="7" t="e">
        <f t="shared" si="51"/>
        <v>#N/A</v>
      </c>
      <c r="AG130" s="7" t="e">
        <f t="shared" si="37"/>
        <v>#N/A</v>
      </c>
      <c r="AH130" s="472" t="e">
        <f>VLOOKUP(AF130,'排出係数(2017)'!$A$4:$I$1151,6,FALSE)</f>
        <v>#N/A</v>
      </c>
      <c r="AI130" s="7" t="e">
        <f t="shared" si="38"/>
        <v>#N/A</v>
      </c>
      <c r="AJ130" s="7" t="e">
        <f t="shared" si="39"/>
        <v>#N/A</v>
      </c>
      <c r="AK130" s="472" t="e">
        <f>VLOOKUP(AF130,'排出係数(2017)'!$A$4:$I$1151,7,FALSE)</f>
        <v>#N/A</v>
      </c>
      <c r="AL130" s="7" t="e">
        <f t="shared" si="40"/>
        <v>#N/A</v>
      </c>
      <c r="AM130" s="7" t="e">
        <f t="shared" si="41"/>
        <v>#N/A</v>
      </c>
      <c r="AN130" s="7" t="e">
        <f t="shared" si="42"/>
        <v>#N/A</v>
      </c>
      <c r="AO130" s="7">
        <f t="shared" si="43"/>
        <v>0</v>
      </c>
      <c r="AP130" s="7" t="e">
        <f t="shared" si="52"/>
        <v>#N/A</v>
      </c>
      <c r="AQ130" s="7" t="str">
        <f t="shared" si="44"/>
        <v/>
      </c>
      <c r="AR130" s="7" t="str">
        <f t="shared" si="45"/>
        <v/>
      </c>
      <c r="AS130" s="7" t="str">
        <f t="shared" si="46"/>
        <v/>
      </c>
      <c r="AT130" s="97"/>
      <c r="AZ130" s="477" t="s">
        <v>2124</v>
      </c>
      <c r="CF130" s="586" t="str">
        <f t="shared" si="53"/>
        <v/>
      </c>
      <c r="CG130"/>
      <c r="CH130"/>
    </row>
    <row r="131" spans="1:86" s="13" customFormat="1" ht="13.75" customHeight="1">
      <c r="A131" s="137">
        <v>116</v>
      </c>
      <c r="B131" s="138"/>
      <c r="C131" s="139"/>
      <c r="D131" s="140"/>
      <c r="E131" s="139"/>
      <c r="F131" s="139"/>
      <c r="G131" s="191"/>
      <c r="H131" s="139"/>
      <c r="I131" s="141"/>
      <c r="J131" s="142"/>
      <c r="K131" s="139"/>
      <c r="L131" s="147"/>
      <c r="M131" s="148"/>
      <c r="N131" s="583"/>
      <c r="O131" s="229" t="str">
        <f t="shared" si="47"/>
        <v/>
      </c>
      <c r="P131" s="229" t="str">
        <f t="shared" si="48"/>
        <v/>
      </c>
      <c r="Q131" s="230" t="str">
        <f t="shared" si="49"/>
        <v/>
      </c>
      <c r="R131" s="323" t="str">
        <f t="shared" si="50"/>
        <v/>
      </c>
      <c r="S131" s="350"/>
      <c r="T131" s="43"/>
      <c r="U131" s="347" t="str">
        <f t="shared" si="27"/>
        <v/>
      </c>
      <c r="V131" s="7" t="e">
        <f t="shared" si="28"/>
        <v>#N/A</v>
      </c>
      <c r="W131" s="7" t="e">
        <f t="shared" si="29"/>
        <v>#N/A</v>
      </c>
      <c r="X131" s="7" t="e">
        <f t="shared" si="30"/>
        <v>#N/A</v>
      </c>
      <c r="Y131" s="7" t="str">
        <f t="shared" si="31"/>
        <v/>
      </c>
      <c r="Z131" s="11">
        <f t="shared" si="32"/>
        <v>1</v>
      </c>
      <c r="AA131" s="7" t="e">
        <f t="shared" si="33"/>
        <v>#N/A</v>
      </c>
      <c r="AB131" s="7" t="e">
        <f t="shared" si="34"/>
        <v>#N/A</v>
      </c>
      <c r="AC131" s="7" t="e">
        <f t="shared" si="35"/>
        <v>#N/A</v>
      </c>
      <c r="AD131" s="472" t="e">
        <f>VLOOKUP(AF131,'排出係数(2017)'!$A$4:$I$1151,9,FALSE)</f>
        <v>#N/A</v>
      </c>
      <c r="AE131" s="12" t="str">
        <f t="shared" si="36"/>
        <v xml:space="preserve"> </v>
      </c>
      <c r="AF131" s="7" t="e">
        <f t="shared" si="51"/>
        <v>#N/A</v>
      </c>
      <c r="AG131" s="7" t="e">
        <f t="shared" si="37"/>
        <v>#N/A</v>
      </c>
      <c r="AH131" s="472" t="e">
        <f>VLOOKUP(AF131,'排出係数(2017)'!$A$4:$I$1151,6,FALSE)</f>
        <v>#N/A</v>
      </c>
      <c r="AI131" s="7" t="e">
        <f t="shared" si="38"/>
        <v>#N/A</v>
      </c>
      <c r="AJ131" s="7" t="e">
        <f t="shared" si="39"/>
        <v>#N/A</v>
      </c>
      <c r="AK131" s="472" t="e">
        <f>VLOOKUP(AF131,'排出係数(2017)'!$A$4:$I$1151,7,FALSE)</f>
        <v>#N/A</v>
      </c>
      <c r="AL131" s="7" t="e">
        <f t="shared" si="40"/>
        <v>#N/A</v>
      </c>
      <c r="AM131" s="7" t="e">
        <f t="shared" si="41"/>
        <v>#N/A</v>
      </c>
      <c r="AN131" s="7" t="e">
        <f t="shared" si="42"/>
        <v>#N/A</v>
      </c>
      <c r="AO131" s="7">
        <f t="shared" si="43"/>
        <v>0</v>
      </c>
      <c r="AP131" s="7" t="e">
        <f t="shared" si="52"/>
        <v>#N/A</v>
      </c>
      <c r="AQ131" s="7" t="str">
        <f t="shared" si="44"/>
        <v/>
      </c>
      <c r="AR131" s="7" t="str">
        <f t="shared" si="45"/>
        <v/>
      </c>
      <c r="AS131" s="7" t="str">
        <f t="shared" si="46"/>
        <v/>
      </c>
      <c r="AT131" s="97"/>
      <c r="AZ131" s="477" t="s">
        <v>2042</v>
      </c>
      <c r="CF131" s="586" t="str">
        <f t="shared" si="53"/>
        <v/>
      </c>
      <c r="CG131"/>
      <c r="CH131"/>
    </row>
    <row r="132" spans="1:86" s="13" customFormat="1" ht="13.75" customHeight="1">
      <c r="A132" s="137">
        <v>117</v>
      </c>
      <c r="B132" s="138"/>
      <c r="C132" s="139"/>
      <c r="D132" s="140"/>
      <c r="E132" s="139"/>
      <c r="F132" s="139"/>
      <c r="G132" s="191"/>
      <c r="H132" s="139"/>
      <c r="I132" s="141"/>
      <c r="J132" s="142"/>
      <c r="K132" s="139"/>
      <c r="L132" s="147"/>
      <c r="M132" s="148"/>
      <c r="N132" s="583"/>
      <c r="O132" s="229" t="str">
        <f t="shared" si="47"/>
        <v/>
      </c>
      <c r="P132" s="229" t="str">
        <f t="shared" si="48"/>
        <v/>
      </c>
      <c r="Q132" s="230" t="str">
        <f t="shared" si="49"/>
        <v/>
      </c>
      <c r="R132" s="323" t="str">
        <f t="shared" si="50"/>
        <v/>
      </c>
      <c r="S132" s="350"/>
      <c r="T132" s="43"/>
      <c r="U132" s="347" t="str">
        <f t="shared" si="27"/>
        <v/>
      </c>
      <c r="V132" s="7" t="e">
        <f t="shared" si="28"/>
        <v>#N/A</v>
      </c>
      <c r="W132" s="7" t="e">
        <f t="shared" si="29"/>
        <v>#N/A</v>
      </c>
      <c r="X132" s="7" t="e">
        <f t="shared" si="30"/>
        <v>#N/A</v>
      </c>
      <c r="Y132" s="7" t="str">
        <f t="shared" si="31"/>
        <v/>
      </c>
      <c r="Z132" s="11">
        <f t="shared" si="32"/>
        <v>1</v>
      </c>
      <c r="AA132" s="7" t="e">
        <f t="shared" si="33"/>
        <v>#N/A</v>
      </c>
      <c r="AB132" s="7" t="e">
        <f t="shared" si="34"/>
        <v>#N/A</v>
      </c>
      <c r="AC132" s="7" t="e">
        <f t="shared" si="35"/>
        <v>#N/A</v>
      </c>
      <c r="AD132" s="472" t="e">
        <f>VLOOKUP(AF132,'排出係数(2017)'!$A$4:$I$1151,9,FALSE)</f>
        <v>#N/A</v>
      </c>
      <c r="AE132" s="12" t="str">
        <f t="shared" si="36"/>
        <v xml:space="preserve"> </v>
      </c>
      <c r="AF132" s="7" t="e">
        <f t="shared" si="51"/>
        <v>#N/A</v>
      </c>
      <c r="AG132" s="7" t="e">
        <f t="shared" si="37"/>
        <v>#N/A</v>
      </c>
      <c r="AH132" s="472" t="e">
        <f>VLOOKUP(AF132,'排出係数(2017)'!$A$4:$I$1151,6,FALSE)</f>
        <v>#N/A</v>
      </c>
      <c r="AI132" s="7" t="e">
        <f t="shared" si="38"/>
        <v>#N/A</v>
      </c>
      <c r="AJ132" s="7" t="e">
        <f t="shared" si="39"/>
        <v>#N/A</v>
      </c>
      <c r="AK132" s="472" t="e">
        <f>VLOOKUP(AF132,'排出係数(2017)'!$A$4:$I$1151,7,FALSE)</f>
        <v>#N/A</v>
      </c>
      <c r="AL132" s="7" t="e">
        <f t="shared" si="40"/>
        <v>#N/A</v>
      </c>
      <c r="AM132" s="7" t="e">
        <f t="shared" si="41"/>
        <v>#N/A</v>
      </c>
      <c r="AN132" s="7" t="e">
        <f t="shared" si="42"/>
        <v>#N/A</v>
      </c>
      <c r="AO132" s="7">
        <f t="shared" si="43"/>
        <v>0</v>
      </c>
      <c r="AP132" s="7" t="e">
        <f t="shared" si="52"/>
        <v>#N/A</v>
      </c>
      <c r="AQ132" s="7" t="str">
        <f t="shared" si="44"/>
        <v/>
      </c>
      <c r="AR132" s="7" t="str">
        <f t="shared" si="45"/>
        <v/>
      </c>
      <c r="AS132" s="7" t="str">
        <f t="shared" si="46"/>
        <v/>
      </c>
      <c r="AT132" s="97"/>
      <c r="AZ132" s="477" t="s">
        <v>2052</v>
      </c>
      <c r="CF132" s="586" t="str">
        <f t="shared" si="53"/>
        <v/>
      </c>
      <c r="CG132"/>
      <c r="CH132"/>
    </row>
    <row r="133" spans="1:86" s="13" customFormat="1" ht="13.75" customHeight="1">
      <c r="A133" s="137">
        <v>118</v>
      </c>
      <c r="B133" s="138"/>
      <c r="C133" s="139"/>
      <c r="D133" s="140"/>
      <c r="E133" s="139"/>
      <c r="F133" s="139"/>
      <c r="G133" s="191"/>
      <c r="H133" s="139"/>
      <c r="I133" s="141"/>
      <c r="J133" s="142"/>
      <c r="K133" s="139"/>
      <c r="L133" s="147"/>
      <c r="M133" s="148"/>
      <c r="N133" s="583"/>
      <c r="O133" s="229" t="str">
        <f t="shared" si="47"/>
        <v/>
      </c>
      <c r="P133" s="229" t="str">
        <f t="shared" si="48"/>
        <v/>
      </c>
      <c r="Q133" s="230" t="str">
        <f t="shared" si="49"/>
        <v/>
      </c>
      <c r="R133" s="323" t="str">
        <f t="shared" si="50"/>
        <v/>
      </c>
      <c r="S133" s="350"/>
      <c r="T133" s="43"/>
      <c r="U133" s="347" t="str">
        <f t="shared" si="27"/>
        <v/>
      </c>
      <c r="V133" s="7" t="e">
        <f t="shared" si="28"/>
        <v>#N/A</v>
      </c>
      <c r="W133" s="7" t="e">
        <f t="shared" si="29"/>
        <v>#N/A</v>
      </c>
      <c r="X133" s="7" t="e">
        <f t="shared" si="30"/>
        <v>#N/A</v>
      </c>
      <c r="Y133" s="7" t="str">
        <f t="shared" si="31"/>
        <v/>
      </c>
      <c r="Z133" s="11">
        <f t="shared" si="32"/>
        <v>1</v>
      </c>
      <c r="AA133" s="7" t="e">
        <f t="shared" si="33"/>
        <v>#N/A</v>
      </c>
      <c r="AB133" s="7" t="e">
        <f t="shared" si="34"/>
        <v>#N/A</v>
      </c>
      <c r="AC133" s="7" t="e">
        <f t="shared" si="35"/>
        <v>#N/A</v>
      </c>
      <c r="AD133" s="472" t="e">
        <f>VLOOKUP(AF133,'排出係数(2017)'!$A$4:$I$1151,9,FALSE)</f>
        <v>#N/A</v>
      </c>
      <c r="AE133" s="12" t="str">
        <f t="shared" si="36"/>
        <v xml:space="preserve"> </v>
      </c>
      <c r="AF133" s="7" t="e">
        <f t="shared" si="51"/>
        <v>#N/A</v>
      </c>
      <c r="AG133" s="7" t="e">
        <f t="shared" si="37"/>
        <v>#N/A</v>
      </c>
      <c r="AH133" s="472" t="e">
        <f>VLOOKUP(AF133,'排出係数(2017)'!$A$4:$I$1151,6,FALSE)</f>
        <v>#N/A</v>
      </c>
      <c r="AI133" s="7" t="e">
        <f t="shared" si="38"/>
        <v>#N/A</v>
      </c>
      <c r="AJ133" s="7" t="e">
        <f t="shared" si="39"/>
        <v>#N/A</v>
      </c>
      <c r="AK133" s="472" t="e">
        <f>VLOOKUP(AF133,'排出係数(2017)'!$A$4:$I$1151,7,FALSE)</f>
        <v>#N/A</v>
      </c>
      <c r="AL133" s="7" t="e">
        <f t="shared" si="40"/>
        <v>#N/A</v>
      </c>
      <c r="AM133" s="7" t="e">
        <f t="shared" si="41"/>
        <v>#N/A</v>
      </c>
      <c r="AN133" s="7" t="e">
        <f t="shared" si="42"/>
        <v>#N/A</v>
      </c>
      <c r="AO133" s="7">
        <f t="shared" si="43"/>
        <v>0</v>
      </c>
      <c r="AP133" s="7" t="e">
        <f t="shared" si="52"/>
        <v>#N/A</v>
      </c>
      <c r="AQ133" s="7" t="str">
        <f t="shared" si="44"/>
        <v/>
      </c>
      <c r="AR133" s="7" t="str">
        <f t="shared" si="45"/>
        <v/>
      </c>
      <c r="AS133" s="7" t="str">
        <f t="shared" si="46"/>
        <v/>
      </c>
      <c r="AT133" s="97"/>
      <c r="AZ133" s="477" t="s">
        <v>685</v>
      </c>
      <c r="CF133" s="586" t="str">
        <f t="shared" si="53"/>
        <v/>
      </c>
      <c r="CG133"/>
      <c r="CH133"/>
    </row>
    <row r="134" spans="1:86" s="13" customFormat="1" ht="13.75" customHeight="1">
      <c r="A134" s="137">
        <v>119</v>
      </c>
      <c r="B134" s="138"/>
      <c r="C134" s="139"/>
      <c r="D134" s="140"/>
      <c r="E134" s="139"/>
      <c r="F134" s="139"/>
      <c r="G134" s="191"/>
      <c r="H134" s="139"/>
      <c r="I134" s="141"/>
      <c r="J134" s="142"/>
      <c r="K134" s="139"/>
      <c r="L134" s="147"/>
      <c r="M134" s="148"/>
      <c r="N134" s="583"/>
      <c r="O134" s="229" t="str">
        <f t="shared" si="47"/>
        <v/>
      </c>
      <c r="P134" s="229" t="str">
        <f t="shared" si="48"/>
        <v/>
      </c>
      <c r="Q134" s="230" t="str">
        <f t="shared" si="49"/>
        <v/>
      </c>
      <c r="R134" s="323" t="str">
        <f t="shared" si="50"/>
        <v/>
      </c>
      <c r="S134" s="350"/>
      <c r="T134" s="43"/>
      <c r="U134" s="347" t="str">
        <f t="shared" si="27"/>
        <v/>
      </c>
      <c r="V134" s="7" t="e">
        <f t="shared" si="28"/>
        <v>#N/A</v>
      </c>
      <c r="W134" s="7" t="e">
        <f t="shared" si="29"/>
        <v>#N/A</v>
      </c>
      <c r="X134" s="7" t="e">
        <f t="shared" si="30"/>
        <v>#N/A</v>
      </c>
      <c r="Y134" s="7" t="str">
        <f t="shared" si="31"/>
        <v/>
      </c>
      <c r="Z134" s="11">
        <f t="shared" si="32"/>
        <v>1</v>
      </c>
      <c r="AA134" s="7" t="e">
        <f t="shared" si="33"/>
        <v>#N/A</v>
      </c>
      <c r="AB134" s="7" t="e">
        <f t="shared" si="34"/>
        <v>#N/A</v>
      </c>
      <c r="AC134" s="7" t="e">
        <f t="shared" si="35"/>
        <v>#N/A</v>
      </c>
      <c r="AD134" s="472" t="e">
        <f>VLOOKUP(AF134,'排出係数(2017)'!$A$4:$I$1151,9,FALSE)</f>
        <v>#N/A</v>
      </c>
      <c r="AE134" s="12" t="str">
        <f t="shared" si="36"/>
        <v xml:space="preserve"> </v>
      </c>
      <c r="AF134" s="7" t="e">
        <f t="shared" si="51"/>
        <v>#N/A</v>
      </c>
      <c r="AG134" s="7" t="e">
        <f t="shared" si="37"/>
        <v>#N/A</v>
      </c>
      <c r="AH134" s="472" t="e">
        <f>VLOOKUP(AF134,'排出係数(2017)'!$A$4:$I$1151,6,FALSE)</f>
        <v>#N/A</v>
      </c>
      <c r="AI134" s="7" t="e">
        <f t="shared" si="38"/>
        <v>#N/A</v>
      </c>
      <c r="AJ134" s="7" t="e">
        <f t="shared" si="39"/>
        <v>#N/A</v>
      </c>
      <c r="AK134" s="472" t="e">
        <f>VLOOKUP(AF134,'排出係数(2017)'!$A$4:$I$1151,7,FALSE)</f>
        <v>#N/A</v>
      </c>
      <c r="AL134" s="7" t="e">
        <f t="shared" si="40"/>
        <v>#N/A</v>
      </c>
      <c r="AM134" s="7" t="e">
        <f t="shared" si="41"/>
        <v>#N/A</v>
      </c>
      <c r="AN134" s="7" t="e">
        <f t="shared" si="42"/>
        <v>#N/A</v>
      </c>
      <c r="AO134" s="7">
        <f t="shared" si="43"/>
        <v>0</v>
      </c>
      <c r="AP134" s="7" t="e">
        <f t="shared" si="52"/>
        <v>#N/A</v>
      </c>
      <c r="AQ134" s="7" t="str">
        <f t="shared" si="44"/>
        <v/>
      </c>
      <c r="AR134" s="7" t="str">
        <f t="shared" si="45"/>
        <v/>
      </c>
      <c r="AS134" s="7" t="str">
        <f t="shared" si="46"/>
        <v/>
      </c>
      <c r="AT134" s="97"/>
      <c r="AZ134" s="477" t="s">
        <v>2128</v>
      </c>
      <c r="CF134" s="586" t="str">
        <f t="shared" si="53"/>
        <v/>
      </c>
      <c r="CG134"/>
      <c r="CH134"/>
    </row>
    <row r="135" spans="1:86" s="13" customFormat="1" ht="13.75" customHeight="1">
      <c r="A135" s="137">
        <v>120</v>
      </c>
      <c r="B135" s="138"/>
      <c r="C135" s="139"/>
      <c r="D135" s="140"/>
      <c r="E135" s="139"/>
      <c r="F135" s="139"/>
      <c r="G135" s="191"/>
      <c r="H135" s="139"/>
      <c r="I135" s="141"/>
      <c r="J135" s="142"/>
      <c r="K135" s="139"/>
      <c r="L135" s="147"/>
      <c r="M135" s="148"/>
      <c r="N135" s="583"/>
      <c r="O135" s="229" t="str">
        <f t="shared" si="47"/>
        <v/>
      </c>
      <c r="P135" s="229" t="str">
        <f t="shared" si="48"/>
        <v/>
      </c>
      <c r="Q135" s="230" t="str">
        <f t="shared" si="49"/>
        <v/>
      </c>
      <c r="R135" s="323" t="str">
        <f t="shared" si="50"/>
        <v/>
      </c>
      <c r="S135" s="350"/>
      <c r="T135" s="43"/>
      <c r="U135" s="347" t="str">
        <f t="shared" si="27"/>
        <v/>
      </c>
      <c r="V135" s="7" t="e">
        <f t="shared" si="28"/>
        <v>#N/A</v>
      </c>
      <c r="W135" s="7" t="e">
        <f t="shared" si="29"/>
        <v>#N/A</v>
      </c>
      <c r="X135" s="7" t="e">
        <f t="shared" si="30"/>
        <v>#N/A</v>
      </c>
      <c r="Y135" s="7" t="str">
        <f t="shared" si="31"/>
        <v/>
      </c>
      <c r="Z135" s="11">
        <f t="shared" si="32"/>
        <v>1</v>
      </c>
      <c r="AA135" s="7" t="e">
        <f t="shared" si="33"/>
        <v>#N/A</v>
      </c>
      <c r="AB135" s="7" t="e">
        <f t="shared" si="34"/>
        <v>#N/A</v>
      </c>
      <c r="AC135" s="7" t="e">
        <f t="shared" si="35"/>
        <v>#N/A</v>
      </c>
      <c r="AD135" s="472" t="e">
        <f>VLOOKUP(AF135,'排出係数(2017)'!$A$4:$I$1151,9,FALSE)</f>
        <v>#N/A</v>
      </c>
      <c r="AE135" s="12" t="str">
        <f t="shared" si="36"/>
        <v xml:space="preserve"> </v>
      </c>
      <c r="AF135" s="7" t="e">
        <f t="shared" si="51"/>
        <v>#N/A</v>
      </c>
      <c r="AG135" s="7" t="e">
        <f t="shared" si="37"/>
        <v>#N/A</v>
      </c>
      <c r="AH135" s="472" t="e">
        <f>VLOOKUP(AF135,'排出係数(2017)'!$A$4:$I$1151,6,FALSE)</f>
        <v>#N/A</v>
      </c>
      <c r="AI135" s="7" t="e">
        <f t="shared" si="38"/>
        <v>#N/A</v>
      </c>
      <c r="AJ135" s="7" t="e">
        <f t="shared" si="39"/>
        <v>#N/A</v>
      </c>
      <c r="AK135" s="472" t="e">
        <f>VLOOKUP(AF135,'排出係数(2017)'!$A$4:$I$1151,7,FALSE)</f>
        <v>#N/A</v>
      </c>
      <c r="AL135" s="7" t="e">
        <f t="shared" si="40"/>
        <v>#N/A</v>
      </c>
      <c r="AM135" s="7" t="e">
        <f t="shared" si="41"/>
        <v>#N/A</v>
      </c>
      <c r="AN135" s="7" t="e">
        <f t="shared" si="42"/>
        <v>#N/A</v>
      </c>
      <c r="AO135" s="7">
        <f t="shared" si="43"/>
        <v>0</v>
      </c>
      <c r="AP135" s="7" t="e">
        <f t="shared" si="52"/>
        <v>#N/A</v>
      </c>
      <c r="AQ135" s="7" t="str">
        <f t="shared" si="44"/>
        <v/>
      </c>
      <c r="AR135" s="7" t="str">
        <f t="shared" si="45"/>
        <v/>
      </c>
      <c r="AS135" s="7" t="str">
        <f t="shared" si="46"/>
        <v/>
      </c>
      <c r="AT135" s="97"/>
      <c r="AZ135" s="477" t="s">
        <v>2079</v>
      </c>
      <c r="CF135" s="586" t="str">
        <f t="shared" si="53"/>
        <v/>
      </c>
      <c r="CG135"/>
      <c r="CH135"/>
    </row>
    <row r="136" spans="1:86" s="13" customFormat="1" ht="13.75" customHeight="1">
      <c r="A136" s="137">
        <v>121</v>
      </c>
      <c r="B136" s="138"/>
      <c r="C136" s="139"/>
      <c r="D136" s="140"/>
      <c r="E136" s="139"/>
      <c r="F136" s="139"/>
      <c r="G136" s="191"/>
      <c r="H136" s="139"/>
      <c r="I136" s="141"/>
      <c r="J136" s="142"/>
      <c r="K136" s="139"/>
      <c r="L136" s="147"/>
      <c r="M136" s="148"/>
      <c r="N136" s="583"/>
      <c r="O136" s="229" t="str">
        <f t="shared" si="47"/>
        <v/>
      </c>
      <c r="P136" s="229" t="str">
        <f t="shared" si="48"/>
        <v/>
      </c>
      <c r="Q136" s="230" t="str">
        <f t="shared" si="49"/>
        <v/>
      </c>
      <c r="R136" s="323" t="str">
        <f t="shared" si="50"/>
        <v/>
      </c>
      <c r="S136" s="350"/>
      <c r="T136" s="43"/>
      <c r="U136" s="347" t="str">
        <f t="shared" si="27"/>
        <v/>
      </c>
      <c r="V136" s="7" t="e">
        <f t="shared" si="28"/>
        <v>#N/A</v>
      </c>
      <c r="W136" s="7" t="e">
        <f t="shared" si="29"/>
        <v>#N/A</v>
      </c>
      <c r="X136" s="7" t="e">
        <f t="shared" si="30"/>
        <v>#N/A</v>
      </c>
      <c r="Y136" s="7" t="str">
        <f t="shared" si="31"/>
        <v/>
      </c>
      <c r="Z136" s="11">
        <f t="shared" si="32"/>
        <v>1</v>
      </c>
      <c r="AA136" s="7" t="e">
        <f t="shared" si="33"/>
        <v>#N/A</v>
      </c>
      <c r="AB136" s="7" t="e">
        <f t="shared" si="34"/>
        <v>#N/A</v>
      </c>
      <c r="AC136" s="7" t="e">
        <f t="shared" si="35"/>
        <v>#N/A</v>
      </c>
      <c r="AD136" s="472" t="e">
        <f>VLOOKUP(AF136,'排出係数(2017)'!$A$4:$I$1151,9,FALSE)</f>
        <v>#N/A</v>
      </c>
      <c r="AE136" s="12" t="str">
        <f t="shared" si="36"/>
        <v xml:space="preserve"> </v>
      </c>
      <c r="AF136" s="7" t="e">
        <f t="shared" si="51"/>
        <v>#N/A</v>
      </c>
      <c r="AG136" s="7" t="e">
        <f t="shared" si="37"/>
        <v>#N/A</v>
      </c>
      <c r="AH136" s="472" t="e">
        <f>VLOOKUP(AF136,'排出係数(2017)'!$A$4:$I$1151,6,FALSE)</f>
        <v>#N/A</v>
      </c>
      <c r="AI136" s="7" t="e">
        <f t="shared" si="38"/>
        <v>#N/A</v>
      </c>
      <c r="AJ136" s="7" t="e">
        <f t="shared" si="39"/>
        <v>#N/A</v>
      </c>
      <c r="AK136" s="472" t="e">
        <f>VLOOKUP(AF136,'排出係数(2017)'!$A$4:$I$1151,7,FALSE)</f>
        <v>#N/A</v>
      </c>
      <c r="AL136" s="7" t="e">
        <f t="shared" si="40"/>
        <v>#N/A</v>
      </c>
      <c r="AM136" s="7" t="e">
        <f t="shared" si="41"/>
        <v>#N/A</v>
      </c>
      <c r="AN136" s="7" t="e">
        <f t="shared" si="42"/>
        <v>#N/A</v>
      </c>
      <c r="AO136" s="7">
        <f t="shared" si="43"/>
        <v>0</v>
      </c>
      <c r="AP136" s="7" t="e">
        <f t="shared" si="52"/>
        <v>#N/A</v>
      </c>
      <c r="AQ136" s="7" t="str">
        <f t="shared" si="44"/>
        <v/>
      </c>
      <c r="AR136" s="7" t="str">
        <f t="shared" si="45"/>
        <v/>
      </c>
      <c r="AS136" s="7" t="str">
        <f t="shared" si="46"/>
        <v/>
      </c>
      <c r="AT136" s="97"/>
      <c r="AZ136" s="477" t="s">
        <v>2088</v>
      </c>
      <c r="CF136" s="586" t="str">
        <f t="shared" si="53"/>
        <v/>
      </c>
      <c r="CG136"/>
      <c r="CH136"/>
    </row>
    <row r="137" spans="1:86" s="13" customFormat="1" ht="13.75" customHeight="1">
      <c r="A137" s="137">
        <v>122</v>
      </c>
      <c r="B137" s="138"/>
      <c r="C137" s="139"/>
      <c r="D137" s="140"/>
      <c r="E137" s="139"/>
      <c r="F137" s="139"/>
      <c r="G137" s="191"/>
      <c r="H137" s="139"/>
      <c r="I137" s="141"/>
      <c r="J137" s="142"/>
      <c r="K137" s="139"/>
      <c r="L137" s="147"/>
      <c r="M137" s="148"/>
      <c r="N137" s="583"/>
      <c r="O137" s="229" t="str">
        <f t="shared" si="47"/>
        <v/>
      </c>
      <c r="P137" s="229" t="str">
        <f t="shared" si="48"/>
        <v/>
      </c>
      <c r="Q137" s="230" t="str">
        <f t="shared" si="49"/>
        <v/>
      </c>
      <c r="R137" s="323" t="str">
        <f t="shared" si="50"/>
        <v/>
      </c>
      <c r="S137" s="350"/>
      <c r="T137" s="43"/>
      <c r="U137" s="347" t="str">
        <f t="shared" si="27"/>
        <v/>
      </c>
      <c r="V137" s="7" t="e">
        <f t="shared" si="28"/>
        <v>#N/A</v>
      </c>
      <c r="W137" s="7" t="e">
        <f t="shared" si="29"/>
        <v>#N/A</v>
      </c>
      <c r="X137" s="7" t="e">
        <f t="shared" si="30"/>
        <v>#N/A</v>
      </c>
      <c r="Y137" s="7" t="str">
        <f t="shared" si="31"/>
        <v/>
      </c>
      <c r="Z137" s="11">
        <f t="shared" si="32"/>
        <v>1</v>
      </c>
      <c r="AA137" s="7" t="e">
        <f t="shared" si="33"/>
        <v>#N/A</v>
      </c>
      <c r="AB137" s="7" t="e">
        <f t="shared" si="34"/>
        <v>#N/A</v>
      </c>
      <c r="AC137" s="7" t="e">
        <f t="shared" si="35"/>
        <v>#N/A</v>
      </c>
      <c r="AD137" s="472" t="e">
        <f>VLOOKUP(AF137,'排出係数(2017)'!$A$4:$I$1151,9,FALSE)</f>
        <v>#N/A</v>
      </c>
      <c r="AE137" s="12" t="str">
        <f t="shared" si="36"/>
        <v xml:space="preserve"> </v>
      </c>
      <c r="AF137" s="7" t="e">
        <f t="shared" si="51"/>
        <v>#N/A</v>
      </c>
      <c r="AG137" s="7" t="e">
        <f t="shared" si="37"/>
        <v>#N/A</v>
      </c>
      <c r="AH137" s="472" t="e">
        <f>VLOOKUP(AF137,'排出係数(2017)'!$A$4:$I$1151,6,FALSE)</f>
        <v>#N/A</v>
      </c>
      <c r="AI137" s="7" t="e">
        <f t="shared" si="38"/>
        <v>#N/A</v>
      </c>
      <c r="AJ137" s="7" t="e">
        <f t="shared" si="39"/>
        <v>#N/A</v>
      </c>
      <c r="AK137" s="472" t="e">
        <f>VLOOKUP(AF137,'排出係数(2017)'!$A$4:$I$1151,7,FALSE)</f>
        <v>#N/A</v>
      </c>
      <c r="AL137" s="7" t="e">
        <f t="shared" si="40"/>
        <v>#N/A</v>
      </c>
      <c r="AM137" s="7" t="e">
        <f t="shared" si="41"/>
        <v>#N/A</v>
      </c>
      <c r="AN137" s="7" t="e">
        <f t="shared" si="42"/>
        <v>#N/A</v>
      </c>
      <c r="AO137" s="7">
        <f t="shared" si="43"/>
        <v>0</v>
      </c>
      <c r="AP137" s="7" t="e">
        <f t="shared" si="52"/>
        <v>#N/A</v>
      </c>
      <c r="AQ137" s="7" t="str">
        <f t="shared" si="44"/>
        <v/>
      </c>
      <c r="AR137" s="7" t="str">
        <f t="shared" si="45"/>
        <v/>
      </c>
      <c r="AS137" s="7" t="str">
        <f t="shared" si="46"/>
        <v/>
      </c>
      <c r="AT137" s="97"/>
      <c r="AZ137" s="477" t="s">
        <v>689</v>
      </c>
      <c r="CF137" s="586" t="str">
        <f t="shared" si="53"/>
        <v/>
      </c>
      <c r="CG137"/>
      <c r="CH137"/>
    </row>
    <row r="138" spans="1:86" s="13" customFormat="1" ht="13.75" customHeight="1">
      <c r="A138" s="137">
        <v>123</v>
      </c>
      <c r="B138" s="138"/>
      <c r="C138" s="139"/>
      <c r="D138" s="140"/>
      <c r="E138" s="139"/>
      <c r="F138" s="139"/>
      <c r="G138" s="191"/>
      <c r="H138" s="139"/>
      <c r="I138" s="141"/>
      <c r="J138" s="142"/>
      <c r="K138" s="139"/>
      <c r="L138" s="147"/>
      <c r="M138" s="148"/>
      <c r="N138" s="583"/>
      <c r="O138" s="229" t="str">
        <f t="shared" si="47"/>
        <v/>
      </c>
      <c r="P138" s="229" t="str">
        <f t="shared" si="48"/>
        <v/>
      </c>
      <c r="Q138" s="230" t="str">
        <f t="shared" si="49"/>
        <v/>
      </c>
      <c r="R138" s="323" t="str">
        <f t="shared" si="50"/>
        <v/>
      </c>
      <c r="S138" s="350"/>
      <c r="T138" s="43"/>
      <c r="U138" s="347" t="str">
        <f t="shared" si="27"/>
        <v/>
      </c>
      <c r="V138" s="7" t="e">
        <f t="shared" si="28"/>
        <v>#N/A</v>
      </c>
      <c r="W138" s="7" t="e">
        <f t="shared" si="29"/>
        <v>#N/A</v>
      </c>
      <c r="X138" s="7" t="e">
        <f t="shared" si="30"/>
        <v>#N/A</v>
      </c>
      <c r="Y138" s="7" t="str">
        <f t="shared" si="31"/>
        <v/>
      </c>
      <c r="Z138" s="11">
        <f t="shared" si="32"/>
        <v>1</v>
      </c>
      <c r="AA138" s="7" t="e">
        <f t="shared" si="33"/>
        <v>#N/A</v>
      </c>
      <c r="AB138" s="7" t="e">
        <f t="shared" si="34"/>
        <v>#N/A</v>
      </c>
      <c r="AC138" s="7" t="e">
        <f t="shared" si="35"/>
        <v>#N/A</v>
      </c>
      <c r="AD138" s="472" t="e">
        <f>VLOOKUP(AF138,'排出係数(2017)'!$A$4:$I$1151,9,FALSE)</f>
        <v>#N/A</v>
      </c>
      <c r="AE138" s="12" t="str">
        <f t="shared" si="36"/>
        <v xml:space="preserve"> </v>
      </c>
      <c r="AF138" s="7" t="e">
        <f t="shared" si="51"/>
        <v>#N/A</v>
      </c>
      <c r="AG138" s="7" t="e">
        <f t="shared" si="37"/>
        <v>#N/A</v>
      </c>
      <c r="AH138" s="472" t="e">
        <f>VLOOKUP(AF138,'排出係数(2017)'!$A$4:$I$1151,6,FALSE)</f>
        <v>#N/A</v>
      </c>
      <c r="AI138" s="7" t="e">
        <f t="shared" si="38"/>
        <v>#N/A</v>
      </c>
      <c r="AJ138" s="7" t="e">
        <f t="shared" si="39"/>
        <v>#N/A</v>
      </c>
      <c r="AK138" s="472" t="e">
        <f>VLOOKUP(AF138,'排出係数(2017)'!$A$4:$I$1151,7,FALSE)</f>
        <v>#N/A</v>
      </c>
      <c r="AL138" s="7" t="e">
        <f t="shared" si="40"/>
        <v>#N/A</v>
      </c>
      <c r="AM138" s="7" t="e">
        <f t="shared" si="41"/>
        <v>#N/A</v>
      </c>
      <c r="AN138" s="7" t="e">
        <f t="shared" si="42"/>
        <v>#N/A</v>
      </c>
      <c r="AO138" s="7">
        <f t="shared" si="43"/>
        <v>0</v>
      </c>
      <c r="AP138" s="7" t="e">
        <f t="shared" si="52"/>
        <v>#N/A</v>
      </c>
      <c r="AQ138" s="7" t="str">
        <f t="shared" si="44"/>
        <v/>
      </c>
      <c r="AR138" s="7" t="str">
        <f t="shared" si="45"/>
        <v/>
      </c>
      <c r="AS138" s="7" t="str">
        <f t="shared" si="46"/>
        <v/>
      </c>
      <c r="AT138" s="97"/>
      <c r="AZ138" s="477" t="s">
        <v>2129</v>
      </c>
      <c r="CF138" s="586" t="str">
        <f t="shared" si="53"/>
        <v/>
      </c>
      <c r="CG138"/>
      <c r="CH138"/>
    </row>
    <row r="139" spans="1:86" s="13" customFormat="1" ht="13.75" customHeight="1">
      <c r="A139" s="137">
        <v>124</v>
      </c>
      <c r="B139" s="138"/>
      <c r="C139" s="139"/>
      <c r="D139" s="140"/>
      <c r="E139" s="139"/>
      <c r="F139" s="139"/>
      <c r="G139" s="191"/>
      <c r="H139" s="139"/>
      <c r="I139" s="141"/>
      <c r="J139" s="142"/>
      <c r="K139" s="139"/>
      <c r="L139" s="147"/>
      <c r="M139" s="148"/>
      <c r="N139" s="583"/>
      <c r="O139" s="229" t="str">
        <f t="shared" si="47"/>
        <v/>
      </c>
      <c r="P139" s="229" t="str">
        <f t="shared" si="48"/>
        <v/>
      </c>
      <c r="Q139" s="230" t="str">
        <f t="shared" si="49"/>
        <v/>
      </c>
      <c r="R139" s="323" t="str">
        <f t="shared" si="50"/>
        <v/>
      </c>
      <c r="S139" s="350"/>
      <c r="T139" s="43"/>
      <c r="U139" s="347" t="str">
        <f t="shared" si="27"/>
        <v/>
      </c>
      <c r="V139" s="7" t="e">
        <f t="shared" si="28"/>
        <v>#N/A</v>
      </c>
      <c r="W139" s="7" t="e">
        <f t="shared" si="29"/>
        <v>#N/A</v>
      </c>
      <c r="X139" s="7" t="e">
        <f t="shared" si="30"/>
        <v>#N/A</v>
      </c>
      <c r="Y139" s="7" t="str">
        <f t="shared" si="31"/>
        <v/>
      </c>
      <c r="Z139" s="11">
        <f t="shared" si="32"/>
        <v>1</v>
      </c>
      <c r="AA139" s="7" t="e">
        <f t="shared" si="33"/>
        <v>#N/A</v>
      </c>
      <c r="AB139" s="7" t="e">
        <f t="shared" si="34"/>
        <v>#N/A</v>
      </c>
      <c r="AC139" s="7" t="e">
        <f t="shared" si="35"/>
        <v>#N/A</v>
      </c>
      <c r="AD139" s="472" t="e">
        <f>VLOOKUP(AF139,'排出係数(2017)'!$A$4:$I$1151,9,FALSE)</f>
        <v>#N/A</v>
      </c>
      <c r="AE139" s="12" t="str">
        <f t="shared" si="36"/>
        <v xml:space="preserve"> </v>
      </c>
      <c r="AF139" s="7" t="e">
        <f t="shared" si="51"/>
        <v>#N/A</v>
      </c>
      <c r="AG139" s="7" t="e">
        <f t="shared" si="37"/>
        <v>#N/A</v>
      </c>
      <c r="AH139" s="472" t="e">
        <f>VLOOKUP(AF139,'排出係数(2017)'!$A$4:$I$1151,6,FALSE)</f>
        <v>#N/A</v>
      </c>
      <c r="AI139" s="7" t="e">
        <f t="shared" si="38"/>
        <v>#N/A</v>
      </c>
      <c r="AJ139" s="7" t="e">
        <f t="shared" si="39"/>
        <v>#N/A</v>
      </c>
      <c r="AK139" s="472" t="e">
        <f>VLOOKUP(AF139,'排出係数(2017)'!$A$4:$I$1151,7,FALSE)</f>
        <v>#N/A</v>
      </c>
      <c r="AL139" s="7" t="e">
        <f t="shared" si="40"/>
        <v>#N/A</v>
      </c>
      <c r="AM139" s="7" t="e">
        <f t="shared" si="41"/>
        <v>#N/A</v>
      </c>
      <c r="AN139" s="7" t="e">
        <f t="shared" si="42"/>
        <v>#N/A</v>
      </c>
      <c r="AO139" s="7">
        <f t="shared" si="43"/>
        <v>0</v>
      </c>
      <c r="AP139" s="7" t="e">
        <f t="shared" si="52"/>
        <v>#N/A</v>
      </c>
      <c r="AQ139" s="7" t="str">
        <f t="shared" si="44"/>
        <v/>
      </c>
      <c r="AR139" s="7" t="str">
        <f t="shared" si="45"/>
        <v/>
      </c>
      <c r="AS139" s="7" t="str">
        <f t="shared" si="46"/>
        <v/>
      </c>
      <c r="AT139" s="97"/>
      <c r="AZ139" s="477" t="s">
        <v>2080</v>
      </c>
      <c r="CF139" s="586" t="str">
        <f t="shared" si="53"/>
        <v/>
      </c>
      <c r="CG139"/>
      <c r="CH139"/>
    </row>
    <row r="140" spans="1:86" s="13" customFormat="1" ht="13.75" customHeight="1">
      <c r="A140" s="137">
        <v>125</v>
      </c>
      <c r="B140" s="138"/>
      <c r="C140" s="139"/>
      <c r="D140" s="140"/>
      <c r="E140" s="139"/>
      <c r="F140" s="139"/>
      <c r="G140" s="191"/>
      <c r="H140" s="139"/>
      <c r="I140" s="141"/>
      <c r="J140" s="142"/>
      <c r="K140" s="139"/>
      <c r="L140" s="147"/>
      <c r="M140" s="148"/>
      <c r="N140" s="583"/>
      <c r="O140" s="229" t="str">
        <f t="shared" si="47"/>
        <v/>
      </c>
      <c r="P140" s="229" t="str">
        <f t="shared" si="48"/>
        <v/>
      </c>
      <c r="Q140" s="230" t="str">
        <f t="shared" si="49"/>
        <v/>
      </c>
      <c r="R140" s="323" t="str">
        <f t="shared" si="50"/>
        <v/>
      </c>
      <c r="S140" s="350"/>
      <c r="T140" s="43"/>
      <c r="U140" s="347" t="str">
        <f t="shared" si="27"/>
        <v/>
      </c>
      <c r="V140" s="7" t="e">
        <f t="shared" si="28"/>
        <v>#N/A</v>
      </c>
      <c r="W140" s="7" t="e">
        <f t="shared" si="29"/>
        <v>#N/A</v>
      </c>
      <c r="X140" s="7" t="e">
        <f t="shared" si="30"/>
        <v>#N/A</v>
      </c>
      <c r="Y140" s="7" t="str">
        <f t="shared" si="31"/>
        <v/>
      </c>
      <c r="Z140" s="11">
        <f t="shared" si="32"/>
        <v>1</v>
      </c>
      <c r="AA140" s="7" t="e">
        <f t="shared" si="33"/>
        <v>#N/A</v>
      </c>
      <c r="AB140" s="7" t="e">
        <f t="shared" si="34"/>
        <v>#N/A</v>
      </c>
      <c r="AC140" s="7" t="e">
        <f t="shared" si="35"/>
        <v>#N/A</v>
      </c>
      <c r="AD140" s="472" t="e">
        <f>VLOOKUP(AF140,'排出係数(2017)'!$A$4:$I$1151,9,FALSE)</f>
        <v>#N/A</v>
      </c>
      <c r="AE140" s="12" t="str">
        <f t="shared" si="36"/>
        <v xml:space="preserve"> </v>
      </c>
      <c r="AF140" s="7" t="e">
        <f t="shared" si="51"/>
        <v>#N/A</v>
      </c>
      <c r="AG140" s="7" t="e">
        <f t="shared" si="37"/>
        <v>#N/A</v>
      </c>
      <c r="AH140" s="472" t="e">
        <f>VLOOKUP(AF140,'排出係数(2017)'!$A$4:$I$1151,6,FALSE)</f>
        <v>#N/A</v>
      </c>
      <c r="AI140" s="7" t="e">
        <f t="shared" si="38"/>
        <v>#N/A</v>
      </c>
      <c r="AJ140" s="7" t="e">
        <f t="shared" si="39"/>
        <v>#N/A</v>
      </c>
      <c r="AK140" s="472" t="e">
        <f>VLOOKUP(AF140,'排出係数(2017)'!$A$4:$I$1151,7,FALSE)</f>
        <v>#N/A</v>
      </c>
      <c r="AL140" s="7" t="e">
        <f t="shared" si="40"/>
        <v>#N/A</v>
      </c>
      <c r="AM140" s="7" t="e">
        <f t="shared" si="41"/>
        <v>#N/A</v>
      </c>
      <c r="AN140" s="7" t="e">
        <f t="shared" si="42"/>
        <v>#N/A</v>
      </c>
      <c r="AO140" s="7">
        <f t="shared" si="43"/>
        <v>0</v>
      </c>
      <c r="AP140" s="7" t="e">
        <f t="shared" si="52"/>
        <v>#N/A</v>
      </c>
      <c r="AQ140" s="7" t="str">
        <f t="shared" si="44"/>
        <v/>
      </c>
      <c r="AR140" s="7" t="str">
        <f t="shared" si="45"/>
        <v/>
      </c>
      <c r="AS140" s="7" t="str">
        <f t="shared" si="46"/>
        <v/>
      </c>
      <c r="AT140" s="97"/>
      <c r="AZ140" s="477" t="s">
        <v>2089</v>
      </c>
      <c r="CF140" s="586" t="str">
        <f t="shared" si="53"/>
        <v/>
      </c>
      <c r="CG140"/>
      <c r="CH140"/>
    </row>
    <row r="141" spans="1:86" s="13" customFormat="1" ht="13.75" customHeight="1">
      <c r="A141" s="137">
        <v>126</v>
      </c>
      <c r="B141" s="138"/>
      <c r="C141" s="139"/>
      <c r="D141" s="140"/>
      <c r="E141" s="139"/>
      <c r="F141" s="139"/>
      <c r="G141" s="191"/>
      <c r="H141" s="139"/>
      <c r="I141" s="141"/>
      <c r="J141" s="142"/>
      <c r="K141" s="139"/>
      <c r="L141" s="147"/>
      <c r="M141" s="148"/>
      <c r="N141" s="583"/>
      <c r="O141" s="229" t="str">
        <f t="shared" si="47"/>
        <v/>
      </c>
      <c r="P141" s="229" t="str">
        <f t="shared" si="48"/>
        <v/>
      </c>
      <c r="Q141" s="230" t="str">
        <f t="shared" si="49"/>
        <v/>
      </c>
      <c r="R141" s="323" t="str">
        <f t="shared" si="50"/>
        <v/>
      </c>
      <c r="S141" s="350"/>
      <c r="T141" s="43"/>
      <c r="U141" s="347" t="str">
        <f t="shared" si="27"/>
        <v/>
      </c>
      <c r="V141" s="7" t="e">
        <f t="shared" si="28"/>
        <v>#N/A</v>
      </c>
      <c r="W141" s="7" t="e">
        <f t="shared" si="29"/>
        <v>#N/A</v>
      </c>
      <c r="X141" s="7" t="e">
        <f t="shared" si="30"/>
        <v>#N/A</v>
      </c>
      <c r="Y141" s="7" t="str">
        <f t="shared" si="31"/>
        <v/>
      </c>
      <c r="Z141" s="11">
        <f t="shared" si="32"/>
        <v>1</v>
      </c>
      <c r="AA141" s="7" t="e">
        <f t="shared" si="33"/>
        <v>#N/A</v>
      </c>
      <c r="AB141" s="7" t="e">
        <f t="shared" si="34"/>
        <v>#N/A</v>
      </c>
      <c r="AC141" s="7" t="e">
        <f t="shared" si="35"/>
        <v>#N/A</v>
      </c>
      <c r="AD141" s="472" t="e">
        <f>VLOOKUP(AF141,'排出係数(2017)'!$A$4:$I$1151,9,FALSE)</f>
        <v>#N/A</v>
      </c>
      <c r="AE141" s="12" t="str">
        <f t="shared" si="36"/>
        <v xml:space="preserve"> </v>
      </c>
      <c r="AF141" s="7" t="e">
        <f t="shared" si="51"/>
        <v>#N/A</v>
      </c>
      <c r="AG141" s="7" t="e">
        <f t="shared" si="37"/>
        <v>#N/A</v>
      </c>
      <c r="AH141" s="472" t="e">
        <f>VLOOKUP(AF141,'排出係数(2017)'!$A$4:$I$1151,6,FALSE)</f>
        <v>#N/A</v>
      </c>
      <c r="AI141" s="7" t="e">
        <f t="shared" si="38"/>
        <v>#N/A</v>
      </c>
      <c r="AJ141" s="7" t="e">
        <f t="shared" si="39"/>
        <v>#N/A</v>
      </c>
      <c r="AK141" s="472" t="e">
        <f>VLOOKUP(AF141,'排出係数(2017)'!$A$4:$I$1151,7,FALSE)</f>
        <v>#N/A</v>
      </c>
      <c r="AL141" s="7" t="e">
        <f t="shared" si="40"/>
        <v>#N/A</v>
      </c>
      <c r="AM141" s="7" t="e">
        <f t="shared" si="41"/>
        <v>#N/A</v>
      </c>
      <c r="AN141" s="7" t="e">
        <f t="shared" si="42"/>
        <v>#N/A</v>
      </c>
      <c r="AO141" s="7">
        <f t="shared" si="43"/>
        <v>0</v>
      </c>
      <c r="AP141" s="7" t="e">
        <f t="shared" si="52"/>
        <v>#N/A</v>
      </c>
      <c r="AQ141" s="7" t="str">
        <f t="shared" si="44"/>
        <v/>
      </c>
      <c r="AR141" s="7" t="str">
        <f t="shared" si="45"/>
        <v/>
      </c>
      <c r="AS141" s="7" t="str">
        <f t="shared" si="46"/>
        <v/>
      </c>
      <c r="AT141" s="97"/>
      <c r="AZ141" s="477" t="s">
        <v>796</v>
      </c>
      <c r="CF141" s="586" t="str">
        <f t="shared" si="53"/>
        <v/>
      </c>
      <c r="CG141"/>
      <c r="CH141"/>
    </row>
    <row r="142" spans="1:86" s="13" customFormat="1" ht="13.75" customHeight="1">
      <c r="A142" s="137">
        <v>127</v>
      </c>
      <c r="B142" s="138"/>
      <c r="C142" s="139"/>
      <c r="D142" s="140"/>
      <c r="E142" s="139"/>
      <c r="F142" s="139"/>
      <c r="G142" s="191"/>
      <c r="H142" s="139"/>
      <c r="I142" s="141"/>
      <c r="J142" s="142"/>
      <c r="K142" s="139"/>
      <c r="L142" s="147"/>
      <c r="M142" s="148"/>
      <c r="N142" s="583"/>
      <c r="O142" s="229" t="str">
        <f t="shared" si="47"/>
        <v/>
      </c>
      <c r="P142" s="229" t="str">
        <f t="shared" si="48"/>
        <v/>
      </c>
      <c r="Q142" s="230" t="str">
        <f t="shared" si="49"/>
        <v/>
      </c>
      <c r="R142" s="323" t="str">
        <f t="shared" si="50"/>
        <v/>
      </c>
      <c r="S142" s="350"/>
      <c r="T142" s="43"/>
      <c r="U142" s="347" t="str">
        <f t="shared" si="27"/>
        <v/>
      </c>
      <c r="V142" s="7" t="e">
        <f t="shared" si="28"/>
        <v>#N/A</v>
      </c>
      <c r="W142" s="7" t="e">
        <f t="shared" si="29"/>
        <v>#N/A</v>
      </c>
      <c r="X142" s="7" t="e">
        <f t="shared" si="30"/>
        <v>#N/A</v>
      </c>
      <c r="Y142" s="7" t="str">
        <f t="shared" si="31"/>
        <v/>
      </c>
      <c r="Z142" s="11">
        <f t="shared" si="32"/>
        <v>1</v>
      </c>
      <c r="AA142" s="7" t="e">
        <f t="shared" si="33"/>
        <v>#N/A</v>
      </c>
      <c r="AB142" s="7" t="e">
        <f t="shared" si="34"/>
        <v>#N/A</v>
      </c>
      <c r="AC142" s="7" t="e">
        <f t="shared" si="35"/>
        <v>#N/A</v>
      </c>
      <c r="AD142" s="472" t="e">
        <f>VLOOKUP(AF142,'排出係数(2017)'!$A$4:$I$1151,9,FALSE)</f>
        <v>#N/A</v>
      </c>
      <c r="AE142" s="12" t="str">
        <f t="shared" si="36"/>
        <v xml:space="preserve"> </v>
      </c>
      <c r="AF142" s="7" t="e">
        <f t="shared" si="51"/>
        <v>#N/A</v>
      </c>
      <c r="AG142" s="7" t="e">
        <f t="shared" si="37"/>
        <v>#N/A</v>
      </c>
      <c r="AH142" s="472" t="e">
        <f>VLOOKUP(AF142,'排出係数(2017)'!$A$4:$I$1151,6,FALSE)</f>
        <v>#N/A</v>
      </c>
      <c r="AI142" s="7" t="e">
        <f t="shared" si="38"/>
        <v>#N/A</v>
      </c>
      <c r="AJ142" s="7" t="e">
        <f t="shared" si="39"/>
        <v>#N/A</v>
      </c>
      <c r="AK142" s="472" t="e">
        <f>VLOOKUP(AF142,'排出係数(2017)'!$A$4:$I$1151,7,FALSE)</f>
        <v>#N/A</v>
      </c>
      <c r="AL142" s="7" t="e">
        <f t="shared" si="40"/>
        <v>#N/A</v>
      </c>
      <c r="AM142" s="7" t="e">
        <f t="shared" si="41"/>
        <v>#N/A</v>
      </c>
      <c r="AN142" s="7" t="e">
        <f t="shared" si="42"/>
        <v>#N/A</v>
      </c>
      <c r="AO142" s="7">
        <f t="shared" si="43"/>
        <v>0</v>
      </c>
      <c r="AP142" s="7" t="e">
        <f t="shared" si="52"/>
        <v>#N/A</v>
      </c>
      <c r="AQ142" s="7" t="str">
        <f t="shared" si="44"/>
        <v/>
      </c>
      <c r="AR142" s="7" t="str">
        <f t="shared" si="45"/>
        <v/>
      </c>
      <c r="AS142" s="7" t="str">
        <f t="shared" si="46"/>
        <v/>
      </c>
      <c r="AT142" s="97"/>
      <c r="AZ142" s="477" t="s">
        <v>1925</v>
      </c>
      <c r="CF142" s="586" t="str">
        <f t="shared" si="53"/>
        <v/>
      </c>
      <c r="CG142"/>
      <c r="CH142"/>
    </row>
    <row r="143" spans="1:86" s="13" customFormat="1" ht="13.75" customHeight="1">
      <c r="A143" s="137">
        <v>128</v>
      </c>
      <c r="B143" s="138"/>
      <c r="C143" s="139"/>
      <c r="D143" s="140"/>
      <c r="E143" s="139"/>
      <c r="F143" s="139"/>
      <c r="G143" s="191"/>
      <c r="H143" s="139"/>
      <c r="I143" s="141"/>
      <c r="J143" s="142"/>
      <c r="K143" s="139"/>
      <c r="L143" s="147"/>
      <c r="M143" s="148"/>
      <c r="N143" s="583"/>
      <c r="O143" s="229" t="str">
        <f t="shared" si="47"/>
        <v/>
      </c>
      <c r="P143" s="229" t="str">
        <f t="shared" si="48"/>
        <v/>
      </c>
      <c r="Q143" s="230" t="str">
        <f t="shared" si="49"/>
        <v/>
      </c>
      <c r="R143" s="323" t="str">
        <f t="shared" si="50"/>
        <v/>
      </c>
      <c r="S143" s="350"/>
      <c r="T143" s="43"/>
      <c r="U143" s="347" t="str">
        <f t="shared" si="27"/>
        <v/>
      </c>
      <c r="V143" s="7" t="e">
        <f t="shared" si="28"/>
        <v>#N/A</v>
      </c>
      <c r="W143" s="7" t="e">
        <f t="shared" si="29"/>
        <v>#N/A</v>
      </c>
      <c r="X143" s="7" t="e">
        <f t="shared" si="30"/>
        <v>#N/A</v>
      </c>
      <c r="Y143" s="7" t="str">
        <f t="shared" si="31"/>
        <v/>
      </c>
      <c r="Z143" s="11">
        <f t="shared" si="32"/>
        <v>1</v>
      </c>
      <c r="AA143" s="7" t="e">
        <f t="shared" si="33"/>
        <v>#N/A</v>
      </c>
      <c r="AB143" s="7" t="e">
        <f t="shared" si="34"/>
        <v>#N/A</v>
      </c>
      <c r="AC143" s="7" t="e">
        <f t="shared" si="35"/>
        <v>#N/A</v>
      </c>
      <c r="AD143" s="472" t="e">
        <f>VLOOKUP(AF143,'排出係数(2017)'!$A$4:$I$1151,9,FALSE)</f>
        <v>#N/A</v>
      </c>
      <c r="AE143" s="12" t="str">
        <f t="shared" si="36"/>
        <v xml:space="preserve"> </v>
      </c>
      <c r="AF143" s="7" t="e">
        <f t="shared" si="51"/>
        <v>#N/A</v>
      </c>
      <c r="AG143" s="7" t="e">
        <f t="shared" si="37"/>
        <v>#N/A</v>
      </c>
      <c r="AH143" s="472" t="e">
        <f>VLOOKUP(AF143,'排出係数(2017)'!$A$4:$I$1151,6,FALSE)</f>
        <v>#N/A</v>
      </c>
      <c r="AI143" s="7" t="e">
        <f t="shared" si="38"/>
        <v>#N/A</v>
      </c>
      <c r="AJ143" s="7" t="e">
        <f t="shared" si="39"/>
        <v>#N/A</v>
      </c>
      <c r="AK143" s="472" t="e">
        <f>VLOOKUP(AF143,'排出係数(2017)'!$A$4:$I$1151,7,FALSE)</f>
        <v>#N/A</v>
      </c>
      <c r="AL143" s="7" t="e">
        <f t="shared" si="40"/>
        <v>#N/A</v>
      </c>
      <c r="AM143" s="7" t="e">
        <f t="shared" si="41"/>
        <v>#N/A</v>
      </c>
      <c r="AN143" s="7" t="e">
        <f t="shared" si="42"/>
        <v>#N/A</v>
      </c>
      <c r="AO143" s="7">
        <f t="shared" si="43"/>
        <v>0</v>
      </c>
      <c r="AP143" s="7" t="e">
        <f t="shared" si="52"/>
        <v>#N/A</v>
      </c>
      <c r="AQ143" s="7" t="str">
        <f t="shared" si="44"/>
        <v/>
      </c>
      <c r="AR143" s="7" t="str">
        <f t="shared" si="45"/>
        <v/>
      </c>
      <c r="AS143" s="7" t="str">
        <f t="shared" si="46"/>
        <v/>
      </c>
      <c r="AT143" s="97"/>
      <c r="AZ143" s="477" t="s">
        <v>1926</v>
      </c>
      <c r="CF143" s="586" t="str">
        <f t="shared" si="53"/>
        <v/>
      </c>
      <c r="CG143"/>
      <c r="CH143"/>
    </row>
    <row r="144" spans="1:86" s="13" customFormat="1" ht="13.75" customHeight="1">
      <c r="A144" s="137">
        <v>129</v>
      </c>
      <c r="B144" s="138"/>
      <c r="C144" s="139"/>
      <c r="D144" s="140"/>
      <c r="E144" s="139"/>
      <c r="F144" s="139"/>
      <c r="G144" s="191"/>
      <c r="H144" s="139"/>
      <c r="I144" s="141"/>
      <c r="J144" s="142"/>
      <c r="K144" s="139"/>
      <c r="L144" s="147"/>
      <c r="M144" s="148"/>
      <c r="N144" s="583"/>
      <c r="O144" s="229" t="str">
        <f t="shared" si="47"/>
        <v/>
      </c>
      <c r="P144" s="229" t="str">
        <f t="shared" si="48"/>
        <v/>
      </c>
      <c r="Q144" s="230" t="str">
        <f t="shared" si="49"/>
        <v/>
      </c>
      <c r="R144" s="323" t="str">
        <f t="shared" si="50"/>
        <v/>
      </c>
      <c r="S144" s="350"/>
      <c r="T144" s="43"/>
      <c r="U144" s="347" t="str">
        <f t="shared" ref="U144:U207" si="54">IF(ISBLANK(H144)=TRUE,"",IF(OR(ISBLANK(B144)=TRUE),1,""))</f>
        <v/>
      </c>
      <c r="V144" s="7" t="e">
        <f t="shared" ref="V144:V207" si="55">VLOOKUP(H144,$AU$17:$AX$23,2,FALSE)</f>
        <v>#N/A</v>
      </c>
      <c r="W144" s="7" t="e">
        <f t="shared" ref="W144:W207" si="56">VLOOKUP(H144,$AU$17:$AX$23,3,FALSE)</f>
        <v>#N/A</v>
      </c>
      <c r="X144" s="7" t="e">
        <f t="shared" ref="X144:X207" si="57">VLOOKUP(H144,$AU$17:$AX$23,4,FALSE)</f>
        <v>#N/A</v>
      </c>
      <c r="Y144" s="7" t="str">
        <f t="shared" ref="Y144:Y207" si="58">IF(ISERROR(SEARCH("-",I144,1))=TRUE,ASC(UPPER(I144)),ASC(UPPER(LEFT(I144,SEARCH("-",I144,1)-1))))</f>
        <v/>
      </c>
      <c r="Z144" s="11">
        <f t="shared" ref="Z144:Z207" si="59">IF(J144&gt;3500,J144/1000,1)</f>
        <v>1</v>
      </c>
      <c r="AA144" s="7" t="e">
        <f t="shared" ref="AA144:AA207" si="60">IF(X144=9,0,IF(J144&lt;=1700,1,IF(J144&lt;=2500,2,IF(J144&lt;=3500,3,4))))</f>
        <v>#N/A</v>
      </c>
      <c r="AB144" s="7" t="e">
        <f t="shared" ref="AB144:AB207" si="61">IF(X144=5,0,IF(X144=9,0,IF(J144&lt;=1700,1,IF(J144&lt;=2500,2,IF(J144&lt;=3500,3,4)))))</f>
        <v>#N/A</v>
      </c>
      <c r="AC144" s="7" t="e">
        <f t="shared" ref="AC144:AC207" si="62">VLOOKUP(K144,$BC$17:$BD$25,2,FALSE)</f>
        <v>#N/A</v>
      </c>
      <c r="AD144" s="472" t="e">
        <f>VLOOKUP(AF144,'排出係数(2017)'!$A$4:$I$1151,9,FALSE)</f>
        <v>#N/A</v>
      </c>
      <c r="AE144" s="12" t="str">
        <f t="shared" ref="AE144:AE207" si="63">IF(OR(ISBLANK(K144)=TRUE,ISBLANK(B144)=TRUE)," ",CONCATENATE(B144,X144,AA144))</f>
        <v xml:space="preserve"> </v>
      </c>
      <c r="AF144" s="7" t="e">
        <f t="shared" si="51"/>
        <v>#N/A</v>
      </c>
      <c r="AG144" s="7" t="e">
        <f t="shared" ref="AG144:AG207" si="64">IF(AND(L144="あり",AC144="軽"),AI144,AH144)</f>
        <v>#N/A</v>
      </c>
      <c r="AH144" s="472" t="e">
        <f>VLOOKUP(AF144,'排出係数(2017)'!$A$4:$I$1151,6,FALSE)</f>
        <v>#N/A</v>
      </c>
      <c r="AI144" s="7" t="e">
        <f t="shared" ref="AI144:AI207" si="65">VLOOKUP(AB144,$BQ$17:$BU$21,2,FALSE)</f>
        <v>#N/A</v>
      </c>
      <c r="AJ144" s="7" t="e">
        <f t="shared" ref="AJ144:AJ207" si="66">IF(AND(L144="あり",M144="なし",AC144="軽"),AL144,IF(AND(L144="あり",M144="あり(H17なし)",AC144="軽"),AL144,IF(AND(L144="あり",M144="",AC144="軽"),AL144,IF(AND(L144="なし",M144="あり(H17なし)",AC144="軽"),AM144,IF(AND(L144="",M144="あり(H17なし)",AC144="軽"),AM144,IF(AND(M144="あり(H17あり)",AC144="軽"),AN144,AK144))))))</f>
        <v>#N/A</v>
      </c>
      <c r="AK144" s="472" t="e">
        <f>VLOOKUP(AF144,'排出係数(2017)'!$A$4:$I$1151,7,FALSE)</f>
        <v>#N/A</v>
      </c>
      <c r="AL144" s="7" t="e">
        <f t="shared" ref="AL144:AL207" si="67">VLOOKUP(AB144,$BQ$17:$BU$21,3,FALSE)</f>
        <v>#N/A</v>
      </c>
      <c r="AM144" s="7" t="e">
        <f t="shared" ref="AM144:AM207" si="68">VLOOKUP(AB144,$BQ$17:$BU$21,4,FALSE)</f>
        <v>#N/A</v>
      </c>
      <c r="AN144" s="7" t="e">
        <f t="shared" ref="AN144:AN207" si="69">VLOOKUP(AB144,$BQ$17:$BU$21,5,FALSE)</f>
        <v>#N/A</v>
      </c>
      <c r="AO144" s="7">
        <f t="shared" ref="AO144:AO207" si="70">IF(AND(L144="なし",M144="なし"),0,IF(AND(L144="",M144=""),0,IF(AND(L144="",M144="なし"),0,IF(AND(L144="なし",M144=""),0,1))))</f>
        <v>0</v>
      </c>
      <c r="AP144" s="7" t="e">
        <f t="shared" si="52"/>
        <v>#N/A</v>
      </c>
      <c r="AQ144" s="7" t="str">
        <f t="shared" ref="AQ144:AQ207" si="71">IF(H144="","",VLOOKUP(H144,$AU$17:$AY$25,5,FALSE))</f>
        <v/>
      </c>
      <c r="AR144" s="7" t="str">
        <f t="shared" ref="AR144:AR207" si="72">IF(D144="","",VLOOKUP(CONCATENATE("A",LEFT(D144)),$BN$17:$BO$26,2,FALSE))</f>
        <v/>
      </c>
      <c r="AS144" s="7" t="str">
        <f t="shared" ref="AS144:AS207" si="73">IF(AQ144=AR144,"",1)</f>
        <v/>
      </c>
      <c r="AT144" s="97"/>
      <c r="AZ144" s="477" t="s">
        <v>1927</v>
      </c>
      <c r="CF144" s="586" t="str">
        <f t="shared" si="53"/>
        <v/>
      </c>
      <c r="CG144"/>
      <c r="CH144"/>
    </row>
    <row r="145" spans="1:86" s="13" customFormat="1" ht="13.75" customHeight="1">
      <c r="A145" s="137">
        <v>130</v>
      </c>
      <c r="B145" s="138"/>
      <c r="C145" s="139"/>
      <c r="D145" s="140"/>
      <c r="E145" s="139"/>
      <c r="F145" s="139"/>
      <c r="G145" s="191"/>
      <c r="H145" s="139"/>
      <c r="I145" s="141"/>
      <c r="J145" s="142"/>
      <c r="K145" s="139"/>
      <c r="L145" s="147"/>
      <c r="M145" s="148"/>
      <c r="N145" s="583"/>
      <c r="O145" s="229" t="str">
        <f t="shared" ref="O145:O208" si="74">IF(ISBLANK(K145)=TRUE,"",IF(ISNUMBER(AG145)=TRUE,AG145,"0"))</f>
        <v/>
      </c>
      <c r="P145" s="229" t="str">
        <f t="shared" ref="P145:P208" si="75">IF(ISBLANK($K145)=TRUE,"",IF(ISNUMBER(AJ145)=TRUE,AJ145,"0"))</f>
        <v/>
      </c>
      <c r="Q145" s="230" t="str">
        <f t="shared" ref="Q145:Q208" si="76">IF(O145="","",IF(ISERROR(O145*N145*Z145),"0",IF(ISBLANK(O145)=TRUE,"0",IF(ISBLANK(N145)=TRUE,"0",IF(AS145=1,"0",O145*N145*Z145/1000)))))</f>
        <v/>
      </c>
      <c r="R145" s="323" t="str">
        <f t="shared" ref="R145:R208" si="77">IF(P145="","",IF(ISERROR(P145*N145*Z145),"0",IF(ISBLANK(P145)=TRUE,"0",IF(ISBLANK(N145)=TRUE,"0",IF(AS145=1,"0",P145*N145*Z145/1000)))))</f>
        <v/>
      </c>
      <c r="S145" s="350"/>
      <c r="T145" s="43"/>
      <c r="U145" s="347" t="str">
        <f t="shared" si="54"/>
        <v/>
      </c>
      <c r="V145" s="7" t="e">
        <f t="shared" si="55"/>
        <v>#N/A</v>
      </c>
      <c r="W145" s="7" t="e">
        <f t="shared" si="56"/>
        <v>#N/A</v>
      </c>
      <c r="X145" s="7" t="e">
        <f t="shared" si="57"/>
        <v>#N/A</v>
      </c>
      <c r="Y145" s="7" t="str">
        <f t="shared" si="58"/>
        <v/>
      </c>
      <c r="Z145" s="11">
        <f t="shared" si="59"/>
        <v>1</v>
      </c>
      <c r="AA145" s="7" t="e">
        <f t="shared" si="60"/>
        <v>#N/A</v>
      </c>
      <c r="AB145" s="7" t="e">
        <f t="shared" si="61"/>
        <v>#N/A</v>
      </c>
      <c r="AC145" s="7" t="e">
        <f t="shared" si="62"/>
        <v>#N/A</v>
      </c>
      <c r="AD145" s="472" t="e">
        <f>VLOOKUP(AF145,'排出係数(2017)'!$A$4:$I$1151,9,FALSE)</f>
        <v>#N/A</v>
      </c>
      <c r="AE145" s="12" t="str">
        <f t="shared" si="63"/>
        <v xml:space="preserve"> </v>
      </c>
      <c r="AF145" s="7" t="e">
        <f t="shared" ref="AF145:AF208" si="78">CONCATENATE(V145,AB145,AC145,Y145)</f>
        <v>#N/A</v>
      </c>
      <c r="AG145" s="7" t="e">
        <f t="shared" si="64"/>
        <v>#N/A</v>
      </c>
      <c r="AH145" s="472" t="e">
        <f>VLOOKUP(AF145,'排出係数(2017)'!$A$4:$I$1151,6,FALSE)</f>
        <v>#N/A</v>
      </c>
      <c r="AI145" s="7" t="e">
        <f t="shared" si="65"/>
        <v>#N/A</v>
      </c>
      <c r="AJ145" s="7" t="e">
        <f t="shared" si="66"/>
        <v>#N/A</v>
      </c>
      <c r="AK145" s="472" t="e">
        <f>VLOOKUP(AF145,'排出係数(2017)'!$A$4:$I$1151,7,FALSE)</f>
        <v>#N/A</v>
      </c>
      <c r="AL145" s="7" t="e">
        <f t="shared" si="67"/>
        <v>#N/A</v>
      </c>
      <c r="AM145" s="7" t="e">
        <f t="shared" si="68"/>
        <v>#N/A</v>
      </c>
      <c r="AN145" s="7" t="e">
        <f t="shared" si="69"/>
        <v>#N/A</v>
      </c>
      <c r="AO145" s="7">
        <f t="shared" si="70"/>
        <v>0</v>
      </c>
      <c r="AP145" s="7" t="e">
        <f t="shared" ref="AP145:AP208" si="79">VLOOKUP(AF145,排出係数表,8,FALSE)</f>
        <v>#N/A</v>
      </c>
      <c r="AQ145" s="7" t="str">
        <f t="shared" si="71"/>
        <v/>
      </c>
      <c r="AR145" s="7" t="str">
        <f t="shared" si="72"/>
        <v/>
      </c>
      <c r="AS145" s="7" t="str">
        <f t="shared" si="73"/>
        <v/>
      </c>
      <c r="AT145" s="97"/>
      <c r="AZ145" s="477" t="s">
        <v>800</v>
      </c>
      <c r="CF145" s="586" t="str">
        <f t="shared" ref="CF145:CF208" si="80">IF(COUNTA(B145:F145,H145:K145)&gt;0,IF(OR(ISNUMBER(AH145)=FALSE,ISNUMBER(AK145)=FALSE,COUNTA(B145:F145,H145:K145)&lt;9),"×","〇"),"")</f>
        <v/>
      </c>
      <c r="CG145"/>
      <c r="CH145"/>
    </row>
    <row r="146" spans="1:86" s="13" customFormat="1" ht="13.75" customHeight="1">
      <c r="A146" s="137">
        <v>131</v>
      </c>
      <c r="B146" s="138"/>
      <c r="C146" s="139"/>
      <c r="D146" s="140"/>
      <c r="E146" s="139"/>
      <c r="F146" s="139"/>
      <c r="G146" s="191"/>
      <c r="H146" s="139"/>
      <c r="I146" s="141"/>
      <c r="J146" s="142"/>
      <c r="K146" s="139"/>
      <c r="L146" s="147"/>
      <c r="M146" s="148"/>
      <c r="N146" s="583"/>
      <c r="O146" s="229" t="str">
        <f t="shared" si="74"/>
        <v/>
      </c>
      <c r="P146" s="229" t="str">
        <f t="shared" si="75"/>
        <v/>
      </c>
      <c r="Q146" s="230" t="str">
        <f t="shared" si="76"/>
        <v/>
      </c>
      <c r="R146" s="323" t="str">
        <f t="shared" si="77"/>
        <v/>
      </c>
      <c r="S146" s="350"/>
      <c r="T146" s="43"/>
      <c r="U146" s="347" t="str">
        <f t="shared" si="54"/>
        <v/>
      </c>
      <c r="V146" s="7" t="e">
        <f t="shared" si="55"/>
        <v>#N/A</v>
      </c>
      <c r="W146" s="7" t="e">
        <f t="shared" si="56"/>
        <v>#N/A</v>
      </c>
      <c r="X146" s="7" t="e">
        <f t="shared" si="57"/>
        <v>#N/A</v>
      </c>
      <c r="Y146" s="7" t="str">
        <f t="shared" si="58"/>
        <v/>
      </c>
      <c r="Z146" s="11">
        <f t="shared" si="59"/>
        <v>1</v>
      </c>
      <c r="AA146" s="7" t="e">
        <f t="shared" si="60"/>
        <v>#N/A</v>
      </c>
      <c r="AB146" s="7" t="e">
        <f t="shared" si="61"/>
        <v>#N/A</v>
      </c>
      <c r="AC146" s="7" t="e">
        <f t="shared" si="62"/>
        <v>#N/A</v>
      </c>
      <c r="AD146" s="472" t="e">
        <f>VLOOKUP(AF146,'排出係数(2017)'!$A$4:$I$1151,9,FALSE)</f>
        <v>#N/A</v>
      </c>
      <c r="AE146" s="12" t="str">
        <f t="shared" si="63"/>
        <v xml:space="preserve"> </v>
      </c>
      <c r="AF146" s="7" t="e">
        <f t="shared" si="78"/>
        <v>#N/A</v>
      </c>
      <c r="AG146" s="7" t="e">
        <f t="shared" si="64"/>
        <v>#N/A</v>
      </c>
      <c r="AH146" s="472" t="e">
        <f>VLOOKUP(AF146,'排出係数(2017)'!$A$4:$I$1151,6,FALSE)</f>
        <v>#N/A</v>
      </c>
      <c r="AI146" s="7" t="e">
        <f t="shared" si="65"/>
        <v>#N/A</v>
      </c>
      <c r="AJ146" s="7" t="e">
        <f t="shared" si="66"/>
        <v>#N/A</v>
      </c>
      <c r="AK146" s="472" t="e">
        <f>VLOOKUP(AF146,'排出係数(2017)'!$A$4:$I$1151,7,FALSE)</f>
        <v>#N/A</v>
      </c>
      <c r="AL146" s="7" t="e">
        <f t="shared" si="67"/>
        <v>#N/A</v>
      </c>
      <c r="AM146" s="7" t="e">
        <f t="shared" si="68"/>
        <v>#N/A</v>
      </c>
      <c r="AN146" s="7" t="e">
        <f t="shared" si="69"/>
        <v>#N/A</v>
      </c>
      <c r="AO146" s="7">
        <f t="shared" si="70"/>
        <v>0</v>
      </c>
      <c r="AP146" s="7" t="e">
        <f t="shared" si="79"/>
        <v>#N/A</v>
      </c>
      <c r="AQ146" s="7" t="str">
        <f t="shared" si="71"/>
        <v/>
      </c>
      <c r="AR146" s="7" t="str">
        <f t="shared" si="72"/>
        <v/>
      </c>
      <c r="AS146" s="7" t="str">
        <f t="shared" si="73"/>
        <v/>
      </c>
      <c r="AT146" s="97"/>
      <c r="AZ146" s="477" t="s">
        <v>1929</v>
      </c>
      <c r="CF146" s="586" t="str">
        <f t="shared" si="80"/>
        <v/>
      </c>
      <c r="CG146"/>
      <c r="CH146"/>
    </row>
    <row r="147" spans="1:86" s="13" customFormat="1" ht="13.75" customHeight="1">
      <c r="A147" s="137">
        <v>132</v>
      </c>
      <c r="B147" s="138"/>
      <c r="C147" s="139"/>
      <c r="D147" s="140"/>
      <c r="E147" s="139"/>
      <c r="F147" s="139"/>
      <c r="G147" s="191"/>
      <c r="H147" s="139"/>
      <c r="I147" s="141"/>
      <c r="J147" s="142"/>
      <c r="K147" s="139"/>
      <c r="L147" s="147"/>
      <c r="M147" s="148"/>
      <c r="N147" s="583"/>
      <c r="O147" s="229" t="str">
        <f t="shared" si="74"/>
        <v/>
      </c>
      <c r="P147" s="229" t="str">
        <f t="shared" si="75"/>
        <v/>
      </c>
      <c r="Q147" s="230" t="str">
        <f t="shared" si="76"/>
        <v/>
      </c>
      <c r="R147" s="323" t="str">
        <f t="shared" si="77"/>
        <v/>
      </c>
      <c r="S147" s="350"/>
      <c r="T147" s="43"/>
      <c r="U147" s="347" t="str">
        <f t="shared" si="54"/>
        <v/>
      </c>
      <c r="V147" s="7" t="e">
        <f t="shared" si="55"/>
        <v>#N/A</v>
      </c>
      <c r="W147" s="7" t="e">
        <f t="shared" si="56"/>
        <v>#N/A</v>
      </c>
      <c r="X147" s="7" t="e">
        <f t="shared" si="57"/>
        <v>#N/A</v>
      </c>
      <c r="Y147" s="7" t="str">
        <f t="shared" si="58"/>
        <v/>
      </c>
      <c r="Z147" s="11">
        <f t="shared" si="59"/>
        <v>1</v>
      </c>
      <c r="AA147" s="7" t="e">
        <f t="shared" si="60"/>
        <v>#N/A</v>
      </c>
      <c r="AB147" s="7" t="e">
        <f t="shared" si="61"/>
        <v>#N/A</v>
      </c>
      <c r="AC147" s="7" t="e">
        <f t="shared" si="62"/>
        <v>#N/A</v>
      </c>
      <c r="AD147" s="472" t="e">
        <f>VLOOKUP(AF147,'排出係数(2017)'!$A$4:$I$1151,9,FALSE)</f>
        <v>#N/A</v>
      </c>
      <c r="AE147" s="12" t="str">
        <f t="shared" si="63"/>
        <v xml:space="preserve"> </v>
      </c>
      <c r="AF147" s="7" t="e">
        <f t="shared" si="78"/>
        <v>#N/A</v>
      </c>
      <c r="AG147" s="7" t="e">
        <f t="shared" si="64"/>
        <v>#N/A</v>
      </c>
      <c r="AH147" s="472" t="e">
        <f>VLOOKUP(AF147,'排出係数(2017)'!$A$4:$I$1151,6,FALSE)</f>
        <v>#N/A</v>
      </c>
      <c r="AI147" s="7" t="e">
        <f t="shared" si="65"/>
        <v>#N/A</v>
      </c>
      <c r="AJ147" s="7" t="e">
        <f t="shared" si="66"/>
        <v>#N/A</v>
      </c>
      <c r="AK147" s="472" t="e">
        <f>VLOOKUP(AF147,'排出係数(2017)'!$A$4:$I$1151,7,FALSE)</f>
        <v>#N/A</v>
      </c>
      <c r="AL147" s="7" t="e">
        <f t="shared" si="67"/>
        <v>#N/A</v>
      </c>
      <c r="AM147" s="7" t="e">
        <f t="shared" si="68"/>
        <v>#N/A</v>
      </c>
      <c r="AN147" s="7" t="e">
        <f t="shared" si="69"/>
        <v>#N/A</v>
      </c>
      <c r="AO147" s="7">
        <f t="shared" si="70"/>
        <v>0</v>
      </c>
      <c r="AP147" s="7" t="e">
        <f t="shared" si="79"/>
        <v>#N/A</v>
      </c>
      <c r="AQ147" s="7" t="str">
        <f t="shared" si="71"/>
        <v/>
      </c>
      <c r="AR147" s="7" t="str">
        <f t="shared" si="72"/>
        <v/>
      </c>
      <c r="AS147" s="7" t="str">
        <f t="shared" si="73"/>
        <v/>
      </c>
      <c r="AT147" s="97"/>
      <c r="AZ147" s="477" t="s">
        <v>1930</v>
      </c>
      <c r="CF147" s="586" t="str">
        <f t="shared" si="80"/>
        <v/>
      </c>
      <c r="CG147"/>
      <c r="CH147"/>
    </row>
    <row r="148" spans="1:86" s="13" customFormat="1" ht="13.75" customHeight="1">
      <c r="A148" s="137">
        <v>133</v>
      </c>
      <c r="B148" s="138"/>
      <c r="C148" s="139"/>
      <c r="D148" s="140"/>
      <c r="E148" s="139"/>
      <c r="F148" s="139"/>
      <c r="G148" s="191"/>
      <c r="H148" s="139"/>
      <c r="I148" s="141"/>
      <c r="J148" s="142"/>
      <c r="K148" s="139"/>
      <c r="L148" s="147"/>
      <c r="M148" s="148"/>
      <c r="N148" s="583"/>
      <c r="O148" s="229" t="str">
        <f t="shared" si="74"/>
        <v/>
      </c>
      <c r="P148" s="229" t="str">
        <f t="shared" si="75"/>
        <v/>
      </c>
      <c r="Q148" s="230" t="str">
        <f t="shared" si="76"/>
        <v/>
      </c>
      <c r="R148" s="323" t="str">
        <f t="shared" si="77"/>
        <v/>
      </c>
      <c r="S148" s="350"/>
      <c r="T148" s="43"/>
      <c r="U148" s="347" t="str">
        <f t="shared" si="54"/>
        <v/>
      </c>
      <c r="V148" s="7" t="e">
        <f t="shared" si="55"/>
        <v>#N/A</v>
      </c>
      <c r="W148" s="7" t="e">
        <f t="shared" si="56"/>
        <v>#N/A</v>
      </c>
      <c r="X148" s="7" t="e">
        <f t="shared" si="57"/>
        <v>#N/A</v>
      </c>
      <c r="Y148" s="7" t="str">
        <f t="shared" si="58"/>
        <v/>
      </c>
      <c r="Z148" s="11">
        <f t="shared" si="59"/>
        <v>1</v>
      </c>
      <c r="AA148" s="7" t="e">
        <f t="shared" si="60"/>
        <v>#N/A</v>
      </c>
      <c r="AB148" s="7" t="e">
        <f t="shared" si="61"/>
        <v>#N/A</v>
      </c>
      <c r="AC148" s="7" t="e">
        <f t="shared" si="62"/>
        <v>#N/A</v>
      </c>
      <c r="AD148" s="472" t="e">
        <f>VLOOKUP(AF148,'排出係数(2017)'!$A$4:$I$1151,9,FALSE)</f>
        <v>#N/A</v>
      </c>
      <c r="AE148" s="12" t="str">
        <f t="shared" si="63"/>
        <v xml:space="preserve"> </v>
      </c>
      <c r="AF148" s="7" t="e">
        <f t="shared" si="78"/>
        <v>#N/A</v>
      </c>
      <c r="AG148" s="7" t="e">
        <f t="shared" si="64"/>
        <v>#N/A</v>
      </c>
      <c r="AH148" s="472" t="e">
        <f>VLOOKUP(AF148,'排出係数(2017)'!$A$4:$I$1151,6,FALSE)</f>
        <v>#N/A</v>
      </c>
      <c r="AI148" s="7" t="e">
        <f t="shared" si="65"/>
        <v>#N/A</v>
      </c>
      <c r="AJ148" s="7" t="e">
        <f t="shared" si="66"/>
        <v>#N/A</v>
      </c>
      <c r="AK148" s="472" t="e">
        <f>VLOOKUP(AF148,'排出係数(2017)'!$A$4:$I$1151,7,FALSE)</f>
        <v>#N/A</v>
      </c>
      <c r="AL148" s="7" t="e">
        <f t="shared" si="67"/>
        <v>#N/A</v>
      </c>
      <c r="AM148" s="7" t="e">
        <f t="shared" si="68"/>
        <v>#N/A</v>
      </c>
      <c r="AN148" s="7" t="e">
        <f t="shared" si="69"/>
        <v>#N/A</v>
      </c>
      <c r="AO148" s="7">
        <f t="shared" si="70"/>
        <v>0</v>
      </c>
      <c r="AP148" s="7" t="e">
        <f t="shared" si="79"/>
        <v>#N/A</v>
      </c>
      <c r="AQ148" s="7" t="str">
        <f t="shared" si="71"/>
        <v/>
      </c>
      <c r="AR148" s="7" t="str">
        <f t="shared" si="72"/>
        <v/>
      </c>
      <c r="AS148" s="7" t="str">
        <f t="shared" si="73"/>
        <v/>
      </c>
      <c r="AT148" s="97"/>
      <c r="AZ148" s="477" t="s">
        <v>1931</v>
      </c>
      <c r="CF148" s="586" t="str">
        <f t="shared" si="80"/>
        <v/>
      </c>
      <c r="CG148"/>
      <c r="CH148"/>
    </row>
    <row r="149" spans="1:86" s="13" customFormat="1" ht="13.75" customHeight="1">
      <c r="A149" s="137">
        <v>134</v>
      </c>
      <c r="B149" s="138"/>
      <c r="C149" s="139"/>
      <c r="D149" s="140"/>
      <c r="E149" s="139"/>
      <c r="F149" s="139"/>
      <c r="G149" s="191"/>
      <c r="H149" s="139"/>
      <c r="I149" s="141"/>
      <c r="J149" s="142"/>
      <c r="K149" s="139"/>
      <c r="L149" s="147"/>
      <c r="M149" s="148"/>
      <c r="N149" s="583"/>
      <c r="O149" s="229" t="str">
        <f t="shared" si="74"/>
        <v/>
      </c>
      <c r="P149" s="229" t="str">
        <f t="shared" si="75"/>
        <v/>
      </c>
      <c r="Q149" s="230" t="str">
        <f t="shared" si="76"/>
        <v/>
      </c>
      <c r="R149" s="323" t="str">
        <f t="shared" si="77"/>
        <v/>
      </c>
      <c r="S149" s="350"/>
      <c r="T149" s="43"/>
      <c r="U149" s="347" t="str">
        <f t="shared" si="54"/>
        <v/>
      </c>
      <c r="V149" s="7" t="e">
        <f t="shared" si="55"/>
        <v>#N/A</v>
      </c>
      <c r="W149" s="7" t="e">
        <f t="shared" si="56"/>
        <v>#N/A</v>
      </c>
      <c r="X149" s="7" t="e">
        <f t="shared" si="57"/>
        <v>#N/A</v>
      </c>
      <c r="Y149" s="7" t="str">
        <f t="shared" si="58"/>
        <v/>
      </c>
      <c r="Z149" s="11">
        <f t="shared" si="59"/>
        <v>1</v>
      </c>
      <c r="AA149" s="7" t="e">
        <f t="shared" si="60"/>
        <v>#N/A</v>
      </c>
      <c r="AB149" s="7" t="e">
        <f t="shared" si="61"/>
        <v>#N/A</v>
      </c>
      <c r="AC149" s="7" t="e">
        <f t="shared" si="62"/>
        <v>#N/A</v>
      </c>
      <c r="AD149" s="472" t="e">
        <f>VLOOKUP(AF149,'排出係数(2017)'!$A$4:$I$1151,9,FALSE)</f>
        <v>#N/A</v>
      </c>
      <c r="AE149" s="12" t="str">
        <f t="shared" si="63"/>
        <v xml:space="preserve"> </v>
      </c>
      <c r="AF149" s="7" t="e">
        <f t="shared" si="78"/>
        <v>#N/A</v>
      </c>
      <c r="AG149" s="7" t="e">
        <f t="shared" si="64"/>
        <v>#N/A</v>
      </c>
      <c r="AH149" s="472" t="e">
        <f>VLOOKUP(AF149,'排出係数(2017)'!$A$4:$I$1151,6,FALSE)</f>
        <v>#N/A</v>
      </c>
      <c r="AI149" s="7" t="e">
        <f t="shared" si="65"/>
        <v>#N/A</v>
      </c>
      <c r="AJ149" s="7" t="e">
        <f t="shared" si="66"/>
        <v>#N/A</v>
      </c>
      <c r="AK149" s="472" t="e">
        <f>VLOOKUP(AF149,'排出係数(2017)'!$A$4:$I$1151,7,FALSE)</f>
        <v>#N/A</v>
      </c>
      <c r="AL149" s="7" t="e">
        <f t="shared" si="67"/>
        <v>#N/A</v>
      </c>
      <c r="AM149" s="7" t="e">
        <f t="shared" si="68"/>
        <v>#N/A</v>
      </c>
      <c r="AN149" s="7" t="e">
        <f t="shared" si="69"/>
        <v>#N/A</v>
      </c>
      <c r="AO149" s="7">
        <f t="shared" si="70"/>
        <v>0</v>
      </c>
      <c r="AP149" s="7" t="e">
        <f t="shared" si="79"/>
        <v>#N/A</v>
      </c>
      <c r="AQ149" s="7" t="str">
        <f t="shared" si="71"/>
        <v/>
      </c>
      <c r="AR149" s="7" t="str">
        <f t="shared" si="72"/>
        <v/>
      </c>
      <c r="AS149" s="7" t="str">
        <f t="shared" si="73"/>
        <v/>
      </c>
      <c r="AT149" s="97"/>
      <c r="AZ149" s="477" t="s">
        <v>804</v>
      </c>
      <c r="CF149" s="586" t="str">
        <f t="shared" si="80"/>
        <v/>
      </c>
      <c r="CG149"/>
      <c r="CH149"/>
    </row>
    <row r="150" spans="1:86" s="13" customFormat="1" ht="13.75" customHeight="1">
      <c r="A150" s="137">
        <v>135</v>
      </c>
      <c r="B150" s="138"/>
      <c r="C150" s="139"/>
      <c r="D150" s="140"/>
      <c r="E150" s="139"/>
      <c r="F150" s="139"/>
      <c r="G150" s="191"/>
      <c r="H150" s="139"/>
      <c r="I150" s="141"/>
      <c r="J150" s="142"/>
      <c r="K150" s="139"/>
      <c r="L150" s="147"/>
      <c r="M150" s="148"/>
      <c r="N150" s="583"/>
      <c r="O150" s="229" t="str">
        <f t="shared" si="74"/>
        <v/>
      </c>
      <c r="P150" s="229" t="str">
        <f t="shared" si="75"/>
        <v/>
      </c>
      <c r="Q150" s="230" t="str">
        <f t="shared" si="76"/>
        <v/>
      </c>
      <c r="R150" s="323" t="str">
        <f t="shared" si="77"/>
        <v/>
      </c>
      <c r="S150" s="350"/>
      <c r="T150" s="43"/>
      <c r="U150" s="347" t="str">
        <f t="shared" si="54"/>
        <v/>
      </c>
      <c r="V150" s="7" t="e">
        <f t="shared" si="55"/>
        <v>#N/A</v>
      </c>
      <c r="W150" s="7" t="e">
        <f t="shared" si="56"/>
        <v>#N/A</v>
      </c>
      <c r="X150" s="7" t="e">
        <f t="shared" si="57"/>
        <v>#N/A</v>
      </c>
      <c r="Y150" s="7" t="str">
        <f t="shared" si="58"/>
        <v/>
      </c>
      <c r="Z150" s="11">
        <f t="shared" si="59"/>
        <v>1</v>
      </c>
      <c r="AA150" s="7" t="e">
        <f t="shared" si="60"/>
        <v>#N/A</v>
      </c>
      <c r="AB150" s="7" t="e">
        <f t="shared" si="61"/>
        <v>#N/A</v>
      </c>
      <c r="AC150" s="7" t="e">
        <f t="shared" si="62"/>
        <v>#N/A</v>
      </c>
      <c r="AD150" s="472" t="e">
        <f>VLOOKUP(AF150,'排出係数(2017)'!$A$4:$I$1151,9,FALSE)</f>
        <v>#N/A</v>
      </c>
      <c r="AE150" s="12" t="str">
        <f t="shared" si="63"/>
        <v xml:space="preserve"> </v>
      </c>
      <c r="AF150" s="7" t="e">
        <f t="shared" si="78"/>
        <v>#N/A</v>
      </c>
      <c r="AG150" s="7" t="e">
        <f t="shared" si="64"/>
        <v>#N/A</v>
      </c>
      <c r="AH150" s="472" t="e">
        <f>VLOOKUP(AF150,'排出係数(2017)'!$A$4:$I$1151,6,FALSE)</f>
        <v>#N/A</v>
      </c>
      <c r="AI150" s="7" t="e">
        <f t="shared" si="65"/>
        <v>#N/A</v>
      </c>
      <c r="AJ150" s="7" t="e">
        <f t="shared" si="66"/>
        <v>#N/A</v>
      </c>
      <c r="AK150" s="472" t="e">
        <f>VLOOKUP(AF150,'排出係数(2017)'!$A$4:$I$1151,7,FALSE)</f>
        <v>#N/A</v>
      </c>
      <c r="AL150" s="7" t="e">
        <f t="shared" si="67"/>
        <v>#N/A</v>
      </c>
      <c r="AM150" s="7" t="e">
        <f t="shared" si="68"/>
        <v>#N/A</v>
      </c>
      <c r="AN150" s="7" t="e">
        <f t="shared" si="69"/>
        <v>#N/A</v>
      </c>
      <c r="AO150" s="7">
        <f t="shared" si="70"/>
        <v>0</v>
      </c>
      <c r="AP150" s="7" t="e">
        <f t="shared" si="79"/>
        <v>#N/A</v>
      </c>
      <c r="AQ150" s="7" t="str">
        <f t="shared" si="71"/>
        <v/>
      </c>
      <c r="AR150" s="7" t="str">
        <f t="shared" si="72"/>
        <v/>
      </c>
      <c r="AS150" s="7" t="str">
        <f t="shared" si="73"/>
        <v/>
      </c>
      <c r="AT150" s="97"/>
      <c r="AZ150" s="477" t="s">
        <v>1502</v>
      </c>
      <c r="CF150" s="586" t="str">
        <f t="shared" si="80"/>
        <v/>
      </c>
      <c r="CG150"/>
      <c r="CH150"/>
    </row>
    <row r="151" spans="1:86" s="13" customFormat="1" ht="13.75" customHeight="1">
      <c r="A151" s="137">
        <v>136</v>
      </c>
      <c r="B151" s="138"/>
      <c r="C151" s="139"/>
      <c r="D151" s="140"/>
      <c r="E151" s="139"/>
      <c r="F151" s="139"/>
      <c r="G151" s="191"/>
      <c r="H151" s="139"/>
      <c r="I151" s="141"/>
      <c r="J151" s="142"/>
      <c r="K151" s="139"/>
      <c r="L151" s="147"/>
      <c r="M151" s="148"/>
      <c r="N151" s="583"/>
      <c r="O151" s="229" t="str">
        <f t="shared" si="74"/>
        <v/>
      </c>
      <c r="P151" s="229" t="str">
        <f t="shared" si="75"/>
        <v/>
      </c>
      <c r="Q151" s="230" t="str">
        <f t="shared" si="76"/>
        <v/>
      </c>
      <c r="R151" s="323" t="str">
        <f t="shared" si="77"/>
        <v/>
      </c>
      <c r="S151" s="350"/>
      <c r="T151" s="43"/>
      <c r="U151" s="347" t="str">
        <f t="shared" si="54"/>
        <v/>
      </c>
      <c r="V151" s="7" t="e">
        <f t="shared" si="55"/>
        <v>#N/A</v>
      </c>
      <c r="W151" s="7" t="e">
        <f t="shared" si="56"/>
        <v>#N/A</v>
      </c>
      <c r="X151" s="7" t="e">
        <f t="shared" si="57"/>
        <v>#N/A</v>
      </c>
      <c r="Y151" s="7" t="str">
        <f t="shared" si="58"/>
        <v/>
      </c>
      <c r="Z151" s="11">
        <f t="shared" si="59"/>
        <v>1</v>
      </c>
      <c r="AA151" s="7" t="e">
        <f t="shared" si="60"/>
        <v>#N/A</v>
      </c>
      <c r="AB151" s="7" t="e">
        <f t="shared" si="61"/>
        <v>#N/A</v>
      </c>
      <c r="AC151" s="7" t="e">
        <f t="shared" si="62"/>
        <v>#N/A</v>
      </c>
      <c r="AD151" s="472" t="e">
        <f>VLOOKUP(AF151,'排出係数(2017)'!$A$4:$I$1151,9,FALSE)</f>
        <v>#N/A</v>
      </c>
      <c r="AE151" s="12" t="str">
        <f t="shared" si="63"/>
        <v xml:space="preserve"> </v>
      </c>
      <c r="AF151" s="7" t="e">
        <f t="shared" si="78"/>
        <v>#N/A</v>
      </c>
      <c r="AG151" s="7" t="e">
        <f t="shared" si="64"/>
        <v>#N/A</v>
      </c>
      <c r="AH151" s="472" t="e">
        <f>VLOOKUP(AF151,'排出係数(2017)'!$A$4:$I$1151,6,FALSE)</f>
        <v>#N/A</v>
      </c>
      <c r="AI151" s="7" t="e">
        <f t="shared" si="65"/>
        <v>#N/A</v>
      </c>
      <c r="AJ151" s="7" t="e">
        <f t="shared" si="66"/>
        <v>#N/A</v>
      </c>
      <c r="AK151" s="472" t="e">
        <f>VLOOKUP(AF151,'排出係数(2017)'!$A$4:$I$1151,7,FALSE)</f>
        <v>#N/A</v>
      </c>
      <c r="AL151" s="7" t="e">
        <f t="shared" si="67"/>
        <v>#N/A</v>
      </c>
      <c r="AM151" s="7" t="e">
        <f t="shared" si="68"/>
        <v>#N/A</v>
      </c>
      <c r="AN151" s="7" t="e">
        <f t="shared" si="69"/>
        <v>#N/A</v>
      </c>
      <c r="AO151" s="7">
        <f t="shared" si="70"/>
        <v>0</v>
      </c>
      <c r="AP151" s="7" t="e">
        <f t="shared" si="79"/>
        <v>#N/A</v>
      </c>
      <c r="AQ151" s="7" t="str">
        <f t="shared" si="71"/>
        <v/>
      </c>
      <c r="AR151" s="7" t="str">
        <f t="shared" si="72"/>
        <v/>
      </c>
      <c r="AS151" s="7" t="str">
        <f t="shared" si="73"/>
        <v/>
      </c>
      <c r="AT151" s="97"/>
      <c r="AZ151" s="477" t="s">
        <v>1506</v>
      </c>
      <c r="CF151" s="586" t="str">
        <f t="shared" si="80"/>
        <v/>
      </c>
      <c r="CG151"/>
      <c r="CH151"/>
    </row>
    <row r="152" spans="1:86" s="13" customFormat="1" ht="13.75" customHeight="1">
      <c r="A152" s="137">
        <v>137</v>
      </c>
      <c r="B152" s="138"/>
      <c r="C152" s="139"/>
      <c r="D152" s="140"/>
      <c r="E152" s="139"/>
      <c r="F152" s="139"/>
      <c r="G152" s="191"/>
      <c r="H152" s="139"/>
      <c r="I152" s="141"/>
      <c r="J152" s="142"/>
      <c r="K152" s="139"/>
      <c r="L152" s="147"/>
      <c r="M152" s="148"/>
      <c r="N152" s="583"/>
      <c r="O152" s="229" t="str">
        <f t="shared" si="74"/>
        <v/>
      </c>
      <c r="P152" s="229" t="str">
        <f t="shared" si="75"/>
        <v/>
      </c>
      <c r="Q152" s="230" t="str">
        <f t="shared" si="76"/>
        <v/>
      </c>
      <c r="R152" s="323" t="str">
        <f t="shared" si="77"/>
        <v/>
      </c>
      <c r="S152" s="350"/>
      <c r="T152" s="43"/>
      <c r="U152" s="347" t="str">
        <f t="shared" si="54"/>
        <v/>
      </c>
      <c r="V152" s="7" t="e">
        <f t="shared" si="55"/>
        <v>#N/A</v>
      </c>
      <c r="W152" s="7" t="e">
        <f t="shared" si="56"/>
        <v>#N/A</v>
      </c>
      <c r="X152" s="7" t="e">
        <f t="shared" si="57"/>
        <v>#N/A</v>
      </c>
      <c r="Y152" s="7" t="str">
        <f t="shared" si="58"/>
        <v/>
      </c>
      <c r="Z152" s="11">
        <f t="shared" si="59"/>
        <v>1</v>
      </c>
      <c r="AA152" s="7" t="e">
        <f t="shared" si="60"/>
        <v>#N/A</v>
      </c>
      <c r="AB152" s="7" t="e">
        <f t="shared" si="61"/>
        <v>#N/A</v>
      </c>
      <c r="AC152" s="7" t="e">
        <f t="shared" si="62"/>
        <v>#N/A</v>
      </c>
      <c r="AD152" s="472" t="e">
        <f>VLOOKUP(AF152,'排出係数(2017)'!$A$4:$I$1151,9,FALSE)</f>
        <v>#N/A</v>
      </c>
      <c r="AE152" s="12" t="str">
        <f t="shared" si="63"/>
        <v xml:space="preserve"> </v>
      </c>
      <c r="AF152" s="7" t="e">
        <f t="shared" si="78"/>
        <v>#N/A</v>
      </c>
      <c r="AG152" s="7" t="e">
        <f t="shared" si="64"/>
        <v>#N/A</v>
      </c>
      <c r="AH152" s="472" t="e">
        <f>VLOOKUP(AF152,'排出係数(2017)'!$A$4:$I$1151,6,FALSE)</f>
        <v>#N/A</v>
      </c>
      <c r="AI152" s="7" t="e">
        <f t="shared" si="65"/>
        <v>#N/A</v>
      </c>
      <c r="AJ152" s="7" t="e">
        <f t="shared" si="66"/>
        <v>#N/A</v>
      </c>
      <c r="AK152" s="472" t="e">
        <f>VLOOKUP(AF152,'排出係数(2017)'!$A$4:$I$1151,7,FALSE)</f>
        <v>#N/A</v>
      </c>
      <c r="AL152" s="7" t="e">
        <f t="shared" si="67"/>
        <v>#N/A</v>
      </c>
      <c r="AM152" s="7" t="e">
        <f t="shared" si="68"/>
        <v>#N/A</v>
      </c>
      <c r="AN152" s="7" t="e">
        <f t="shared" si="69"/>
        <v>#N/A</v>
      </c>
      <c r="AO152" s="7">
        <f t="shared" si="70"/>
        <v>0</v>
      </c>
      <c r="AP152" s="7" t="e">
        <f t="shared" si="79"/>
        <v>#N/A</v>
      </c>
      <c r="AQ152" s="7" t="str">
        <f t="shared" si="71"/>
        <v/>
      </c>
      <c r="AR152" s="7" t="str">
        <f t="shared" si="72"/>
        <v/>
      </c>
      <c r="AS152" s="7" t="str">
        <f t="shared" si="73"/>
        <v/>
      </c>
      <c r="AT152" s="97"/>
      <c r="AZ152" s="477" t="s">
        <v>1414</v>
      </c>
      <c r="CF152" s="586" t="str">
        <f t="shared" si="80"/>
        <v/>
      </c>
      <c r="CG152"/>
      <c r="CH152"/>
    </row>
    <row r="153" spans="1:86" s="13" customFormat="1" ht="13.75" customHeight="1">
      <c r="A153" s="137">
        <v>138</v>
      </c>
      <c r="B153" s="138"/>
      <c r="C153" s="139"/>
      <c r="D153" s="140"/>
      <c r="E153" s="139"/>
      <c r="F153" s="139"/>
      <c r="G153" s="191"/>
      <c r="H153" s="139"/>
      <c r="I153" s="141"/>
      <c r="J153" s="142"/>
      <c r="K153" s="139"/>
      <c r="L153" s="147"/>
      <c r="M153" s="148"/>
      <c r="N153" s="583"/>
      <c r="O153" s="229" t="str">
        <f t="shared" si="74"/>
        <v/>
      </c>
      <c r="P153" s="229" t="str">
        <f t="shared" si="75"/>
        <v/>
      </c>
      <c r="Q153" s="230" t="str">
        <f t="shared" si="76"/>
        <v/>
      </c>
      <c r="R153" s="323" t="str">
        <f t="shared" si="77"/>
        <v/>
      </c>
      <c r="S153" s="350"/>
      <c r="T153" s="43"/>
      <c r="U153" s="347" t="str">
        <f t="shared" si="54"/>
        <v/>
      </c>
      <c r="V153" s="7" t="e">
        <f t="shared" si="55"/>
        <v>#N/A</v>
      </c>
      <c r="W153" s="7" t="e">
        <f t="shared" si="56"/>
        <v>#N/A</v>
      </c>
      <c r="X153" s="7" t="e">
        <f t="shared" si="57"/>
        <v>#N/A</v>
      </c>
      <c r="Y153" s="7" t="str">
        <f t="shared" si="58"/>
        <v/>
      </c>
      <c r="Z153" s="11">
        <f t="shared" si="59"/>
        <v>1</v>
      </c>
      <c r="AA153" s="7" t="e">
        <f t="shared" si="60"/>
        <v>#N/A</v>
      </c>
      <c r="AB153" s="7" t="e">
        <f t="shared" si="61"/>
        <v>#N/A</v>
      </c>
      <c r="AC153" s="7" t="e">
        <f t="shared" si="62"/>
        <v>#N/A</v>
      </c>
      <c r="AD153" s="472" t="e">
        <f>VLOOKUP(AF153,'排出係数(2017)'!$A$4:$I$1151,9,FALSE)</f>
        <v>#N/A</v>
      </c>
      <c r="AE153" s="12" t="str">
        <f t="shared" si="63"/>
        <v xml:space="preserve"> </v>
      </c>
      <c r="AF153" s="7" t="e">
        <f t="shared" si="78"/>
        <v>#N/A</v>
      </c>
      <c r="AG153" s="7" t="e">
        <f t="shared" si="64"/>
        <v>#N/A</v>
      </c>
      <c r="AH153" s="472" t="e">
        <f>VLOOKUP(AF153,'排出係数(2017)'!$A$4:$I$1151,6,FALSE)</f>
        <v>#N/A</v>
      </c>
      <c r="AI153" s="7" t="e">
        <f t="shared" si="65"/>
        <v>#N/A</v>
      </c>
      <c r="AJ153" s="7" t="e">
        <f t="shared" si="66"/>
        <v>#N/A</v>
      </c>
      <c r="AK153" s="472" t="e">
        <f>VLOOKUP(AF153,'排出係数(2017)'!$A$4:$I$1151,7,FALSE)</f>
        <v>#N/A</v>
      </c>
      <c r="AL153" s="7" t="e">
        <f t="shared" si="67"/>
        <v>#N/A</v>
      </c>
      <c r="AM153" s="7" t="e">
        <f t="shared" si="68"/>
        <v>#N/A</v>
      </c>
      <c r="AN153" s="7" t="e">
        <f t="shared" si="69"/>
        <v>#N/A</v>
      </c>
      <c r="AO153" s="7">
        <f t="shared" si="70"/>
        <v>0</v>
      </c>
      <c r="AP153" s="7" t="e">
        <f t="shared" si="79"/>
        <v>#N/A</v>
      </c>
      <c r="AQ153" s="7" t="str">
        <f t="shared" si="71"/>
        <v/>
      </c>
      <c r="AR153" s="7" t="str">
        <f t="shared" si="72"/>
        <v/>
      </c>
      <c r="AS153" s="7" t="str">
        <f t="shared" si="73"/>
        <v/>
      </c>
      <c r="AT153" s="97"/>
      <c r="AZ153" s="477" t="s">
        <v>2519</v>
      </c>
      <c r="CF153" s="586" t="str">
        <f t="shared" si="80"/>
        <v/>
      </c>
      <c r="CG153"/>
      <c r="CH153"/>
    </row>
    <row r="154" spans="1:86" s="13" customFormat="1" ht="13.75" customHeight="1">
      <c r="A154" s="137">
        <v>139</v>
      </c>
      <c r="B154" s="138"/>
      <c r="C154" s="139"/>
      <c r="D154" s="140"/>
      <c r="E154" s="139"/>
      <c r="F154" s="139"/>
      <c r="G154" s="191"/>
      <c r="H154" s="139"/>
      <c r="I154" s="141"/>
      <c r="J154" s="142"/>
      <c r="K154" s="139"/>
      <c r="L154" s="147"/>
      <c r="M154" s="148"/>
      <c r="N154" s="583"/>
      <c r="O154" s="229" t="str">
        <f t="shared" si="74"/>
        <v/>
      </c>
      <c r="P154" s="229" t="str">
        <f t="shared" si="75"/>
        <v/>
      </c>
      <c r="Q154" s="230" t="str">
        <f t="shared" si="76"/>
        <v/>
      </c>
      <c r="R154" s="323" t="str">
        <f t="shared" si="77"/>
        <v/>
      </c>
      <c r="S154" s="350"/>
      <c r="T154" s="43"/>
      <c r="U154" s="347" t="str">
        <f t="shared" si="54"/>
        <v/>
      </c>
      <c r="V154" s="7" t="e">
        <f t="shared" si="55"/>
        <v>#N/A</v>
      </c>
      <c r="W154" s="7" t="e">
        <f t="shared" si="56"/>
        <v>#N/A</v>
      </c>
      <c r="X154" s="7" t="e">
        <f t="shared" si="57"/>
        <v>#N/A</v>
      </c>
      <c r="Y154" s="7" t="str">
        <f t="shared" si="58"/>
        <v/>
      </c>
      <c r="Z154" s="11">
        <f t="shared" si="59"/>
        <v>1</v>
      </c>
      <c r="AA154" s="7" t="e">
        <f t="shared" si="60"/>
        <v>#N/A</v>
      </c>
      <c r="AB154" s="7" t="e">
        <f t="shared" si="61"/>
        <v>#N/A</v>
      </c>
      <c r="AC154" s="7" t="e">
        <f t="shared" si="62"/>
        <v>#N/A</v>
      </c>
      <c r="AD154" s="472" t="e">
        <f>VLOOKUP(AF154,'排出係数(2017)'!$A$4:$I$1151,9,FALSE)</f>
        <v>#N/A</v>
      </c>
      <c r="AE154" s="12" t="str">
        <f t="shared" si="63"/>
        <v xml:space="preserve"> </v>
      </c>
      <c r="AF154" s="7" t="e">
        <f t="shared" si="78"/>
        <v>#N/A</v>
      </c>
      <c r="AG154" s="7" t="e">
        <f t="shared" si="64"/>
        <v>#N/A</v>
      </c>
      <c r="AH154" s="472" t="e">
        <f>VLOOKUP(AF154,'排出係数(2017)'!$A$4:$I$1151,6,FALSE)</f>
        <v>#N/A</v>
      </c>
      <c r="AI154" s="7" t="e">
        <f t="shared" si="65"/>
        <v>#N/A</v>
      </c>
      <c r="AJ154" s="7" t="e">
        <f t="shared" si="66"/>
        <v>#N/A</v>
      </c>
      <c r="AK154" s="472" t="e">
        <f>VLOOKUP(AF154,'排出係数(2017)'!$A$4:$I$1151,7,FALSE)</f>
        <v>#N/A</v>
      </c>
      <c r="AL154" s="7" t="e">
        <f t="shared" si="67"/>
        <v>#N/A</v>
      </c>
      <c r="AM154" s="7" t="e">
        <f t="shared" si="68"/>
        <v>#N/A</v>
      </c>
      <c r="AN154" s="7" t="e">
        <f t="shared" si="69"/>
        <v>#N/A</v>
      </c>
      <c r="AO154" s="7">
        <f t="shared" si="70"/>
        <v>0</v>
      </c>
      <c r="AP154" s="7" t="e">
        <f t="shared" si="79"/>
        <v>#N/A</v>
      </c>
      <c r="AQ154" s="7" t="str">
        <f t="shared" si="71"/>
        <v/>
      </c>
      <c r="AR154" s="7" t="str">
        <f t="shared" si="72"/>
        <v/>
      </c>
      <c r="AS154" s="7" t="str">
        <f t="shared" si="73"/>
        <v/>
      </c>
      <c r="AT154" s="97"/>
      <c r="AZ154" s="477" t="s">
        <v>2520</v>
      </c>
      <c r="CF154" s="586" t="str">
        <f t="shared" si="80"/>
        <v/>
      </c>
      <c r="CG154"/>
      <c r="CH154"/>
    </row>
    <row r="155" spans="1:86" s="13" customFormat="1" ht="13.75" customHeight="1">
      <c r="A155" s="137">
        <v>140</v>
      </c>
      <c r="B155" s="138"/>
      <c r="C155" s="139"/>
      <c r="D155" s="140"/>
      <c r="E155" s="139"/>
      <c r="F155" s="139"/>
      <c r="G155" s="191"/>
      <c r="H155" s="139"/>
      <c r="I155" s="141"/>
      <c r="J155" s="142"/>
      <c r="K155" s="139"/>
      <c r="L155" s="147"/>
      <c r="M155" s="148"/>
      <c r="N155" s="583"/>
      <c r="O155" s="229" t="str">
        <f t="shared" si="74"/>
        <v/>
      </c>
      <c r="P155" s="229" t="str">
        <f t="shared" si="75"/>
        <v/>
      </c>
      <c r="Q155" s="230" t="str">
        <f t="shared" si="76"/>
        <v/>
      </c>
      <c r="R155" s="323" t="str">
        <f t="shared" si="77"/>
        <v/>
      </c>
      <c r="S155" s="350"/>
      <c r="T155" s="43"/>
      <c r="U155" s="347" t="str">
        <f t="shared" si="54"/>
        <v/>
      </c>
      <c r="V155" s="7" t="e">
        <f t="shared" si="55"/>
        <v>#N/A</v>
      </c>
      <c r="W155" s="7" t="e">
        <f t="shared" si="56"/>
        <v>#N/A</v>
      </c>
      <c r="X155" s="7" t="e">
        <f t="shared" si="57"/>
        <v>#N/A</v>
      </c>
      <c r="Y155" s="7" t="str">
        <f t="shared" si="58"/>
        <v/>
      </c>
      <c r="Z155" s="11">
        <f t="shared" si="59"/>
        <v>1</v>
      </c>
      <c r="AA155" s="7" t="e">
        <f t="shared" si="60"/>
        <v>#N/A</v>
      </c>
      <c r="AB155" s="7" t="e">
        <f t="shared" si="61"/>
        <v>#N/A</v>
      </c>
      <c r="AC155" s="7" t="e">
        <f t="shared" si="62"/>
        <v>#N/A</v>
      </c>
      <c r="AD155" s="472" t="e">
        <f>VLOOKUP(AF155,'排出係数(2017)'!$A$4:$I$1151,9,FALSE)</f>
        <v>#N/A</v>
      </c>
      <c r="AE155" s="12" t="str">
        <f t="shared" si="63"/>
        <v xml:space="preserve"> </v>
      </c>
      <c r="AF155" s="7" t="e">
        <f t="shared" si="78"/>
        <v>#N/A</v>
      </c>
      <c r="AG155" s="7" t="e">
        <f t="shared" si="64"/>
        <v>#N/A</v>
      </c>
      <c r="AH155" s="472" t="e">
        <f>VLOOKUP(AF155,'排出係数(2017)'!$A$4:$I$1151,6,FALSE)</f>
        <v>#N/A</v>
      </c>
      <c r="AI155" s="7" t="e">
        <f t="shared" si="65"/>
        <v>#N/A</v>
      </c>
      <c r="AJ155" s="7" t="e">
        <f t="shared" si="66"/>
        <v>#N/A</v>
      </c>
      <c r="AK155" s="472" t="e">
        <f>VLOOKUP(AF155,'排出係数(2017)'!$A$4:$I$1151,7,FALSE)</f>
        <v>#N/A</v>
      </c>
      <c r="AL155" s="7" t="e">
        <f t="shared" si="67"/>
        <v>#N/A</v>
      </c>
      <c r="AM155" s="7" t="e">
        <f t="shared" si="68"/>
        <v>#N/A</v>
      </c>
      <c r="AN155" s="7" t="e">
        <f t="shared" si="69"/>
        <v>#N/A</v>
      </c>
      <c r="AO155" s="7">
        <f t="shared" si="70"/>
        <v>0</v>
      </c>
      <c r="AP155" s="7" t="e">
        <f t="shared" si="79"/>
        <v>#N/A</v>
      </c>
      <c r="AQ155" s="7" t="str">
        <f t="shared" si="71"/>
        <v/>
      </c>
      <c r="AR155" s="7" t="str">
        <f t="shared" si="72"/>
        <v/>
      </c>
      <c r="AS155" s="7" t="str">
        <f t="shared" si="73"/>
        <v/>
      </c>
      <c r="AT155" s="97"/>
      <c r="AZ155" s="477" t="s">
        <v>1510</v>
      </c>
      <c r="CF155" s="586" t="str">
        <f t="shared" si="80"/>
        <v/>
      </c>
      <c r="CG155"/>
      <c r="CH155"/>
    </row>
    <row r="156" spans="1:86" s="13" customFormat="1" ht="13.75" customHeight="1">
      <c r="A156" s="137">
        <v>141</v>
      </c>
      <c r="B156" s="138"/>
      <c r="C156" s="139"/>
      <c r="D156" s="140"/>
      <c r="E156" s="139"/>
      <c r="F156" s="139"/>
      <c r="G156" s="191"/>
      <c r="H156" s="139"/>
      <c r="I156" s="141"/>
      <c r="J156" s="142"/>
      <c r="K156" s="139"/>
      <c r="L156" s="147"/>
      <c r="M156" s="148"/>
      <c r="N156" s="583"/>
      <c r="O156" s="229" t="str">
        <f t="shared" si="74"/>
        <v/>
      </c>
      <c r="P156" s="229" t="str">
        <f t="shared" si="75"/>
        <v/>
      </c>
      <c r="Q156" s="230" t="str">
        <f t="shared" si="76"/>
        <v/>
      </c>
      <c r="R156" s="323" t="str">
        <f t="shared" si="77"/>
        <v/>
      </c>
      <c r="S156" s="350"/>
      <c r="T156" s="43"/>
      <c r="U156" s="347" t="str">
        <f t="shared" si="54"/>
        <v/>
      </c>
      <c r="V156" s="7" t="e">
        <f t="shared" si="55"/>
        <v>#N/A</v>
      </c>
      <c r="W156" s="7" t="e">
        <f t="shared" si="56"/>
        <v>#N/A</v>
      </c>
      <c r="X156" s="7" t="e">
        <f t="shared" si="57"/>
        <v>#N/A</v>
      </c>
      <c r="Y156" s="7" t="str">
        <f t="shared" si="58"/>
        <v/>
      </c>
      <c r="Z156" s="11">
        <f t="shared" si="59"/>
        <v>1</v>
      </c>
      <c r="AA156" s="7" t="e">
        <f t="shared" si="60"/>
        <v>#N/A</v>
      </c>
      <c r="AB156" s="7" t="e">
        <f t="shared" si="61"/>
        <v>#N/A</v>
      </c>
      <c r="AC156" s="7" t="e">
        <f t="shared" si="62"/>
        <v>#N/A</v>
      </c>
      <c r="AD156" s="472" t="e">
        <f>VLOOKUP(AF156,'排出係数(2017)'!$A$4:$I$1151,9,FALSE)</f>
        <v>#N/A</v>
      </c>
      <c r="AE156" s="12" t="str">
        <f t="shared" si="63"/>
        <v xml:space="preserve"> </v>
      </c>
      <c r="AF156" s="7" t="e">
        <f t="shared" si="78"/>
        <v>#N/A</v>
      </c>
      <c r="AG156" s="7" t="e">
        <f t="shared" si="64"/>
        <v>#N/A</v>
      </c>
      <c r="AH156" s="472" t="e">
        <f>VLOOKUP(AF156,'排出係数(2017)'!$A$4:$I$1151,6,FALSE)</f>
        <v>#N/A</v>
      </c>
      <c r="AI156" s="7" t="e">
        <f t="shared" si="65"/>
        <v>#N/A</v>
      </c>
      <c r="AJ156" s="7" t="e">
        <f t="shared" si="66"/>
        <v>#N/A</v>
      </c>
      <c r="AK156" s="472" t="e">
        <f>VLOOKUP(AF156,'排出係数(2017)'!$A$4:$I$1151,7,FALSE)</f>
        <v>#N/A</v>
      </c>
      <c r="AL156" s="7" t="e">
        <f t="shared" si="67"/>
        <v>#N/A</v>
      </c>
      <c r="AM156" s="7" t="e">
        <f t="shared" si="68"/>
        <v>#N/A</v>
      </c>
      <c r="AN156" s="7" t="e">
        <f t="shared" si="69"/>
        <v>#N/A</v>
      </c>
      <c r="AO156" s="7">
        <f t="shared" si="70"/>
        <v>0</v>
      </c>
      <c r="AP156" s="7" t="e">
        <f t="shared" si="79"/>
        <v>#N/A</v>
      </c>
      <c r="AQ156" s="7" t="str">
        <f t="shared" si="71"/>
        <v/>
      </c>
      <c r="AR156" s="7" t="str">
        <f t="shared" si="72"/>
        <v/>
      </c>
      <c r="AS156" s="7" t="str">
        <f t="shared" si="73"/>
        <v/>
      </c>
      <c r="AT156" s="97"/>
      <c r="AZ156" s="477" t="s">
        <v>1566</v>
      </c>
      <c r="CF156" s="586" t="str">
        <f t="shared" si="80"/>
        <v/>
      </c>
      <c r="CG156"/>
      <c r="CH156"/>
    </row>
    <row r="157" spans="1:86" s="13" customFormat="1" ht="13.75" customHeight="1">
      <c r="A157" s="137">
        <v>142</v>
      </c>
      <c r="B157" s="138"/>
      <c r="C157" s="139"/>
      <c r="D157" s="140"/>
      <c r="E157" s="139"/>
      <c r="F157" s="139"/>
      <c r="G157" s="191"/>
      <c r="H157" s="139"/>
      <c r="I157" s="141"/>
      <c r="J157" s="142"/>
      <c r="K157" s="139"/>
      <c r="L157" s="147"/>
      <c r="M157" s="148"/>
      <c r="N157" s="583"/>
      <c r="O157" s="229" t="str">
        <f t="shared" si="74"/>
        <v/>
      </c>
      <c r="P157" s="229" t="str">
        <f t="shared" si="75"/>
        <v/>
      </c>
      <c r="Q157" s="230" t="str">
        <f t="shared" si="76"/>
        <v/>
      </c>
      <c r="R157" s="323" t="str">
        <f t="shared" si="77"/>
        <v/>
      </c>
      <c r="S157" s="350"/>
      <c r="T157" s="43"/>
      <c r="U157" s="347" t="str">
        <f t="shared" si="54"/>
        <v/>
      </c>
      <c r="V157" s="7" t="e">
        <f t="shared" si="55"/>
        <v>#N/A</v>
      </c>
      <c r="W157" s="7" t="e">
        <f t="shared" si="56"/>
        <v>#N/A</v>
      </c>
      <c r="X157" s="7" t="e">
        <f t="shared" si="57"/>
        <v>#N/A</v>
      </c>
      <c r="Y157" s="7" t="str">
        <f t="shared" si="58"/>
        <v/>
      </c>
      <c r="Z157" s="11">
        <f t="shared" si="59"/>
        <v>1</v>
      </c>
      <c r="AA157" s="7" t="e">
        <f t="shared" si="60"/>
        <v>#N/A</v>
      </c>
      <c r="AB157" s="7" t="e">
        <f t="shared" si="61"/>
        <v>#N/A</v>
      </c>
      <c r="AC157" s="7" t="e">
        <f t="shared" si="62"/>
        <v>#N/A</v>
      </c>
      <c r="AD157" s="472" t="e">
        <f>VLOOKUP(AF157,'排出係数(2017)'!$A$4:$I$1151,9,FALSE)</f>
        <v>#N/A</v>
      </c>
      <c r="AE157" s="12" t="str">
        <f t="shared" si="63"/>
        <v xml:space="preserve"> </v>
      </c>
      <c r="AF157" s="7" t="e">
        <f t="shared" si="78"/>
        <v>#N/A</v>
      </c>
      <c r="AG157" s="7" t="e">
        <f t="shared" si="64"/>
        <v>#N/A</v>
      </c>
      <c r="AH157" s="472" t="e">
        <f>VLOOKUP(AF157,'排出係数(2017)'!$A$4:$I$1151,6,FALSE)</f>
        <v>#N/A</v>
      </c>
      <c r="AI157" s="7" t="e">
        <f t="shared" si="65"/>
        <v>#N/A</v>
      </c>
      <c r="AJ157" s="7" t="e">
        <f t="shared" si="66"/>
        <v>#N/A</v>
      </c>
      <c r="AK157" s="472" t="e">
        <f>VLOOKUP(AF157,'排出係数(2017)'!$A$4:$I$1151,7,FALSE)</f>
        <v>#N/A</v>
      </c>
      <c r="AL157" s="7" t="e">
        <f t="shared" si="67"/>
        <v>#N/A</v>
      </c>
      <c r="AM157" s="7" t="e">
        <f t="shared" si="68"/>
        <v>#N/A</v>
      </c>
      <c r="AN157" s="7" t="e">
        <f t="shared" si="69"/>
        <v>#N/A</v>
      </c>
      <c r="AO157" s="7">
        <f t="shared" si="70"/>
        <v>0</v>
      </c>
      <c r="AP157" s="7" t="e">
        <f t="shared" si="79"/>
        <v>#N/A</v>
      </c>
      <c r="AQ157" s="7" t="str">
        <f t="shared" si="71"/>
        <v/>
      </c>
      <c r="AR157" s="7" t="str">
        <f t="shared" si="72"/>
        <v/>
      </c>
      <c r="AS157" s="7" t="str">
        <f t="shared" si="73"/>
        <v/>
      </c>
      <c r="AT157" s="97"/>
      <c r="AZ157" s="477" t="s">
        <v>1568</v>
      </c>
      <c r="CF157" s="586" t="str">
        <f t="shared" si="80"/>
        <v/>
      </c>
      <c r="CG157"/>
      <c r="CH157"/>
    </row>
    <row r="158" spans="1:86" s="13" customFormat="1" ht="13.75" customHeight="1">
      <c r="A158" s="137">
        <v>143</v>
      </c>
      <c r="B158" s="138"/>
      <c r="C158" s="139"/>
      <c r="D158" s="140"/>
      <c r="E158" s="139"/>
      <c r="F158" s="139"/>
      <c r="G158" s="191"/>
      <c r="H158" s="139"/>
      <c r="I158" s="141"/>
      <c r="J158" s="142"/>
      <c r="K158" s="139"/>
      <c r="L158" s="147"/>
      <c r="M158" s="148"/>
      <c r="N158" s="583"/>
      <c r="O158" s="229" t="str">
        <f t="shared" si="74"/>
        <v/>
      </c>
      <c r="P158" s="229" t="str">
        <f t="shared" si="75"/>
        <v/>
      </c>
      <c r="Q158" s="230" t="str">
        <f t="shared" si="76"/>
        <v/>
      </c>
      <c r="R158" s="323" t="str">
        <f t="shared" si="77"/>
        <v/>
      </c>
      <c r="S158" s="350"/>
      <c r="T158" s="43"/>
      <c r="U158" s="347" t="str">
        <f t="shared" si="54"/>
        <v/>
      </c>
      <c r="V158" s="7" t="e">
        <f t="shared" si="55"/>
        <v>#N/A</v>
      </c>
      <c r="W158" s="7" t="e">
        <f t="shared" si="56"/>
        <v>#N/A</v>
      </c>
      <c r="X158" s="7" t="e">
        <f t="shared" si="57"/>
        <v>#N/A</v>
      </c>
      <c r="Y158" s="7" t="str">
        <f t="shared" si="58"/>
        <v/>
      </c>
      <c r="Z158" s="11">
        <f t="shared" si="59"/>
        <v>1</v>
      </c>
      <c r="AA158" s="7" t="e">
        <f t="shared" si="60"/>
        <v>#N/A</v>
      </c>
      <c r="AB158" s="7" t="e">
        <f t="shared" si="61"/>
        <v>#N/A</v>
      </c>
      <c r="AC158" s="7" t="e">
        <f t="shared" si="62"/>
        <v>#N/A</v>
      </c>
      <c r="AD158" s="472" t="e">
        <f>VLOOKUP(AF158,'排出係数(2017)'!$A$4:$I$1151,9,FALSE)</f>
        <v>#N/A</v>
      </c>
      <c r="AE158" s="12" t="str">
        <f t="shared" si="63"/>
        <v xml:space="preserve"> </v>
      </c>
      <c r="AF158" s="7" t="e">
        <f t="shared" si="78"/>
        <v>#N/A</v>
      </c>
      <c r="AG158" s="7" t="e">
        <f t="shared" si="64"/>
        <v>#N/A</v>
      </c>
      <c r="AH158" s="472" t="e">
        <f>VLOOKUP(AF158,'排出係数(2017)'!$A$4:$I$1151,6,FALSE)</f>
        <v>#N/A</v>
      </c>
      <c r="AI158" s="7" t="e">
        <f t="shared" si="65"/>
        <v>#N/A</v>
      </c>
      <c r="AJ158" s="7" t="e">
        <f t="shared" si="66"/>
        <v>#N/A</v>
      </c>
      <c r="AK158" s="472" t="e">
        <f>VLOOKUP(AF158,'排出係数(2017)'!$A$4:$I$1151,7,FALSE)</f>
        <v>#N/A</v>
      </c>
      <c r="AL158" s="7" t="e">
        <f t="shared" si="67"/>
        <v>#N/A</v>
      </c>
      <c r="AM158" s="7" t="e">
        <f t="shared" si="68"/>
        <v>#N/A</v>
      </c>
      <c r="AN158" s="7" t="e">
        <f t="shared" si="69"/>
        <v>#N/A</v>
      </c>
      <c r="AO158" s="7">
        <f t="shared" si="70"/>
        <v>0</v>
      </c>
      <c r="AP158" s="7" t="e">
        <f t="shared" si="79"/>
        <v>#N/A</v>
      </c>
      <c r="AQ158" s="7" t="str">
        <f t="shared" si="71"/>
        <v/>
      </c>
      <c r="AR158" s="7" t="str">
        <f t="shared" si="72"/>
        <v/>
      </c>
      <c r="AS158" s="7" t="str">
        <f t="shared" si="73"/>
        <v/>
      </c>
      <c r="AT158" s="97"/>
      <c r="AZ158" s="477" t="s">
        <v>2521</v>
      </c>
      <c r="CF158" s="586" t="str">
        <f t="shared" si="80"/>
        <v/>
      </c>
      <c r="CG158"/>
      <c r="CH158"/>
    </row>
    <row r="159" spans="1:86" s="13" customFormat="1" ht="13.75" customHeight="1">
      <c r="A159" s="137">
        <v>144</v>
      </c>
      <c r="B159" s="138"/>
      <c r="C159" s="139"/>
      <c r="D159" s="140"/>
      <c r="E159" s="139"/>
      <c r="F159" s="139"/>
      <c r="G159" s="191"/>
      <c r="H159" s="139"/>
      <c r="I159" s="141"/>
      <c r="J159" s="142"/>
      <c r="K159" s="139"/>
      <c r="L159" s="147"/>
      <c r="M159" s="148"/>
      <c r="N159" s="583"/>
      <c r="O159" s="229" t="str">
        <f t="shared" si="74"/>
        <v/>
      </c>
      <c r="P159" s="229" t="str">
        <f t="shared" si="75"/>
        <v/>
      </c>
      <c r="Q159" s="230" t="str">
        <f t="shared" si="76"/>
        <v/>
      </c>
      <c r="R159" s="323" t="str">
        <f t="shared" si="77"/>
        <v/>
      </c>
      <c r="S159" s="350"/>
      <c r="T159" s="43"/>
      <c r="U159" s="347" t="str">
        <f t="shared" si="54"/>
        <v/>
      </c>
      <c r="V159" s="7" t="e">
        <f t="shared" si="55"/>
        <v>#N/A</v>
      </c>
      <c r="W159" s="7" t="e">
        <f t="shared" si="56"/>
        <v>#N/A</v>
      </c>
      <c r="X159" s="7" t="e">
        <f t="shared" si="57"/>
        <v>#N/A</v>
      </c>
      <c r="Y159" s="7" t="str">
        <f t="shared" si="58"/>
        <v/>
      </c>
      <c r="Z159" s="11">
        <f t="shared" si="59"/>
        <v>1</v>
      </c>
      <c r="AA159" s="7" t="e">
        <f t="shared" si="60"/>
        <v>#N/A</v>
      </c>
      <c r="AB159" s="7" t="e">
        <f t="shared" si="61"/>
        <v>#N/A</v>
      </c>
      <c r="AC159" s="7" t="e">
        <f t="shared" si="62"/>
        <v>#N/A</v>
      </c>
      <c r="AD159" s="472" t="e">
        <f>VLOOKUP(AF159,'排出係数(2017)'!$A$4:$I$1151,9,FALSE)</f>
        <v>#N/A</v>
      </c>
      <c r="AE159" s="12" t="str">
        <f t="shared" si="63"/>
        <v xml:space="preserve"> </v>
      </c>
      <c r="AF159" s="7" t="e">
        <f t="shared" si="78"/>
        <v>#N/A</v>
      </c>
      <c r="AG159" s="7" t="e">
        <f t="shared" si="64"/>
        <v>#N/A</v>
      </c>
      <c r="AH159" s="472" t="e">
        <f>VLOOKUP(AF159,'排出係数(2017)'!$A$4:$I$1151,6,FALSE)</f>
        <v>#N/A</v>
      </c>
      <c r="AI159" s="7" t="e">
        <f t="shared" si="65"/>
        <v>#N/A</v>
      </c>
      <c r="AJ159" s="7" t="e">
        <f t="shared" si="66"/>
        <v>#N/A</v>
      </c>
      <c r="AK159" s="472" t="e">
        <f>VLOOKUP(AF159,'排出係数(2017)'!$A$4:$I$1151,7,FALSE)</f>
        <v>#N/A</v>
      </c>
      <c r="AL159" s="7" t="e">
        <f t="shared" si="67"/>
        <v>#N/A</v>
      </c>
      <c r="AM159" s="7" t="e">
        <f t="shared" si="68"/>
        <v>#N/A</v>
      </c>
      <c r="AN159" s="7" t="e">
        <f t="shared" si="69"/>
        <v>#N/A</v>
      </c>
      <c r="AO159" s="7">
        <f t="shared" si="70"/>
        <v>0</v>
      </c>
      <c r="AP159" s="7" t="e">
        <f t="shared" si="79"/>
        <v>#N/A</v>
      </c>
      <c r="AQ159" s="7" t="str">
        <f t="shared" si="71"/>
        <v/>
      </c>
      <c r="AR159" s="7" t="str">
        <f t="shared" si="72"/>
        <v/>
      </c>
      <c r="AS159" s="7" t="str">
        <f t="shared" si="73"/>
        <v/>
      </c>
      <c r="AT159" s="97"/>
      <c r="AZ159" s="477" t="s">
        <v>2522</v>
      </c>
      <c r="CF159" s="586" t="str">
        <f t="shared" si="80"/>
        <v/>
      </c>
      <c r="CG159"/>
      <c r="CH159"/>
    </row>
    <row r="160" spans="1:86" s="13" customFormat="1" ht="13.75" customHeight="1">
      <c r="A160" s="137">
        <v>145</v>
      </c>
      <c r="B160" s="138"/>
      <c r="C160" s="139"/>
      <c r="D160" s="140"/>
      <c r="E160" s="139"/>
      <c r="F160" s="139"/>
      <c r="G160" s="191"/>
      <c r="H160" s="139"/>
      <c r="I160" s="141"/>
      <c r="J160" s="142"/>
      <c r="K160" s="139"/>
      <c r="L160" s="147"/>
      <c r="M160" s="148"/>
      <c r="N160" s="583"/>
      <c r="O160" s="229" t="str">
        <f t="shared" si="74"/>
        <v/>
      </c>
      <c r="P160" s="229" t="str">
        <f t="shared" si="75"/>
        <v/>
      </c>
      <c r="Q160" s="230" t="str">
        <f t="shared" si="76"/>
        <v/>
      </c>
      <c r="R160" s="323" t="str">
        <f t="shared" si="77"/>
        <v/>
      </c>
      <c r="S160" s="350"/>
      <c r="T160" s="43"/>
      <c r="U160" s="347" t="str">
        <f t="shared" si="54"/>
        <v/>
      </c>
      <c r="V160" s="7" t="e">
        <f t="shared" si="55"/>
        <v>#N/A</v>
      </c>
      <c r="W160" s="7" t="e">
        <f t="shared" si="56"/>
        <v>#N/A</v>
      </c>
      <c r="X160" s="7" t="e">
        <f t="shared" si="57"/>
        <v>#N/A</v>
      </c>
      <c r="Y160" s="7" t="str">
        <f t="shared" si="58"/>
        <v/>
      </c>
      <c r="Z160" s="11">
        <f t="shared" si="59"/>
        <v>1</v>
      </c>
      <c r="AA160" s="7" t="e">
        <f t="shared" si="60"/>
        <v>#N/A</v>
      </c>
      <c r="AB160" s="7" t="e">
        <f t="shared" si="61"/>
        <v>#N/A</v>
      </c>
      <c r="AC160" s="7" t="e">
        <f t="shared" si="62"/>
        <v>#N/A</v>
      </c>
      <c r="AD160" s="472" t="e">
        <f>VLOOKUP(AF160,'排出係数(2017)'!$A$4:$I$1151,9,FALSE)</f>
        <v>#N/A</v>
      </c>
      <c r="AE160" s="12" t="str">
        <f t="shared" si="63"/>
        <v xml:space="preserve"> </v>
      </c>
      <c r="AF160" s="7" t="e">
        <f t="shared" si="78"/>
        <v>#N/A</v>
      </c>
      <c r="AG160" s="7" t="e">
        <f t="shared" si="64"/>
        <v>#N/A</v>
      </c>
      <c r="AH160" s="472" t="e">
        <f>VLOOKUP(AF160,'排出係数(2017)'!$A$4:$I$1151,6,FALSE)</f>
        <v>#N/A</v>
      </c>
      <c r="AI160" s="7" t="e">
        <f t="shared" si="65"/>
        <v>#N/A</v>
      </c>
      <c r="AJ160" s="7" t="e">
        <f t="shared" si="66"/>
        <v>#N/A</v>
      </c>
      <c r="AK160" s="472" t="e">
        <f>VLOOKUP(AF160,'排出係数(2017)'!$A$4:$I$1151,7,FALSE)</f>
        <v>#N/A</v>
      </c>
      <c r="AL160" s="7" t="e">
        <f t="shared" si="67"/>
        <v>#N/A</v>
      </c>
      <c r="AM160" s="7" t="e">
        <f t="shared" si="68"/>
        <v>#N/A</v>
      </c>
      <c r="AN160" s="7" t="e">
        <f t="shared" si="69"/>
        <v>#N/A</v>
      </c>
      <c r="AO160" s="7">
        <f t="shared" si="70"/>
        <v>0</v>
      </c>
      <c r="AP160" s="7" t="e">
        <f t="shared" si="79"/>
        <v>#N/A</v>
      </c>
      <c r="AQ160" s="7" t="str">
        <f t="shared" si="71"/>
        <v/>
      </c>
      <c r="AR160" s="7" t="str">
        <f t="shared" si="72"/>
        <v/>
      </c>
      <c r="AS160" s="7" t="str">
        <f t="shared" si="73"/>
        <v/>
      </c>
      <c r="AT160" s="97"/>
      <c r="AZ160" s="477" t="s">
        <v>693</v>
      </c>
      <c r="CF160" s="586" t="str">
        <f t="shared" si="80"/>
        <v/>
      </c>
      <c r="CG160"/>
      <c r="CH160"/>
    </row>
    <row r="161" spans="1:86" s="13" customFormat="1" ht="13.75" customHeight="1">
      <c r="A161" s="137">
        <v>146</v>
      </c>
      <c r="B161" s="138"/>
      <c r="C161" s="139"/>
      <c r="D161" s="140"/>
      <c r="E161" s="139"/>
      <c r="F161" s="139"/>
      <c r="G161" s="191"/>
      <c r="H161" s="139"/>
      <c r="I161" s="141"/>
      <c r="J161" s="142"/>
      <c r="K161" s="139"/>
      <c r="L161" s="147"/>
      <c r="M161" s="148"/>
      <c r="N161" s="583"/>
      <c r="O161" s="229" t="str">
        <f t="shared" si="74"/>
        <v/>
      </c>
      <c r="P161" s="229" t="str">
        <f t="shared" si="75"/>
        <v/>
      </c>
      <c r="Q161" s="230" t="str">
        <f t="shared" si="76"/>
        <v/>
      </c>
      <c r="R161" s="323" t="str">
        <f t="shared" si="77"/>
        <v/>
      </c>
      <c r="S161" s="350"/>
      <c r="T161" s="43"/>
      <c r="U161" s="347" t="str">
        <f t="shared" si="54"/>
        <v/>
      </c>
      <c r="V161" s="7" t="e">
        <f t="shared" si="55"/>
        <v>#N/A</v>
      </c>
      <c r="W161" s="7" t="e">
        <f t="shared" si="56"/>
        <v>#N/A</v>
      </c>
      <c r="X161" s="7" t="e">
        <f t="shared" si="57"/>
        <v>#N/A</v>
      </c>
      <c r="Y161" s="7" t="str">
        <f t="shared" si="58"/>
        <v/>
      </c>
      <c r="Z161" s="11">
        <f t="shared" si="59"/>
        <v>1</v>
      </c>
      <c r="AA161" s="7" t="e">
        <f t="shared" si="60"/>
        <v>#N/A</v>
      </c>
      <c r="AB161" s="7" t="e">
        <f t="shared" si="61"/>
        <v>#N/A</v>
      </c>
      <c r="AC161" s="7" t="e">
        <f t="shared" si="62"/>
        <v>#N/A</v>
      </c>
      <c r="AD161" s="472" t="e">
        <f>VLOOKUP(AF161,'排出係数(2017)'!$A$4:$I$1151,9,FALSE)</f>
        <v>#N/A</v>
      </c>
      <c r="AE161" s="12" t="str">
        <f t="shared" si="63"/>
        <v xml:space="preserve"> </v>
      </c>
      <c r="AF161" s="7" t="e">
        <f t="shared" si="78"/>
        <v>#N/A</v>
      </c>
      <c r="AG161" s="7" t="e">
        <f t="shared" si="64"/>
        <v>#N/A</v>
      </c>
      <c r="AH161" s="472" t="e">
        <f>VLOOKUP(AF161,'排出係数(2017)'!$A$4:$I$1151,6,FALSE)</f>
        <v>#N/A</v>
      </c>
      <c r="AI161" s="7" t="e">
        <f t="shared" si="65"/>
        <v>#N/A</v>
      </c>
      <c r="AJ161" s="7" t="e">
        <f t="shared" si="66"/>
        <v>#N/A</v>
      </c>
      <c r="AK161" s="472" t="e">
        <f>VLOOKUP(AF161,'排出係数(2017)'!$A$4:$I$1151,7,FALSE)</f>
        <v>#N/A</v>
      </c>
      <c r="AL161" s="7" t="e">
        <f t="shared" si="67"/>
        <v>#N/A</v>
      </c>
      <c r="AM161" s="7" t="e">
        <f t="shared" si="68"/>
        <v>#N/A</v>
      </c>
      <c r="AN161" s="7" t="e">
        <f t="shared" si="69"/>
        <v>#N/A</v>
      </c>
      <c r="AO161" s="7">
        <f t="shared" si="70"/>
        <v>0</v>
      </c>
      <c r="AP161" s="7" t="e">
        <f t="shared" si="79"/>
        <v>#N/A</v>
      </c>
      <c r="AQ161" s="7" t="str">
        <f t="shared" si="71"/>
        <v/>
      </c>
      <c r="AR161" s="7" t="str">
        <f t="shared" si="72"/>
        <v/>
      </c>
      <c r="AS161" s="7" t="str">
        <f t="shared" si="73"/>
        <v/>
      </c>
      <c r="AT161" s="97"/>
      <c r="AZ161" s="477" t="s">
        <v>697</v>
      </c>
      <c r="CF161" s="586" t="str">
        <f t="shared" si="80"/>
        <v/>
      </c>
      <c r="CG161"/>
      <c r="CH161"/>
    </row>
    <row r="162" spans="1:86" s="13" customFormat="1" ht="13.75" customHeight="1">
      <c r="A162" s="137">
        <v>147</v>
      </c>
      <c r="B162" s="138"/>
      <c r="C162" s="139"/>
      <c r="D162" s="140"/>
      <c r="E162" s="139"/>
      <c r="F162" s="139"/>
      <c r="G162" s="191"/>
      <c r="H162" s="139"/>
      <c r="I162" s="141"/>
      <c r="J162" s="142"/>
      <c r="K162" s="139"/>
      <c r="L162" s="147"/>
      <c r="M162" s="148"/>
      <c r="N162" s="583"/>
      <c r="O162" s="229" t="str">
        <f t="shared" si="74"/>
        <v/>
      </c>
      <c r="P162" s="229" t="str">
        <f t="shared" si="75"/>
        <v/>
      </c>
      <c r="Q162" s="230" t="str">
        <f t="shared" si="76"/>
        <v/>
      </c>
      <c r="R162" s="323" t="str">
        <f t="shared" si="77"/>
        <v/>
      </c>
      <c r="S162" s="350"/>
      <c r="T162" s="43"/>
      <c r="U162" s="347" t="str">
        <f t="shared" si="54"/>
        <v/>
      </c>
      <c r="V162" s="7" t="e">
        <f t="shared" si="55"/>
        <v>#N/A</v>
      </c>
      <c r="W162" s="7" t="e">
        <f t="shared" si="56"/>
        <v>#N/A</v>
      </c>
      <c r="X162" s="7" t="e">
        <f t="shared" si="57"/>
        <v>#N/A</v>
      </c>
      <c r="Y162" s="7" t="str">
        <f t="shared" si="58"/>
        <v/>
      </c>
      <c r="Z162" s="11">
        <f t="shared" si="59"/>
        <v>1</v>
      </c>
      <c r="AA162" s="7" t="e">
        <f t="shared" si="60"/>
        <v>#N/A</v>
      </c>
      <c r="AB162" s="7" t="e">
        <f t="shared" si="61"/>
        <v>#N/A</v>
      </c>
      <c r="AC162" s="7" t="e">
        <f t="shared" si="62"/>
        <v>#N/A</v>
      </c>
      <c r="AD162" s="472" t="e">
        <f>VLOOKUP(AF162,'排出係数(2017)'!$A$4:$I$1151,9,FALSE)</f>
        <v>#N/A</v>
      </c>
      <c r="AE162" s="12" t="str">
        <f t="shared" si="63"/>
        <v xml:space="preserve"> </v>
      </c>
      <c r="AF162" s="7" t="e">
        <f t="shared" si="78"/>
        <v>#N/A</v>
      </c>
      <c r="AG162" s="7" t="e">
        <f t="shared" si="64"/>
        <v>#N/A</v>
      </c>
      <c r="AH162" s="472" t="e">
        <f>VLOOKUP(AF162,'排出係数(2017)'!$A$4:$I$1151,6,FALSE)</f>
        <v>#N/A</v>
      </c>
      <c r="AI162" s="7" t="e">
        <f t="shared" si="65"/>
        <v>#N/A</v>
      </c>
      <c r="AJ162" s="7" t="e">
        <f t="shared" si="66"/>
        <v>#N/A</v>
      </c>
      <c r="AK162" s="472" t="e">
        <f>VLOOKUP(AF162,'排出係数(2017)'!$A$4:$I$1151,7,FALSE)</f>
        <v>#N/A</v>
      </c>
      <c r="AL162" s="7" t="e">
        <f t="shared" si="67"/>
        <v>#N/A</v>
      </c>
      <c r="AM162" s="7" t="e">
        <f t="shared" si="68"/>
        <v>#N/A</v>
      </c>
      <c r="AN162" s="7" t="e">
        <f t="shared" si="69"/>
        <v>#N/A</v>
      </c>
      <c r="AO162" s="7">
        <f t="shared" si="70"/>
        <v>0</v>
      </c>
      <c r="AP162" s="7" t="e">
        <f t="shared" si="79"/>
        <v>#N/A</v>
      </c>
      <c r="AQ162" s="7" t="str">
        <f t="shared" si="71"/>
        <v/>
      </c>
      <c r="AR162" s="7" t="str">
        <f t="shared" si="72"/>
        <v/>
      </c>
      <c r="AS162" s="7" t="str">
        <f t="shared" si="73"/>
        <v/>
      </c>
      <c r="AT162" s="97"/>
      <c r="AZ162" s="477" t="s">
        <v>701</v>
      </c>
      <c r="CF162" s="586" t="str">
        <f t="shared" si="80"/>
        <v/>
      </c>
      <c r="CG162"/>
      <c r="CH162"/>
    </row>
    <row r="163" spans="1:86" s="13" customFormat="1" ht="13.75" customHeight="1">
      <c r="A163" s="137">
        <v>148</v>
      </c>
      <c r="B163" s="138"/>
      <c r="C163" s="139"/>
      <c r="D163" s="140"/>
      <c r="E163" s="139"/>
      <c r="F163" s="139"/>
      <c r="G163" s="191"/>
      <c r="H163" s="139"/>
      <c r="I163" s="141"/>
      <c r="J163" s="142"/>
      <c r="K163" s="139"/>
      <c r="L163" s="147"/>
      <c r="M163" s="148"/>
      <c r="N163" s="583"/>
      <c r="O163" s="229" t="str">
        <f t="shared" si="74"/>
        <v/>
      </c>
      <c r="P163" s="229" t="str">
        <f t="shared" si="75"/>
        <v/>
      </c>
      <c r="Q163" s="230" t="str">
        <f t="shared" si="76"/>
        <v/>
      </c>
      <c r="R163" s="323" t="str">
        <f t="shared" si="77"/>
        <v/>
      </c>
      <c r="S163" s="350"/>
      <c r="T163" s="43"/>
      <c r="U163" s="347" t="str">
        <f t="shared" si="54"/>
        <v/>
      </c>
      <c r="V163" s="7" t="e">
        <f t="shared" si="55"/>
        <v>#N/A</v>
      </c>
      <c r="W163" s="7" t="e">
        <f t="shared" si="56"/>
        <v>#N/A</v>
      </c>
      <c r="X163" s="7" t="e">
        <f t="shared" si="57"/>
        <v>#N/A</v>
      </c>
      <c r="Y163" s="7" t="str">
        <f t="shared" si="58"/>
        <v/>
      </c>
      <c r="Z163" s="11">
        <f t="shared" si="59"/>
        <v>1</v>
      </c>
      <c r="AA163" s="7" t="e">
        <f t="shared" si="60"/>
        <v>#N/A</v>
      </c>
      <c r="AB163" s="7" t="e">
        <f t="shared" si="61"/>
        <v>#N/A</v>
      </c>
      <c r="AC163" s="7" t="e">
        <f t="shared" si="62"/>
        <v>#N/A</v>
      </c>
      <c r="AD163" s="472" t="e">
        <f>VLOOKUP(AF163,'排出係数(2017)'!$A$4:$I$1151,9,FALSE)</f>
        <v>#N/A</v>
      </c>
      <c r="AE163" s="12" t="str">
        <f t="shared" si="63"/>
        <v xml:space="preserve"> </v>
      </c>
      <c r="AF163" s="7" t="e">
        <f t="shared" si="78"/>
        <v>#N/A</v>
      </c>
      <c r="AG163" s="7" t="e">
        <f t="shared" si="64"/>
        <v>#N/A</v>
      </c>
      <c r="AH163" s="472" t="e">
        <f>VLOOKUP(AF163,'排出係数(2017)'!$A$4:$I$1151,6,FALSE)</f>
        <v>#N/A</v>
      </c>
      <c r="AI163" s="7" t="e">
        <f t="shared" si="65"/>
        <v>#N/A</v>
      </c>
      <c r="AJ163" s="7" t="e">
        <f t="shared" si="66"/>
        <v>#N/A</v>
      </c>
      <c r="AK163" s="472" t="e">
        <f>VLOOKUP(AF163,'排出係数(2017)'!$A$4:$I$1151,7,FALSE)</f>
        <v>#N/A</v>
      </c>
      <c r="AL163" s="7" t="e">
        <f t="shared" si="67"/>
        <v>#N/A</v>
      </c>
      <c r="AM163" s="7" t="e">
        <f t="shared" si="68"/>
        <v>#N/A</v>
      </c>
      <c r="AN163" s="7" t="e">
        <f t="shared" si="69"/>
        <v>#N/A</v>
      </c>
      <c r="AO163" s="7">
        <f t="shared" si="70"/>
        <v>0</v>
      </c>
      <c r="AP163" s="7" t="e">
        <f t="shared" si="79"/>
        <v>#N/A</v>
      </c>
      <c r="AQ163" s="7" t="str">
        <f t="shared" si="71"/>
        <v/>
      </c>
      <c r="AR163" s="7" t="str">
        <f t="shared" si="72"/>
        <v/>
      </c>
      <c r="AS163" s="7" t="str">
        <f t="shared" si="73"/>
        <v/>
      </c>
      <c r="AT163" s="97"/>
      <c r="AZ163" s="477" t="s">
        <v>916</v>
      </c>
      <c r="CF163" s="586" t="str">
        <f t="shared" si="80"/>
        <v/>
      </c>
      <c r="CG163"/>
      <c r="CH163"/>
    </row>
    <row r="164" spans="1:86" s="13" customFormat="1" ht="13.75" customHeight="1">
      <c r="A164" s="137">
        <v>149</v>
      </c>
      <c r="B164" s="138"/>
      <c r="C164" s="139"/>
      <c r="D164" s="140"/>
      <c r="E164" s="139"/>
      <c r="F164" s="139"/>
      <c r="G164" s="191"/>
      <c r="H164" s="139"/>
      <c r="I164" s="141"/>
      <c r="J164" s="142"/>
      <c r="K164" s="139"/>
      <c r="L164" s="147"/>
      <c r="M164" s="148"/>
      <c r="N164" s="583"/>
      <c r="O164" s="229" t="str">
        <f t="shared" si="74"/>
        <v/>
      </c>
      <c r="P164" s="229" t="str">
        <f t="shared" si="75"/>
        <v/>
      </c>
      <c r="Q164" s="230" t="str">
        <f t="shared" si="76"/>
        <v/>
      </c>
      <c r="R164" s="323" t="str">
        <f t="shared" si="77"/>
        <v/>
      </c>
      <c r="S164" s="350"/>
      <c r="T164" s="43"/>
      <c r="U164" s="347" t="str">
        <f t="shared" si="54"/>
        <v/>
      </c>
      <c r="V164" s="7" t="e">
        <f t="shared" si="55"/>
        <v>#N/A</v>
      </c>
      <c r="W164" s="7" t="e">
        <f t="shared" si="56"/>
        <v>#N/A</v>
      </c>
      <c r="X164" s="7" t="e">
        <f t="shared" si="57"/>
        <v>#N/A</v>
      </c>
      <c r="Y164" s="7" t="str">
        <f t="shared" si="58"/>
        <v/>
      </c>
      <c r="Z164" s="11">
        <f t="shared" si="59"/>
        <v>1</v>
      </c>
      <c r="AA164" s="7" t="e">
        <f t="shared" si="60"/>
        <v>#N/A</v>
      </c>
      <c r="AB164" s="7" t="e">
        <f t="shared" si="61"/>
        <v>#N/A</v>
      </c>
      <c r="AC164" s="7" t="e">
        <f t="shared" si="62"/>
        <v>#N/A</v>
      </c>
      <c r="AD164" s="472" t="e">
        <f>VLOOKUP(AF164,'排出係数(2017)'!$A$4:$I$1151,9,FALSE)</f>
        <v>#N/A</v>
      </c>
      <c r="AE164" s="12" t="str">
        <f t="shared" si="63"/>
        <v xml:space="preserve"> </v>
      </c>
      <c r="AF164" s="7" t="e">
        <f t="shared" si="78"/>
        <v>#N/A</v>
      </c>
      <c r="AG164" s="7" t="e">
        <f t="shared" si="64"/>
        <v>#N/A</v>
      </c>
      <c r="AH164" s="472" t="e">
        <f>VLOOKUP(AF164,'排出係数(2017)'!$A$4:$I$1151,6,FALSE)</f>
        <v>#N/A</v>
      </c>
      <c r="AI164" s="7" t="e">
        <f t="shared" si="65"/>
        <v>#N/A</v>
      </c>
      <c r="AJ164" s="7" t="e">
        <f t="shared" si="66"/>
        <v>#N/A</v>
      </c>
      <c r="AK164" s="472" t="e">
        <f>VLOOKUP(AF164,'排出係数(2017)'!$A$4:$I$1151,7,FALSE)</f>
        <v>#N/A</v>
      </c>
      <c r="AL164" s="7" t="e">
        <f t="shared" si="67"/>
        <v>#N/A</v>
      </c>
      <c r="AM164" s="7" t="e">
        <f t="shared" si="68"/>
        <v>#N/A</v>
      </c>
      <c r="AN164" s="7" t="e">
        <f t="shared" si="69"/>
        <v>#N/A</v>
      </c>
      <c r="AO164" s="7">
        <f t="shared" si="70"/>
        <v>0</v>
      </c>
      <c r="AP164" s="7" t="e">
        <f t="shared" si="79"/>
        <v>#N/A</v>
      </c>
      <c r="AQ164" s="7" t="str">
        <f t="shared" si="71"/>
        <v/>
      </c>
      <c r="AR164" s="7" t="str">
        <f t="shared" si="72"/>
        <v/>
      </c>
      <c r="AS164" s="7" t="str">
        <f t="shared" si="73"/>
        <v/>
      </c>
      <c r="AT164" s="97"/>
      <c r="AZ164" s="477" t="s">
        <v>920</v>
      </c>
      <c r="CF164" s="586" t="str">
        <f t="shared" si="80"/>
        <v/>
      </c>
      <c r="CG164"/>
      <c r="CH164"/>
    </row>
    <row r="165" spans="1:86" s="13" customFormat="1" ht="13.75" customHeight="1">
      <c r="A165" s="137">
        <v>150</v>
      </c>
      <c r="B165" s="138"/>
      <c r="C165" s="139"/>
      <c r="D165" s="140"/>
      <c r="E165" s="139"/>
      <c r="F165" s="139"/>
      <c r="G165" s="191"/>
      <c r="H165" s="139"/>
      <c r="I165" s="141"/>
      <c r="J165" s="142"/>
      <c r="K165" s="139"/>
      <c r="L165" s="147"/>
      <c r="M165" s="148"/>
      <c r="N165" s="583"/>
      <c r="O165" s="229" t="str">
        <f t="shared" si="74"/>
        <v/>
      </c>
      <c r="P165" s="229" t="str">
        <f t="shared" si="75"/>
        <v/>
      </c>
      <c r="Q165" s="230" t="str">
        <f t="shared" si="76"/>
        <v/>
      </c>
      <c r="R165" s="323" t="str">
        <f t="shared" si="77"/>
        <v/>
      </c>
      <c r="S165" s="350"/>
      <c r="T165" s="43"/>
      <c r="U165" s="347" t="str">
        <f t="shared" si="54"/>
        <v/>
      </c>
      <c r="V165" s="7" t="e">
        <f t="shared" si="55"/>
        <v>#N/A</v>
      </c>
      <c r="W165" s="7" t="e">
        <f t="shared" si="56"/>
        <v>#N/A</v>
      </c>
      <c r="X165" s="7" t="e">
        <f t="shared" si="57"/>
        <v>#N/A</v>
      </c>
      <c r="Y165" s="7" t="str">
        <f t="shared" si="58"/>
        <v/>
      </c>
      <c r="Z165" s="11">
        <f t="shared" si="59"/>
        <v>1</v>
      </c>
      <c r="AA165" s="7" t="e">
        <f t="shared" si="60"/>
        <v>#N/A</v>
      </c>
      <c r="AB165" s="7" t="e">
        <f t="shared" si="61"/>
        <v>#N/A</v>
      </c>
      <c r="AC165" s="7" t="e">
        <f t="shared" si="62"/>
        <v>#N/A</v>
      </c>
      <c r="AD165" s="472" t="e">
        <f>VLOOKUP(AF165,'排出係数(2017)'!$A$4:$I$1151,9,FALSE)</f>
        <v>#N/A</v>
      </c>
      <c r="AE165" s="12" t="str">
        <f t="shared" si="63"/>
        <v xml:space="preserve"> </v>
      </c>
      <c r="AF165" s="7" t="e">
        <f t="shared" si="78"/>
        <v>#N/A</v>
      </c>
      <c r="AG165" s="7" t="e">
        <f t="shared" si="64"/>
        <v>#N/A</v>
      </c>
      <c r="AH165" s="472" t="e">
        <f>VLOOKUP(AF165,'排出係数(2017)'!$A$4:$I$1151,6,FALSE)</f>
        <v>#N/A</v>
      </c>
      <c r="AI165" s="7" t="e">
        <f t="shared" si="65"/>
        <v>#N/A</v>
      </c>
      <c r="AJ165" s="7" t="e">
        <f t="shared" si="66"/>
        <v>#N/A</v>
      </c>
      <c r="AK165" s="472" t="e">
        <f>VLOOKUP(AF165,'排出係数(2017)'!$A$4:$I$1151,7,FALSE)</f>
        <v>#N/A</v>
      </c>
      <c r="AL165" s="7" t="e">
        <f t="shared" si="67"/>
        <v>#N/A</v>
      </c>
      <c r="AM165" s="7" t="e">
        <f t="shared" si="68"/>
        <v>#N/A</v>
      </c>
      <c r="AN165" s="7" t="e">
        <f t="shared" si="69"/>
        <v>#N/A</v>
      </c>
      <c r="AO165" s="7">
        <f t="shared" si="70"/>
        <v>0</v>
      </c>
      <c r="AP165" s="7" t="e">
        <f t="shared" si="79"/>
        <v>#N/A</v>
      </c>
      <c r="AQ165" s="7" t="str">
        <f t="shared" si="71"/>
        <v/>
      </c>
      <c r="AR165" s="7" t="str">
        <f t="shared" si="72"/>
        <v/>
      </c>
      <c r="AS165" s="7" t="str">
        <f t="shared" si="73"/>
        <v/>
      </c>
      <c r="AT165" s="97"/>
      <c r="AZ165" s="477" t="s">
        <v>924</v>
      </c>
      <c r="CF165" s="586" t="str">
        <f t="shared" si="80"/>
        <v/>
      </c>
      <c r="CG165"/>
      <c r="CH165"/>
    </row>
    <row r="166" spans="1:86" s="13" customFormat="1" ht="13.75" customHeight="1">
      <c r="A166" s="137">
        <v>151</v>
      </c>
      <c r="B166" s="138"/>
      <c r="C166" s="139"/>
      <c r="D166" s="140"/>
      <c r="E166" s="139"/>
      <c r="F166" s="139"/>
      <c r="G166" s="191"/>
      <c r="H166" s="139"/>
      <c r="I166" s="141"/>
      <c r="J166" s="142"/>
      <c r="K166" s="139"/>
      <c r="L166" s="147"/>
      <c r="M166" s="148"/>
      <c r="N166" s="583"/>
      <c r="O166" s="229" t="str">
        <f t="shared" si="74"/>
        <v/>
      </c>
      <c r="P166" s="229" t="str">
        <f t="shared" si="75"/>
        <v/>
      </c>
      <c r="Q166" s="230" t="str">
        <f t="shared" si="76"/>
        <v/>
      </c>
      <c r="R166" s="323" t="str">
        <f t="shared" si="77"/>
        <v/>
      </c>
      <c r="S166" s="350"/>
      <c r="T166" s="43"/>
      <c r="U166" s="347" t="str">
        <f t="shared" si="54"/>
        <v/>
      </c>
      <c r="V166" s="7" t="e">
        <f t="shared" si="55"/>
        <v>#N/A</v>
      </c>
      <c r="W166" s="7" t="e">
        <f t="shared" si="56"/>
        <v>#N/A</v>
      </c>
      <c r="X166" s="7" t="e">
        <f t="shared" si="57"/>
        <v>#N/A</v>
      </c>
      <c r="Y166" s="7" t="str">
        <f t="shared" si="58"/>
        <v/>
      </c>
      <c r="Z166" s="11">
        <f t="shared" si="59"/>
        <v>1</v>
      </c>
      <c r="AA166" s="7" t="e">
        <f t="shared" si="60"/>
        <v>#N/A</v>
      </c>
      <c r="AB166" s="7" t="e">
        <f t="shared" si="61"/>
        <v>#N/A</v>
      </c>
      <c r="AC166" s="7" t="e">
        <f t="shared" si="62"/>
        <v>#N/A</v>
      </c>
      <c r="AD166" s="472" t="e">
        <f>VLOOKUP(AF166,'排出係数(2017)'!$A$4:$I$1151,9,FALSE)</f>
        <v>#N/A</v>
      </c>
      <c r="AE166" s="12" t="str">
        <f t="shared" si="63"/>
        <v xml:space="preserve"> </v>
      </c>
      <c r="AF166" s="7" t="e">
        <f t="shared" si="78"/>
        <v>#N/A</v>
      </c>
      <c r="AG166" s="7" t="e">
        <f t="shared" si="64"/>
        <v>#N/A</v>
      </c>
      <c r="AH166" s="472" t="e">
        <f>VLOOKUP(AF166,'排出係数(2017)'!$A$4:$I$1151,6,FALSE)</f>
        <v>#N/A</v>
      </c>
      <c r="AI166" s="7" t="e">
        <f t="shared" si="65"/>
        <v>#N/A</v>
      </c>
      <c r="AJ166" s="7" t="e">
        <f t="shared" si="66"/>
        <v>#N/A</v>
      </c>
      <c r="AK166" s="472" t="e">
        <f>VLOOKUP(AF166,'排出係数(2017)'!$A$4:$I$1151,7,FALSE)</f>
        <v>#N/A</v>
      </c>
      <c r="AL166" s="7" t="e">
        <f t="shared" si="67"/>
        <v>#N/A</v>
      </c>
      <c r="AM166" s="7" t="e">
        <f t="shared" si="68"/>
        <v>#N/A</v>
      </c>
      <c r="AN166" s="7" t="e">
        <f t="shared" si="69"/>
        <v>#N/A</v>
      </c>
      <c r="AO166" s="7">
        <f t="shared" si="70"/>
        <v>0</v>
      </c>
      <c r="AP166" s="7" t="e">
        <f t="shared" si="79"/>
        <v>#N/A</v>
      </c>
      <c r="AQ166" s="7" t="str">
        <f t="shared" si="71"/>
        <v/>
      </c>
      <c r="AR166" s="7" t="str">
        <f t="shared" si="72"/>
        <v/>
      </c>
      <c r="AS166" s="7" t="str">
        <f t="shared" si="73"/>
        <v/>
      </c>
      <c r="AT166" s="97"/>
      <c r="AZ166" s="477" t="s">
        <v>929</v>
      </c>
      <c r="CF166" s="586" t="str">
        <f t="shared" si="80"/>
        <v/>
      </c>
      <c r="CG166"/>
      <c r="CH166"/>
    </row>
    <row r="167" spans="1:86" s="13" customFormat="1" ht="13.75" customHeight="1">
      <c r="A167" s="137">
        <v>152</v>
      </c>
      <c r="B167" s="138"/>
      <c r="C167" s="139"/>
      <c r="D167" s="140"/>
      <c r="E167" s="139"/>
      <c r="F167" s="139"/>
      <c r="G167" s="191"/>
      <c r="H167" s="139"/>
      <c r="I167" s="141"/>
      <c r="J167" s="142"/>
      <c r="K167" s="139"/>
      <c r="L167" s="147"/>
      <c r="M167" s="148"/>
      <c r="N167" s="583"/>
      <c r="O167" s="229" t="str">
        <f t="shared" si="74"/>
        <v/>
      </c>
      <c r="P167" s="229" t="str">
        <f t="shared" si="75"/>
        <v/>
      </c>
      <c r="Q167" s="230" t="str">
        <f t="shared" si="76"/>
        <v/>
      </c>
      <c r="R167" s="323" t="str">
        <f t="shared" si="77"/>
        <v/>
      </c>
      <c r="S167" s="350"/>
      <c r="T167" s="43"/>
      <c r="U167" s="347" t="str">
        <f t="shared" si="54"/>
        <v/>
      </c>
      <c r="V167" s="7" t="e">
        <f t="shared" si="55"/>
        <v>#N/A</v>
      </c>
      <c r="W167" s="7" t="e">
        <f t="shared" si="56"/>
        <v>#N/A</v>
      </c>
      <c r="X167" s="7" t="e">
        <f t="shared" si="57"/>
        <v>#N/A</v>
      </c>
      <c r="Y167" s="7" t="str">
        <f t="shared" si="58"/>
        <v/>
      </c>
      <c r="Z167" s="11">
        <f t="shared" si="59"/>
        <v>1</v>
      </c>
      <c r="AA167" s="7" t="e">
        <f t="shared" si="60"/>
        <v>#N/A</v>
      </c>
      <c r="AB167" s="7" t="e">
        <f t="shared" si="61"/>
        <v>#N/A</v>
      </c>
      <c r="AC167" s="7" t="e">
        <f t="shared" si="62"/>
        <v>#N/A</v>
      </c>
      <c r="AD167" s="472" t="e">
        <f>VLOOKUP(AF167,'排出係数(2017)'!$A$4:$I$1151,9,FALSE)</f>
        <v>#N/A</v>
      </c>
      <c r="AE167" s="12" t="str">
        <f t="shared" si="63"/>
        <v xml:space="preserve"> </v>
      </c>
      <c r="AF167" s="7" t="e">
        <f t="shared" si="78"/>
        <v>#N/A</v>
      </c>
      <c r="AG167" s="7" t="e">
        <f t="shared" si="64"/>
        <v>#N/A</v>
      </c>
      <c r="AH167" s="472" t="e">
        <f>VLOOKUP(AF167,'排出係数(2017)'!$A$4:$I$1151,6,FALSE)</f>
        <v>#N/A</v>
      </c>
      <c r="AI167" s="7" t="e">
        <f t="shared" si="65"/>
        <v>#N/A</v>
      </c>
      <c r="AJ167" s="7" t="e">
        <f t="shared" si="66"/>
        <v>#N/A</v>
      </c>
      <c r="AK167" s="472" t="e">
        <f>VLOOKUP(AF167,'排出係数(2017)'!$A$4:$I$1151,7,FALSE)</f>
        <v>#N/A</v>
      </c>
      <c r="AL167" s="7" t="e">
        <f t="shared" si="67"/>
        <v>#N/A</v>
      </c>
      <c r="AM167" s="7" t="e">
        <f t="shared" si="68"/>
        <v>#N/A</v>
      </c>
      <c r="AN167" s="7" t="e">
        <f t="shared" si="69"/>
        <v>#N/A</v>
      </c>
      <c r="AO167" s="7">
        <f t="shared" si="70"/>
        <v>0</v>
      </c>
      <c r="AP167" s="7" t="e">
        <f t="shared" si="79"/>
        <v>#N/A</v>
      </c>
      <c r="AQ167" s="7" t="str">
        <f t="shared" si="71"/>
        <v/>
      </c>
      <c r="AR167" s="7" t="str">
        <f t="shared" si="72"/>
        <v/>
      </c>
      <c r="AS167" s="7" t="str">
        <f t="shared" si="73"/>
        <v/>
      </c>
      <c r="AT167" s="97"/>
      <c r="AZ167" s="477" t="s">
        <v>933</v>
      </c>
      <c r="CF167" s="586" t="str">
        <f t="shared" si="80"/>
        <v/>
      </c>
      <c r="CG167"/>
      <c r="CH167"/>
    </row>
    <row r="168" spans="1:86" s="13" customFormat="1" ht="13.75" customHeight="1">
      <c r="A168" s="137">
        <v>153</v>
      </c>
      <c r="B168" s="138"/>
      <c r="C168" s="139"/>
      <c r="D168" s="140"/>
      <c r="E168" s="139"/>
      <c r="F168" s="139"/>
      <c r="G168" s="191"/>
      <c r="H168" s="139"/>
      <c r="I168" s="141"/>
      <c r="J168" s="142"/>
      <c r="K168" s="139"/>
      <c r="L168" s="147"/>
      <c r="M168" s="148"/>
      <c r="N168" s="583"/>
      <c r="O168" s="229" t="str">
        <f t="shared" si="74"/>
        <v/>
      </c>
      <c r="P168" s="229" t="str">
        <f t="shared" si="75"/>
        <v/>
      </c>
      <c r="Q168" s="230" t="str">
        <f t="shared" si="76"/>
        <v/>
      </c>
      <c r="R168" s="323" t="str">
        <f t="shared" si="77"/>
        <v/>
      </c>
      <c r="S168" s="350"/>
      <c r="T168" s="43"/>
      <c r="U168" s="347" t="str">
        <f t="shared" si="54"/>
        <v/>
      </c>
      <c r="V168" s="7" t="e">
        <f t="shared" si="55"/>
        <v>#N/A</v>
      </c>
      <c r="W168" s="7" t="e">
        <f t="shared" si="56"/>
        <v>#N/A</v>
      </c>
      <c r="X168" s="7" t="e">
        <f t="shared" si="57"/>
        <v>#N/A</v>
      </c>
      <c r="Y168" s="7" t="str">
        <f t="shared" si="58"/>
        <v/>
      </c>
      <c r="Z168" s="11">
        <f t="shared" si="59"/>
        <v>1</v>
      </c>
      <c r="AA168" s="7" t="e">
        <f t="shared" si="60"/>
        <v>#N/A</v>
      </c>
      <c r="AB168" s="7" t="e">
        <f t="shared" si="61"/>
        <v>#N/A</v>
      </c>
      <c r="AC168" s="7" t="e">
        <f t="shared" si="62"/>
        <v>#N/A</v>
      </c>
      <c r="AD168" s="472" t="e">
        <f>VLOOKUP(AF168,'排出係数(2017)'!$A$4:$I$1151,9,FALSE)</f>
        <v>#N/A</v>
      </c>
      <c r="AE168" s="12" t="str">
        <f t="shared" si="63"/>
        <v xml:space="preserve"> </v>
      </c>
      <c r="AF168" s="7" t="e">
        <f t="shared" si="78"/>
        <v>#N/A</v>
      </c>
      <c r="AG168" s="7" t="e">
        <f t="shared" si="64"/>
        <v>#N/A</v>
      </c>
      <c r="AH168" s="472" t="e">
        <f>VLOOKUP(AF168,'排出係数(2017)'!$A$4:$I$1151,6,FALSE)</f>
        <v>#N/A</v>
      </c>
      <c r="AI168" s="7" t="e">
        <f t="shared" si="65"/>
        <v>#N/A</v>
      </c>
      <c r="AJ168" s="7" t="e">
        <f t="shared" si="66"/>
        <v>#N/A</v>
      </c>
      <c r="AK168" s="472" t="e">
        <f>VLOOKUP(AF168,'排出係数(2017)'!$A$4:$I$1151,7,FALSE)</f>
        <v>#N/A</v>
      </c>
      <c r="AL168" s="7" t="e">
        <f t="shared" si="67"/>
        <v>#N/A</v>
      </c>
      <c r="AM168" s="7" t="e">
        <f t="shared" si="68"/>
        <v>#N/A</v>
      </c>
      <c r="AN168" s="7" t="e">
        <f t="shared" si="69"/>
        <v>#N/A</v>
      </c>
      <c r="AO168" s="7">
        <f t="shared" si="70"/>
        <v>0</v>
      </c>
      <c r="AP168" s="7" t="e">
        <f t="shared" si="79"/>
        <v>#N/A</v>
      </c>
      <c r="AQ168" s="7" t="str">
        <f t="shared" si="71"/>
        <v/>
      </c>
      <c r="AR168" s="7" t="str">
        <f t="shared" si="72"/>
        <v/>
      </c>
      <c r="AS168" s="7" t="str">
        <f t="shared" si="73"/>
        <v/>
      </c>
      <c r="AT168" s="97"/>
      <c r="AZ168" s="477" t="s">
        <v>937</v>
      </c>
      <c r="CF168" s="586" t="str">
        <f t="shared" si="80"/>
        <v/>
      </c>
      <c r="CG168"/>
      <c r="CH168"/>
    </row>
    <row r="169" spans="1:86" s="13" customFormat="1" ht="13.75" customHeight="1">
      <c r="A169" s="137">
        <v>154</v>
      </c>
      <c r="B169" s="138"/>
      <c r="C169" s="139"/>
      <c r="D169" s="140"/>
      <c r="E169" s="139"/>
      <c r="F169" s="139"/>
      <c r="G169" s="191"/>
      <c r="H169" s="139"/>
      <c r="I169" s="141"/>
      <c r="J169" s="142"/>
      <c r="K169" s="139"/>
      <c r="L169" s="147"/>
      <c r="M169" s="148"/>
      <c r="N169" s="583"/>
      <c r="O169" s="229" t="str">
        <f t="shared" si="74"/>
        <v/>
      </c>
      <c r="P169" s="229" t="str">
        <f t="shared" si="75"/>
        <v/>
      </c>
      <c r="Q169" s="230" t="str">
        <f t="shared" si="76"/>
        <v/>
      </c>
      <c r="R169" s="323" t="str">
        <f t="shared" si="77"/>
        <v/>
      </c>
      <c r="S169" s="350"/>
      <c r="T169" s="43"/>
      <c r="U169" s="347" t="str">
        <f t="shared" si="54"/>
        <v/>
      </c>
      <c r="V169" s="7" t="e">
        <f t="shared" si="55"/>
        <v>#N/A</v>
      </c>
      <c r="W169" s="7" t="e">
        <f t="shared" si="56"/>
        <v>#N/A</v>
      </c>
      <c r="X169" s="7" t="e">
        <f t="shared" si="57"/>
        <v>#N/A</v>
      </c>
      <c r="Y169" s="7" t="str">
        <f t="shared" si="58"/>
        <v/>
      </c>
      <c r="Z169" s="11">
        <f t="shared" si="59"/>
        <v>1</v>
      </c>
      <c r="AA169" s="7" t="e">
        <f t="shared" si="60"/>
        <v>#N/A</v>
      </c>
      <c r="AB169" s="7" t="e">
        <f t="shared" si="61"/>
        <v>#N/A</v>
      </c>
      <c r="AC169" s="7" t="e">
        <f t="shared" si="62"/>
        <v>#N/A</v>
      </c>
      <c r="AD169" s="472" t="e">
        <f>VLOOKUP(AF169,'排出係数(2017)'!$A$4:$I$1151,9,FALSE)</f>
        <v>#N/A</v>
      </c>
      <c r="AE169" s="12" t="str">
        <f t="shared" si="63"/>
        <v xml:space="preserve"> </v>
      </c>
      <c r="AF169" s="7" t="e">
        <f t="shared" si="78"/>
        <v>#N/A</v>
      </c>
      <c r="AG169" s="7" t="e">
        <f t="shared" si="64"/>
        <v>#N/A</v>
      </c>
      <c r="AH169" s="472" t="e">
        <f>VLOOKUP(AF169,'排出係数(2017)'!$A$4:$I$1151,6,FALSE)</f>
        <v>#N/A</v>
      </c>
      <c r="AI169" s="7" t="e">
        <f t="shared" si="65"/>
        <v>#N/A</v>
      </c>
      <c r="AJ169" s="7" t="e">
        <f t="shared" si="66"/>
        <v>#N/A</v>
      </c>
      <c r="AK169" s="472" t="e">
        <f>VLOOKUP(AF169,'排出係数(2017)'!$A$4:$I$1151,7,FALSE)</f>
        <v>#N/A</v>
      </c>
      <c r="AL169" s="7" t="e">
        <f t="shared" si="67"/>
        <v>#N/A</v>
      </c>
      <c r="AM169" s="7" t="e">
        <f t="shared" si="68"/>
        <v>#N/A</v>
      </c>
      <c r="AN169" s="7" t="e">
        <f t="shared" si="69"/>
        <v>#N/A</v>
      </c>
      <c r="AO169" s="7">
        <f t="shared" si="70"/>
        <v>0</v>
      </c>
      <c r="AP169" s="7" t="e">
        <f t="shared" si="79"/>
        <v>#N/A</v>
      </c>
      <c r="AQ169" s="7" t="str">
        <f t="shared" si="71"/>
        <v/>
      </c>
      <c r="AR169" s="7" t="str">
        <f t="shared" si="72"/>
        <v/>
      </c>
      <c r="AS169" s="7" t="str">
        <f t="shared" si="73"/>
        <v/>
      </c>
      <c r="AT169" s="97"/>
      <c r="AZ169" s="477" t="s">
        <v>48</v>
      </c>
      <c r="CF169" s="586" t="str">
        <f t="shared" si="80"/>
        <v/>
      </c>
      <c r="CG169"/>
      <c r="CH169"/>
    </row>
    <row r="170" spans="1:86" s="13" customFormat="1" ht="13.75" customHeight="1">
      <c r="A170" s="137">
        <v>155</v>
      </c>
      <c r="B170" s="138"/>
      <c r="C170" s="139"/>
      <c r="D170" s="140"/>
      <c r="E170" s="139"/>
      <c r="F170" s="139"/>
      <c r="G170" s="191"/>
      <c r="H170" s="139"/>
      <c r="I170" s="141"/>
      <c r="J170" s="142"/>
      <c r="K170" s="139"/>
      <c r="L170" s="147"/>
      <c r="M170" s="148"/>
      <c r="N170" s="583"/>
      <c r="O170" s="229" t="str">
        <f t="shared" si="74"/>
        <v/>
      </c>
      <c r="P170" s="229" t="str">
        <f t="shared" si="75"/>
        <v/>
      </c>
      <c r="Q170" s="230" t="str">
        <f t="shared" si="76"/>
        <v/>
      </c>
      <c r="R170" s="323" t="str">
        <f t="shared" si="77"/>
        <v/>
      </c>
      <c r="S170" s="350"/>
      <c r="T170" s="43"/>
      <c r="U170" s="347" t="str">
        <f t="shared" si="54"/>
        <v/>
      </c>
      <c r="V170" s="7" t="e">
        <f t="shared" si="55"/>
        <v>#N/A</v>
      </c>
      <c r="W170" s="7" t="e">
        <f t="shared" si="56"/>
        <v>#N/A</v>
      </c>
      <c r="X170" s="7" t="e">
        <f t="shared" si="57"/>
        <v>#N/A</v>
      </c>
      <c r="Y170" s="7" t="str">
        <f t="shared" si="58"/>
        <v/>
      </c>
      <c r="Z170" s="11">
        <f t="shared" si="59"/>
        <v>1</v>
      </c>
      <c r="AA170" s="7" t="e">
        <f t="shared" si="60"/>
        <v>#N/A</v>
      </c>
      <c r="AB170" s="7" t="e">
        <f t="shared" si="61"/>
        <v>#N/A</v>
      </c>
      <c r="AC170" s="7" t="e">
        <f t="shared" si="62"/>
        <v>#N/A</v>
      </c>
      <c r="AD170" s="472" t="e">
        <f>VLOOKUP(AF170,'排出係数(2017)'!$A$4:$I$1151,9,FALSE)</f>
        <v>#N/A</v>
      </c>
      <c r="AE170" s="12" t="str">
        <f t="shared" si="63"/>
        <v xml:space="preserve"> </v>
      </c>
      <c r="AF170" s="7" t="e">
        <f t="shared" si="78"/>
        <v>#N/A</v>
      </c>
      <c r="AG170" s="7" t="e">
        <f t="shared" si="64"/>
        <v>#N/A</v>
      </c>
      <c r="AH170" s="472" t="e">
        <f>VLOOKUP(AF170,'排出係数(2017)'!$A$4:$I$1151,6,FALSE)</f>
        <v>#N/A</v>
      </c>
      <c r="AI170" s="7" t="e">
        <f t="shared" si="65"/>
        <v>#N/A</v>
      </c>
      <c r="AJ170" s="7" t="e">
        <f t="shared" si="66"/>
        <v>#N/A</v>
      </c>
      <c r="AK170" s="472" t="e">
        <f>VLOOKUP(AF170,'排出係数(2017)'!$A$4:$I$1151,7,FALSE)</f>
        <v>#N/A</v>
      </c>
      <c r="AL170" s="7" t="e">
        <f t="shared" si="67"/>
        <v>#N/A</v>
      </c>
      <c r="AM170" s="7" t="e">
        <f t="shared" si="68"/>
        <v>#N/A</v>
      </c>
      <c r="AN170" s="7" t="e">
        <f t="shared" si="69"/>
        <v>#N/A</v>
      </c>
      <c r="AO170" s="7">
        <f t="shared" si="70"/>
        <v>0</v>
      </c>
      <c r="AP170" s="7" t="e">
        <f t="shared" si="79"/>
        <v>#N/A</v>
      </c>
      <c r="AQ170" s="7" t="str">
        <f t="shared" si="71"/>
        <v/>
      </c>
      <c r="AR170" s="7" t="str">
        <f t="shared" si="72"/>
        <v/>
      </c>
      <c r="AS170" s="7" t="str">
        <f t="shared" si="73"/>
        <v/>
      </c>
      <c r="AT170" s="97"/>
      <c r="AZ170" s="477" t="s">
        <v>1720</v>
      </c>
      <c r="CF170" s="586" t="str">
        <f t="shared" si="80"/>
        <v/>
      </c>
      <c r="CG170"/>
      <c r="CH170"/>
    </row>
    <row r="171" spans="1:86" s="13" customFormat="1" ht="13.75" customHeight="1">
      <c r="A171" s="137">
        <v>156</v>
      </c>
      <c r="B171" s="138"/>
      <c r="C171" s="139"/>
      <c r="D171" s="140"/>
      <c r="E171" s="139"/>
      <c r="F171" s="139"/>
      <c r="G171" s="191"/>
      <c r="H171" s="139"/>
      <c r="I171" s="141"/>
      <c r="J171" s="142"/>
      <c r="K171" s="139"/>
      <c r="L171" s="147"/>
      <c r="M171" s="148"/>
      <c r="N171" s="583"/>
      <c r="O171" s="229" t="str">
        <f t="shared" si="74"/>
        <v/>
      </c>
      <c r="P171" s="229" t="str">
        <f t="shared" si="75"/>
        <v/>
      </c>
      <c r="Q171" s="230" t="str">
        <f t="shared" si="76"/>
        <v/>
      </c>
      <c r="R171" s="323" t="str">
        <f t="shared" si="77"/>
        <v/>
      </c>
      <c r="S171" s="350"/>
      <c r="T171" s="43"/>
      <c r="U171" s="347" t="str">
        <f t="shared" si="54"/>
        <v/>
      </c>
      <c r="V171" s="7" t="e">
        <f t="shared" si="55"/>
        <v>#N/A</v>
      </c>
      <c r="W171" s="7" t="e">
        <f t="shared" si="56"/>
        <v>#N/A</v>
      </c>
      <c r="X171" s="7" t="e">
        <f t="shared" si="57"/>
        <v>#N/A</v>
      </c>
      <c r="Y171" s="7" t="str">
        <f t="shared" si="58"/>
        <v/>
      </c>
      <c r="Z171" s="11">
        <f t="shared" si="59"/>
        <v>1</v>
      </c>
      <c r="AA171" s="7" t="e">
        <f t="shared" si="60"/>
        <v>#N/A</v>
      </c>
      <c r="AB171" s="7" t="e">
        <f t="shared" si="61"/>
        <v>#N/A</v>
      </c>
      <c r="AC171" s="7" t="e">
        <f t="shared" si="62"/>
        <v>#N/A</v>
      </c>
      <c r="AD171" s="472" t="e">
        <f>VLOOKUP(AF171,'排出係数(2017)'!$A$4:$I$1151,9,FALSE)</f>
        <v>#N/A</v>
      </c>
      <c r="AE171" s="12" t="str">
        <f t="shared" si="63"/>
        <v xml:space="preserve"> </v>
      </c>
      <c r="AF171" s="7" t="e">
        <f t="shared" si="78"/>
        <v>#N/A</v>
      </c>
      <c r="AG171" s="7" t="e">
        <f t="shared" si="64"/>
        <v>#N/A</v>
      </c>
      <c r="AH171" s="472" t="e">
        <f>VLOOKUP(AF171,'排出係数(2017)'!$A$4:$I$1151,6,FALSE)</f>
        <v>#N/A</v>
      </c>
      <c r="AI171" s="7" t="e">
        <f t="shared" si="65"/>
        <v>#N/A</v>
      </c>
      <c r="AJ171" s="7" t="e">
        <f t="shared" si="66"/>
        <v>#N/A</v>
      </c>
      <c r="AK171" s="472" t="e">
        <f>VLOOKUP(AF171,'排出係数(2017)'!$A$4:$I$1151,7,FALSE)</f>
        <v>#N/A</v>
      </c>
      <c r="AL171" s="7" t="e">
        <f t="shared" si="67"/>
        <v>#N/A</v>
      </c>
      <c r="AM171" s="7" t="e">
        <f t="shared" si="68"/>
        <v>#N/A</v>
      </c>
      <c r="AN171" s="7" t="e">
        <f t="shared" si="69"/>
        <v>#N/A</v>
      </c>
      <c r="AO171" s="7">
        <f t="shared" si="70"/>
        <v>0</v>
      </c>
      <c r="AP171" s="7" t="e">
        <f t="shared" si="79"/>
        <v>#N/A</v>
      </c>
      <c r="AQ171" s="7" t="str">
        <f t="shared" si="71"/>
        <v/>
      </c>
      <c r="AR171" s="7" t="str">
        <f t="shared" si="72"/>
        <v/>
      </c>
      <c r="AS171" s="7" t="str">
        <f t="shared" si="73"/>
        <v/>
      </c>
      <c r="AT171" s="97"/>
      <c r="AZ171" s="477" t="s">
        <v>1723</v>
      </c>
      <c r="CF171" s="586" t="str">
        <f t="shared" si="80"/>
        <v/>
      </c>
      <c r="CG171"/>
      <c r="CH171"/>
    </row>
    <row r="172" spans="1:86" s="13" customFormat="1" ht="13.75" customHeight="1">
      <c r="A172" s="137">
        <v>157</v>
      </c>
      <c r="B172" s="138"/>
      <c r="C172" s="139"/>
      <c r="D172" s="140"/>
      <c r="E172" s="139"/>
      <c r="F172" s="139"/>
      <c r="G172" s="191"/>
      <c r="H172" s="139"/>
      <c r="I172" s="141"/>
      <c r="J172" s="142"/>
      <c r="K172" s="139"/>
      <c r="L172" s="147"/>
      <c r="M172" s="148"/>
      <c r="N172" s="583"/>
      <c r="O172" s="229" t="str">
        <f t="shared" si="74"/>
        <v/>
      </c>
      <c r="P172" s="229" t="str">
        <f t="shared" si="75"/>
        <v/>
      </c>
      <c r="Q172" s="230" t="str">
        <f t="shared" si="76"/>
        <v/>
      </c>
      <c r="R172" s="323" t="str">
        <f t="shared" si="77"/>
        <v/>
      </c>
      <c r="S172" s="350"/>
      <c r="T172" s="43"/>
      <c r="U172" s="347" t="str">
        <f t="shared" si="54"/>
        <v/>
      </c>
      <c r="V172" s="7" t="e">
        <f t="shared" si="55"/>
        <v>#N/A</v>
      </c>
      <c r="W172" s="7" t="e">
        <f t="shared" si="56"/>
        <v>#N/A</v>
      </c>
      <c r="X172" s="7" t="e">
        <f t="shared" si="57"/>
        <v>#N/A</v>
      </c>
      <c r="Y172" s="7" t="str">
        <f t="shared" si="58"/>
        <v/>
      </c>
      <c r="Z172" s="11">
        <f t="shared" si="59"/>
        <v>1</v>
      </c>
      <c r="AA172" s="7" t="e">
        <f t="shared" si="60"/>
        <v>#N/A</v>
      </c>
      <c r="AB172" s="7" t="e">
        <f t="shared" si="61"/>
        <v>#N/A</v>
      </c>
      <c r="AC172" s="7" t="e">
        <f t="shared" si="62"/>
        <v>#N/A</v>
      </c>
      <c r="AD172" s="472" t="e">
        <f>VLOOKUP(AF172,'排出係数(2017)'!$A$4:$I$1151,9,FALSE)</f>
        <v>#N/A</v>
      </c>
      <c r="AE172" s="12" t="str">
        <f t="shared" si="63"/>
        <v xml:space="preserve"> </v>
      </c>
      <c r="AF172" s="7" t="e">
        <f t="shared" si="78"/>
        <v>#N/A</v>
      </c>
      <c r="AG172" s="7" t="e">
        <f t="shared" si="64"/>
        <v>#N/A</v>
      </c>
      <c r="AH172" s="472" t="e">
        <f>VLOOKUP(AF172,'排出係数(2017)'!$A$4:$I$1151,6,FALSE)</f>
        <v>#N/A</v>
      </c>
      <c r="AI172" s="7" t="e">
        <f t="shared" si="65"/>
        <v>#N/A</v>
      </c>
      <c r="AJ172" s="7" t="e">
        <f t="shared" si="66"/>
        <v>#N/A</v>
      </c>
      <c r="AK172" s="472" t="e">
        <f>VLOOKUP(AF172,'排出係数(2017)'!$A$4:$I$1151,7,FALSE)</f>
        <v>#N/A</v>
      </c>
      <c r="AL172" s="7" t="e">
        <f t="shared" si="67"/>
        <v>#N/A</v>
      </c>
      <c r="AM172" s="7" t="e">
        <f t="shared" si="68"/>
        <v>#N/A</v>
      </c>
      <c r="AN172" s="7" t="e">
        <f t="shared" si="69"/>
        <v>#N/A</v>
      </c>
      <c r="AO172" s="7">
        <f t="shared" si="70"/>
        <v>0</v>
      </c>
      <c r="AP172" s="7" t="e">
        <f t="shared" si="79"/>
        <v>#N/A</v>
      </c>
      <c r="AQ172" s="7" t="str">
        <f t="shared" si="71"/>
        <v/>
      </c>
      <c r="AR172" s="7" t="str">
        <f t="shared" si="72"/>
        <v/>
      </c>
      <c r="AS172" s="7" t="str">
        <f t="shared" si="73"/>
        <v/>
      </c>
      <c r="AT172" s="97"/>
      <c r="AZ172" s="477" t="s">
        <v>1726</v>
      </c>
      <c r="CF172" s="586" t="str">
        <f t="shared" si="80"/>
        <v/>
      </c>
      <c r="CG172"/>
      <c r="CH172"/>
    </row>
    <row r="173" spans="1:86" s="13" customFormat="1" ht="13.75" customHeight="1">
      <c r="A173" s="137">
        <v>158</v>
      </c>
      <c r="B173" s="138"/>
      <c r="C173" s="139"/>
      <c r="D173" s="140"/>
      <c r="E173" s="139"/>
      <c r="F173" s="139"/>
      <c r="G173" s="191"/>
      <c r="H173" s="139"/>
      <c r="I173" s="141"/>
      <c r="J173" s="142"/>
      <c r="K173" s="139"/>
      <c r="L173" s="147"/>
      <c r="M173" s="148"/>
      <c r="N173" s="583"/>
      <c r="O173" s="229" t="str">
        <f t="shared" si="74"/>
        <v/>
      </c>
      <c r="P173" s="229" t="str">
        <f t="shared" si="75"/>
        <v/>
      </c>
      <c r="Q173" s="230" t="str">
        <f t="shared" si="76"/>
        <v/>
      </c>
      <c r="R173" s="323" t="str">
        <f t="shared" si="77"/>
        <v/>
      </c>
      <c r="S173" s="350"/>
      <c r="T173" s="43"/>
      <c r="U173" s="347" t="str">
        <f t="shared" si="54"/>
        <v/>
      </c>
      <c r="V173" s="7" t="e">
        <f t="shared" si="55"/>
        <v>#N/A</v>
      </c>
      <c r="W173" s="7" t="e">
        <f t="shared" si="56"/>
        <v>#N/A</v>
      </c>
      <c r="X173" s="7" t="e">
        <f t="shared" si="57"/>
        <v>#N/A</v>
      </c>
      <c r="Y173" s="7" t="str">
        <f t="shared" si="58"/>
        <v/>
      </c>
      <c r="Z173" s="11">
        <f t="shared" si="59"/>
        <v>1</v>
      </c>
      <c r="AA173" s="7" t="e">
        <f t="shared" si="60"/>
        <v>#N/A</v>
      </c>
      <c r="AB173" s="7" t="e">
        <f t="shared" si="61"/>
        <v>#N/A</v>
      </c>
      <c r="AC173" s="7" t="e">
        <f t="shared" si="62"/>
        <v>#N/A</v>
      </c>
      <c r="AD173" s="472" t="e">
        <f>VLOOKUP(AF173,'排出係数(2017)'!$A$4:$I$1151,9,FALSE)</f>
        <v>#N/A</v>
      </c>
      <c r="AE173" s="12" t="str">
        <f t="shared" si="63"/>
        <v xml:space="preserve"> </v>
      </c>
      <c r="AF173" s="7" t="e">
        <f t="shared" si="78"/>
        <v>#N/A</v>
      </c>
      <c r="AG173" s="7" t="e">
        <f t="shared" si="64"/>
        <v>#N/A</v>
      </c>
      <c r="AH173" s="472" t="e">
        <f>VLOOKUP(AF173,'排出係数(2017)'!$A$4:$I$1151,6,FALSE)</f>
        <v>#N/A</v>
      </c>
      <c r="AI173" s="7" t="e">
        <f t="shared" si="65"/>
        <v>#N/A</v>
      </c>
      <c r="AJ173" s="7" t="e">
        <f t="shared" si="66"/>
        <v>#N/A</v>
      </c>
      <c r="AK173" s="472" t="e">
        <f>VLOOKUP(AF173,'排出係数(2017)'!$A$4:$I$1151,7,FALSE)</f>
        <v>#N/A</v>
      </c>
      <c r="AL173" s="7" t="e">
        <f t="shared" si="67"/>
        <v>#N/A</v>
      </c>
      <c r="AM173" s="7" t="e">
        <f t="shared" si="68"/>
        <v>#N/A</v>
      </c>
      <c r="AN173" s="7" t="e">
        <f t="shared" si="69"/>
        <v>#N/A</v>
      </c>
      <c r="AO173" s="7">
        <f t="shared" si="70"/>
        <v>0</v>
      </c>
      <c r="AP173" s="7" t="e">
        <f t="shared" si="79"/>
        <v>#N/A</v>
      </c>
      <c r="AQ173" s="7" t="str">
        <f t="shared" si="71"/>
        <v/>
      </c>
      <c r="AR173" s="7" t="str">
        <f t="shared" si="72"/>
        <v/>
      </c>
      <c r="AS173" s="7" t="str">
        <f t="shared" si="73"/>
        <v/>
      </c>
      <c r="AT173" s="97"/>
      <c r="AZ173" s="477" t="s">
        <v>1731</v>
      </c>
      <c r="CF173" s="586" t="str">
        <f t="shared" si="80"/>
        <v/>
      </c>
      <c r="CG173"/>
      <c r="CH173"/>
    </row>
    <row r="174" spans="1:86" s="13" customFormat="1" ht="13.75" customHeight="1">
      <c r="A174" s="137">
        <v>159</v>
      </c>
      <c r="B174" s="138"/>
      <c r="C174" s="139"/>
      <c r="D174" s="140"/>
      <c r="E174" s="139"/>
      <c r="F174" s="139"/>
      <c r="G174" s="191"/>
      <c r="H174" s="139"/>
      <c r="I174" s="141"/>
      <c r="J174" s="142"/>
      <c r="K174" s="139"/>
      <c r="L174" s="147"/>
      <c r="M174" s="148"/>
      <c r="N174" s="583"/>
      <c r="O174" s="229" t="str">
        <f t="shared" si="74"/>
        <v/>
      </c>
      <c r="P174" s="229" t="str">
        <f t="shared" si="75"/>
        <v/>
      </c>
      <c r="Q174" s="230" t="str">
        <f t="shared" si="76"/>
        <v/>
      </c>
      <c r="R174" s="323" t="str">
        <f t="shared" si="77"/>
        <v/>
      </c>
      <c r="S174" s="350"/>
      <c r="T174" s="43"/>
      <c r="U174" s="347" t="str">
        <f t="shared" si="54"/>
        <v/>
      </c>
      <c r="V174" s="7" t="e">
        <f t="shared" si="55"/>
        <v>#N/A</v>
      </c>
      <c r="W174" s="7" t="e">
        <f t="shared" si="56"/>
        <v>#N/A</v>
      </c>
      <c r="X174" s="7" t="e">
        <f t="shared" si="57"/>
        <v>#N/A</v>
      </c>
      <c r="Y174" s="7" t="str">
        <f t="shared" si="58"/>
        <v/>
      </c>
      <c r="Z174" s="11">
        <f t="shared" si="59"/>
        <v>1</v>
      </c>
      <c r="AA174" s="7" t="e">
        <f t="shared" si="60"/>
        <v>#N/A</v>
      </c>
      <c r="AB174" s="7" t="e">
        <f t="shared" si="61"/>
        <v>#N/A</v>
      </c>
      <c r="AC174" s="7" t="e">
        <f t="shared" si="62"/>
        <v>#N/A</v>
      </c>
      <c r="AD174" s="472" t="e">
        <f>VLOOKUP(AF174,'排出係数(2017)'!$A$4:$I$1151,9,FALSE)</f>
        <v>#N/A</v>
      </c>
      <c r="AE174" s="12" t="str">
        <f t="shared" si="63"/>
        <v xml:space="preserve"> </v>
      </c>
      <c r="AF174" s="7" t="e">
        <f t="shared" si="78"/>
        <v>#N/A</v>
      </c>
      <c r="AG174" s="7" t="e">
        <f t="shared" si="64"/>
        <v>#N/A</v>
      </c>
      <c r="AH174" s="472" t="e">
        <f>VLOOKUP(AF174,'排出係数(2017)'!$A$4:$I$1151,6,FALSE)</f>
        <v>#N/A</v>
      </c>
      <c r="AI174" s="7" t="e">
        <f t="shared" si="65"/>
        <v>#N/A</v>
      </c>
      <c r="AJ174" s="7" t="e">
        <f t="shared" si="66"/>
        <v>#N/A</v>
      </c>
      <c r="AK174" s="472" t="e">
        <f>VLOOKUP(AF174,'排出係数(2017)'!$A$4:$I$1151,7,FALSE)</f>
        <v>#N/A</v>
      </c>
      <c r="AL174" s="7" t="e">
        <f t="shared" si="67"/>
        <v>#N/A</v>
      </c>
      <c r="AM174" s="7" t="e">
        <f t="shared" si="68"/>
        <v>#N/A</v>
      </c>
      <c r="AN174" s="7" t="e">
        <f t="shared" si="69"/>
        <v>#N/A</v>
      </c>
      <c r="AO174" s="7">
        <f t="shared" si="70"/>
        <v>0</v>
      </c>
      <c r="AP174" s="7" t="e">
        <f t="shared" si="79"/>
        <v>#N/A</v>
      </c>
      <c r="AQ174" s="7" t="str">
        <f t="shared" si="71"/>
        <v/>
      </c>
      <c r="AR174" s="7" t="str">
        <f t="shared" si="72"/>
        <v/>
      </c>
      <c r="AS174" s="7" t="str">
        <f t="shared" si="73"/>
        <v/>
      </c>
      <c r="AT174" s="97"/>
      <c r="AZ174" s="477" t="s">
        <v>1594</v>
      </c>
      <c r="CF174" s="586" t="str">
        <f t="shared" si="80"/>
        <v/>
      </c>
      <c r="CG174"/>
      <c r="CH174"/>
    </row>
    <row r="175" spans="1:86" s="13" customFormat="1" ht="13.75" customHeight="1">
      <c r="A175" s="137">
        <v>160</v>
      </c>
      <c r="B175" s="138"/>
      <c r="C175" s="139"/>
      <c r="D175" s="140"/>
      <c r="E175" s="139"/>
      <c r="F175" s="139"/>
      <c r="G175" s="191"/>
      <c r="H175" s="139"/>
      <c r="I175" s="141"/>
      <c r="J175" s="142"/>
      <c r="K175" s="139"/>
      <c r="L175" s="147"/>
      <c r="M175" s="148"/>
      <c r="N175" s="583"/>
      <c r="O175" s="229" t="str">
        <f t="shared" si="74"/>
        <v/>
      </c>
      <c r="P175" s="229" t="str">
        <f t="shared" si="75"/>
        <v/>
      </c>
      <c r="Q175" s="230" t="str">
        <f t="shared" si="76"/>
        <v/>
      </c>
      <c r="R175" s="323" t="str">
        <f t="shared" si="77"/>
        <v/>
      </c>
      <c r="S175" s="350"/>
      <c r="T175" s="43"/>
      <c r="U175" s="347" t="str">
        <f t="shared" si="54"/>
        <v/>
      </c>
      <c r="V175" s="7" t="e">
        <f t="shared" si="55"/>
        <v>#N/A</v>
      </c>
      <c r="W175" s="7" t="e">
        <f t="shared" si="56"/>
        <v>#N/A</v>
      </c>
      <c r="X175" s="7" t="e">
        <f t="shared" si="57"/>
        <v>#N/A</v>
      </c>
      <c r="Y175" s="7" t="str">
        <f t="shared" si="58"/>
        <v/>
      </c>
      <c r="Z175" s="11">
        <f t="shared" si="59"/>
        <v>1</v>
      </c>
      <c r="AA175" s="7" t="e">
        <f t="shared" si="60"/>
        <v>#N/A</v>
      </c>
      <c r="AB175" s="7" t="e">
        <f t="shared" si="61"/>
        <v>#N/A</v>
      </c>
      <c r="AC175" s="7" t="e">
        <f t="shared" si="62"/>
        <v>#N/A</v>
      </c>
      <c r="AD175" s="472" t="e">
        <f>VLOOKUP(AF175,'排出係数(2017)'!$A$4:$I$1151,9,FALSE)</f>
        <v>#N/A</v>
      </c>
      <c r="AE175" s="12" t="str">
        <f t="shared" si="63"/>
        <v xml:space="preserve"> </v>
      </c>
      <c r="AF175" s="7" t="e">
        <f t="shared" si="78"/>
        <v>#N/A</v>
      </c>
      <c r="AG175" s="7" t="e">
        <f t="shared" si="64"/>
        <v>#N/A</v>
      </c>
      <c r="AH175" s="472" t="e">
        <f>VLOOKUP(AF175,'排出係数(2017)'!$A$4:$I$1151,6,FALSE)</f>
        <v>#N/A</v>
      </c>
      <c r="AI175" s="7" t="e">
        <f t="shared" si="65"/>
        <v>#N/A</v>
      </c>
      <c r="AJ175" s="7" t="e">
        <f t="shared" si="66"/>
        <v>#N/A</v>
      </c>
      <c r="AK175" s="472" t="e">
        <f>VLOOKUP(AF175,'排出係数(2017)'!$A$4:$I$1151,7,FALSE)</f>
        <v>#N/A</v>
      </c>
      <c r="AL175" s="7" t="e">
        <f t="shared" si="67"/>
        <v>#N/A</v>
      </c>
      <c r="AM175" s="7" t="e">
        <f t="shared" si="68"/>
        <v>#N/A</v>
      </c>
      <c r="AN175" s="7" t="e">
        <f t="shared" si="69"/>
        <v>#N/A</v>
      </c>
      <c r="AO175" s="7">
        <f t="shared" si="70"/>
        <v>0</v>
      </c>
      <c r="AP175" s="7" t="e">
        <f t="shared" si="79"/>
        <v>#N/A</v>
      </c>
      <c r="AQ175" s="7" t="str">
        <f t="shared" si="71"/>
        <v/>
      </c>
      <c r="AR175" s="7" t="str">
        <f t="shared" si="72"/>
        <v/>
      </c>
      <c r="AS175" s="7" t="str">
        <f t="shared" si="73"/>
        <v/>
      </c>
      <c r="AT175" s="97"/>
      <c r="AZ175" s="477" t="s">
        <v>1588</v>
      </c>
      <c r="CF175" s="586" t="str">
        <f t="shared" si="80"/>
        <v/>
      </c>
      <c r="CG175"/>
      <c r="CH175"/>
    </row>
    <row r="176" spans="1:86" s="13" customFormat="1" ht="13.75" customHeight="1">
      <c r="A176" s="137">
        <v>161</v>
      </c>
      <c r="B176" s="138"/>
      <c r="C176" s="139"/>
      <c r="D176" s="140"/>
      <c r="E176" s="139"/>
      <c r="F176" s="139"/>
      <c r="G176" s="191"/>
      <c r="H176" s="139"/>
      <c r="I176" s="141"/>
      <c r="J176" s="142"/>
      <c r="K176" s="139"/>
      <c r="L176" s="147"/>
      <c r="M176" s="148"/>
      <c r="N176" s="583"/>
      <c r="O176" s="229" t="str">
        <f t="shared" si="74"/>
        <v/>
      </c>
      <c r="P176" s="229" t="str">
        <f t="shared" si="75"/>
        <v/>
      </c>
      <c r="Q176" s="230" t="str">
        <f t="shared" si="76"/>
        <v/>
      </c>
      <c r="R176" s="323" t="str">
        <f t="shared" si="77"/>
        <v/>
      </c>
      <c r="S176" s="350"/>
      <c r="T176" s="43"/>
      <c r="U176" s="347" t="str">
        <f t="shared" si="54"/>
        <v/>
      </c>
      <c r="V176" s="7" t="e">
        <f t="shared" si="55"/>
        <v>#N/A</v>
      </c>
      <c r="W176" s="7" t="e">
        <f t="shared" si="56"/>
        <v>#N/A</v>
      </c>
      <c r="X176" s="7" t="e">
        <f t="shared" si="57"/>
        <v>#N/A</v>
      </c>
      <c r="Y176" s="7" t="str">
        <f t="shared" si="58"/>
        <v/>
      </c>
      <c r="Z176" s="11">
        <f t="shared" si="59"/>
        <v>1</v>
      </c>
      <c r="AA176" s="7" t="e">
        <f t="shared" si="60"/>
        <v>#N/A</v>
      </c>
      <c r="AB176" s="7" t="e">
        <f t="shared" si="61"/>
        <v>#N/A</v>
      </c>
      <c r="AC176" s="7" t="e">
        <f t="shared" si="62"/>
        <v>#N/A</v>
      </c>
      <c r="AD176" s="472" t="e">
        <f>VLOOKUP(AF176,'排出係数(2017)'!$A$4:$I$1151,9,FALSE)</f>
        <v>#N/A</v>
      </c>
      <c r="AE176" s="12" t="str">
        <f t="shared" si="63"/>
        <v xml:space="preserve"> </v>
      </c>
      <c r="AF176" s="7" t="e">
        <f t="shared" si="78"/>
        <v>#N/A</v>
      </c>
      <c r="AG176" s="7" t="e">
        <f t="shared" si="64"/>
        <v>#N/A</v>
      </c>
      <c r="AH176" s="472" t="e">
        <f>VLOOKUP(AF176,'排出係数(2017)'!$A$4:$I$1151,6,FALSE)</f>
        <v>#N/A</v>
      </c>
      <c r="AI176" s="7" t="e">
        <f t="shared" si="65"/>
        <v>#N/A</v>
      </c>
      <c r="AJ176" s="7" t="e">
        <f t="shared" si="66"/>
        <v>#N/A</v>
      </c>
      <c r="AK176" s="472" t="e">
        <f>VLOOKUP(AF176,'排出係数(2017)'!$A$4:$I$1151,7,FALSE)</f>
        <v>#N/A</v>
      </c>
      <c r="AL176" s="7" t="e">
        <f t="shared" si="67"/>
        <v>#N/A</v>
      </c>
      <c r="AM176" s="7" t="e">
        <f t="shared" si="68"/>
        <v>#N/A</v>
      </c>
      <c r="AN176" s="7" t="e">
        <f t="shared" si="69"/>
        <v>#N/A</v>
      </c>
      <c r="AO176" s="7">
        <f t="shared" si="70"/>
        <v>0</v>
      </c>
      <c r="AP176" s="7" t="e">
        <f t="shared" si="79"/>
        <v>#N/A</v>
      </c>
      <c r="AQ176" s="7" t="str">
        <f t="shared" si="71"/>
        <v/>
      </c>
      <c r="AR176" s="7" t="str">
        <f t="shared" si="72"/>
        <v/>
      </c>
      <c r="AS176" s="7" t="str">
        <f t="shared" si="73"/>
        <v/>
      </c>
      <c r="AT176" s="97"/>
      <c r="AZ176" s="477" t="s">
        <v>1600</v>
      </c>
      <c r="CF176" s="586" t="str">
        <f t="shared" si="80"/>
        <v/>
      </c>
      <c r="CG176"/>
      <c r="CH176"/>
    </row>
    <row r="177" spans="1:86" s="13" customFormat="1" ht="13.75" customHeight="1">
      <c r="A177" s="137">
        <v>162</v>
      </c>
      <c r="B177" s="138"/>
      <c r="C177" s="139"/>
      <c r="D177" s="140"/>
      <c r="E177" s="139"/>
      <c r="F177" s="139"/>
      <c r="G177" s="191"/>
      <c r="H177" s="139"/>
      <c r="I177" s="141"/>
      <c r="J177" s="142"/>
      <c r="K177" s="139"/>
      <c r="L177" s="147"/>
      <c r="M177" s="148"/>
      <c r="N177" s="583"/>
      <c r="O177" s="229" t="str">
        <f t="shared" si="74"/>
        <v/>
      </c>
      <c r="P177" s="229" t="str">
        <f t="shared" si="75"/>
        <v/>
      </c>
      <c r="Q177" s="230" t="str">
        <f t="shared" si="76"/>
        <v/>
      </c>
      <c r="R177" s="323" t="str">
        <f t="shared" si="77"/>
        <v/>
      </c>
      <c r="S177" s="350"/>
      <c r="T177" s="43"/>
      <c r="U177" s="347" t="str">
        <f t="shared" si="54"/>
        <v/>
      </c>
      <c r="V177" s="7" t="e">
        <f t="shared" si="55"/>
        <v>#N/A</v>
      </c>
      <c r="W177" s="7" t="e">
        <f t="shared" si="56"/>
        <v>#N/A</v>
      </c>
      <c r="X177" s="7" t="e">
        <f t="shared" si="57"/>
        <v>#N/A</v>
      </c>
      <c r="Y177" s="7" t="str">
        <f t="shared" si="58"/>
        <v/>
      </c>
      <c r="Z177" s="11">
        <f t="shared" si="59"/>
        <v>1</v>
      </c>
      <c r="AA177" s="7" t="e">
        <f t="shared" si="60"/>
        <v>#N/A</v>
      </c>
      <c r="AB177" s="7" t="e">
        <f t="shared" si="61"/>
        <v>#N/A</v>
      </c>
      <c r="AC177" s="7" t="e">
        <f t="shared" si="62"/>
        <v>#N/A</v>
      </c>
      <c r="AD177" s="472" t="e">
        <f>VLOOKUP(AF177,'排出係数(2017)'!$A$4:$I$1151,9,FALSE)</f>
        <v>#N/A</v>
      </c>
      <c r="AE177" s="12" t="str">
        <f t="shared" si="63"/>
        <v xml:space="preserve"> </v>
      </c>
      <c r="AF177" s="7" t="e">
        <f t="shared" si="78"/>
        <v>#N/A</v>
      </c>
      <c r="AG177" s="7" t="e">
        <f t="shared" si="64"/>
        <v>#N/A</v>
      </c>
      <c r="AH177" s="472" t="e">
        <f>VLOOKUP(AF177,'排出係数(2017)'!$A$4:$I$1151,6,FALSE)</f>
        <v>#N/A</v>
      </c>
      <c r="AI177" s="7" t="e">
        <f t="shared" si="65"/>
        <v>#N/A</v>
      </c>
      <c r="AJ177" s="7" t="e">
        <f t="shared" si="66"/>
        <v>#N/A</v>
      </c>
      <c r="AK177" s="472" t="e">
        <f>VLOOKUP(AF177,'排出係数(2017)'!$A$4:$I$1151,7,FALSE)</f>
        <v>#N/A</v>
      </c>
      <c r="AL177" s="7" t="e">
        <f t="shared" si="67"/>
        <v>#N/A</v>
      </c>
      <c r="AM177" s="7" t="e">
        <f t="shared" si="68"/>
        <v>#N/A</v>
      </c>
      <c r="AN177" s="7" t="e">
        <f t="shared" si="69"/>
        <v>#N/A</v>
      </c>
      <c r="AO177" s="7">
        <f t="shared" si="70"/>
        <v>0</v>
      </c>
      <c r="AP177" s="7" t="e">
        <f t="shared" si="79"/>
        <v>#N/A</v>
      </c>
      <c r="AQ177" s="7" t="str">
        <f t="shared" si="71"/>
        <v/>
      </c>
      <c r="AR177" s="7" t="str">
        <f t="shared" si="72"/>
        <v/>
      </c>
      <c r="AS177" s="7" t="str">
        <f t="shared" si="73"/>
        <v/>
      </c>
      <c r="AT177" s="97"/>
      <c r="AZ177" s="477" t="s">
        <v>49</v>
      </c>
      <c r="CF177" s="586" t="str">
        <f t="shared" si="80"/>
        <v/>
      </c>
      <c r="CG177"/>
      <c r="CH177"/>
    </row>
    <row r="178" spans="1:86" s="13" customFormat="1" ht="13.75" customHeight="1">
      <c r="A178" s="137">
        <v>163</v>
      </c>
      <c r="B178" s="138"/>
      <c r="C178" s="139"/>
      <c r="D178" s="140"/>
      <c r="E178" s="139"/>
      <c r="F178" s="139"/>
      <c r="G178" s="191"/>
      <c r="H178" s="139"/>
      <c r="I178" s="141"/>
      <c r="J178" s="142"/>
      <c r="K178" s="139"/>
      <c r="L178" s="147"/>
      <c r="M178" s="148"/>
      <c r="N178" s="583"/>
      <c r="O178" s="229" t="str">
        <f t="shared" si="74"/>
        <v/>
      </c>
      <c r="P178" s="229" t="str">
        <f t="shared" si="75"/>
        <v/>
      </c>
      <c r="Q178" s="230" t="str">
        <f t="shared" si="76"/>
        <v/>
      </c>
      <c r="R178" s="323" t="str">
        <f t="shared" si="77"/>
        <v/>
      </c>
      <c r="S178" s="350"/>
      <c r="T178" s="43"/>
      <c r="U178" s="347" t="str">
        <f t="shared" si="54"/>
        <v/>
      </c>
      <c r="V178" s="7" t="e">
        <f t="shared" si="55"/>
        <v>#N/A</v>
      </c>
      <c r="W178" s="7" t="e">
        <f t="shared" si="56"/>
        <v>#N/A</v>
      </c>
      <c r="X178" s="7" t="e">
        <f t="shared" si="57"/>
        <v>#N/A</v>
      </c>
      <c r="Y178" s="7" t="str">
        <f t="shared" si="58"/>
        <v/>
      </c>
      <c r="Z178" s="11">
        <f t="shared" si="59"/>
        <v>1</v>
      </c>
      <c r="AA178" s="7" t="e">
        <f t="shared" si="60"/>
        <v>#N/A</v>
      </c>
      <c r="AB178" s="7" t="e">
        <f t="shared" si="61"/>
        <v>#N/A</v>
      </c>
      <c r="AC178" s="7" t="e">
        <f t="shared" si="62"/>
        <v>#N/A</v>
      </c>
      <c r="AD178" s="472" t="e">
        <f>VLOOKUP(AF178,'排出係数(2017)'!$A$4:$I$1151,9,FALSE)</f>
        <v>#N/A</v>
      </c>
      <c r="AE178" s="12" t="str">
        <f t="shared" si="63"/>
        <v xml:space="preserve"> </v>
      </c>
      <c r="AF178" s="7" t="e">
        <f t="shared" si="78"/>
        <v>#N/A</v>
      </c>
      <c r="AG178" s="7" t="e">
        <f t="shared" si="64"/>
        <v>#N/A</v>
      </c>
      <c r="AH178" s="472" t="e">
        <f>VLOOKUP(AF178,'排出係数(2017)'!$A$4:$I$1151,6,FALSE)</f>
        <v>#N/A</v>
      </c>
      <c r="AI178" s="7" t="e">
        <f t="shared" si="65"/>
        <v>#N/A</v>
      </c>
      <c r="AJ178" s="7" t="e">
        <f t="shared" si="66"/>
        <v>#N/A</v>
      </c>
      <c r="AK178" s="472" t="e">
        <f>VLOOKUP(AF178,'排出係数(2017)'!$A$4:$I$1151,7,FALSE)</f>
        <v>#N/A</v>
      </c>
      <c r="AL178" s="7" t="e">
        <f t="shared" si="67"/>
        <v>#N/A</v>
      </c>
      <c r="AM178" s="7" t="e">
        <f t="shared" si="68"/>
        <v>#N/A</v>
      </c>
      <c r="AN178" s="7" t="e">
        <f t="shared" si="69"/>
        <v>#N/A</v>
      </c>
      <c r="AO178" s="7">
        <f t="shared" si="70"/>
        <v>0</v>
      </c>
      <c r="AP178" s="7" t="e">
        <f t="shared" si="79"/>
        <v>#N/A</v>
      </c>
      <c r="AQ178" s="7" t="str">
        <f t="shared" si="71"/>
        <v/>
      </c>
      <c r="AR178" s="7" t="str">
        <f t="shared" si="72"/>
        <v/>
      </c>
      <c r="AS178" s="7" t="str">
        <f t="shared" si="73"/>
        <v/>
      </c>
      <c r="AT178" s="97"/>
      <c r="AZ178" s="477" t="s">
        <v>50</v>
      </c>
      <c r="CF178" s="586" t="str">
        <f t="shared" si="80"/>
        <v/>
      </c>
      <c r="CG178"/>
      <c r="CH178"/>
    </row>
    <row r="179" spans="1:86" s="13" customFormat="1" ht="13.75" customHeight="1">
      <c r="A179" s="137">
        <v>164</v>
      </c>
      <c r="B179" s="138"/>
      <c r="C179" s="139"/>
      <c r="D179" s="140"/>
      <c r="E179" s="139"/>
      <c r="F179" s="139"/>
      <c r="G179" s="191"/>
      <c r="H179" s="139"/>
      <c r="I179" s="141"/>
      <c r="J179" s="142"/>
      <c r="K179" s="139"/>
      <c r="L179" s="147"/>
      <c r="M179" s="148"/>
      <c r="N179" s="583"/>
      <c r="O179" s="229" t="str">
        <f t="shared" si="74"/>
        <v/>
      </c>
      <c r="P179" s="229" t="str">
        <f t="shared" si="75"/>
        <v/>
      </c>
      <c r="Q179" s="230" t="str">
        <f t="shared" si="76"/>
        <v/>
      </c>
      <c r="R179" s="323" t="str">
        <f t="shared" si="77"/>
        <v/>
      </c>
      <c r="S179" s="350"/>
      <c r="T179" s="43"/>
      <c r="U179" s="347" t="str">
        <f t="shared" si="54"/>
        <v/>
      </c>
      <c r="V179" s="7" t="e">
        <f t="shared" si="55"/>
        <v>#N/A</v>
      </c>
      <c r="W179" s="7" t="e">
        <f t="shared" si="56"/>
        <v>#N/A</v>
      </c>
      <c r="X179" s="7" t="e">
        <f t="shared" si="57"/>
        <v>#N/A</v>
      </c>
      <c r="Y179" s="7" t="str">
        <f t="shared" si="58"/>
        <v/>
      </c>
      <c r="Z179" s="11">
        <f t="shared" si="59"/>
        <v>1</v>
      </c>
      <c r="AA179" s="7" t="e">
        <f t="shared" si="60"/>
        <v>#N/A</v>
      </c>
      <c r="AB179" s="7" t="e">
        <f t="shared" si="61"/>
        <v>#N/A</v>
      </c>
      <c r="AC179" s="7" t="e">
        <f t="shared" si="62"/>
        <v>#N/A</v>
      </c>
      <c r="AD179" s="472" t="e">
        <f>VLOOKUP(AF179,'排出係数(2017)'!$A$4:$I$1151,9,FALSE)</f>
        <v>#N/A</v>
      </c>
      <c r="AE179" s="12" t="str">
        <f t="shared" si="63"/>
        <v xml:space="preserve"> </v>
      </c>
      <c r="AF179" s="7" t="e">
        <f t="shared" si="78"/>
        <v>#N/A</v>
      </c>
      <c r="AG179" s="7" t="e">
        <f t="shared" si="64"/>
        <v>#N/A</v>
      </c>
      <c r="AH179" s="472" t="e">
        <f>VLOOKUP(AF179,'排出係数(2017)'!$A$4:$I$1151,6,FALSE)</f>
        <v>#N/A</v>
      </c>
      <c r="AI179" s="7" t="e">
        <f t="shared" si="65"/>
        <v>#N/A</v>
      </c>
      <c r="AJ179" s="7" t="e">
        <f t="shared" si="66"/>
        <v>#N/A</v>
      </c>
      <c r="AK179" s="472" t="e">
        <f>VLOOKUP(AF179,'排出係数(2017)'!$A$4:$I$1151,7,FALSE)</f>
        <v>#N/A</v>
      </c>
      <c r="AL179" s="7" t="e">
        <f t="shared" si="67"/>
        <v>#N/A</v>
      </c>
      <c r="AM179" s="7" t="e">
        <f t="shared" si="68"/>
        <v>#N/A</v>
      </c>
      <c r="AN179" s="7" t="e">
        <f t="shared" si="69"/>
        <v>#N/A</v>
      </c>
      <c r="AO179" s="7">
        <f t="shared" si="70"/>
        <v>0</v>
      </c>
      <c r="AP179" s="7" t="e">
        <f t="shared" si="79"/>
        <v>#N/A</v>
      </c>
      <c r="AQ179" s="7" t="str">
        <f t="shared" si="71"/>
        <v/>
      </c>
      <c r="AR179" s="7" t="str">
        <f t="shared" si="72"/>
        <v/>
      </c>
      <c r="AS179" s="7" t="str">
        <f t="shared" si="73"/>
        <v/>
      </c>
      <c r="AT179" s="97"/>
      <c r="AZ179" s="477" t="s">
        <v>51</v>
      </c>
      <c r="CF179" s="586" t="str">
        <f t="shared" si="80"/>
        <v/>
      </c>
      <c r="CG179"/>
      <c r="CH179"/>
    </row>
    <row r="180" spans="1:86" s="13" customFormat="1" ht="13.75" customHeight="1">
      <c r="A180" s="137">
        <v>165</v>
      </c>
      <c r="B180" s="138"/>
      <c r="C180" s="139"/>
      <c r="D180" s="140"/>
      <c r="E180" s="139"/>
      <c r="F180" s="139"/>
      <c r="G180" s="191"/>
      <c r="H180" s="139"/>
      <c r="I180" s="141"/>
      <c r="J180" s="142"/>
      <c r="K180" s="139"/>
      <c r="L180" s="147"/>
      <c r="M180" s="148"/>
      <c r="N180" s="583"/>
      <c r="O180" s="229" t="str">
        <f t="shared" si="74"/>
        <v/>
      </c>
      <c r="P180" s="229" t="str">
        <f t="shared" si="75"/>
        <v/>
      </c>
      <c r="Q180" s="230" t="str">
        <f t="shared" si="76"/>
        <v/>
      </c>
      <c r="R180" s="323" t="str">
        <f t="shared" si="77"/>
        <v/>
      </c>
      <c r="S180" s="350"/>
      <c r="T180" s="43"/>
      <c r="U180" s="347" t="str">
        <f t="shared" si="54"/>
        <v/>
      </c>
      <c r="V180" s="7" t="e">
        <f t="shared" si="55"/>
        <v>#N/A</v>
      </c>
      <c r="W180" s="7" t="e">
        <f t="shared" si="56"/>
        <v>#N/A</v>
      </c>
      <c r="X180" s="7" t="e">
        <f t="shared" si="57"/>
        <v>#N/A</v>
      </c>
      <c r="Y180" s="7" t="str">
        <f t="shared" si="58"/>
        <v/>
      </c>
      <c r="Z180" s="11">
        <f t="shared" si="59"/>
        <v>1</v>
      </c>
      <c r="AA180" s="7" t="e">
        <f t="shared" si="60"/>
        <v>#N/A</v>
      </c>
      <c r="AB180" s="7" t="e">
        <f t="shared" si="61"/>
        <v>#N/A</v>
      </c>
      <c r="AC180" s="7" t="e">
        <f t="shared" si="62"/>
        <v>#N/A</v>
      </c>
      <c r="AD180" s="472" t="e">
        <f>VLOOKUP(AF180,'排出係数(2017)'!$A$4:$I$1151,9,FALSE)</f>
        <v>#N/A</v>
      </c>
      <c r="AE180" s="12" t="str">
        <f t="shared" si="63"/>
        <v xml:space="preserve"> </v>
      </c>
      <c r="AF180" s="7" t="e">
        <f t="shared" si="78"/>
        <v>#N/A</v>
      </c>
      <c r="AG180" s="7" t="e">
        <f t="shared" si="64"/>
        <v>#N/A</v>
      </c>
      <c r="AH180" s="472" t="e">
        <f>VLOOKUP(AF180,'排出係数(2017)'!$A$4:$I$1151,6,FALSE)</f>
        <v>#N/A</v>
      </c>
      <c r="AI180" s="7" t="e">
        <f t="shared" si="65"/>
        <v>#N/A</v>
      </c>
      <c r="AJ180" s="7" t="e">
        <f t="shared" si="66"/>
        <v>#N/A</v>
      </c>
      <c r="AK180" s="472" t="e">
        <f>VLOOKUP(AF180,'排出係数(2017)'!$A$4:$I$1151,7,FALSE)</f>
        <v>#N/A</v>
      </c>
      <c r="AL180" s="7" t="e">
        <f t="shared" si="67"/>
        <v>#N/A</v>
      </c>
      <c r="AM180" s="7" t="e">
        <f t="shared" si="68"/>
        <v>#N/A</v>
      </c>
      <c r="AN180" s="7" t="e">
        <f t="shared" si="69"/>
        <v>#N/A</v>
      </c>
      <c r="AO180" s="7">
        <f t="shared" si="70"/>
        <v>0</v>
      </c>
      <c r="AP180" s="7" t="e">
        <f t="shared" si="79"/>
        <v>#N/A</v>
      </c>
      <c r="AQ180" s="7" t="str">
        <f t="shared" si="71"/>
        <v/>
      </c>
      <c r="AR180" s="7" t="str">
        <f t="shared" si="72"/>
        <v/>
      </c>
      <c r="AS180" s="7" t="str">
        <f t="shared" si="73"/>
        <v/>
      </c>
      <c r="AT180" s="97"/>
      <c r="AZ180" s="477" t="s">
        <v>52</v>
      </c>
      <c r="CF180" s="586" t="str">
        <f t="shared" si="80"/>
        <v/>
      </c>
      <c r="CG180"/>
      <c r="CH180"/>
    </row>
    <row r="181" spans="1:86" s="13" customFormat="1" ht="13.75" customHeight="1">
      <c r="A181" s="137">
        <v>166</v>
      </c>
      <c r="B181" s="138"/>
      <c r="C181" s="139"/>
      <c r="D181" s="140"/>
      <c r="E181" s="139"/>
      <c r="F181" s="139"/>
      <c r="G181" s="191"/>
      <c r="H181" s="139"/>
      <c r="I181" s="141"/>
      <c r="J181" s="142"/>
      <c r="K181" s="139"/>
      <c r="L181" s="147"/>
      <c r="M181" s="148"/>
      <c r="N181" s="583"/>
      <c r="O181" s="229" t="str">
        <f t="shared" si="74"/>
        <v/>
      </c>
      <c r="P181" s="229" t="str">
        <f t="shared" si="75"/>
        <v/>
      </c>
      <c r="Q181" s="230" t="str">
        <f t="shared" si="76"/>
        <v/>
      </c>
      <c r="R181" s="323" t="str">
        <f t="shared" si="77"/>
        <v/>
      </c>
      <c r="S181" s="350"/>
      <c r="T181" s="43"/>
      <c r="U181" s="347" t="str">
        <f t="shared" si="54"/>
        <v/>
      </c>
      <c r="V181" s="7" t="e">
        <f t="shared" si="55"/>
        <v>#N/A</v>
      </c>
      <c r="W181" s="7" t="e">
        <f t="shared" si="56"/>
        <v>#N/A</v>
      </c>
      <c r="X181" s="7" t="e">
        <f t="shared" si="57"/>
        <v>#N/A</v>
      </c>
      <c r="Y181" s="7" t="str">
        <f t="shared" si="58"/>
        <v/>
      </c>
      <c r="Z181" s="11">
        <f t="shared" si="59"/>
        <v>1</v>
      </c>
      <c r="AA181" s="7" t="e">
        <f t="shared" si="60"/>
        <v>#N/A</v>
      </c>
      <c r="AB181" s="7" t="e">
        <f t="shared" si="61"/>
        <v>#N/A</v>
      </c>
      <c r="AC181" s="7" t="e">
        <f t="shared" si="62"/>
        <v>#N/A</v>
      </c>
      <c r="AD181" s="472" t="e">
        <f>VLOOKUP(AF181,'排出係数(2017)'!$A$4:$I$1151,9,FALSE)</f>
        <v>#N/A</v>
      </c>
      <c r="AE181" s="12" t="str">
        <f t="shared" si="63"/>
        <v xml:space="preserve"> </v>
      </c>
      <c r="AF181" s="7" t="e">
        <f t="shared" si="78"/>
        <v>#N/A</v>
      </c>
      <c r="AG181" s="7" t="e">
        <f t="shared" si="64"/>
        <v>#N/A</v>
      </c>
      <c r="AH181" s="472" t="e">
        <f>VLOOKUP(AF181,'排出係数(2017)'!$A$4:$I$1151,6,FALSE)</f>
        <v>#N/A</v>
      </c>
      <c r="AI181" s="7" t="e">
        <f t="shared" si="65"/>
        <v>#N/A</v>
      </c>
      <c r="AJ181" s="7" t="e">
        <f t="shared" si="66"/>
        <v>#N/A</v>
      </c>
      <c r="AK181" s="472" t="e">
        <f>VLOOKUP(AF181,'排出係数(2017)'!$A$4:$I$1151,7,FALSE)</f>
        <v>#N/A</v>
      </c>
      <c r="AL181" s="7" t="e">
        <f t="shared" si="67"/>
        <v>#N/A</v>
      </c>
      <c r="AM181" s="7" t="e">
        <f t="shared" si="68"/>
        <v>#N/A</v>
      </c>
      <c r="AN181" s="7" t="e">
        <f t="shared" si="69"/>
        <v>#N/A</v>
      </c>
      <c r="AO181" s="7">
        <f t="shared" si="70"/>
        <v>0</v>
      </c>
      <c r="AP181" s="7" t="e">
        <f t="shared" si="79"/>
        <v>#N/A</v>
      </c>
      <c r="AQ181" s="7" t="str">
        <f t="shared" si="71"/>
        <v/>
      </c>
      <c r="AR181" s="7" t="str">
        <f t="shared" si="72"/>
        <v/>
      </c>
      <c r="AS181" s="7" t="str">
        <f t="shared" si="73"/>
        <v/>
      </c>
      <c r="AT181" s="97"/>
      <c r="AZ181" s="477" t="s">
        <v>53</v>
      </c>
      <c r="CF181" s="586" t="str">
        <f t="shared" si="80"/>
        <v/>
      </c>
      <c r="CG181"/>
      <c r="CH181"/>
    </row>
    <row r="182" spans="1:86" s="13" customFormat="1" ht="13.75" customHeight="1">
      <c r="A182" s="137">
        <v>167</v>
      </c>
      <c r="B182" s="138"/>
      <c r="C182" s="139"/>
      <c r="D182" s="140"/>
      <c r="E182" s="139"/>
      <c r="F182" s="139"/>
      <c r="G182" s="191"/>
      <c r="H182" s="139"/>
      <c r="I182" s="141"/>
      <c r="J182" s="142"/>
      <c r="K182" s="139"/>
      <c r="L182" s="147"/>
      <c r="M182" s="148"/>
      <c r="N182" s="583"/>
      <c r="O182" s="229" t="str">
        <f t="shared" si="74"/>
        <v/>
      </c>
      <c r="P182" s="229" t="str">
        <f t="shared" si="75"/>
        <v/>
      </c>
      <c r="Q182" s="230" t="str">
        <f t="shared" si="76"/>
        <v/>
      </c>
      <c r="R182" s="323" t="str">
        <f t="shared" si="77"/>
        <v/>
      </c>
      <c r="S182" s="350"/>
      <c r="T182" s="43"/>
      <c r="U182" s="347" t="str">
        <f t="shared" si="54"/>
        <v/>
      </c>
      <c r="V182" s="7" t="e">
        <f t="shared" si="55"/>
        <v>#N/A</v>
      </c>
      <c r="W182" s="7" t="e">
        <f t="shared" si="56"/>
        <v>#N/A</v>
      </c>
      <c r="X182" s="7" t="e">
        <f t="shared" si="57"/>
        <v>#N/A</v>
      </c>
      <c r="Y182" s="7" t="str">
        <f t="shared" si="58"/>
        <v/>
      </c>
      <c r="Z182" s="11">
        <f t="shared" si="59"/>
        <v>1</v>
      </c>
      <c r="AA182" s="7" t="e">
        <f t="shared" si="60"/>
        <v>#N/A</v>
      </c>
      <c r="AB182" s="7" t="e">
        <f t="shared" si="61"/>
        <v>#N/A</v>
      </c>
      <c r="AC182" s="7" t="e">
        <f t="shared" si="62"/>
        <v>#N/A</v>
      </c>
      <c r="AD182" s="472" t="e">
        <f>VLOOKUP(AF182,'排出係数(2017)'!$A$4:$I$1151,9,FALSE)</f>
        <v>#N/A</v>
      </c>
      <c r="AE182" s="12" t="str">
        <f t="shared" si="63"/>
        <v xml:space="preserve"> </v>
      </c>
      <c r="AF182" s="7" t="e">
        <f t="shared" si="78"/>
        <v>#N/A</v>
      </c>
      <c r="AG182" s="7" t="e">
        <f t="shared" si="64"/>
        <v>#N/A</v>
      </c>
      <c r="AH182" s="472" t="e">
        <f>VLOOKUP(AF182,'排出係数(2017)'!$A$4:$I$1151,6,FALSE)</f>
        <v>#N/A</v>
      </c>
      <c r="AI182" s="7" t="e">
        <f t="shared" si="65"/>
        <v>#N/A</v>
      </c>
      <c r="AJ182" s="7" t="e">
        <f t="shared" si="66"/>
        <v>#N/A</v>
      </c>
      <c r="AK182" s="472" t="e">
        <f>VLOOKUP(AF182,'排出係数(2017)'!$A$4:$I$1151,7,FALSE)</f>
        <v>#N/A</v>
      </c>
      <c r="AL182" s="7" t="e">
        <f t="shared" si="67"/>
        <v>#N/A</v>
      </c>
      <c r="AM182" s="7" t="e">
        <f t="shared" si="68"/>
        <v>#N/A</v>
      </c>
      <c r="AN182" s="7" t="e">
        <f t="shared" si="69"/>
        <v>#N/A</v>
      </c>
      <c r="AO182" s="7">
        <f t="shared" si="70"/>
        <v>0</v>
      </c>
      <c r="AP182" s="7" t="e">
        <f t="shared" si="79"/>
        <v>#N/A</v>
      </c>
      <c r="AQ182" s="7" t="str">
        <f t="shared" si="71"/>
        <v/>
      </c>
      <c r="AR182" s="7" t="str">
        <f t="shared" si="72"/>
        <v/>
      </c>
      <c r="AS182" s="7" t="str">
        <f t="shared" si="73"/>
        <v/>
      </c>
      <c r="AT182" s="97"/>
      <c r="AZ182" s="477" t="s">
        <v>54</v>
      </c>
      <c r="CF182" s="586" t="str">
        <f t="shared" si="80"/>
        <v/>
      </c>
      <c r="CG182"/>
      <c r="CH182"/>
    </row>
    <row r="183" spans="1:86" s="13" customFormat="1" ht="13.75" customHeight="1">
      <c r="A183" s="137">
        <v>168</v>
      </c>
      <c r="B183" s="138"/>
      <c r="C183" s="139"/>
      <c r="D183" s="140"/>
      <c r="E183" s="139"/>
      <c r="F183" s="139"/>
      <c r="G183" s="191"/>
      <c r="H183" s="139"/>
      <c r="I183" s="141"/>
      <c r="J183" s="142"/>
      <c r="K183" s="139"/>
      <c r="L183" s="147"/>
      <c r="M183" s="148"/>
      <c r="N183" s="583"/>
      <c r="O183" s="229" t="str">
        <f t="shared" si="74"/>
        <v/>
      </c>
      <c r="P183" s="229" t="str">
        <f t="shared" si="75"/>
        <v/>
      </c>
      <c r="Q183" s="230" t="str">
        <f t="shared" si="76"/>
        <v/>
      </c>
      <c r="R183" s="323" t="str">
        <f t="shared" si="77"/>
        <v/>
      </c>
      <c r="S183" s="350"/>
      <c r="T183" s="43"/>
      <c r="U183" s="347" t="str">
        <f t="shared" si="54"/>
        <v/>
      </c>
      <c r="V183" s="7" t="e">
        <f t="shared" si="55"/>
        <v>#N/A</v>
      </c>
      <c r="W183" s="7" t="e">
        <f t="shared" si="56"/>
        <v>#N/A</v>
      </c>
      <c r="X183" s="7" t="e">
        <f t="shared" si="57"/>
        <v>#N/A</v>
      </c>
      <c r="Y183" s="7" t="str">
        <f t="shared" si="58"/>
        <v/>
      </c>
      <c r="Z183" s="11">
        <f t="shared" si="59"/>
        <v>1</v>
      </c>
      <c r="AA183" s="7" t="e">
        <f t="shared" si="60"/>
        <v>#N/A</v>
      </c>
      <c r="AB183" s="7" t="e">
        <f t="shared" si="61"/>
        <v>#N/A</v>
      </c>
      <c r="AC183" s="7" t="e">
        <f t="shared" si="62"/>
        <v>#N/A</v>
      </c>
      <c r="AD183" s="472" t="e">
        <f>VLOOKUP(AF183,'排出係数(2017)'!$A$4:$I$1151,9,FALSE)</f>
        <v>#N/A</v>
      </c>
      <c r="AE183" s="12" t="str">
        <f t="shared" si="63"/>
        <v xml:space="preserve"> </v>
      </c>
      <c r="AF183" s="7" t="e">
        <f t="shared" si="78"/>
        <v>#N/A</v>
      </c>
      <c r="AG183" s="7" t="e">
        <f t="shared" si="64"/>
        <v>#N/A</v>
      </c>
      <c r="AH183" s="472" t="e">
        <f>VLOOKUP(AF183,'排出係数(2017)'!$A$4:$I$1151,6,FALSE)</f>
        <v>#N/A</v>
      </c>
      <c r="AI183" s="7" t="e">
        <f t="shared" si="65"/>
        <v>#N/A</v>
      </c>
      <c r="AJ183" s="7" t="e">
        <f t="shared" si="66"/>
        <v>#N/A</v>
      </c>
      <c r="AK183" s="472" t="e">
        <f>VLOOKUP(AF183,'排出係数(2017)'!$A$4:$I$1151,7,FALSE)</f>
        <v>#N/A</v>
      </c>
      <c r="AL183" s="7" t="e">
        <f t="shared" si="67"/>
        <v>#N/A</v>
      </c>
      <c r="AM183" s="7" t="e">
        <f t="shared" si="68"/>
        <v>#N/A</v>
      </c>
      <c r="AN183" s="7" t="e">
        <f t="shared" si="69"/>
        <v>#N/A</v>
      </c>
      <c r="AO183" s="7">
        <f t="shared" si="70"/>
        <v>0</v>
      </c>
      <c r="AP183" s="7" t="e">
        <f t="shared" si="79"/>
        <v>#N/A</v>
      </c>
      <c r="AQ183" s="7" t="str">
        <f t="shared" si="71"/>
        <v/>
      </c>
      <c r="AR183" s="7" t="str">
        <f t="shared" si="72"/>
        <v/>
      </c>
      <c r="AS183" s="7" t="str">
        <f t="shared" si="73"/>
        <v/>
      </c>
      <c r="AT183" s="97"/>
      <c r="AZ183" s="477" t="s">
        <v>55</v>
      </c>
      <c r="CF183" s="586" t="str">
        <f t="shared" si="80"/>
        <v/>
      </c>
      <c r="CG183"/>
      <c r="CH183"/>
    </row>
    <row r="184" spans="1:86" s="13" customFormat="1" ht="13.75" customHeight="1">
      <c r="A184" s="137">
        <v>169</v>
      </c>
      <c r="B184" s="138"/>
      <c r="C184" s="139"/>
      <c r="D184" s="140"/>
      <c r="E184" s="139"/>
      <c r="F184" s="139"/>
      <c r="G184" s="191"/>
      <c r="H184" s="139"/>
      <c r="I184" s="141"/>
      <c r="J184" s="142"/>
      <c r="K184" s="139"/>
      <c r="L184" s="147"/>
      <c r="M184" s="148"/>
      <c r="N184" s="583"/>
      <c r="O184" s="229" t="str">
        <f t="shared" si="74"/>
        <v/>
      </c>
      <c r="P184" s="229" t="str">
        <f t="shared" si="75"/>
        <v/>
      </c>
      <c r="Q184" s="230" t="str">
        <f t="shared" si="76"/>
        <v/>
      </c>
      <c r="R184" s="323" t="str">
        <f t="shared" si="77"/>
        <v/>
      </c>
      <c r="S184" s="350"/>
      <c r="T184" s="43"/>
      <c r="U184" s="347" t="str">
        <f t="shared" si="54"/>
        <v/>
      </c>
      <c r="V184" s="7" t="e">
        <f t="shared" si="55"/>
        <v>#N/A</v>
      </c>
      <c r="W184" s="7" t="e">
        <f t="shared" si="56"/>
        <v>#N/A</v>
      </c>
      <c r="X184" s="7" t="e">
        <f t="shared" si="57"/>
        <v>#N/A</v>
      </c>
      <c r="Y184" s="7" t="str">
        <f t="shared" si="58"/>
        <v/>
      </c>
      <c r="Z184" s="11">
        <f t="shared" si="59"/>
        <v>1</v>
      </c>
      <c r="AA184" s="7" t="e">
        <f t="shared" si="60"/>
        <v>#N/A</v>
      </c>
      <c r="AB184" s="7" t="e">
        <f t="shared" si="61"/>
        <v>#N/A</v>
      </c>
      <c r="AC184" s="7" t="e">
        <f t="shared" si="62"/>
        <v>#N/A</v>
      </c>
      <c r="AD184" s="472" t="e">
        <f>VLOOKUP(AF184,'排出係数(2017)'!$A$4:$I$1151,9,FALSE)</f>
        <v>#N/A</v>
      </c>
      <c r="AE184" s="12" t="str">
        <f t="shared" si="63"/>
        <v xml:space="preserve"> </v>
      </c>
      <c r="AF184" s="7" t="e">
        <f t="shared" si="78"/>
        <v>#N/A</v>
      </c>
      <c r="AG184" s="7" t="e">
        <f t="shared" si="64"/>
        <v>#N/A</v>
      </c>
      <c r="AH184" s="472" t="e">
        <f>VLOOKUP(AF184,'排出係数(2017)'!$A$4:$I$1151,6,FALSE)</f>
        <v>#N/A</v>
      </c>
      <c r="AI184" s="7" t="e">
        <f t="shared" si="65"/>
        <v>#N/A</v>
      </c>
      <c r="AJ184" s="7" t="e">
        <f t="shared" si="66"/>
        <v>#N/A</v>
      </c>
      <c r="AK184" s="472" t="e">
        <f>VLOOKUP(AF184,'排出係数(2017)'!$A$4:$I$1151,7,FALSE)</f>
        <v>#N/A</v>
      </c>
      <c r="AL184" s="7" t="e">
        <f t="shared" si="67"/>
        <v>#N/A</v>
      </c>
      <c r="AM184" s="7" t="e">
        <f t="shared" si="68"/>
        <v>#N/A</v>
      </c>
      <c r="AN184" s="7" t="e">
        <f t="shared" si="69"/>
        <v>#N/A</v>
      </c>
      <c r="AO184" s="7">
        <f t="shared" si="70"/>
        <v>0</v>
      </c>
      <c r="AP184" s="7" t="e">
        <f t="shared" si="79"/>
        <v>#N/A</v>
      </c>
      <c r="AQ184" s="7" t="str">
        <f t="shared" si="71"/>
        <v/>
      </c>
      <c r="AR184" s="7" t="str">
        <f t="shared" si="72"/>
        <v/>
      </c>
      <c r="AS184" s="7" t="str">
        <f t="shared" si="73"/>
        <v/>
      </c>
      <c r="AT184" s="97"/>
      <c r="AZ184" s="477" t="s">
        <v>56</v>
      </c>
      <c r="CF184" s="586" t="str">
        <f t="shared" si="80"/>
        <v/>
      </c>
      <c r="CG184"/>
      <c r="CH184"/>
    </row>
    <row r="185" spans="1:86" s="13" customFormat="1" ht="13.75" customHeight="1">
      <c r="A185" s="137">
        <v>170</v>
      </c>
      <c r="B185" s="138"/>
      <c r="C185" s="139"/>
      <c r="D185" s="140"/>
      <c r="E185" s="139"/>
      <c r="F185" s="139"/>
      <c r="G185" s="191"/>
      <c r="H185" s="139"/>
      <c r="I185" s="141"/>
      <c r="J185" s="142"/>
      <c r="K185" s="139"/>
      <c r="L185" s="147"/>
      <c r="M185" s="148"/>
      <c r="N185" s="583"/>
      <c r="O185" s="229" t="str">
        <f t="shared" si="74"/>
        <v/>
      </c>
      <c r="P185" s="229" t="str">
        <f t="shared" si="75"/>
        <v/>
      </c>
      <c r="Q185" s="230" t="str">
        <f t="shared" si="76"/>
        <v/>
      </c>
      <c r="R185" s="323" t="str">
        <f t="shared" si="77"/>
        <v/>
      </c>
      <c r="S185" s="350"/>
      <c r="T185" s="43"/>
      <c r="U185" s="347" t="str">
        <f t="shared" si="54"/>
        <v/>
      </c>
      <c r="V185" s="7" t="e">
        <f t="shared" si="55"/>
        <v>#N/A</v>
      </c>
      <c r="W185" s="7" t="e">
        <f t="shared" si="56"/>
        <v>#N/A</v>
      </c>
      <c r="X185" s="7" t="e">
        <f t="shared" si="57"/>
        <v>#N/A</v>
      </c>
      <c r="Y185" s="7" t="str">
        <f t="shared" si="58"/>
        <v/>
      </c>
      <c r="Z185" s="11">
        <f t="shared" si="59"/>
        <v>1</v>
      </c>
      <c r="AA185" s="7" t="e">
        <f t="shared" si="60"/>
        <v>#N/A</v>
      </c>
      <c r="AB185" s="7" t="e">
        <f t="shared" si="61"/>
        <v>#N/A</v>
      </c>
      <c r="AC185" s="7" t="e">
        <f t="shared" si="62"/>
        <v>#N/A</v>
      </c>
      <c r="AD185" s="472" t="e">
        <f>VLOOKUP(AF185,'排出係数(2017)'!$A$4:$I$1151,9,FALSE)</f>
        <v>#N/A</v>
      </c>
      <c r="AE185" s="12" t="str">
        <f t="shared" si="63"/>
        <v xml:space="preserve"> </v>
      </c>
      <c r="AF185" s="7" t="e">
        <f t="shared" si="78"/>
        <v>#N/A</v>
      </c>
      <c r="AG185" s="7" t="e">
        <f t="shared" si="64"/>
        <v>#N/A</v>
      </c>
      <c r="AH185" s="472" t="e">
        <f>VLOOKUP(AF185,'排出係数(2017)'!$A$4:$I$1151,6,FALSE)</f>
        <v>#N/A</v>
      </c>
      <c r="AI185" s="7" t="e">
        <f t="shared" si="65"/>
        <v>#N/A</v>
      </c>
      <c r="AJ185" s="7" t="e">
        <f t="shared" si="66"/>
        <v>#N/A</v>
      </c>
      <c r="AK185" s="472" t="e">
        <f>VLOOKUP(AF185,'排出係数(2017)'!$A$4:$I$1151,7,FALSE)</f>
        <v>#N/A</v>
      </c>
      <c r="AL185" s="7" t="e">
        <f t="shared" si="67"/>
        <v>#N/A</v>
      </c>
      <c r="AM185" s="7" t="e">
        <f t="shared" si="68"/>
        <v>#N/A</v>
      </c>
      <c r="AN185" s="7" t="e">
        <f t="shared" si="69"/>
        <v>#N/A</v>
      </c>
      <c r="AO185" s="7">
        <f t="shared" si="70"/>
        <v>0</v>
      </c>
      <c r="AP185" s="7" t="e">
        <f t="shared" si="79"/>
        <v>#N/A</v>
      </c>
      <c r="AQ185" s="7" t="str">
        <f t="shared" si="71"/>
        <v/>
      </c>
      <c r="AR185" s="7" t="str">
        <f t="shared" si="72"/>
        <v/>
      </c>
      <c r="AS185" s="7" t="str">
        <f t="shared" si="73"/>
        <v/>
      </c>
      <c r="AT185" s="97"/>
      <c r="AZ185" s="477" t="s">
        <v>57</v>
      </c>
      <c r="CF185" s="586" t="str">
        <f t="shared" si="80"/>
        <v/>
      </c>
      <c r="CG185"/>
      <c r="CH185"/>
    </row>
    <row r="186" spans="1:86" s="13" customFormat="1" ht="13.75" customHeight="1">
      <c r="A186" s="137">
        <v>171</v>
      </c>
      <c r="B186" s="138"/>
      <c r="C186" s="139"/>
      <c r="D186" s="140"/>
      <c r="E186" s="139"/>
      <c r="F186" s="139"/>
      <c r="G186" s="191"/>
      <c r="H186" s="139"/>
      <c r="I186" s="141"/>
      <c r="J186" s="142"/>
      <c r="K186" s="139"/>
      <c r="L186" s="147"/>
      <c r="M186" s="148"/>
      <c r="N186" s="583"/>
      <c r="O186" s="229" t="str">
        <f t="shared" si="74"/>
        <v/>
      </c>
      <c r="P186" s="229" t="str">
        <f t="shared" si="75"/>
        <v/>
      </c>
      <c r="Q186" s="230" t="str">
        <f t="shared" si="76"/>
        <v/>
      </c>
      <c r="R186" s="323" t="str">
        <f t="shared" si="77"/>
        <v/>
      </c>
      <c r="S186" s="350"/>
      <c r="T186" s="43"/>
      <c r="U186" s="347" t="str">
        <f t="shared" si="54"/>
        <v/>
      </c>
      <c r="V186" s="7" t="e">
        <f t="shared" si="55"/>
        <v>#N/A</v>
      </c>
      <c r="W186" s="7" t="e">
        <f t="shared" si="56"/>
        <v>#N/A</v>
      </c>
      <c r="X186" s="7" t="e">
        <f t="shared" si="57"/>
        <v>#N/A</v>
      </c>
      <c r="Y186" s="7" t="str">
        <f t="shared" si="58"/>
        <v/>
      </c>
      <c r="Z186" s="11">
        <f t="shared" si="59"/>
        <v>1</v>
      </c>
      <c r="AA186" s="7" t="e">
        <f t="shared" si="60"/>
        <v>#N/A</v>
      </c>
      <c r="AB186" s="7" t="e">
        <f t="shared" si="61"/>
        <v>#N/A</v>
      </c>
      <c r="AC186" s="7" t="e">
        <f t="shared" si="62"/>
        <v>#N/A</v>
      </c>
      <c r="AD186" s="472" t="e">
        <f>VLOOKUP(AF186,'排出係数(2017)'!$A$4:$I$1151,9,FALSE)</f>
        <v>#N/A</v>
      </c>
      <c r="AE186" s="12" t="str">
        <f t="shared" si="63"/>
        <v xml:space="preserve"> </v>
      </c>
      <c r="AF186" s="7" t="e">
        <f t="shared" si="78"/>
        <v>#N/A</v>
      </c>
      <c r="AG186" s="7" t="e">
        <f t="shared" si="64"/>
        <v>#N/A</v>
      </c>
      <c r="AH186" s="472" t="e">
        <f>VLOOKUP(AF186,'排出係数(2017)'!$A$4:$I$1151,6,FALSE)</f>
        <v>#N/A</v>
      </c>
      <c r="AI186" s="7" t="e">
        <f t="shared" si="65"/>
        <v>#N/A</v>
      </c>
      <c r="AJ186" s="7" t="e">
        <f t="shared" si="66"/>
        <v>#N/A</v>
      </c>
      <c r="AK186" s="472" t="e">
        <f>VLOOKUP(AF186,'排出係数(2017)'!$A$4:$I$1151,7,FALSE)</f>
        <v>#N/A</v>
      </c>
      <c r="AL186" s="7" t="e">
        <f t="shared" si="67"/>
        <v>#N/A</v>
      </c>
      <c r="AM186" s="7" t="e">
        <f t="shared" si="68"/>
        <v>#N/A</v>
      </c>
      <c r="AN186" s="7" t="e">
        <f t="shared" si="69"/>
        <v>#N/A</v>
      </c>
      <c r="AO186" s="7">
        <f t="shared" si="70"/>
        <v>0</v>
      </c>
      <c r="AP186" s="7" t="e">
        <f t="shared" si="79"/>
        <v>#N/A</v>
      </c>
      <c r="AQ186" s="7" t="str">
        <f t="shared" si="71"/>
        <v/>
      </c>
      <c r="AR186" s="7" t="str">
        <f t="shared" si="72"/>
        <v/>
      </c>
      <c r="AS186" s="7" t="str">
        <f t="shared" si="73"/>
        <v/>
      </c>
      <c r="AT186" s="97"/>
      <c r="AZ186" s="477" t="s">
        <v>58</v>
      </c>
      <c r="CF186" s="586" t="str">
        <f t="shared" si="80"/>
        <v/>
      </c>
      <c r="CG186"/>
      <c r="CH186"/>
    </row>
    <row r="187" spans="1:86" s="13" customFormat="1" ht="13.75" customHeight="1">
      <c r="A187" s="137">
        <v>172</v>
      </c>
      <c r="B187" s="138"/>
      <c r="C187" s="139"/>
      <c r="D187" s="140"/>
      <c r="E187" s="139"/>
      <c r="F187" s="139"/>
      <c r="G187" s="191"/>
      <c r="H187" s="139"/>
      <c r="I187" s="141"/>
      <c r="J187" s="142"/>
      <c r="K187" s="139"/>
      <c r="L187" s="147"/>
      <c r="M187" s="148"/>
      <c r="N187" s="583"/>
      <c r="O187" s="229" t="str">
        <f t="shared" si="74"/>
        <v/>
      </c>
      <c r="P187" s="229" t="str">
        <f t="shared" si="75"/>
        <v/>
      </c>
      <c r="Q187" s="230" t="str">
        <f t="shared" si="76"/>
        <v/>
      </c>
      <c r="R187" s="323" t="str">
        <f t="shared" si="77"/>
        <v/>
      </c>
      <c r="S187" s="350"/>
      <c r="T187" s="43"/>
      <c r="U187" s="347" t="str">
        <f t="shared" si="54"/>
        <v/>
      </c>
      <c r="V187" s="7" t="e">
        <f t="shared" si="55"/>
        <v>#N/A</v>
      </c>
      <c r="W187" s="7" t="e">
        <f t="shared" si="56"/>
        <v>#N/A</v>
      </c>
      <c r="X187" s="7" t="e">
        <f t="shared" si="57"/>
        <v>#N/A</v>
      </c>
      <c r="Y187" s="7" t="str">
        <f t="shared" si="58"/>
        <v/>
      </c>
      <c r="Z187" s="11">
        <f t="shared" si="59"/>
        <v>1</v>
      </c>
      <c r="AA187" s="7" t="e">
        <f t="shared" si="60"/>
        <v>#N/A</v>
      </c>
      <c r="AB187" s="7" t="e">
        <f t="shared" si="61"/>
        <v>#N/A</v>
      </c>
      <c r="AC187" s="7" t="e">
        <f t="shared" si="62"/>
        <v>#N/A</v>
      </c>
      <c r="AD187" s="472" t="e">
        <f>VLOOKUP(AF187,'排出係数(2017)'!$A$4:$I$1151,9,FALSE)</f>
        <v>#N/A</v>
      </c>
      <c r="AE187" s="12" t="str">
        <f t="shared" si="63"/>
        <v xml:space="preserve"> </v>
      </c>
      <c r="AF187" s="7" t="e">
        <f t="shared" si="78"/>
        <v>#N/A</v>
      </c>
      <c r="AG187" s="7" t="e">
        <f t="shared" si="64"/>
        <v>#N/A</v>
      </c>
      <c r="AH187" s="472" t="e">
        <f>VLOOKUP(AF187,'排出係数(2017)'!$A$4:$I$1151,6,FALSE)</f>
        <v>#N/A</v>
      </c>
      <c r="AI187" s="7" t="e">
        <f t="shared" si="65"/>
        <v>#N/A</v>
      </c>
      <c r="AJ187" s="7" t="e">
        <f t="shared" si="66"/>
        <v>#N/A</v>
      </c>
      <c r="AK187" s="472" t="e">
        <f>VLOOKUP(AF187,'排出係数(2017)'!$A$4:$I$1151,7,FALSE)</f>
        <v>#N/A</v>
      </c>
      <c r="AL187" s="7" t="e">
        <f t="shared" si="67"/>
        <v>#N/A</v>
      </c>
      <c r="AM187" s="7" t="e">
        <f t="shared" si="68"/>
        <v>#N/A</v>
      </c>
      <c r="AN187" s="7" t="e">
        <f t="shared" si="69"/>
        <v>#N/A</v>
      </c>
      <c r="AO187" s="7">
        <f t="shared" si="70"/>
        <v>0</v>
      </c>
      <c r="AP187" s="7" t="e">
        <f t="shared" si="79"/>
        <v>#N/A</v>
      </c>
      <c r="AQ187" s="7" t="str">
        <f t="shared" si="71"/>
        <v/>
      </c>
      <c r="AR187" s="7" t="str">
        <f t="shared" si="72"/>
        <v/>
      </c>
      <c r="AS187" s="7" t="str">
        <f t="shared" si="73"/>
        <v/>
      </c>
      <c r="AT187" s="97"/>
      <c r="AZ187" s="477" t="s">
        <v>2460</v>
      </c>
      <c r="CF187" s="586" t="str">
        <f t="shared" si="80"/>
        <v/>
      </c>
      <c r="CG187"/>
      <c r="CH187"/>
    </row>
    <row r="188" spans="1:86" s="13" customFormat="1" ht="13.75" customHeight="1">
      <c r="A188" s="137">
        <v>173</v>
      </c>
      <c r="B188" s="138"/>
      <c r="C188" s="139"/>
      <c r="D188" s="140"/>
      <c r="E188" s="139"/>
      <c r="F188" s="139"/>
      <c r="G188" s="191"/>
      <c r="H188" s="139"/>
      <c r="I188" s="141"/>
      <c r="J188" s="142"/>
      <c r="K188" s="139"/>
      <c r="L188" s="147"/>
      <c r="M188" s="148"/>
      <c r="N188" s="583"/>
      <c r="O188" s="229" t="str">
        <f t="shared" si="74"/>
        <v/>
      </c>
      <c r="P188" s="229" t="str">
        <f t="shared" si="75"/>
        <v/>
      </c>
      <c r="Q188" s="230" t="str">
        <f t="shared" si="76"/>
        <v/>
      </c>
      <c r="R188" s="323" t="str">
        <f t="shared" si="77"/>
        <v/>
      </c>
      <c r="S188" s="350"/>
      <c r="T188" s="43"/>
      <c r="U188" s="347" t="str">
        <f t="shared" si="54"/>
        <v/>
      </c>
      <c r="V188" s="7" t="e">
        <f t="shared" si="55"/>
        <v>#N/A</v>
      </c>
      <c r="W188" s="7" t="e">
        <f t="shared" si="56"/>
        <v>#N/A</v>
      </c>
      <c r="X188" s="7" t="e">
        <f t="shared" si="57"/>
        <v>#N/A</v>
      </c>
      <c r="Y188" s="7" t="str">
        <f t="shared" si="58"/>
        <v/>
      </c>
      <c r="Z188" s="11">
        <f t="shared" si="59"/>
        <v>1</v>
      </c>
      <c r="AA188" s="7" t="e">
        <f t="shared" si="60"/>
        <v>#N/A</v>
      </c>
      <c r="AB188" s="7" t="e">
        <f t="shared" si="61"/>
        <v>#N/A</v>
      </c>
      <c r="AC188" s="7" t="e">
        <f t="shared" si="62"/>
        <v>#N/A</v>
      </c>
      <c r="AD188" s="472" t="e">
        <f>VLOOKUP(AF188,'排出係数(2017)'!$A$4:$I$1151,9,FALSE)</f>
        <v>#N/A</v>
      </c>
      <c r="AE188" s="12" t="str">
        <f t="shared" si="63"/>
        <v xml:space="preserve"> </v>
      </c>
      <c r="AF188" s="7" t="e">
        <f t="shared" si="78"/>
        <v>#N/A</v>
      </c>
      <c r="AG188" s="7" t="e">
        <f t="shared" si="64"/>
        <v>#N/A</v>
      </c>
      <c r="AH188" s="472" t="e">
        <f>VLOOKUP(AF188,'排出係数(2017)'!$A$4:$I$1151,6,FALSE)</f>
        <v>#N/A</v>
      </c>
      <c r="AI188" s="7" t="e">
        <f t="shared" si="65"/>
        <v>#N/A</v>
      </c>
      <c r="AJ188" s="7" t="e">
        <f t="shared" si="66"/>
        <v>#N/A</v>
      </c>
      <c r="AK188" s="472" t="e">
        <f>VLOOKUP(AF188,'排出係数(2017)'!$A$4:$I$1151,7,FALSE)</f>
        <v>#N/A</v>
      </c>
      <c r="AL188" s="7" t="e">
        <f t="shared" si="67"/>
        <v>#N/A</v>
      </c>
      <c r="AM188" s="7" t="e">
        <f t="shared" si="68"/>
        <v>#N/A</v>
      </c>
      <c r="AN188" s="7" t="e">
        <f t="shared" si="69"/>
        <v>#N/A</v>
      </c>
      <c r="AO188" s="7">
        <f t="shared" si="70"/>
        <v>0</v>
      </c>
      <c r="AP188" s="7" t="e">
        <f t="shared" si="79"/>
        <v>#N/A</v>
      </c>
      <c r="AQ188" s="7" t="str">
        <f t="shared" si="71"/>
        <v/>
      </c>
      <c r="AR188" s="7" t="str">
        <f t="shared" si="72"/>
        <v/>
      </c>
      <c r="AS188" s="7" t="str">
        <f t="shared" si="73"/>
        <v/>
      </c>
      <c r="AT188" s="97"/>
      <c r="AZ188" s="477" t="s">
        <v>105</v>
      </c>
      <c r="CF188" s="586" t="str">
        <f t="shared" si="80"/>
        <v/>
      </c>
      <c r="CG188"/>
      <c r="CH188"/>
    </row>
    <row r="189" spans="1:86" s="13" customFormat="1" ht="13.75" customHeight="1">
      <c r="A189" s="137">
        <v>174</v>
      </c>
      <c r="B189" s="138"/>
      <c r="C189" s="139"/>
      <c r="D189" s="140"/>
      <c r="E189" s="139"/>
      <c r="F189" s="139"/>
      <c r="G189" s="191"/>
      <c r="H189" s="139"/>
      <c r="I189" s="141"/>
      <c r="J189" s="142"/>
      <c r="K189" s="139"/>
      <c r="L189" s="147"/>
      <c r="M189" s="148"/>
      <c r="N189" s="583"/>
      <c r="O189" s="229" t="str">
        <f t="shared" si="74"/>
        <v/>
      </c>
      <c r="P189" s="229" t="str">
        <f t="shared" si="75"/>
        <v/>
      </c>
      <c r="Q189" s="230" t="str">
        <f t="shared" si="76"/>
        <v/>
      </c>
      <c r="R189" s="323" t="str">
        <f t="shared" si="77"/>
        <v/>
      </c>
      <c r="S189" s="350"/>
      <c r="T189" s="43"/>
      <c r="U189" s="347" t="str">
        <f t="shared" si="54"/>
        <v/>
      </c>
      <c r="V189" s="7" t="e">
        <f t="shared" si="55"/>
        <v>#N/A</v>
      </c>
      <c r="W189" s="7" t="e">
        <f t="shared" si="56"/>
        <v>#N/A</v>
      </c>
      <c r="X189" s="7" t="e">
        <f t="shared" si="57"/>
        <v>#N/A</v>
      </c>
      <c r="Y189" s="7" t="str">
        <f t="shared" si="58"/>
        <v/>
      </c>
      <c r="Z189" s="11">
        <f t="shared" si="59"/>
        <v>1</v>
      </c>
      <c r="AA189" s="7" t="e">
        <f t="shared" si="60"/>
        <v>#N/A</v>
      </c>
      <c r="AB189" s="7" t="e">
        <f t="shared" si="61"/>
        <v>#N/A</v>
      </c>
      <c r="AC189" s="7" t="e">
        <f t="shared" si="62"/>
        <v>#N/A</v>
      </c>
      <c r="AD189" s="472" t="e">
        <f>VLOOKUP(AF189,'排出係数(2017)'!$A$4:$I$1151,9,FALSE)</f>
        <v>#N/A</v>
      </c>
      <c r="AE189" s="12" t="str">
        <f t="shared" si="63"/>
        <v xml:space="preserve"> </v>
      </c>
      <c r="AF189" s="7" t="e">
        <f t="shared" si="78"/>
        <v>#N/A</v>
      </c>
      <c r="AG189" s="7" t="e">
        <f t="shared" si="64"/>
        <v>#N/A</v>
      </c>
      <c r="AH189" s="472" t="e">
        <f>VLOOKUP(AF189,'排出係数(2017)'!$A$4:$I$1151,6,FALSE)</f>
        <v>#N/A</v>
      </c>
      <c r="AI189" s="7" t="e">
        <f t="shared" si="65"/>
        <v>#N/A</v>
      </c>
      <c r="AJ189" s="7" t="e">
        <f t="shared" si="66"/>
        <v>#N/A</v>
      </c>
      <c r="AK189" s="472" t="e">
        <f>VLOOKUP(AF189,'排出係数(2017)'!$A$4:$I$1151,7,FALSE)</f>
        <v>#N/A</v>
      </c>
      <c r="AL189" s="7" t="e">
        <f t="shared" si="67"/>
        <v>#N/A</v>
      </c>
      <c r="AM189" s="7" t="e">
        <f t="shared" si="68"/>
        <v>#N/A</v>
      </c>
      <c r="AN189" s="7" t="e">
        <f t="shared" si="69"/>
        <v>#N/A</v>
      </c>
      <c r="AO189" s="7">
        <f t="shared" si="70"/>
        <v>0</v>
      </c>
      <c r="AP189" s="7" t="e">
        <f t="shared" si="79"/>
        <v>#N/A</v>
      </c>
      <c r="AQ189" s="7" t="str">
        <f t="shared" si="71"/>
        <v/>
      </c>
      <c r="AR189" s="7" t="str">
        <f t="shared" si="72"/>
        <v/>
      </c>
      <c r="AS189" s="7" t="str">
        <f t="shared" si="73"/>
        <v/>
      </c>
      <c r="AT189" s="97"/>
      <c r="AZ189" s="477" t="s">
        <v>106</v>
      </c>
      <c r="CF189" s="586" t="str">
        <f t="shared" si="80"/>
        <v/>
      </c>
      <c r="CG189"/>
      <c r="CH189"/>
    </row>
    <row r="190" spans="1:86" s="13" customFormat="1" ht="13.75" customHeight="1">
      <c r="A190" s="137">
        <v>175</v>
      </c>
      <c r="B190" s="138"/>
      <c r="C190" s="139"/>
      <c r="D190" s="140"/>
      <c r="E190" s="139"/>
      <c r="F190" s="139"/>
      <c r="G190" s="191"/>
      <c r="H190" s="139"/>
      <c r="I190" s="141"/>
      <c r="J190" s="142"/>
      <c r="K190" s="139"/>
      <c r="L190" s="147"/>
      <c r="M190" s="148"/>
      <c r="N190" s="583"/>
      <c r="O190" s="229" t="str">
        <f t="shared" si="74"/>
        <v/>
      </c>
      <c r="P190" s="229" t="str">
        <f t="shared" si="75"/>
        <v/>
      </c>
      <c r="Q190" s="230" t="str">
        <f t="shared" si="76"/>
        <v/>
      </c>
      <c r="R190" s="323" t="str">
        <f t="shared" si="77"/>
        <v/>
      </c>
      <c r="S190" s="350"/>
      <c r="T190" s="43"/>
      <c r="U190" s="347" t="str">
        <f t="shared" si="54"/>
        <v/>
      </c>
      <c r="V190" s="7" t="e">
        <f t="shared" si="55"/>
        <v>#N/A</v>
      </c>
      <c r="W190" s="7" t="e">
        <f t="shared" si="56"/>
        <v>#N/A</v>
      </c>
      <c r="X190" s="7" t="e">
        <f t="shared" si="57"/>
        <v>#N/A</v>
      </c>
      <c r="Y190" s="7" t="str">
        <f t="shared" si="58"/>
        <v/>
      </c>
      <c r="Z190" s="11">
        <f t="shared" si="59"/>
        <v>1</v>
      </c>
      <c r="AA190" s="7" t="e">
        <f t="shared" si="60"/>
        <v>#N/A</v>
      </c>
      <c r="AB190" s="7" t="e">
        <f t="shared" si="61"/>
        <v>#N/A</v>
      </c>
      <c r="AC190" s="7" t="e">
        <f t="shared" si="62"/>
        <v>#N/A</v>
      </c>
      <c r="AD190" s="472" t="e">
        <f>VLOOKUP(AF190,'排出係数(2017)'!$A$4:$I$1151,9,FALSE)</f>
        <v>#N/A</v>
      </c>
      <c r="AE190" s="12" t="str">
        <f t="shared" si="63"/>
        <v xml:space="preserve"> </v>
      </c>
      <c r="AF190" s="7" t="e">
        <f t="shared" si="78"/>
        <v>#N/A</v>
      </c>
      <c r="AG190" s="7" t="e">
        <f t="shared" si="64"/>
        <v>#N/A</v>
      </c>
      <c r="AH190" s="472" t="e">
        <f>VLOOKUP(AF190,'排出係数(2017)'!$A$4:$I$1151,6,FALSE)</f>
        <v>#N/A</v>
      </c>
      <c r="AI190" s="7" t="e">
        <f t="shared" si="65"/>
        <v>#N/A</v>
      </c>
      <c r="AJ190" s="7" t="e">
        <f t="shared" si="66"/>
        <v>#N/A</v>
      </c>
      <c r="AK190" s="472" t="e">
        <f>VLOOKUP(AF190,'排出係数(2017)'!$A$4:$I$1151,7,FALSE)</f>
        <v>#N/A</v>
      </c>
      <c r="AL190" s="7" t="e">
        <f t="shared" si="67"/>
        <v>#N/A</v>
      </c>
      <c r="AM190" s="7" t="e">
        <f t="shared" si="68"/>
        <v>#N/A</v>
      </c>
      <c r="AN190" s="7" t="e">
        <f t="shared" si="69"/>
        <v>#N/A</v>
      </c>
      <c r="AO190" s="7">
        <f t="shared" si="70"/>
        <v>0</v>
      </c>
      <c r="AP190" s="7" t="e">
        <f t="shared" si="79"/>
        <v>#N/A</v>
      </c>
      <c r="AQ190" s="7" t="str">
        <f t="shared" si="71"/>
        <v/>
      </c>
      <c r="AR190" s="7" t="str">
        <f t="shared" si="72"/>
        <v/>
      </c>
      <c r="AS190" s="7" t="str">
        <f t="shared" si="73"/>
        <v/>
      </c>
      <c r="AT190" s="97"/>
      <c r="AZ190" s="477" t="s">
        <v>107</v>
      </c>
      <c r="CF190" s="586" t="str">
        <f t="shared" si="80"/>
        <v/>
      </c>
      <c r="CG190"/>
      <c r="CH190"/>
    </row>
    <row r="191" spans="1:86" s="13" customFormat="1" ht="13.75" customHeight="1">
      <c r="A191" s="137">
        <v>176</v>
      </c>
      <c r="B191" s="138"/>
      <c r="C191" s="139"/>
      <c r="D191" s="140"/>
      <c r="E191" s="139"/>
      <c r="F191" s="139"/>
      <c r="G191" s="191"/>
      <c r="H191" s="139"/>
      <c r="I191" s="141"/>
      <c r="J191" s="142"/>
      <c r="K191" s="139"/>
      <c r="L191" s="147"/>
      <c r="M191" s="148"/>
      <c r="N191" s="583"/>
      <c r="O191" s="229" t="str">
        <f t="shared" si="74"/>
        <v/>
      </c>
      <c r="P191" s="229" t="str">
        <f t="shared" si="75"/>
        <v/>
      </c>
      <c r="Q191" s="230" t="str">
        <f t="shared" si="76"/>
        <v/>
      </c>
      <c r="R191" s="323" t="str">
        <f t="shared" si="77"/>
        <v/>
      </c>
      <c r="S191" s="350"/>
      <c r="T191" s="43"/>
      <c r="U191" s="347" t="str">
        <f t="shared" si="54"/>
        <v/>
      </c>
      <c r="V191" s="7" t="e">
        <f t="shared" si="55"/>
        <v>#N/A</v>
      </c>
      <c r="W191" s="7" t="e">
        <f t="shared" si="56"/>
        <v>#N/A</v>
      </c>
      <c r="X191" s="7" t="e">
        <f t="shared" si="57"/>
        <v>#N/A</v>
      </c>
      <c r="Y191" s="7" t="str">
        <f t="shared" si="58"/>
        <v/>
      </c>
      <c r="Z191" s="11">
        <f t="shared" si="59"/>
        <v>1</v>
      </c>
      <c r="AA191" s="7" t="e">
        <f t="shared" si="60"/>
        <v>#N/A</v>
      </c>
      <c r="AB191" s="7" t="e">
        <f t="shared" si="61"/>
        <v>#N/A</v>
      </c>
      <c r="AC191" s="7" t="e">
        <f t="shared" si="62"/>
        <v>#N/A</v>
      </c>
      <c r="AD191" s="472" t="e">
        <f>VLOOKUP(AF191,'排出係数(2017)'!$A$4:$I$1151,9,FALSE)</f>
        <v>#N/A</v>
      </c>
      <c r="AE191" s="12" t="str">
        <f t="shared" si="63"/>
        <v xml:space="preserve"> </v>
      </c>
      <c r="AF191" s="7" t="e">
        <f t="shared" si="78"/>
        <v>#N/A</v>
      </c>
      <c r="AG191" s="7" t="e">
        <f t="shared" si="64"/>
        <v>#N/A</v>
      </c>
      <c r="AH191" s="472" t="e">
        <f>VLOOKUP(AF191,'排出係数(2017)'!$A$4:$I$1151,6,FALSE)</f>
        <v>#N/A</v>
      </c>
      <c r="AI191" s="7" t="e">
        <f t="shared" si="65"/>
        <v>#N/A</v>
      </c>
      <c r="AJ191" s="7" t="e">
        <f t="shared" si="66"/>
        <v>#N/A</v>
      </c>
      <c r="AK191" s="472" t="e">
        <f>VLOOKUP(AF191,'排出係数(2017)'!$A$4:$I$1151,7,FALSE)</f>
        <v>#N/A</v>
      </c>
      <c r="AL191" s="7" t="e">
        <f t="shared" si="67"/>
        <v>#N/A</v>
      </c>
      <c r="AM191" s="7" t="e">
        <f t="shared" si="68"/>
        <v>#N/A</v>
      </c>
      <c r="AN191" s="7" t="e">
        <f t="shared" si="69"/>
        <v>#N/A</v>
      </c>
      <c r="AO191" s="7">
        <f t="shared" si="70"/>
        <v>0</v>
      </c>
      <c r="AP191" s="7" t="e">
        <f t="shared" si="79"/>
        <v>#N/A</v>
      </c>
      <c r="AQ191" s="7" t="str">
        <f t="shared" si="71"/>
        <v/>
      </c>
      <c r="AR191" s="7" t="str">
        <f t="shared" si="72"/>
        <v/>
      </c>
      <c r="AS191" s="7" t="str">
        <f t="shared" si="73"/>
        <v/>
      </c>
      <c r="AT191" s="97"/>
      <c r="AZ191" s="477" t="s">
        <v>108</v>
      </c>
      <c r="CF191" s="586" t="str">
        <f t="shared" si="80"/>
        <v/>
      </c>
      <c r="CG191"/>
      <c r="CH191"/>
    </row>
    <row r="192" spans="1:86" s="13" customFormat="1" ht="13.75" customHeight="1">
      <c r="A192" s="137">
        <v>177</v>
      </c>
      <c r="B192" s="138"/>
      <c r="C192" s="139"/>
      <c r="D192" s="140"/>
      <c r="E192" s="139"/>
      <c r="F192" s="139"/>
      <c r="G192" s="191"/>
      <c r="H192" s="139"/>
      <c r="I192" s="141"/>
      <c r="J192" s="142"/>
      <c r="K192" s="139"/>
      <c r="L192" s="147"/>
      <c r="M192" s="148"/>
      <c r="N192" s="583"/>
      <c r="O192" s="229" t="str">
        <f t="shared" si="74"/>
        <v/>
      </c>
      <c r="P192" s="229" t="str">
        <f t="shared" si="75"/>
        <v/>
      </c>
      <c r="Q192" s="230" t="str">
        <f t="shared" si="76"/>
        <v/>
      </c>
      <c r="R192" s="323" t="str">
        <f t="shared" si="77"/>
        <v/>
      </c>
      <c r="S192" s="350"/>
      <c r="T192" s="43"/>
      <c r="U192" s="347" t="str">
        <f t="shared" si="54"/>
        <v/>
      </c>
      <c r="V192" s="7" t="e">
        <f t="shared" si="55"/>
        <v>#N/A</v>
      </c>
      <c r="W192" s="7" t="e">
        <f t="shared" si="56"/>
        <v>#N/A</v>
      </c>
      <c r="X192" s="7" t="e">
        <f t="shared" si="57"/>
        <v>#N/A</v>
      </c>
      <c r="Y192" s="7" t="str">
        <f t="shared" si="58"/>
        <v/>
      </c>
      <c r="Z192" s="11">
        <f t="shared" si="59"/>
        <v>1</v>
      </c>
      <c r="AA192" s="7" t="e">
        <f t="shared" si="60"/>
        <v>#N/A</v>
      </c>
      <c r="AB192" s="7" t="e">
        <f t="shared" si="61"/>
        <v>#N/A</v>
      </c>
      <c r="AC192" s="7" t="e">
        <f t="shared" si="62"/>
        <v>#N/A</v>
      </c>
      <c r="AD192" s="472" t="e">
        <f>VLOOKUP(AF192,'排出係数(2017)'!$A$4:$I$1151,9,FALSE)</f>
        <v>#N/A</v>
      </c>
      <c r="AE192" s="12" t="str">
        <f t="shared" si="63"/>
        <v xml:space="preserve"> </v>
      </c>
      <c r="AF192" s="7" t="e">
        <f t="shared" si="78"/>
        <v>#N/A</v>
      </c>
      <c r="AG192" s="7" t="e">
        <f t="shared" si="64"/>
        <v>#N/A</v>
      </c>
      <c r="AH192" s="472" t="e">
        <f>VLOOKUP(AF192,'排出係数(2017)'!$A$4:$I$1151,6,FALSE)</f>
        <v>#N/A</v>
      </c>
      <c r="AI192" s="7" t="e">
        <f t="shared" si="65"/>
        <v>#N/A</v>
      </c>
      <c r="AJ192" s="7" t="e">
        <f t="shared" si="66"/>
        <v>#N/A</v>
      </c>
      <c r="AK192" s="472" t="e">
        <f>VLOOKUP(AF192,'排出係数(2017)'!$A$4:$I$1151,7,FALSE)</f>
        <v>#N/A</v>
      </c>
      <c r="AL192" s="7" t="e">
        <f t="shared" si="67"/>
        <v>#N/A</v>
      </c>
      <c r="AM192" s="7" t="e">
        <f t="shared" si="68"/>
        <v>#N/A</v>
      </c>
      <c r="AN192" s="7" t="e">
        <f t="shared" si="69"/>
        <v>#N/A</v>
      </c>
      <c r="AO192" s="7">
        <f t="shared" si="70"/>
        <v>0</v>
      </c>
      <c r="AP192" s="7" t="e">
        <f t="shared" si="79"/>
        <v>#N/A</v>
      </c>
      <c r="AQ192" s="7" t="str">
        <f t="shared" si="71"/>
        <v/>
      </c>
      <c r="AR192" s="7" t="str">
        <f t="shared" si="72"/>
        <v/>
      </c>
      <c r="AS192" s="7" t="str">
        <f t="shared" si="73"/>
        <v/>
      </c>
      <c r="AT192" s="97"/>
      <c r="AZ192" s="477" t="s">
        <v>109</v>
      </c>
      <c r="CF192" s="586" t="str">
        <f t="shared" si="80"/>
        <v/>
      </c>
      <c r="CG192"/>
      <c r="CH192"/>
    </row>
    <row r="193" spans="1:86" s="13" customFormat="1" ht="13.75" customHeight="1">
      <c r="A193" s="137">
        <v>178</v>
      </c>
      <c r="B193" s="138"/>
      <c r="C193" s="139"/>
      <c r="D193" s="140"/>
      <c r="E193" s="139"/>
      <c r="F193" s="139"/>
      <c r="G193" s="191"/>
      <c r="H193" s="139"/>
      <c r="I193" s="141"/>
      <c r="J193" s="142"/>
      <c r="K193" s="139"/>
      <c r="L193" s="147"/>
      <c r="M193" s="148"/>
      <c r="N193" s="583"/>
      <c r="O193" s="229" t="str">
        <f t="shared" si="74"/>
        <v/>
      </c>
      <c r="P193" s="229" t="str">
        <f t="shared" si="75"/>
        <v/>
      </c>
      <c r="Q193" s="230" t="str">
        <f t="shared" si="76"/>
        <v/>
      </c>
      <c r="R193" s="323" t="str">
        <f t="shared" si="77"/>
        <v/>
      </c>
      <c r="S193" s="350"/>
      <c r="T193" s="43"/>
      <c r="U193" s="347" t="str">
        <f t="shared" si="54"/>
        <v/>
      </c>
      <c r="V193" s="7" t="e">
        <f t="shared" si="55"/>
        <v>#N/A</v>
      </c>
      <c r="W193" s="7" t="e">
        <f t="shared" si="56"/>
        <v>#N/A</v>
      </c>
      <c r="X193" s="7" t="e">
        <f t="shared" si="57"/>
        <v>#N/A</v>
      </c>
      <c r="Y193" s="7" t="str">
        <f t="shared" si="58"/>
        <v/>
      </c>
      <c r="Z193" s="11">
        <f t="shared" si="59"/>
        <v>1</v>
      </c>
      <c r="AA193" s="7" t="e">
        <f t="shared" si="60"/>
        <v>#N/A</v>
      </c>
      <c r="AB193" s="7" t="e">
        <f t="shared" si="61"/>
        <v>#N/A</v>
      </c>
      <c r="AC193" s="7" t="e">
        <f t="shared" si="62"/>
        <v>#N/A</v>
      </c>
      <c r="AD193" s="472" t="e">
        <f>VLOOKUP(AF193,'排出係数(2017)'!$A$4:$I$1151,9,FALSE)</f>
        <v>#N/A</v>
      </c>
      <c r="AE193" s="12" t="str">
        <f t="shared" si="63"/>
        <v xml:space="preserve"> </v>
      </c>
      <c r="AF193" s="7" t="e">
        <f t="shared" si="78"/>
        <v>#N/A</v>
      </c>
      <c r="AG193" s="7" t="e">
        <f t="shared" si="64"/>
        <v>#N/A</v>
      </c>
      <c r="AH193" s="472" t="e">
        <f>VLOOKUP(AF193,'排出係数(2017)'!$A$4:$I$1151,6,FALSE)</f>
        <v>#N/A</v>
      </c>
      <c r="AI193" s="7" t="e">
        <f t="shared" si="65"/>
        <v>#N/A</v>
      </c>
      <c r="AJ193" s="7" t="e">
        <f t="shared" si="66"/>
        <v>#N/A</v>
      </c>
      <c r="AK193" s="472" t="e">
        <f>VLOOKUP(AF193,'排出係数(2017)'!$A$4:$I$1151,7,FALSE)</f>
        <v>#N/A</v>
      </c>
      <c r="AL193" s="7" t="e">
        <f t="shared" si="67"/>
        <v>#N/A</v>
      </c>
      <c r="AM193" s="7" t="e">
        <f t="shared" si="68"/>
        <v>#N/A</v>
      </c>
      <c r="AN193" s="7" t="e">
        <f t="shared" si="69"/>
        <v>#N/A</v>
      </c>
      <c r="AO193" s="7">
        <f t="shared" si="70"/>
        <v>0</v>
      </c>
      <c r="AP193" s="7" t="e">
        <f t="shared" si="79"/>
        <v>#N/A</v>
      </c>
      <c r="AQ193" s="7" t="str">
        <f t="shared" si="71"/>
        <v/>
      </c>
      <c r="AR193" s="7" t="str">
        <f t="shared" si="72"/>
        <v/>
      </c>
      <c r="AS193" s="7" t="str">
        <f t="shared" si="73"/>
        <v/>
      </c>
      <c r="AT193" s="97"/>
      <c r="AZ193" s="477" t="s">
        <v>110</v>
      </c>
      <c r="CF193" s="586" t="str">
        <f t="shared" si="80"/>
        <v/>
      </c>
      <c r="CG193"/>
      <c r="CH193"/>
    </row>
    <row r="194" spans="1:86" s="13" customFormat="1" ht="13.75" customHeight="1">
      <c r="A194" s="137">
        <v>179</v>
      </c>
      <c r="B194" s="138"/>
      <c r="C194" s="139"/>
      <c r="D194" s="140"/>
      <c r="E194" s="139"/>
      <c r="F194" s="139"/>
      <c r="G194" s="191"/>
      <c r="H194" s="139"/>
      <c r="I194" s="141"/>
      <c r="J194" s="142"/>
      <c r="K194" s="139"/>
      <c r="L194" s="147"/>
      <c r="M194" s="148"/>
      <c r="N194" s="583"/>
      <c r="O194" s="229" t="str">
        <f t="shared" si="74"/>
        <v/>
      </c>
      <c r="P194" s="229" t="str">
        <f t="shared" si="75"/>
        <v/>
      </c>
      <c r="Q194" s="230" t="str">
        <f t="shared" si="76"/>
        <v/>
      </c>
      <c r="R194" s="323" t="str">
        <f t="shared" si="77"/>
        <v/>
      </c>
      <c r="S194" s="350"/>
      <c r="T194" s="43"/>
      <c r="U194" s="347" t="str">
        <f t="shared" si="54"/>
        <v/>
      </c>
      <c r="V194" s="7" t="e">
        <f t="shared" si="55"/>
        <v>#N/A</v>
      </c>
      <c r="W194" s="7" t="e">
        <f t="shared" si="56"/>
        <v>#N/A</v>
      </c>
      <c r="X194" s="7" t="e">
        <f t="shared" si="57"/>
        <v>#N/A</v>
      </c>
      <c r="Y194" s="7" t="str">
        <f t="shared" si="58"/>
        <v/>
      </c>
      <c r="Z194" s="11">
        <f t="shared" si="59"/>
        <v>1</v>
      </c>
      <c r="AA194" s="7" t="e">
        <f t="shared" si="60"/>
        <v>#N/A</v>
      </c>
      <c r="AB194" s="7" t="e">
        <f t="shared" si="61"/>
        <v>#N/A</v>
      </c>
      <c r="AC194" s="7" t="e">
        <f t="shared" si="62"/>
        <v>#N/A</v>
      </c>
      <c r="AD194" s="472" t="e">
        <f>VLOOKUP(AF194,'排出係数(2017)'!$A$4:$I$1151,9,FALSE)</f>
        <v>#N/A</v>
      </c>
      <c r="AE194" s="12" t="str">
        <f t="shared" si="63"/>
        <v xml:space="preserve"> </v>
      </c>
      <c r="AF194" s="7" t="e">
        <f t="shared" si="78"/>
        <v>#N/A</v>
      </c>
      <c r="AG194" s="7" t="e">
        <f t="shared" si="64"/>
        <v>#N/A</v>
      </c>
      <c r="AH194" s="472" t="e">
        <f>VLOOKUP(AF194,'排出係数(2017)'!$A$4:$I$1151,6,FALSE)</f>
        <v>#N/A</v>
      </c>
      <c r="AI194" s="7" t="e">
        <f t="shared" si="65"/>
        <v>#N/A</v>
      </c>
      <c r="AJ194" s="7" t="e">
        <f t="shared" si="66"/>
        <v>#N/A</v>
      </c>
      <c r="AK194" s="472" t="e">
        <f>VLOOKUP(AF194,'排出係数(2017)'!$A$4:$I$1151,7,FALSE)</f>
        <v>#N/A</v>
      </c>
      <c r="AL194" s="7" t="e">
        <f t="shared" si="67"/>
        <v>#N/A</v>
      </c>
      <c r="AM194" s="7" t="e">
        <f t="shared" si="68"/>
        <v>#N/A</v>
      </c>
      <c r="AN194" s="7" t="e">
        <f t="shared" si="69"/>
        <v>#N/A</v>
      </c>
      <c r="AO194" s="7">
        <f t="shared" si="70"/>
        <v>0</v>
      </c>
      <c r="AP194" s="7" t="e">
        <f t="shared" si="79"/>
        <v>#N/A</v>
      </c>
      <c r="AQ194" s="7" t="str">
        <f t="shared" si="71"/>
        <v/>
      </c>
      <c r="AR194" s="7" t="str">
        <f t="shared" si="72"/>
        <v/>
      </c>
      <c r="AS194" s="7" t="str">
        <f t="shared" si="73"/>
        <v/>
      </c>
      <c r="AT194" s="97"/>
      <c r="AZ194" s="477" t="s">
        <v>59</v>
      </c>
      <c r="CF194" s="586" t="str">
        <f t="shared" si="80"/>
        <v/>
      </c>
      <c r="CG194"/>
      <c r="CH194"/>
    </row>
    <row r="195" spans="1:86" s="13" customFormat="1" ht="13.75" customHeight="1">
      <c r="A195" s="137">
        <v>180</v>
      </c>
      <c r="B195" s="138"/>
      <c r="C195" s="139"/>
      <c r="D195" s="140"/>
      <c r="E195" s="139"/>
      <c r="F195" s="139"/>
      <c r="G195" s="191"/>
      <c r="H195" s="139"/>
      <c r="I195" s="141"/>
      <c r="J195" s="142"/>
      <c r="K195" s="139"/>
      <c r="L195" s="147"/>
      <c r="M195" s="148"/>
      <c r="N195" s="583"/>
      <c r="O195" s="229" t="str">
        <f t="shared" si="74"/>
        <v/>
      </c>
      <c r="P195" s="229" t="str">
        <f t="shared" si="75"/>
        <v/>
      </c>
      <c r="Q195" s="230" t="str">
        <f t="shared" si="76"/>
        <v/>
      </c>
      <c r="R195" s="323" t="str">
        <f t="shared" si="77"/>
        <v/>
      </c>
      <c r="S195" s="350"/>
      <c r="T195" s="43"/>
      <c r="U195" s="347" t="str">
        <f t="shared" si="54"/>
        <v/>
      </c>
      <c r="V195" s="7" t="e">
        <f t="shared" si="55"/>
        <v>#N/A</v>
      </c>
      <c r="W195" s="7" t="e">
        <f t="shared" si="56"/>
        <v>#N/A</v>
      </c>
      <c r="X195" s="7" t="e">
        <f t="shared" si="57"/>
        <v>#N/A</v>
      </c>
      <c r="Y195" s="7" t="str">
        <f t="shared" si="58"/>
        <v/>
      </c>
      <c r="Z195" s="11">
        <f t="shared" si="59"/>
        <v>1</v>
      </c>
      <c r="AA195" s="7" t="e">
        <f t="shared" si="60"/>
        <v>#N/A</v>
      </c>
      <c r="AB195" s="7" t="e">
        <f t="shared" si="61"/>
        <v>#N/A</v>
      </c>
      <c r="AC195" s="7" t="e">
        <f t="shared" si="62"/>
        <v>#N/A</v>
      </c>
      <c r="AD195" s="472" t="e">
        <f>VLOOKUP(AF195,'排出係数(2017)'!$A$4:$I$1151,9,FALSE)</f>
        <v>#N/A</v>
      </c>
      <c r="AE195" s="12" t="str">
        <f t="shared" si="63"/>
        <v xml:space="preserve"> </v>
      </c>
      <c r="AF195" s="7" t="e">
        <f t="shared" si="78"/>
        <v>#N/A</v>
      </c>
      <c r="AG195" s="7" t="e">
        <f t="shared" si="64"/>
        <v>#N/A</v>
      </c>
      <c r="AH195" s="472" t="e">
        <f>VLOOKUP(AF195,'排出係数(2017)'!$A$4:$I$1151,6,FALSE)</f>
        <v>#N/A</v>
      </c>
      <c r="AI195" s="7" t="e">
        <f t="shared" si="65"/>
        <v>#N/A</v>
      </c>
      <c r="AJ195" s="7" t="e">
        <f t="shared" si="66"/>
        <v>#N/A</v>
      </c>
      <c r="AK195" s="472" t="e">
        <f>VLOOKUP(AF195,'排出係数(2017)'!$A$4:$I$1151,7,FALSE)</f>
        <v>#N/A</v>
      </c>
      <c r="AL195" s="7" t="e">
        <f t="shared" si="67"/>
        <v>#N/A</v>
      </c>
      <c r="AM195" s="7" t="e">
        <f t="shared" si="68"/>
        <v>#N/A</v>
      </c>
      <c r="AN195" s="7" t="e">
        <f t="shared" si="69"/>
        <v>#N/A</v>
      </c>
      <c r="AO195" s="7">
        <f t="shared" si="70"/>
        <v>0</v>
      </c>
      <c r="AP195" s="7" t="e">
        <f t="shared" si="79"/>
        <v>#N/A</v>
      </c>
      <c r="AQ195" s="7" t="str">
        <f t="shared" si="71"/>
        <v/>
      </c>
      <c r="AR195" s="7" t="str">
        <f t="shared" si="72"/>
        <v/>
      </c>
      <c r="AS195" s="7" t="str">
        <f t="shared" si="73"/>
        <v/>
      </c>
      <c r="AT195" s="97"/>
      <c r="AZ195" s="477" t="s">
        <v>60</v>
      </c>
      <c r="CF195" s="586" t="str">
        <f t="shared" si="80"/>
        <v/>
      </c>
      <c r="CG195"/>
      <c r="CH195"/>
    </row>
    <row r="196" spans="1:86" s="13" customFormat="1" ht="13.75" customHeight="1">
      <c r="A196" s="137">
        <v>181</v>
      </c>
      <c r="B196" s="138"/>
      <c r="C196" s="139"/>
      <c r="D196" s="140"/>
      <c r="E196" s="139"/>
      <c r="F196" s="139"/>
      <c r="G196" s="191"/>
      <c r="H196" s="139"/>
      <c r="I196" s="141"/>
      <c r="J196" s="142"/>
      <c r="K196" s="139"/>
      <c r="L196" s="147"/>
      <c r="M196" s="148"/>
      <c r="N196" s="583"/>
      <c r="O196" s="229" t="str">
        <f t="shared" si="74"/>
        <v/>
      </c>
      <c r="P196" s="229" t="str">
        <f t="shared" si="75"/>
        <v/>
      </c>
      <c r="Q196" s="230" t="str">
        <f t="shared" si="76"/>
        <v/>
      </c>
      <c r="R196" s="323" t="str">
        <f t="shared" si="77"/>
        <v/>
      </c>
      <c r="S196" s="350"/>
      <c r="T196" s="43"/>
      <c r="U196" s="347" t="str">
        <f t="shared" si="54"/>
        <v/>
      </c>
      <c r="V196" s="7" t="e">
        <f t="shared" si="55"/>
        <v>#N/A</v>
      </c>
      <c r="W196" s="7" t="e">
        <f t="shared" si="56"/>
        <v>#N/A</v>
      </c>
      <c r="X196" s="7" t="e">
        <f t="shared" si="57"/>
        <v>#N/A</v>
      </c>
      <c r="Y196" s="7" t="str">
        <f t="shared" si="58"/>
        <v/>
      </c>
      <c r="Z196" s="11">
        <f t="shared" si="59"/>
        <v>1</v>
      </c>
      <c r="AA196" s="7" t="e">
        <f t="shared" si="60"/>
        <v>#N/A</v>
      </c>
      <c r="AB196" s="7" t="e">
        <f t="shared" si="61"/>
        <v>#N/A</v>
      </c>
      <c r="AC196" s="7" t="e">
        <f t="shared" si="62"/>
        <v>#N/A</v>
      </c>
      <c r="AD196" s="472" t="e">
        <f>VLOOKUP(AF196,'排出係数(2017)'!$A$4:$I$1151,9,FALSE)</f>
        <v>#N/A</v>
      </c>
      <c r="AE196" s="12" t="str">
        <f t="shared" si="63"/>
        <v xml:space="preserve"> </v>
      </c>
      <c r="AF196" s="7" t="e">
        <f t="shared" si="78"/>
        <v>#N/A</v>
      </c>
      <c r="AG196" s="7" t="e">
        <f t="shared" si="64"/>
        <v>#N/A</v>
      </c>
      <c r="AH196" s="472" t="e">
        <f>VLOOKUP(AF196,'排出係数(2017)'!$A$4:$I$1151,6,FALSE)</f>
        <v>#N/A</v>
      </c>
      <c r="AI196" s="7" t="e">
        <f t="shared" si="65"/>
        <v>#N/A</v>
      </c>
      <c r="AJ196" s="7" t="e">
        <f t="shared" si="66"/>
        <v>#N/A</v>
      </c>
      <c r="AK196" s="472" t="e">
        <f>VLOOKUP(AF196,'排出係数(2017)'!$A$4:$I$1151,7,FALSE)</f>
        <v>#N/A</v>
      </c>
      <c r="AL196" s="7" t="e">
        <f t="shared" si="67"/>
        <v>#N/A</v>
      </c>
      <c r="AM196" s="7" t="e">
        <f t="shared" si="68"/>
        <v>#N/A</v>
      </c>
      <c r="AN196" s="7" t="e">
        <f t="shared" si="69"/>
        <v>#N/A</v>
      </c>
      <c r="AO196" s="7">
        <f t="shared" si="70"/>
        <v>0</v>
      </c>
      <c r="AP196" s="7" t="e">
        <f t="shared" si="79"/>
        <v>#N/A</v>
      </c>
      <c r="AQ196" s="7" t="str">
        <f t="shared" si="71"/>
        <v/>
      </c>
      <c r="AR196" s="7" t="str">
        <f t="shared" si="72"/>
        <v/>
      </c>
      <c r="AS196" s="7" t="str">
        <f t="shared" si="73"/>
        <v/>
      </c>
      <c r="AT196" s="97"/>
      <c r="AZ196" s="477" t="s">
        <v>61</v>
      </c>
      <c r="CF196" s="586" t="str">
        <f t="shared" si="80"/>
        <v/>
      </c>
      <c r="CG196"/>
      <c r="CH196"/>
    </row>
    <row r="197" spans="1:86" s="13" customFormat="1" ht="13.75" customHeight="1">
      <c r="A197" s="137">
        <v>182</v>
      </c>
      <c r="B197" s="138"/>
      <c r="C197" s="139"/>
      <c r="D197" s="140"/>
      <c r="E197" s="139"/>
      <c r="F197" s="139"/>
      <c r="G197" s="191"/>
      <c r="H197" s="139"/>
      <c r="I197" s="141"/>
      <c r="J197" s="142"/>
      <c r="K197" s="139"/>
      <c r="L197" s="147"/>
      <c r="M197" s="148"/>
      <c r="N197" s="583"/>
      <c r="O197" s="229" t="str">
        <f t="shared" si="74"/>
        <v/>
      </c>
      <c r="P197" s="229" t="str">
        <f t="shared" si="75"/>
        <v/>
      </c>
      <c r="Q197" s="230" t="str">
        <f t="shared" si="76"/>
        <v/>
      </c>
      <c r="R197" s="323" t="str">
        <f t="shared" si="77"/>
        <v/>
      </c>
      <c r="S197" s="350"/>
      <c r="T197" s="43"/>
      <c r="U197" s="347" t="str">
        <f t="shared" si="54"/>
        <v/>
      </c>
      <c r="V197" s="7" t="e">
        <f t="shared" si="55"/>
        <v>#N/A</v>
      </c>
      <c r="W197" s="7" t="e">
        <f t="shared" si="56"/>
        <v>#N/A</v>
      </c>
      <c r="X197" s="7" t="e">
        <f t="shared" si="57"/>
        <v>#N/A</v>
      </c>
      <c r="Y197" s="7" t="str">
        <f t="shared" si="58"/>
        <v/>
      </c>
      <c r="Z197" s="11">
        <f t="shared" si="59"/>
        <v>1</v>
      </c>
      <c r="AA197" s="7" t="e">
        <f t="shared" si="60"/>
        <v>#N/A</v>
      </c>
      <c r="AB197" s="7" t="e">
        <f t="shared" si="61"/>
        <v>#N/A</v>
      </c>
      <c r="AC197" s="7" t="e">
        <f t="shared" si="62"/>
        <v>#N/A</v>
      </c>
      <c r="AD197" s="472" t="e">
        <f>VLOOKUP(AF197,'排出係数(2017)'!$A$4:$I$1151,9,FALSE)</f>
        <v>#N/A</v>
      </c>
      <c r="AE197" s="12" t="str">
        <f t="shared" si="63"/>
        <v xml:space="preserve"> </v>
      </c>
      <c r="AF197" s="7" t="e">
        <f t="shared" si="78"/>
        <v>#N/A</v>
      </c>
      <c r="AG197" s="7" t="e">
        <f t="shared" si="64"/>
        <v>#N/A</v>
      </c>
      <c r="AH197" s="472" t="e">
        <f>VLOOKUP(AF197,'排出係数(2017)'!$A$4:$I$1151,6,FALSE)</f>
        <v>#N/A</v>
      </c>
      <c r="AI197" s="7" t="e">
        <f t="shared" si="65"/>
        <v>#N/A</v>
      </c>
      <c r="AJ197" s="7" t="e">
        <f t="shared" si="66"/>
        <v>#N/A</v>
      </c>
      <c r="AK197" s="472" t="e">
        <f>VLOOKUP(AF197,'排出係数(2017)'!$A$4:$I$1151,7,FALSE)</f>
        <v>#N/A</v>
      </c>
      <c r="AL197" s="7" t="e">
        <f t="shared" si="67"/>
        <v>#N/A</v>
      </c>
      <c r="AM197" s="7" t="e">
        <f t="shared" si="68"/>
        <v>#N/A</v>
      </c>
      <c r="AN197" s="7" t="e">
        <f t="shared" si="69"/>
        <v>#N/A</v>
      </c>
      <c r="AO197" s="7">
        <f t="shared" si="70"/>
        <v>0</v>
      </c>
      <c r="AP197" s="7" t="e">
        <f t="shared" si="79"/>
        <v>#N/A</v>
      </c>
      <c r="AQ197" s="7" t="str">
        <f t="shared" si="71"/>
        <v/>
      </c>
      <c r="AR197" s="7" t="str">
        <f t="shared" si="72"/>
        <v/>
      </c>
      <c r="AS197" s="7" t="str">
        <f t="shared" si="73"/>
        <v/>
      </c>
      <c r="AT197" s="97"/>
      <c r="AZ197" s="477" t="s">
        <v>62</v>
      </c>
      <c r="CF197" s="586" t="str">
        <f t="shared" si="80"/>
        <v/>
      </c>
      <c r="CG197"/>
      <c r="CH197"/>
    </row>
    <row r="198" spans="1:86" s="13" customFormat="1" ht="13.75" customHeight="1">
      <c r="A198" s="137">
        <v>183</v>
      </c>
      <c r="B198" s="138"/>
      <c r="C198" s="139"/>
      <c r="D198" s="140"/>
      <c r="E198" s="139"/>
      <c r="F198" s="139"/>
      <c r="G198" s="191"/>
      <c r="H198" s="139"/>
      <c r="I198" s="141"/>
      <c r="J198" s="142"/>
      <c r="K198" s="139"/>
      <c r="L198" s="147"/>
      <c r="M198" s="148"/>
      <c r="N198" s="583"/>
      <c r="O198" s="229" t="str">
        <f t="shared" si="74"/>
        <v/>
      </c>
      <c r="P198" s="229" t="str">
        <f t="shared" si="75"/>
        <v/>
      </c>
      <c r="Q198" s="230" t="str">
        <f t="shared" si="76"/>
        <v/>
      </c>
      <c r="R198" s="323" t="str">
        <f t="shared" si="77"/>
        <v/>
      </c>
      <c r="S198" s="350"/>
      <c r="T198" s="43"/>
      <c r="U198" s="347" t="str">
        <f t="shared" si="54"/>
        <v/>
      </c>
      <c r="V198" s="7" t="e">
        <f t="shared" si="55"/>
        <v>#N/A</v>
      </c>
      <c r="W198" s="7" t="e">
        <f t="shared" si="56"/>
        <v>#N/A</v>
      </c>
      <c r="X198" s="7" t="e">
        <f t="shared" si="57"/>
        <v>#N/A</v>
      </c>
      <c r="Y198" s="7" t="str">
        <f t="shared" si="58"/>
        <v/>
      </c>
      <c r="Z198" s="11">
        <f t="shared" si="59"/>
        <v>1</v>
      </c>
      <c r="AA198" s="7" t="e">
        <f t="shared" si="60"/>
        <v>#N/A</v>
      </c>
      <c r="AB198" s="7" t="e">
        <f t="shared" si="61"/>
        <v>#N/A</v>
      </c>
      <c r="AC198" s="7" t="e">
        <f t="shared" si="62"/>
        <v>#N/A</v>
      </c>
      <c r="AD198" s="472" t="e">
        <f>VLOOKUP(AF198,'排出係数(2017)'!$A$4:$I$1151,9,FALSE)</f>
        <v>#N/A</v>
      </c>
      <c r="AE198" s="12" t="str">
        <f t="shared" si="63"/>
        <v xml:space="preserve"> </v>
      </c>
      <c r="AF198" s="7" t="e">
        <f t="shared" si="78"/>
        <v>#N/A</v>
      </c>
      <c r="AG198" s="7" t="e">
        <f t="shared" si="64"/>
        <v>#N/A</v>
      </c>
      <c r="AH198" s="472" t="e">
        <f>VLOOKUP(AF198,'排出係数(2017)'!$A$4:$I$1151,6,FALSE)</f>
        <v>#N/A</v>
      </c>
      <c r="AI198" s="7" t="e">
        <f t="shared" si="65"/>
        <v>#N/A</v>
      </c>
      <c r="AJ198" s="7" t="e">
        <f t="shared" si="66"/>
        <v>#N/A</v>
      </c>
      <c r="AK198" s="472" t="e">
        <f>VLOOKUP(AF198,'排出係数(2017)'!$A$4:$I$1151,7,FALSE)</f>
        <v>#N/A</v>
      </c>
      <c r="AL198" s="7" t="e">
        <f t="shared" si="67"/>
        <v>#N/A</v>
      </c>
      <c r="AM198" s="7" t="e">
        <f t="shared" si="68"/>
        <v>#N/A</v>
      </c>
      <c r="AN198" s="7" t="e">
        <f t="shared" si="69"/>
        <v>#N/A</v>
      </c>
      <c r="AO198" s="7">
        <f t="shared" si="70"/>
        <v>0</v>
      </c>
      <c r="AP198" s="7" t="e">
        <f t="shared" si="79"/>
        <v>#N/A</v>
      </c>
      <c r="AQ198" s="7" t="str">
        <f t="shared" si="71"/>
        <v/>
      </c>
      <c r="AR198" s="7" t="str">
        <f t="shared" si="72"/>
        <v/>
      </c>
      <c r="AS198" s="7" t="str">
        <f t="shared" si="73"/>
        <v/>
      </c>
      <c r="AT198" s="97"/>
      <c r="AZ198" s="477" t="s">
        <v>111</v>
      </c>
      <c r="CF198" s="586" t="str">
        <f t="shared" si="80"/>
        <v/>
      </c>
      <c r="CG198"/>
      <c r="CH198"/>
    </row>
    <row r="199" spans="1:86" s="13" customFormat="1" ht="13.75" customHeight="1">
      <c r="A199" s="137">
        <v>184</v>
      </c>
      <c r="B199" s="138"/>
      <c r="C199" s="139"/>
      <c r="D199" s="140"/>
      <c r="E199" s="139"/>
      <c r="F199" s="139"/>
      <c r="G199" s="191"/>
      <c r="H199" s="139"/>
      <c r="I199" s="141"/>
      <c r="J199" s="142"/>
      <c r="K199" s="139"/>
      <c r="L199" s="147"/>
      <c r="M199" s="148"/>
      <c r="N199" s="583"/>
      <c r="O199" s="229" t="str">
        <f t="shared" si="74"/>
        <v/>
      </c>
      <c r="P199" s="229" t="str">
        <f t="shared" si="75"/>
        <v/>
      </c>
      <c r="Q199" s="230" t="str">
        <f t="shared" si="76"/>
        <v/>
      </c>
      <c r="R199" s="323" t="str">
        <f t="shared" si="77"/>
        <v/>
      </c>
      <c r="S199" s="350"/>
      <c r="T199" s="43"/>
      <c r="U199" s="347" t="str">
        <f t="shared" si="54"/>
        <v/>
      </c>
      <c r="V199" s="7" t="e">
        <f t="shared" si="55"/>
        <v>#N/A</v>
      </c>
      <c r="W199" s="7" t="e">
        <f t="shared" si="56"/>
        <v>#N/A</v>
      </c>
      <c r="X199" s="7" t="e">
        <f t="shared" si="57"/>
        <v>#N/A</v>
      </c>
      <c r="Y199" s="7" t="str">
        <f t="shared" si="58"/>
        <v/>
      </c>
      <c r="Z199" s="11">
        <f t="shared" si="59"/>
        <v>1</v>
      </c>
      <c r="AA199" s="7" t="e">
        <f t="shared" si="60"/>
        <v>#N/A</v>
      </c>
      <c r="AB199" s="7" t="e">
        <f t="shared" si="61"/>
        <v>#N/A</v>
      </c>
      <c r="AC199" s="7" t="e">
        <f t="shared" si="62"/>
        <v>#N/A</v>
      </c>
      <c r="AD199" s="472" t="e">
        <f>VLOOKUP(AF199,'排出係数(2017)'!$A$4:$I$1151,9,FALSE)</f>
        <v>#N/A</v>
      </c>
      <c r="AE199" s="12" t="str">
        <f t="shared" si="63"/>
        <v xml:space="preserve"> </v>
      </c>
      <c r="AF199" s="7" t="e">
        <f t="shared" si="78"/>
        <v>#N/A</v>
      </c>
      <c r="AG199" s="7" t="e">
        <f t="shared" si="64"/>
        <v>#N/A</v>
      </c>
      <c r="AH199" s="472" t="e">
        <f>VLOOKUP(AF199,'排出係数(2017)'!$A$4:$I$1151,6,FALSE)</f>
        <v>#N/A</v>
      </c>
      <c r="AI199" s="7" t="e">
        <f t="shared" si="65"/>
        <v>#N/A</v>
      </c>
      <c r="AJ199" s="7" t="e">
        <f t="shared" si="66"/>
        <v>#N/A</v>
      </c>
      <c r="AK199" s="472" t="e">
        <f>VLOOKUP(AF199,'排出係数(2017)'!$A$4:$I$1151,7,FALSE)</f>
        <v>#N/A</v>
      </c>
      <c r="AL199" s="7" t="e">
        <f t="shared" si="67"/>
        <v>#N/A</v>
      </c>
      <c r="AM199" s="7" t="e">
        <f t="shared" si="68"/>
        <v>#N/A</v>
      </c>
      <c r="AN199" s="7" t="e">
        <f t="shared" si="69"/>
        <v>#N/A</v>
      </c>
      <c r="AO199" s="7">
        <f t="shared" si="70"/>
        <v>0</v>
      </c>
      <c r="AP199" s="7" t="e">
        <f t="shared" si="79"/>
        <v>#N/A</v>
      </c>
      <c r="AQ199" s="7" t="str">
        <f t="shared" si="71"/>
        <v/>
      </c>
      <c r="AR199" s="7" t="str">
        <f t="shared" si="72"/>
        <v/>
      </c>
      <c r="AS199" s="7" t="str">
        <f t="shared" si="73"/>
        <v/>
      </c>
      <c r="AT199" s="97"/>
      <c r="AZ199" s="477" t="s">
        <v>63</v>
      </c>
      <c r="CF199" s="586" t="str">
        <f t="shared" si="80"/>
        <v/>
      </c>
      <c r="CG199"/>
      <c r="CH199"/>
    </row>
    <row r="200" spans="1:86" s="13" customFormat="1" ht="13.75" customHeight="1">
      <c r="A200" s="137">
        <v>185</v>
      </c>
      <c r="B200" s="138"/>
      <c r="C200" s="139"/>
      <c r="D200" s="140"/>
      <c r="E200" s="139"/>
      <c r="F200" s="139"/>
      <c r="G200" s="191"/>
      <c r="H200" s="139"/>
      <c r="I200" s="141"/>
      <c r="J200" s="142"/>
      <c r="K200" s="139"/>
      <c r="L200" s="147"/>
      <c r="M200" s="148"/>
      <c r="N200" s="583"/>
      <c r="O200" s="229" t="str">
        <f t="shared" si="74"/>
        <v/>
      </c>
      <c r="P200" s="229" t="str">
        <f t="shared" si="75"/>
        <v/>
      </c>
      <c r="Q200" s="230" t="str">
        <f t="shared" si="76"/>
        <v/>
      </c>
      <c r="R200" s="323" t="str">
        <f t="shared" si="77"/>
        <v/>
      </c>
      <c r="S200" s="350"/>
      <c r="T200" s="43"/>
      <c r="U200" s="347" t="str">
        <f t="shared" si="54"/>
        <v/>
      </c>
      <c r="V200" s="7" t="e">
        <f t="shared" si="55"/>
        <v>#N/A</v>
      </c>
      <c r="W200" s="7" t="e">
        <f t="shared" si="56"/>
        <v>#N/A</v>
      </c>
      <c r="X200" s="7" t="e">
        <f t="shared" si="57"/>
        <v>#N/A</v>
      </c>
      <c r="Y200" s="7" t="str">
        <f t="shared" si="58"/>
        <v/>
      </c>
      <c r="Z200" s="11">
        <f t="shared" si="59"/>
        <v>1</v>
      </c>
      <c r="AA200" s="7" t="e">
        <f t="shared" si="60"/>
        <v>#N/A</v>
      </c>
      <c r="AB200" s="7" t="e">
        <f t="shared" si="61"/>
        <v>#N/A</v>
      </c>
      <c r="AC200" s="7" t="e">
        <f t="shared" si="62"/>
        <v>#N/A</v>
      </c>
      <c r="AD200" s="472" t="e">
        <f>VLOOKUP(AF200,'排出係数(2017)'!$A$4:$I$1151,9,FALSE)</f>
        <v>#N/A</v>
      </c>
      <c r="AE200" s="12" t="str">
        <f t="shared" si="63"/>
        <v xml:space="preserve"> </v>
      </c>
      <c r="AF200" s="7" t="e">
        <f t="shared" si="78"/>
        <v>#N/A</v>
      </c>
      <c r="AG200" s="7" t="e">
        <f t="shared" si="64"/>
        <v>#N/A</v>
      </c>
      <c r="AH200" s="472" t="e">
        <f>VLOOKUP(AF200,'排出係数(2017)'!$A$4:$I$1151,6,FALSE)</f>
        <v>#N/A</v>
      </c>
      <c r="AI200" s="7" t="e">
        <f t="shared" si="65"/>
        <v>#N/A</v>
      </c>
      <c r="AJ200" s="7" t="e">
        <f t="shared" si="66"/>
        <v>#N/A</v>
      </c>
      <c r="AK200" s="472" t="e">
        <f>VLOOKUP(AF200,'排出係数(2017)'!$A$4:$I$1151,7,FALSE)</f>
        <v>#N/A</v>
      </c>
      <c r="AL200" s="7" t="e">
        <f t="shared" si="67"/>
        <v>#N/A</v>
      </c>
      <c r="AM200" s="7" t="e">
        <f t="shared" si="68"/>
        <v>#N/A</v>
      </c>
      <c r="AN200" s="7" t="e">
        <f t="shared" si="69"/>
        <v>#N/A</v>
      </c>
      <c r="AO200" s="7">
        <f t="shared" si="70"/>
        <v>0</v>
      </c>
      <c r="AP200" s="7" t="e">
        <f t="shared" si="79"/>
        <v>#N/A</v>
      </c>
      <c r="AQ200" s="7" t="str">
        <f t="shared" si="71"/>
        <v/>
      </c>
      <c r="AR200" s="7" t="str">
        <f t="shared" si="72"/>
        <v/>
      </c>
      <c r="AS200" s="7" t="str">
        <f t="shared" si="73"/>
        <v/>
      </c>
      <c r="AT200" s="97"/>
      <c r="AZ200" s="477" t="s">
        <v>64</v>
      </c>
      <c r="CF200" s="586" t="str">
        <f t="shared" si="80"/>
        <v/>
      </c>
      <c r="CG200"/>
      <c r="CH200"/>
    </row>
    <row r="201" spans="1:86" s="13" customFormat="1" ht="13.75" customHeight="1">
      <c r="A201" s="137">
        <v>186</v>
      </c>
      <c r="B201" s="138"/>
      <c r="C201" s="139"/>
      <c r="D201" s="140"/>
      <c r="E201" s="139"/>
      <c r="F201" s="139"/>
      <c r="G201" s="191"/>
      <c r="H201" s="139"/>
      <c r="I201" s="141"/>
      <c r="J201" s="142"/>
      <c r="K201" s="139"/>
      <c r="L201" s="147"/>
      <c r="M201" s="148"/>
      <c r="N201" s="583"/>
      <c r="O201" s="229" t="str">
        <f t="shared" si="74"/>
        <v/>
      </c>
      <c r="P201" s="229" t="str">
        <f t="shared" si="75"/>
        <v/>
      </c>
      <c r="Q201" s="230" t="str">
        <f t="shared" si="76"/>
        <v/>
      </c>
      <c r="R201" s="323" t="str">
        <f t="shared" si="77"/>
        <v/>
      </c>
      <c r="S201" s="350"/>
      <c r="T201" s="43"/>
      <c r="U201" s="347" t="str">
        <f t="shared" si="54"/>
        <v/>
      </c>
      <c r="V201" s="7" t="e">
        <f t="shared" si="55"/>
        <v>#N/A</v>
      </c>
      <c r="W201" s="7" t="e">
        <f t="shared" si="56"/>
        <v>#N/A</v>
      </c>
      <c r="X201" s="7" t="e">
        <f t="shared" si="57"/>
        <v>#N/A</v>
      </c>
      <c r="Y201" s="7" t="str">
        <f t="shared" si="58"/>
        <v/>
      </c>
      <c r="Z201" s="11">
        <f t="shared" si="59"/>
        <v>1</v>
      </c>
      <c r="AA201" s="7" t="e">
        <f t="shared" si="60"/>
        <v>#N/A</v>
      </c>
      <c r="AB201" s="7" t="e">
        <f t="shared" si="61"/>
        <v>#N/A</v>
      </c>
      <c r="AC201" s="7" t="e">
        <f t="shared" si="62"/>
        <v>#N/A</v>
      </c>
      <c r="AD201" s="472" t="e">
        <f>VLOOKUP(AF201,'排出係数(2017)'!$A$4:$I$1151,9,FALSE)</f>
        <v>#N/A</v>
      </c>
      <c r="AE201" s="12" t="str">
        <f t="shared" si="63"/>
        <v xml:space="preserve"> </v>
      </c>
      <c r="AF201" s="7" t="e">
        <f t="shared" si="78"/>
        <v>#N/A</v>
      </c>
      <c r="AG201" s="7" t="e">
        <f t="shared" si="64"/>
        <v>#N/A</v>
      </c>
      <c r="AH201" s="472" t="e">
        <f>VLOOKUP(AF201,'排出係数(2017)'!$A$4:$I$1151,6,FALSE)</f>
        <v>#N/A</v>
      </c>
      <c r="AI201" s="7" t="e">
        <f t="shared" si="65"/>
        <v>#N/A</v>
      </c>
      <c r="AJ201" s="7" t="e">
        <f t="shared" si="66"/>
        <v>#N/A</v>
      </c>
      <c r="AK201" s="472" t="e">
        <f>VLOOKUP(AF201,'排出係数(2017)'!$A$4:$I$1151,7,FALSE)</f>
        <v>#N/A</v>
      </c>
      <c r="AL201" s="7" t="e">
        <f t="shared" si="67"/>
        <v>#N/A</v>
      </c>
      <c r="AM201" s="7" t="e">
        <f t="shared" si="68"/>
        <v>#N/A</v>
      </c>
      <c r="AN201" s="7" t="e">
        <f t="shared" si="69"/>
        <v>#N/A</v>
      </c>
      <c r="AO201" s="7">
        <f t="shared" si="70"/>
        <v>0</v>
      </c>
      <c r="AP201" s="7" t="e">
        <f t="shared" si="79"/>
        <v>#N/A</v>
      </c>
      <c r="AQ201" s="7" t="str">
        <f t="shared" si="71"/>
        <v/>
      </c>
      <c r="AR201" s="7" t="str">
        <f t="shared" si="72"/>
        <v/>
      </c>
      <c r="AS201" s="7" t="str">
        <f t="shared" si="73"/>
        <v/>
      </c>
      <c r="AT201" s="97"/>
      <c r="AZ201" s="477" t="s">
        <v>68</v>
      </c>
      <c r="CF201" s="586" t="str">
        <f t="shared" si="80"/>
        <v/>
      </c>
      <c r="CG201"/>
      <c r="CH201"/>
    </row>
    <row r="202" spans="1:86" s="13" customFormat="1" ht="13.75" customHeight="1">
      <c r="A202" s="137">
        <v>187</v>
      </c>
      <c r="B202" s="138"/>
      <c r="C202" s="139"/>
      <c r="D202" s="140"/>
      <c r="E202" s="139"/>
      <c r="F202" s="139"/>
      <c r="G202" s="191"/>
      <c r="H202" s="139"/>
      <c r="I202" s="141"/>
      <c r="J202" s="142"/>
      <c r="K202" s="139"/>
      <c r="L202" s="147"/>
      <c r="M202" s="148"/>
      <c r="N202" s="583"/>
      <c r="O202" s="229" t="str">
        <f t="shared" si="74"/>
        <v/>
      </c>
      <c r="P202" s="229" t="str">
        <f t="shared" si="75"/>
        <v/>
      </c>
      <c r="Q202" s="230" t="str">
        <f t="shared" si="76"/>
        <v/>
      </c>
      <c r="R202" s="323" t="str">
        <f t="shared" si="77"/>
        <v/>
      </c>
      <c r="S202" s="350"/>
      <c r="T202" s="43"/>
      <c r="U202" s="347" t="str">
        <f t="shared" si="54"/>
        <v/>
      </c>
      <c r="V202" s="7" t="e">
        <f t="shared" si="55"/>
        <v>#N/A</v>
      </c>
      <c r="W202" s="7" t="e">
        <f t="shared" si="56"/>
        <v>#N/A</v>
      </c>
      <c r="X202" s="7" t="e">
        <f t="shared" si="57"/>
        <v>#N/A</v>
      </c>
      <c r="Y202" s="7" t="str">
        <f t="shared" si="58"/>
        <v/>
      </c>
      <c r="Z202" s="11">
        <f t="shared" si="59"/>
        <v>1</v>
      </c>
      <c r="AA202" s="7" t="e">
        <f t="shared" si="60"/>
        <v>#N/A</v>
      </c>
      <c r="AB202" s="7" t="e">
        <f t="shared" si="61"/>
        <v>#N/A</v>
      </c>
      <c r="AC202" s="7" t="e">
        <f t="shared" si="62"/>
        <v>#N/A</v>
      </c>
      <c r="AD202" s="472" t="e">
        <f>VLOOKUP(AF202,'排出係数(2017)'!$A$4:$I$1151,9,FALSE)</f>
        <v>#N/A</v>
      </c>
      <c r="AE202" s="12" t="str">
        <f t="shared" si="63"/>
        <v xml:space="preserve"> </v>
      </c>
      <c r="AF202" s="7" t="e">
        <f t="shared" si="78"/>
        <v>#N/A</v>
      </c>
      <c r="AG202" s="7" t="e">
        <f t="shared" si="64"/>
        <v>#N/A</v>
      </c>
      <c r="AH202" s="472" t="e">
        <f>VLOOKUP(AF202,'排出係数(2017)'!$A$4:$I$1151,6,FALSE)</f>
        <v>#N/A</v>
      </c>
      <c r="AI202" s="7" t="e">
        <f t="shared" si="65"/>
        <v>#N/A</v>
      </c>
      <c r="AJ202" s="7" t="e">
        <f t="shared" si="66"/>
        <v>#N/A</v>
      </c>
      <c r="AK202" s="472" t="e">
        <f>VLOOKUP(AF202,'排出係数(2017)'!$A$4:$I$1151,7,FALSE)</f>
        <v>#N/A</v>
      </c>
      <c r="AL202" s="7" t="e">
        <f t="shared" si="67"/>
        <v>#N/A</v>
      </c>
      <c r="AM202" s="7" t="e">
        <f t="shared" si="68"/>
        <v>#N/A</v>
      </c>
      <c r="AN202" s="7" t="e">
        <f t="shared" si="69"/>
        <v>#N/A</v>
      </c>
      <c r="AO202" s="7">
        <f t="shared" si="70"/>
        <v>0</v>
      </c>
      <c r="AP202" s="7" t="e">
        <f t="shared" si="79"/>
        <v>#N/A</v>
      </c>
      <c r="AQ202" s="7" t="str">
        <f t="shared" si="71"/>
        <v/>
      </c>
      <c r="AR202" s="7" t="str">
        <f t="shared" si="72"/>
        <v/>
      </c>
      <c r="AS202" s="7" t="str">
        <f t="shared" si="73"/>
        <v/>
      </c>
      <c r="AT202" s="97"/>
      <c r="AZ202" s="477" t="s">
        <v>69</v>
      </c>
      <c r="CF202" s="586" t="str">
        <f t="shared" si="80"/>
        <v/>
      </c>
      <c r="CG202"/>
      <c r="CH202"/>
    </row>
    <row r="203" spans="1:86" s="13" customFormat="1" ht="13.75" customHeight="1">
      <c r="A203" s="137">
        <v>188</v>
      </c>
      <c r="B203" s="138"/>
      <c r="C203" s="139"/>
      <c r="D203" s="140"/>
      <c r="E203" s="139"/>
      <c r="F203" s="139"/>
      <c r="G203" s="191"/>
      <c r="H203" s="139"/>
      <c r="I203" s="141"/>
      <c r="J203" s="142"/>
      <c r="K203" s="139"/>
      <c r="L203" s="147"/>
      <c r="M203" s="148"/>
      <c r="N203" s="583"/>
      <c r="O203" s="229" t="str">
        <f t="shared" si="74"/>
        <v/>
      </c>
      <c r="P203" s="229" t="str">
        <f t="shared" si="75"/>
        <v/>
      </c>
      <c r="Q203" s="230" t="str">
        <f t="shared" si="76"/>
        <v/>
      </c>
      <c r="R203" s="323" t="str">
        <f t="shared" si="77"/>
        <v/>
      </c>
      <c r="S203" s="350"/>
      <c r="T203" s="43"/>
      <c r="U203" s="347" t="str">
        <f t="shared" si="54"/>
        <v/>
      </c>
      <c r="V203" s="7" t="e">
        <f t="shared" si="55"/>
        <v>#N/A</v>
      </c>
      <c r="W203" s="7" t="e">
        <f t="shared" si="56"/>
        <v>#N/A</v>
      </c>
      <c r="X203" s="7" t="e">
        <f t="shared" si="57"/>
        <v>#N/A</v>
      </c>
      <c r="Y203" s="7" t="str">
        <f t="shared" si="58"/>
        <v/>
      </c>
      <c r="Z203" s="11">
        <f t="shared" si="59"/>
        <v>1</v>
      </c>
      <c r="AA203" s="7" t="e">
        <f t="shared" si="60"/>
        <v>#N/A</v>
      </c>
      <c r="AB203" s="7" t="e">
        <f t="shared" si="61"/>
        <v>#N/A</v>
      </c>
      <c r="AC203" s="7" t="e">
        <f t="shared" si="62"/>
        <v>#N/A</v>
      </c>
      <c r="AD203" s="472" t="e">
        <f>VLOOKUP(AF203,'排出係数(2017)'!$A$4:$I$1151,9,FALSE)</f>
        <v>#N/A</v>
      </c>
      <c r="AE203" s="12" t="str">
        <f t="shared" si="63"/>
        <v xml:space="preserve"> </v>
      </c>
      <c r="AF203" s="7" t="e">
        <f t="shared" si="78"/>
        <v>#N/A</v>
      </c>
      <c r="AG203" s="7" t="e">
        <f t="shared" si="64"/>
        <v>#N/A</v>
      </c>
      <c r="AH203" s="472" t="e">
        <f>VLOOKUP(AF203,'排出係数(2017)'!$A$4:$I$1151,6,FALSE)</f>
        <v>#N/A</v>
      </c>
      <c r="AI203" s="7" t="e">
        <f t="shared" si="65"/>
        <v>#N/A</v>
      </c>
      <c r="AJ203" s="7" t="e">
        <f t="shared" si="66"/>
        <v>#N/A</v>
      </c>
      <c r="AK203" s="472" t="e">
        <f>VLOOKUP(AF203,'排出係数(2017)'!$A$4:$I$1151,7,FALSE)</f>
        <v>#N/A</v>
      </c>
      <c r="AL203" s="7" t="e">
        <f t="shared" si="67"/>
        <v>#N/A</v>
      </c>
      <c r="AM203" s="7" t="e">
        <f t="shared" si="68"/>
        <v>#N/A</v>
      </c>
      <c r="AN203" s="7" t="e">
        <f t="shared" si="69"/>
        <v>#N/A</v>
      </c>
      <c r="AO203" s="7">
        <f t="shared" si="70"/>
        <v>0</v>
      </c>
      <c r="AP203" s="7" t="e">
        <f t="shared" si="79"/>
        <v>#N/A</v>
      </c>
      <c r="AQ203" s="7" t="str">
        <f t="shared" si="71"/>
        <v/>
      </c>
      <c r="AR203" s="7" t="str">
        <f t="shared" si="72"/>
        <v/>
      </c>
      <c r="AS203" s="7" t="str">
        <f t="shared" si="73"/>
        <v/>
      </c>
      <c r="AT203" s="97"/>
      <c r="AZ203" s="477" t="s">
        <v>112</v>
      </c>
      <c r="CF203" s="586" t="str">
        <f t="shared" si="80"/>
        <v/>
      </c>
      <c r="CG203"/>
      <c r="CH203"/>
    </row>
    <row r="204" spans="1:86" s="13" customFormat="1" ht="13.75" customHeight="1">
      <c r="A204" s="137">
        <v>189</v>
      </c>
      <c r="B204" s="138"/>
      <c r="C204" s="139"/>
      <c r="D204" s="140"/>
      <c r="E204" s="139"/>
      <c r="F204" s="139"/>
      <c r="G204" s="191"/>
      <c r="H204" s="139"/>
      <c r="I204" s="141"/>
      <c r="J204" s="142"/>
      <c r="K204" s="139"/>
      <c r="L204" s="147"/>
      <c r="M204" s="148"/>
      <c r="N204" s="583"/>
      <c r="O204" s="229" t="str">
        <f t="shared" si="74"/>
        <v/>
      </c>
      <c r="P204" s="229" t="str">
        <f t="shared" si="75"/>
        <v/>
      </c>
      <c r="Q204" s="230" t="str">
        <f t="shared" si="76"/>
        <v/>
      </c>
      <c r="R204" s="323" t="str">
        <f t="shared" si="77"/>
        <v/>
      </c>
      <c r="S204" s="350"/>
      <c r="T204" s="43"/>
      <c r="U204" s="347" t="str">
        <f t="shared" si="54"/>
        <v/>
      </c>
      <c r="V204" s="7" t="e">
        <f t="shared" si="55"/>
        <v>#N/A</v>
      </c>
      <c r="W204" s="7" t="e">
        <f t="shared" si="56"/>
        <v>#N/A</v>
      </c>
      <c r="X204" s="7" t="e">
        <f t="shared" si="57"/>
        <v>#N/A</v>
      </c>
      <c r="Y204" s="7" t="str">
        <f t="shared" si="58"/>
        <v/>
      </c>
      <c r="Z204" s="11">
        <f t="shared" si="59"/>
        <v>1</v>
      </c>
      <c r="AA204" s="7" t="e">
        <f t="shared" si="60"/>
        <v>#N/A</v>
      </c>
      <c r="AB204" s="7" t="e">
        <f t="shared" si="61"/>
        <v>#N/A</v>
      </c>
      <c r="AC204" s="7" t="e">
        <f t="shared" si="62"/>
        <v>#N/A</v>
      </c>
      <c r="AD204" s="472" t="e">
        <f>VLOOKUP(AF204,'排出係数(2017)'!$A$4:$I$1151,9,FALSE)</f>
        <v>#N/A</v>
      </c>
      <c r="AE204" s="12" t="str">
        <f t="shared" si="63"/>
        <v xml:space="preserve"> </v>
      </c>
      <c r="AF204" s="7" t="e">
        <f t="shared" si="78"/>
        <v>#N/A</v>
      </c>
      <c r="AG204" s="7" t="e">
        <f t="shared" si="64"/>
        <v>#N/A</v>
      </c>
      <c r="AH204" s="472" t="e">
        <f>VLOOKUP(AF204,'排出係数(2017)'!$A$4:$I$1151,6,FALSE)</f>
        <v>#N/A</v>
      </c>
      <c r="AI204" s="7" t="e">
        <f t="shared" si="65"/>
        <v>#N/A</v>
      </c>
      <c r="AJ204" s="7" t="e">
        <f t="shared" si="66"/>
        <v>#N/A</v>
      </c>
      <c r="AK204" s="472" t="e">
        <f>VLOOKUP(AF204,'排出係数(2017)'!$A$4:$I$1151,7,FALSE)</f>
        <v>#N/A</v>
      </c>
      <c r="AL204" s="7" t="e">
        <f t="shared" si="67"/>
        <v>#N/A</v>
      </c>
      <c r="AM204" s="7" t="e">
        <f t="shared" si="68"/>
        <v>#N/A</v>
      </c>
      <c r="AN204" s="7" t="e">
        <f t="shared" si="69"/>
        <v>#N/A</v>
      </c>
      <c r="AO204" s="7">
        <f t="shared" si="70"/>
        <v>0</v>
      </c>
      <c r="AP204" s="7" t="e">
        <f t="shared" si="79"/>
        <v>#N/A</v>
      </c>
      <c r="AQ204" s="7" t="str">
        <f t="shared" si="71"/>
        <v/>
      </c>
      <c r="AR204" s="7" t="str">
        <f t="shared" si="72"/>
        <v/>
      </c>
      <c r="AS204" s="7" t="str">
        <f t="shared" si="73"/>
        <v/>
      </c>
      <c r="AT204" s="97"/>
      <c r="AZ204" s="477" t="s">
        <v>113</v>
      </c>
      <c r="CF204" s="586" t="str">
        <f t="shared" si="80"/>
        <v/>
      </c>
      <c r="CG204"/>
      <c r="CH204"/>
    </row>
    <row r="205" spans="1:86" s="13" customFormat="1" ht="13.75" customHeight="1">
      <c r="A205" s="137">
        <v>190</v>
      </c>
      <c r="B205" s="138"/>
      <c r="C205" s="139"/>
      <c r="D205" s="140"/>
      <c r="E205" s="139"/>
      <c r="F205" s="139"/>
      <c r="G205" s="191"/>
      <c r="H205" s="139"/>
      <c r="I205" s="141"/>
      <c r="J205" s="142"/>
      <c r="K205" s="139"/>
      <c r="L205" s="147"/>
      <c r="M205" s="148"/>
      <c r="N205" s="583"/>
      <c r="O205" s="229" t="str">
        <f t="shared" si="74"/>
        <v/>
      </c>
      <c r="P205" s="229" t="str">
        <f t="shared" si="75"/>
        <v/>
      </c>
      <c r="Q205" s="230" t="str">
        <f t="shared" si="76"/>
        <v/>
      </c>
      <c r="R205" s="323" t="str">
        <f t="shared" si="77"/>
        <v/>
      </c>
      <c r="S205" s="350"/>
      <c r="T205" s="43"/>
      <c r="U205" s="347" t="str">
        <f t="shared" si="54"/>
        <v/>
      </c>
      <c r="V205" s="7" t="e">
        <f t="shared" si="55"/>
        <v>#N/A</v>
      </c>
      <c r="W205" s="7" t="e">
        <f t="shared" si="56"/>
        <v>#N/A</v>
      </c>
      <c r="X205" s="7" t="e">
        <f t="shared" si="57"/>
        <v>#N/A</v>
      </c>
      <c r="Y205" s="7" t="str">
        <f t="shared" si="58"/>
        <v/>
      </c>
      <c r="Z205" s="11">
        <f t="shared" si="59"/>
        <v>1</v>
      </c>
      <c r="AA205" s="7" t="e">
        <f t="shared" si="60"/>
        <v>#N/A</v>
      </c>
      <c r="AB205" s="7" t="e">
        <f t="shared" si="61"/>
        <v>#N/A</v>
      </c>
      <c r="AC205" s="7" t="e">
        <f t="shared" si="62"/>
        <v>#N/A</v>
      </c>
      <c r="AD205" s="472" t="e">
        <f>VLOOKUP(AF205,'排出係数(2017)'!$A$4:$I$1151,9,FALSE)</f>
        <v>#N/A</v>
      </c>
      <c r="AE205" s="12" t="str">
        <f t="shared" si="63"/>
        <v xml:space="preserve"> </v>
      </c>
      <c r="AF205" s="7" t="e">
        <f t="shared" si="78"/>
        <v>#N/A</v>
      </c>
      <c r="AG205" s="7" t="e">
        <f t="shared" si="64"/>
        <v>#N/A</v>
      </c>
      <c r="AH205" s="472" t="e">
        <f>VLOOKUP(AF205,'排出係数(2017)'!$A$4:$I$1151,6,FALSE)</f>
        <v>#N/A</v>
      </c>
      <c r="AI205" s="7" t="e">
        <f t="shared" si="65"/>
        <v>#N/A</v>
      </c>
      <c r="AJ205" s="7" t="e">
        <f t="shared" si="66"/>
        <v>#N/A</v>
      </c>
      <c r="AK205" s="472" t="e">
        <f>VLOOKUP(AF205,'排出係数(2017)'!$A$4:$I$1151,7,FALSE)</f>
        <v>#N/A</v>
      </c>
      <c r="AL205" s="7" t="e">
        <f t="shared" si="67"/>
        <v>#N/A</v>
      </c>
      <c r="AM205" s="7" t="e">
        <f t="shared" si="68"/>
        <v>#N/A</v>
      </c>
      <c r="AN205" s="7" t="e">
        <f t="shared" si="69"/>
        <v>#N/A</v>
      </c>
      <c r="AO205" s="7">
        <f t="shared" si="70"/>
        <v>0</v>
      </c>
      <c r="AP205" s="7" t="e">
        <f t="shared" si="79"/>
        <v>#N/A</v>
      </c>
      <c r="AQ205" s="7" t="str">
        <f t="shared" si="71"/>
        <v/>
      </c>
      <c r="AR205" s="7" t="str">
        <f t="shared" si="72"/>
        <v/>
      </c>
      <c r="AS205" s="7" t="str">
        <f t="shared" si="73"/>
        <v/>
      </c>
      <c r="AT205" s="97"/>
      <c r="AZ205" s="477" t="s">
        <v>114</v>
      </c>
      <c r="CF205" s="586" t="str">
        <f t="shared" si="80"/>
        <v/>
      </c>
      <c r="CG205"/>
      <c r="CH205"/>
    </row>
    <row r="206" spans="1:86" s="13" customFormat="1" ht="13.75" customHeight="1">
      <c r="A206" s="137">
        <v>191</v>
      </c>
      <c r="B206" s="138"/>
      <c r="C206" s="139"/>
      <c r="D206" s="140"/>
      <c r="E206" s="139"/>
      <c r="F206" s="139"/>
      <c r="G206" s="191"/>
      <c r="H206" s="139"/>
      <c r="I206" s="141"/>
      <c r="J206" s="142"/>
      <c r="K206" s="139"/>
      <c r="L206" s="147"/>
      <c r="M206" s="148"/>
      <c r="N206" s="583"/>
      <c r="O206" s="229" t="str">
        <f t="shared" si="74"/>
        <v/>
      </c>
      <c r="P206" s="229" t="str">
        <f t="shared" si="75"/>
        <v/>
      </c>
      <c r="Q206" s="230" t="str">
        <f t="shared" si="76"/>
        <v/>
      </c>
      <c r="R206" s="323" t="str">
        <f t="shared" si="77"/>
        <v/>
      </c>
      <c r="S206" s="350"/>
      <c r="T206" s="43"/>
      <c r="U206" s="347" t="str">
        <f t="shared" si="54"/>
        <v/>
      </c>
      <c r="V206" s="7" t="e">
        <f t="shared" si="55"/>
        <v>#N/A</v>
      </c>
      <c r="W206" s="7" t="e">
        <f t="shared" si="56"/>
        <v>#N/A</v>
      </c>
      <c r="X206" s="7" t="e">
        <f t="shared" si="57"/>
        <v>#N/A</v>
      </c>
      <c r="Y206" s="7" t="str">
        <f t="shared" si="58"/>
        <v/>
      </c>
      <c r="Z206" s="11">
        <f t="shared" si="59"/>
        <v>1</v>
      </c>
      <c r="AA206" s="7" t="e">
        <f t="shared" si="60"/>
        <v>#N/A</v>
      </c>
      <c r="AB206" s="7" t="e">
        <f t="shared" si="61"/>
        <v>#N/A</v>
      </c>
      <c r="AC206" s="7" t="e">
        <f t="shared" si="62"/>
        <v>#N/A</v>
      </c>
      <c r="AD206" s="472" t="e">
        <f>VLOOKUP(AF206,'排出係数(2017)'!$A$4:$I$1151,9,FALSE)</f>
        <v>#N/A</v>
      </c>
      <c r="AE206" s="12" t="str">
        <f t="shared" si="63"/>
        <v xml:space="preserve"> </v>
      </c>
      <c r="AF206" s="7" t="e">
        <f t="shared" si="78"/>
        <v>#N/A</v>
      </c>
      <c r="AG206" s="7" t="e">
        <f t="shared" si="64"/>
        <v>#N/A</v>
      </c>
      <c r="AH206" s="472" t="e">
        <f>VLOOKUP(AF206,'排出係数(2017)'!$A$4:$I$1151,6,FALSE)</f>
        <v>#N/A</v>
      </c>
      <c r="AI206" s="7" t="e">
        <f t="shared" si="65"/>
        <v>#N/A</v>
      </c>
      <c r="AJ206" s="7" t="e">
        <f t="shared" si="66"/>
        <v>#N/A</v>
      </c>
      <c r="AK206" s="472" t="e">
        <f>VLOOKUP(AF206,'排出係数(2017)'!$A$4:$I$1151,7,FALSE)</f>
        <v>#N/A</v>
      </c>
      <c r="AL206" s="7" t="e">
        <f t="shared" si="67"/>
        <v>#N/A</v>
      </c>
      <c r="AM206" s="7" t="e">
        <f t="shared" si="68"/>
        <v>#N/A</v>
      </c>
      <c r="AN206" s="7" t="e">
        <f t="shared" si="69"/>
        <v>#N/A</v>
      </c>
      <c r="AO206" s="7">
        <f t="shared" si="70"/>
        <v>0</v>
      </c>
      <c r="AP206" s="7" t="e">
        <f t="shared" si="79"/>
        <v>#N/A</v>
      </c>
      <c r="AQ206" s="7" t="str">
        <f t="shared" si="71"/>
        <v/>
      </c>
      <c r="AR206" s="7" t="str">
        <f t="shared" si="72"/>
        <v/>
      </c>
      <c r="AS206" s="7" t="str">
        <f t="shared" si="73"/>
        <v/>
      </c>
      <c r="AT206" s="97"/>
      <c r="AZ206" s="477" t="s">
        <v>115</v>
      </c>
      <c r="CF206" s="586" t="str">
        <f t="shared" si="80"/>
        <v/>
      </c>
      <c r="CG206"/>
      <c r="CH206"/>
    </row>
    <row r="207" spans="1:86" s="13" customFormat="1" ht="13.75" customHeight="1">
      <c r="A207" s="137">
        <v>192</v>
      </c>
      <c r="B207" s="138"/>
      <c r="C207" s="139"/>
      <c r="D207" s="140"/>
      <c r="E207" s="139"/>
      <c r="F207" s="139"/>
      <c r="G207" s="191"/>
      <c r="H207" s="139"/>
      <c r="I207" s="141"/>
      <c r="J207" s="142"/>
      <c r="K207" s="139"/>
      <c r="L207" s="147"/>
      <c r="M207" s="148"/>
      <c r="N207" s="583"/>
      <c r="O207" s="229" t="str">
        <f t="shared" si="74"/>
        <v/>
      </c>
      <c r="P207" s="229" t="str">
        <f t="shared" si="75"/>
        <v/>
      </c>
      <c r="Q207" s="230" t="str">
        <f t="shared" si="76"/>
        <v/>
      </c>
      <c r="R207" s="323" t="str">
        <f t="shared" si="77"/>
        <v/>
      </c>
      <c r="S207" s="350"/>
      <c r="T207" s="43"/>
      <c r="U207" s="347" t="str">
        <f t="shared" si="54"/>
        <v/>
      </c>
      <c r="V207" s="7" t="e">
        <f t="shared" si="55"/>
        <v>#N/A</v>
      </c>
      <c r="W207" s="7" t="e">
        <f t="shared" si="56"/>
        <v>#N/A</v>
      </c>
      <c r="X207" s="7" t="e">
        <f t="shared" si="57"/>
        <v>#N/A</v>
      </c>
      <c r="Y207" s="7" t="str">
        <f t="shared" si="58"/>
        <v/>
      </c>
      <c r="Z207" s="11">
        <f t="shared" si="59"/>
        <v>1</v>
      </c>
      <c r="AA207" s="7" t="e">
        <f t="shared" si="60"/>
        <v>#N/A</v>
      </c>
      <c r="AB207" s="7" t="e">
        <f t="shared" si="61"/>
        <v>#N/A</v>
      </c>
      <c r="AC207" s="7" t="e">
        <f t="shared" si="62"/>
        <v>#N/A</v>
      </c>
      <c r="AD207" s="472" t="e">
        <f>VLOOKUP(AF207,'排出係数(2017)'!$A$4:$I$1151,9,FALSE)</f>
        <v>#N/A</v>
      </c>
      <c r="AE207" s="12" t="str">
        <f t="shared" si="63"/>
        <v xml:space="preserve"> </v>
      </c>
      <c r="AF207" s="7" t="e">
        <f t="shared" si="78"/>
        <v>#N/A</v>
      </c>
      <c r="AG207" s="7" t="e">
        <f t="shared" si="64"/>
        <v>#N/A</v>
      </c>
      <c r="AH207" s="472" t="e">
        <f>VLOOKUP(AF207,'排出係数(2017)'!$A$4:$I$1151,6,FALSE)</f>
        <v>#N/A</v>
      </c>
      <c r="AI207" s="7" t="e">
        <f t="shared" si="65"/>
        <v>#N/A</v>
      </c>
      <c r="AJ207" s="7" t="e">
        <f t="shared" si="66"/>
        <v>#N/A</v>
      </c>
      <c r="AK207" s="472" t="e">
        <f>VLOOKUP(AF207,'排出係数(2017)'!$A$4:$I$1151,7,FALSE)</f>
        <v>#N/A</v>
      </c>
      <c r="AL207" s="7" t="e">
        <f t="shared" si="67"/>
        <v>#N/A</v>
      </c>
      <c r="AM207" s="7" t="e">
        <f t="shared" si="68"/>
        <v>#N/A</v>
      </c>
      <c r="AN207" s="7" t="e">
        <f t="shared" si="69"/>
        <v>#N/A</v>
      </c>
      <c r="AO207" s="7">
        <f t="shared" si="70"/>
        <v>0</v>
      </c>
      <c r="AP207" s="7" t="e">
        <f t="shared" si="79"/>
        <v>#N/A</v>
      </c>
      <c r="AQ207" s="7" t="str">
        <f t="shared" si="71"/>
        <v/>
      </c>
      <c r="AR207" s="7" t="str">
        <f t="shared" si="72"/>
        <v/>
      </c>
      <c r="AS207" s="7" t="str">
        <f t="shared" si="73"/>
        <v/>
      </c>
      <c r="AT207" s="97"/>
      <c r="AZ207" s="477" t="s">
        <v>116</v>
      </c>
      <c r="CF207" s="586" t="str">
        <f t="shared" si="80"/>
        <v/>
      </c>
      <c r="CG207"/>
      <c r="CH207"/>
    </row>
    <row r="208" spans="1:86" s="13" customFormat="1" ht="13.75" customHeight="1">
      <c r="A208" s="137">
        <v>193</v>
      </c>
      <c r="B208" s="138"/>
      <c r="C208" s="139"/>
      <c r="D208" s="140"/>
      <c r="E208" s="139"/>
      <c r="F208" s="139"/>
      <c r="G208" s="191"/>
      <c r="H208" s="139"/>
      <c r="I208" s="141"/>
      <c r="J208" s="142"/>
      <c r="K208" s="139"/>
      <c r="L208" s="147"/>
      <c r="M208" s="148"/>
      <c r="N208" s="583"/>
      <c r="O208" s="229" t="str">
        <f t="shared" si="74"/>
        <v/>
      </c>
      <c r="P208" s="229" t="str">
        <f t="shared" si="75"/>
        <v/>
      </c>
      <c r="Q208" s="230" t="str">
        <f t="shared" si="76"/>
        <v/>
      </c>
      <c r="R208" s="323" t="str">
        <f t="shared" si="77"/>
        <v/>
      </c>
      <c r="S208" s="350"/>
      <c r="T208" s="43"/>
      <c r="U208" s="347" t="str">
        <f t="shared" ref="U208:U271" si="81">IF(ISBLANK(H208)=TRUE,"",IF(OR(ISBLANK(B208)=TRUE),1,""))</f>
        <v/>
      </c>
      <c r="V208" s="7" t="e">
        <f t="shared" ref="V208:V271" si="82">VLOOKUP(H208,$AU$17:$AX$23,2,FALSE)</f>
        <v>#N/A</v>
      </c>
      <c r="W208" s="7" t="e">
        <f t="shared" ref="W208:W271" si="83">VLOOKUP(H208,$AU$17:$AX$23,3,FALSE)</f>
        <v>#N/A</v>
      </c>
      <c r="X208" s="7" t="e">
        <f t="shared" ref="X208:X271" si="84">VLOOKUP(H208,$AU$17:$AX$23,4,FALSE)</f>
        <v>#N/A</v>
      </c>
      <c r="Y208" s="7" t="str">
        <f t="shared" ref="Y208:Y271" si="85">IF(ISERROR(SEARCH("-",I208,1))=TRUE,ASC(UPPER(I208)),ASC(UPPER(LEFT(I208,SEARCH("-",I208,1)-1))))</f>
        <v/>
      </c>
      <c r="Z208" s="11">
        <f t="shared" ref="Z208:Z271" si="86">IF(J208&gt;3500,J208/1000,1)</f>
        <v>1</v>
      </c>
      <c r="AA208" s="7" t="e">
        <f t="shared" ref="AA208:AA271" si="87">IF(X208=9,0,IF(J208&lt;=1700,1,IF(J208&lt;=2500,2,IF(J208&lt;=3500,3,4))))</f>
        <v>#N/A</v>
      </c>
      <c r="AB208" s="7" t="e">
        <f t="shared" ref="AB208:AB271" si="88">IF(X208=5,0,IF(X208=9,0,IF(J208&lt;=1700,1,IF(J208&lt;=2500,2,IF(J208&lt;=3500,3,4)))))</f>
        <v>#N/A</v>
      </c>
      <c r="AC208" s="7" t="e">
        <f t="shared" ref="AC208:AC271" si="89">VLOOKUP(K208,$BC$17:$BD$25,2,FALSE)</f>
        <v>#N/A</v>
      </c>
      <c r="AD208" s="472" t="e">
        <f>VLOOKUP(AF208,'排出係数(2017)'!$A$4:$I$1151,9,FALSE)</f>
        <v>#N/A</v>
      </c>
      <c r="AE208" s="12" t="str">
        <f t="shared" ref="AE208:AE271" si="90">IF(OR(ISBLANK(K208)=TRUE,ISBLANK(B208)=TRUE)," ",CONCATENATE(B208,X208,AA208))</f>
        <v xml:space="preserve"> </v>
      </c>
      <c r="AF208" s="7" t="e">
        <f t="shared" si="78"/>
        <v>#N/A</v>
      </c>
      <c r="AG208" s="7" t="e">
        <f t="shared" ref="AG208:AG271" si="91">IF(AND(L208="あり",AC208="軽"),AI208,AH208)</f>
        <v>#N/A</v>
      </c>
      <c r="AH208" s="472" t="e">
        <f>VLOOKUP(AF208,'排出係数(2017)'!$A$4:$I$1151,6,FALSE)</f>
        <v>#N/A</v>
      </c>
      <c r="AI208" s="7" t="e">
        <f t="shared" ref="AI208:AI271" si="92">VLOOKUP(AB208,$BQ$17:$BU$21,2,FALSE)</f>
        <v>#N/A</v>
      </c>
      <c r="AJ208" s="7" t="e">
        <f t="shared" ref="AJ208:AJ271" si="93">IF(AND(L208="あり",M208="なし",AC208="軽"),AL208,IF(AND(L208="あり",M208="あり(H17なし)",AC208="軽"),AL208,IF(AND(L208="あり",M208="",AC208="軽"),AL208,IF(AND(L208="なし",M208="あり(H17なし)",AC208="軽"),AM208,IF(AND(L208="",M208="あり(H17なし)",AC208="軽"),AM208,IF(AND(M208="あり(H17あり)",AC208="軽"),AN208,AK208))))))</f>
        <v>#N/A</v>
      </c>
      <c r="AK208" s="472" t="e">
        <f>VLOOKUP(AF208,'排出係数(2017)'!$A$4:$I$1151,7,FALSE)</f>
        <v>#N/A</v>
      </c>
      <c r="AL208" s="7" t="e">
        <f t="shared" ref="AL208:AL271" si="94">VLOOKUP(AB208,$BQ$17:$BU$21,3,FALSE)</f>
        <v>#N/A</v>
      </c>
      <c r="AM208" s="7" t="e">
        <f t="shared" ref="AM208:AM271" si="95">VLOOKUP(AB208,$BQ$17:$BU$21,4,FALSE)</f>
        <v>#N/A</v>
      </c>
      <c r="AN208" s="7" t="e">
        <f t="shared" ref="AN208:AN271" si="96">VLOOKUP(AB208,$BQ$17:$BU$21,5,FALSE)</f>
        <v>#N/A</v>
      </c>
      <c r="AO208" s="7">
        <f t="shared" ref="AO208:AO271" si="97">IF(AND(L208="なし",M208="なし"),0,IF(AND(L208="",M208=""),0,IF(AND(L208="",M208="なし"),0,IF(AND(L208="なし",M208=""),0,1))))</f>
        <v>0</v>
      </c>
      <c r="AP208" s="7" t="e">
        <f t="shared" si="79"/>
        <v>#N/A</v>
      </c>
      <c r="AQ208" s="7" t="str">
        <f t="shared" ref="AQ208:AQ271" si="98">IF(H208="","",VLOOKUP(H208,$AU$17:$AY$25,5,FALSE))</f>
        <v/>
      </c>
      <c r="AR208" s="7" t="str">
        <f t="shared" ref="AR208:AR271" si="99">IF(D208="","",VLOOKUP(CONCATENATE("A",LEFT(D208)),$BN$17:$BO$26,2,FALSE))</f>
        <v/>
      </c>
      <c r="AS208" s="7" t="str">
        <f t="shared" ref="AS208:AS271" si="100">IF(AQ208=AR208,"",1)</f>
        <v/>
      </c>
      <c r="AT208" s="97"/>
      <c r="AZ208" s="477" t="s">
        <v>117</v>
      </c>
      <c r="CF208" s="586" t="str">
        <f t="shared" si="80"/>
        <v/>
      </c>
      <c r="CG208"/>
      <c r="CH208"/>
    </row>
    <row r="209" spans="1:86" s="13" customFormat="1" ht="13.75" customHeight="1">
      <c r="A209" s="137">
        <v>194</v>
      </c>
      <c r="B209" s="138"/>
      <c r="C209" s="139"/>
      <c r="D209" s="140"/>
      <c r="E209" s="139"/>
      <c r="F209" s="139"/>
      <c r="G209" s="191"/>
      <c r="H209" s="139"/>
      <c r="I209" s="141"/>
      <c r="J209" s="142"/>
      <c r="K209" s="139"/>
      <c r="L209" s="147"/>
      <c r="M209" s="148"/>
      <c r="N209" s="583"/>
      <c r="O209" s="229" t="str">
        <f t="shared" ref="O209:O272" si="101">IF(ISBLANK(K209)=TRUE,"",IF(ISNUMBER(AG209)=TRUE,AG209,"0"))</f>
        <v/>
      </c>
      <c r="P209" s="229" t="str">
        <f t="shared" ref="P209:P272" si="102">IF(ISBLANK($K209)=TRUE,"",IF(ISNUMBER(AJ209)=TRUE,AJ209,"0"))</f>
        <v/>
      </c>
      <c r="Q209" s="230" t="str">
        <f t="shared" ref="Q209:Q272" si="103">IF(O209="","",IF(ISERROR(O209*N209*Z209),"0",IF(ISBLANK(O209)=TRUE,"0",IF(ISBLANK(N209)=TRUE,"0",IF(AS209=1,"0",O209*N209*Z209/1000)))))</f>
        <v/>
      </c>
      <c r="R209" s="323" t="str">
        <f t="shared" ref="R209:R272" si="104">IF(P209="","",IF(ISERROR(P209*N209*Z209),"0",IF(ISBLANK(P209)=TRUE,"0",IF(ISBLANK(N209)=TRUE,"0",IF(AS209=1,"0",P209*N209*Z209/1000)))))</f>
        <v/>
      </c>
      <c r="S209" s="350"/>
      <c r="T209" s="43"/>
      <c r="U209" s="347" t="str">
        <f t="shared" si="81"/>
        <v/>
      </c>
      <c r="V209" s="7" t="e">
        <f t="shared" si="82"/>
        <v>#N/A</v>
      </c>
      <c r="W209" s="7" t="e">
        <f t="shared" si="83"/>
        <v>#N/A</v>
      </c>
      <c r="X209" s="7" t="e">
        <f t="shared" si="84"/>
        <v>#N/A</v>
      </c>
      <c r="Y209" s="7" t="str">
        <f t="shared" si="85"/>
        <v/>
      </c>
      <c r="Z209" s="11">
        <f t="shared" si="86"/>
        <v>1</v>
      </c>
      <c r="AA209" s="7" t="e">
        <f t="shared" si="87"/>
        <v>#N/A</v>
      </c>
      <c r="AB209" s="7" t="e">
        <f t="shared" si="88"/>
        <v>#N/A</v>
      </c>
      <c r="AC209" s="7" t="e">
        <f t="shared" si="89"/>
        <v>#N/A</v>
      </c>
      <c r="AD209" s="472" t="e">
        <f>VLOOKUP(AF209,'排出係数(2017)'!$A$4:$I$1151,9,FALSE)</f>
        <v>#N/A</v>
      </c>
      <c r="AE209" s="12" t="str">
        <f t="shared" si="90"/>
        <v xml:space="preserve"> </v>
      </c>
      <c r="AF209" s="7" t="e">
        <f t="shared" ref="AF209:AF272" si="105">CONCATENATE(V209,AB209,AC209,Y209)</f>
        <v>#N/A</v>
      </c>
      <c r="AG209" s="7" t="e">
        <f t="shared" si="91"/>
        <v>#N/A</v>
      </c>
      <c r="AH209" s="472" t="e">
        <f>VLOOKUP(AF209,'排出係数(2017)'!$A$4:$I$1151,6,FALSE)</f>
        <v>#N/A</v>
      </c>
      <c r="AI209" s="7" t="e">
        <f t="shared" si="92"/>
        <v>#N/A</v>
      </c>
      <c r="AJ209" s="7" t="e">
        <f t="shared" si="93"/>
        <v>#N/A</v>
      </c>
      <c r="AK209" s="472" t="e">
        <f>VLOOKUP(AF209,'排出係数(2017)'!$A$4:$I$1151,7,FALSE)</f>
        <v>#N/A</v>
      </c>
      <c r="AL209" s="7" t="e">
        <f t="shared" si="94"/>
        <v>#N/A</v>
      </c>
      <c r="AM209" s="7" t="e">
        <f t="shared" si="95"/>
        <v>#N/A</v>
      </c>
      <c r="AN209" s="7" t="e">
        <f t="shared" si="96"/>
        <v>#N/A</v>
      </c>
      <c r="AO209" s="7">
        <f t="shared" si="97"/>
        <v>0</v>
      </c>
      <c r="AP209" s="7" t="e">
        <f t="shared" ref="AP209:AP272" si="106">VLOOKUP(AF209,排出係数表,8,FALSE)</f>
        <v>#N/A</v>
      </c>
      <c r="AQ209" s="7" t="str">
        <f t="shared" si="98"/>
        <v/>
      </c>
      <c r="AR209" s="7" t="str">
        <f t="shared" si="99"/>
        <v/>
      </c>
      <c r="AS209" s="7" t="str">
        <f t="shared" si="100"/>
        <v/>
      </c>
      <c r="AT209" s="97"/>
      <c r="AZ209" s="477" t="s">
        <v>7</v>
      </c>
      <c r="CF209" s="586" t="str">
        <f t="shared" ref="CF209:CF272" si="107">IF(COUNTA(B209:F209,H209:K209)&gt;0,IF(OR(ISNUMBER(AH209)=FALSE,ISNUMBER(AK209)=FALSE,COUNTA(B209:F209,H209:K209)&lt;9),"×","〇"),"")</f>
        <v/>
      </c>
      <c r="CG209"/>
      <c r="CH209"/>
    </row>
    <row r="210" spans="1:86" s="13" customFormat="1" ht="13.75" customHeight="1">
      <c r="A210" s="137">
        <v>195</v>
      </c>
      <c r="B210" s="138"/>
      <c r="C210" s="139"/>
      <c r="D210" s="140"/>
      <c r="E210" s="139"/>
      <c r="F210" s="139"/>
      <c r="G210" s="191"/>
      <c r="H210" s="139"/>
      <c r="I210" s="141"/>
      <c r="J210" s="142"/>
      <c r="K210" s="139"/>
      <c r="L210" s="147"/>
      <c r="M210" s="148"/>
      <c r="N210" s="583"/>
      <c r="O210" s="229" t="str">
        <f t="shared" si="101"/>
        <v/>
      </c>
      <c r="P210" s="229" t="str">
        <f t="shared" si="102"/>
        <v/>
      </c>
      <c r="Q210" s="230" t="str">
        <f t="shared" si="103"/>
        <v/>
      </c>
      <c r="R210" s="323" t="str">
        <f t="shared" si="104"/>
        <v/>
      </c>
      <c r="S210" s="350"/>
      <c r="T210" s="43"/>
      <c r="U210" s="347" t="str">
        <f t="shared" si="81"/>
        <v/>
      </c>
      <c r="V210" s="7" t="e">
        <f t="shared" si="82"/>
        <v>#N/A</v>
      </c>
      <c r="W210" s="7" t="e">
        <f t="shared" si="83"/>
        <v>#N/A</v>
      </c>
      <c r="X210" s="7" t="e">
        <f t="shared" si="84"/>
        <v>#N/A</v>
      </c>
      <c r="Y210" s="7" t="str">
        <f t="shared" si="85"/>
        <v/>
      </c>
      <c r="Z210" s="11">
        <f t="shared" si="86"/>
        <v>1</v>
      </c>
      <c r="AA210" s="7" t="e">
        <f t="shared" si="87"/>
        <v>#N/A</v>
      </c>
      <c r="AB210" s="7" t="e">
        <f t="shared" si="88"/>
        <v>#N/A</v>
      </c>
      <c r="AC210" s="7" t="e">
        <f t="shared" si="89"/>
        <v>#N/A</v>
      </c>
      <c r="AD210" s="472" t="e">
        <f>VLOOKUP(AF210,'排出係数(2017)'!$A$4:$I$1151,9,FALSE)</f>
        <v>#N/A</v>
      </c>
      <c r="AE210" s="12" t="str">
        <f t="shared" si="90"/>
        <v xml:space="preserve"> </v>
      </c>
      <c r="AF210" s="7" t="e">
        <f t="shared" si="105"/>
        <v>#N/A</v>
      </c>
      <c r="AG210" s="7" t="e">
        <f t="shared" si="91"/>
        <v>#N/A</v>
      </c>
      <c r="AH210" s="472" t="e">
        <f>VLOOKUP(AF210,'排出係数(2017)'!$A$4:$I$1151,6,FALSE)</f>
        <v>#N/A</v>
      </c>
      <c r="AI210" s="7" t="e">
        <f t="shared" si="92"/>
        <v>#N/A</v>
      </c>
      <c r="AJ210" s="7" t="e">
        <f t="shared" si="93"/>
        <v>#N/A</v>
      </c>
      <c r="AK210" s="472" t="e">
        <f>VLOOKUP(AF210,'排出係数(2017)'!$A$4:$I$1151,7,FALSE)</f>
        <v>#N/A</v>
      </c>
      <c r="AL210" s="7" t="e">
        <f t="shared" si="94"/>
        <v>#N/A</v>
      </c>
      <c r="AM210" s="7" t="e">
        <f t="shared" si="95"/>
        <v>#N/A</v>
      </c>
      <c r="AN210" s="7" t="e">
        <f t="shared" si="96"/>
        <v>#N/A</v>
      </c>
      <c r="AO210" s="7">
        <f t="shared" si="97"/>
        <v>0</v>
      </c>
      <c r="AP210" s="7" t="e">
        <f t="shared" si="106"/>
        <v>#N/A</v>
      </c>
      <c r="AQ210" s="7" t="str">
        <f t="shared" si="98"/>
        <v/>
      </c>
      <c r="AR210" s="7" t="str">
        <f t="shared" si="99"/>
        <v/>
      </c>
      <c r="AS210" s="7" t="str">
        <f t="shared" si="100"/>
        <v/>
      </c>
      <c r="AT210" s="97"/>
      <c r="AZ210" s="477" t="s">
        <v>6</v>
      </c>
      <c r="CF210" s="586" t="str">
        <f t="shared" si="107"/>
        <v/>
      </c>
      <c r="CG210"/>
      <c r="CH210"/>
    </row>
    <row r="211" spans="1:86" s="13" customFormat="1" ht="13.75" customHeight="1">
      <c r="A211" s="137">
        <v>196</v>
      </c>
      <c r="B211" s="138"/>
      <c r="C211" s="139"/>
      <c r="D211" s="140"/>
      <c r="E211" s="139"/>
      <c r="F211" s="139"/>
      <c r="G211" s="191"/>
      <c r="H211" s="139"/>
      <c r="I211" s="141"/>
      <c r="J211" s="142"/>
      <c r="K211" s="139"/>
      <c r="L211" s="147"/>
      <c r="M211" s="148"/>
      <c r="N211" s="583"/>
      <c r="O211" s="229" t="str">
        <f t="shared" si="101"/>
        <v/>
      </c>
      <c r="P211" s="229" t="str">
        <f t="shared" si="102"/>
        <v/>
      </c>
      <c r="Q211" s="230" t="str">
        <f t="shared" si="103"/>
        <v/>
      </c>
      <c r="R211" s="323" t="str">
        <f t="shared" si="104"/>
        <v/>
      </c>
      <c r="S211" s="350"/>
      <c r="T211" s="43"/>
      <c r="U211" s="347" t="str">
        <f t="shared" si="81"/>
        <v/>
      </c>
      <c r="V211" s="7" t="e">
        <f t="shared" si="82"/>
        <v>#N/A</v>
      </c>
      <c r="W211" s="7" t="e">
        <f t="shared" si="83"/>
        <v>#N/A</v>
      </c>
      <c r="X211" s="7" t="e">
        <f t="shared" si="84"/>
        <v>#N/A</v>
      </c>
      <c r="Y211" s="7" t="str">
        <f t="shared" si="85"/>
        <v/>
      </c>
      <c r="Z211" s="11">
        <f t="shared" si="86"/>
        <v>1</v>
      </c>
      <c r="AA211" s="7" t="e">
        <f t="shared" si="87"/>
        <v>#N/A</v>
      </c>
      <c r="AB211" s="7" t="e">
        <f t="shared" si="88"/>
        <v>#N/A</v>
      </c>
      <c r="AC211" s="7" t="e">
        <f t="shared" si="89"/>
        <v>#N/A</v>
      </c>
      <c r="AD211" s="472" t="e">
        <f>VLOOKUP(AF211,'排出係数(2017)'!$A$4:$I$1151,9,FALSE)</f>
        <v>#N/A</v>
      </c>
      <c r="AE211" s="12" t="str">
        <f t="shared" si="90"/>
        <v xml:space="preserve"> </v>
      </c>
      <c r="AF211" s="7" t="e">
        <f t="shared" si="105"/>
        <v>#N/A</v>
      </c>
      <c r="AG211" s="7" t="e">
        <f t="shared" si="91"/>
        <v>#N/A</v>
      </c>
      <c r="AH211" s="472" t="e">
        <f>VLOOKUP(AF211,'排出係数(2017)'!$A$4:$I$1151,6,FALSE)</f>
        <v>#N/A</v>
      </c>
      <c r="AI211" s="7" t="e">
        <f t="shared" si="92"/>
        <v>#N/A</v>
      </c>
      <c r="AJ211" s="7" t="e">
        <f t="shared" si="93"/>
        <v>#N/A</v>
      </c>
      <c r="AK211" s="472" t="e">
        <f>VLOOKUP(AF211,'排出係数(2017)'!$A$4:$I$1151,7,FALSE)</f>
        <v>#N/A</v>
      </c>
      <c r="AL211" s="7" t="e">
        <f t="shared" si="94"/>
        <v>#N/A</v>
      </c>
      <c r="AM211" s="7" t="e">
        <f t="shared" si="95"/>
        <v>#N/A</v>
      </c>
      <c r="AN211" s="7" t="e">
        <f t="shared" si="96"/>
        <v>#N/A</v>
      </c>
      <c r="AO211" s="7">
        <f t="shared" si="97"/>
        <v>0</v>
      </c>
      <c r="AP211" s="7" t="e">
        <f t="shared" si="106"/>
        <v>#N/A</v>
      </c>
      <c r="AQ211" s="7" t="str">
        <f t="shared" si="98"/>
        <v/>
      </c>
      <c r="AR211" s="7" t="str">
        <f t="shared" si="99"/>
        <v/>
      </c>
      <c r="AS211" s="7" t="str">
        <f t="shared" si="100"/>
        <v/>
      </c>
      <c r="AT211" s="97"/>
      <c r="AZ211" s="477" t="s">
        <v>14</v>
      </c>
      <c r="CF211" s="586" t="str">
        <f t="shared" si="107"/>
        <v/>
      </c>
      <c r="CG211"/>
      <c r="CH211"/>
    </row>
    <row r="212" spans="1:86" s="13" customFormat="1" ht="13.75" customHeight="1">
      <c r="A212" s="137">
        <v>197</v>
      </c>
      <c r="B212" s="138"/>
      <c r="C212" s="139"/>
      <c r="D212" s="140"/>
      <c r="E212" s="139"/>
      <c r="F212" s="139"/>
      <c r="G212" s="191"/>
      <c r="H212" s="139"/>
      <c r="I212" s="141"/>
      <c r="J212" s="142"/>
      <c r="K212" s="139"/>
      <c r="L212" s="147"/>
      <c r="M212" s="148"/>
      <c r="N212" s="583"/>
      <c r="O212" s="229" t="str">
        <f t="shared" si="101"/>
        <v/>
      </c>
      <c r="P212" s="229" t="str">
        <f t="shared" si="102"/>
        <v/>
      </c>
      <c r="Q212" s="230" t="str">
        <f t="shared" si="103"/>
        <v/>
      </c>
      <c r="R212" s="323" t="str">
        <f t="shared" si="104"/>
        <v/>
      </c>
      <c r="S212" s="350"/>
      <c r="T212" s="43"/>
      <c r="U212" s="347" t="str">
        <f t="shared" si="81"/>
        <v/>
      </c>
      <c r="V212" s="7" t="e">
        <f t="shared" si="82"/>
        <v>#N/A</v>
      </c>
      <c r="W212" s="7" t="e">
        <f t="shared" si="83"/>
        <v>#N/A</v>
      </c>
      <c r="X212" s="7" t="e">
        <f t="shared" si="84"/>
        <v>#N/A</v>
      </c>
      <c r="Y212" s="7" t="str">
        <f t="shared" si="85"/>
        <v/>
      </c>
      <c r="Z212" s="11">
        <f t="shared" si="86"/>
        <v>1</v>
      </c>
      <c r="AA212" s="7" t="e">
        <f t="shared" si="87"/>
        <v>#N/A</v>
      </c>
      <c r="AB212" s="7" t="e">
        <f t="shared" si="88"/>
        <v>#N/A</v>
      </c>
      <c r="AC212" s="7" t="e">
        <f t="shared" si="89"/>
        <v>#N/A</v>
      </c>
      <c r="AD212" s="472" t="e">
        <f>VLOOKUP(AF212,'排出係数(2017)'!$A$4:$I$1151,9,FALSE)</f>
        <v>#N/A</v>
      </c>
      <c r="AE212" s="12" t="str">
        <f t="shared" si="90"/>
        <v xml:space="preserve"> </v>
      </c>
      <c r="AF212" s="7" t="e">
        <f t="shared" si="105"/>
        <v>#N/A</v>
      </c>
      <c r="AG212" s="7" t="e">
        <f t="shared" si="91"/>
        <v>#N/A</v>
      </c>
      <c r="AH212" s="472" t="e">
        <f>VLOOKUP(AF212,'排出係数(2017)'!$A$4:$I$1151,6,FALSE)</f>
        <v>#N/A</v>
      </c>
      <c r="AI212" s="7" t="e">
        <f t="shared" si="92"/>
        <v>#N/A</v>
      </c>
      <c r="AJ212" s="7" t="e">
        <f t="shared" si="93"/>
        <v>#N/A</v>
      </c>
      <c r="AK212" s="472" t="e">
        <f>VLOOKUP(AF212,'排出係数(2017)'!$A$4:$I$1151,7,FALSE)</f>
        <v>#N/A</v>
      </c>
      <c r="AL212" s="7" t="e">
        <f t="shared" si="94"/>
        <v>#N/A</v>
      </c>
      <c r="AM212" s="7" t="e">
        <f t="shared" si="95"/>
        <v>#N/A</v>
      </c>
      <c r="AN212" s="7" t="e">
        <f t="shared" si="96"/>
        <v>#N/A</v>
      </c>
      <c r="AO212" s="7">
        <f t="shared" si="97"/>
        <v>0</v>
      </c>
      <c r="AP212" s="7" t="e">
        <f t="shared" si="106"/>
        <v>#N/A</v>
      </c>
      <c r="AQ212" s="7" t="str">
        <f t="shared" si="98"/>
        <v/>
      </c>
      <c r="AR212" s="7" t="str">
        <f t="shared" si="99"/>
        <v/>
      </c>
      <c r="AS212" s="7" t="str">
        <f t="shared" si="100"/>
        <v/>
      </c>
      <c r="AT212" s="97"/>
      <c r="AZ212" s="477" t="s">
        <v>17</v>
      </c>
      <c r="CF212" s="586" t="str">
        <f t="shared" si="107"/>
        <v/>
      </c>
      <c r="CG212"/>
      <c r="CH212"/>
    </row>
    <row r="213" spans="1:86" s="13" customFormat="1" ht="13.75" customHeight="1">
      <c r="A213" s="137">
        <v>198</v>
      </c>
      <c r="B213" s="138"/>
      <c r="C213" s="139"/>
      <c r="D213" s="140"/>
      <c r="E213" s="139"/>
      <c r="F213" s="139"/>
      <c r="G213" s="191"/>
      <c r="H213" s="139"/>
      <c r="I213" s="141"/>
      <c r="J213" s="142"/>
      <c r="K213" s="139"/>
      <c r="L213" s="147"/>
      <c r="M213" s="148"/>
      <c r="N213" s="583"/>
      <c r="O213" s="229" t="str">
        <f t="shared" si="101"/>
        <v/>
      </c>
      <c r="P213" s="229" t="str">
        <f t="shared" si="102"/>
        <v/>
      </c>
      <c r="Q213" s="230" t="str">
        <f t="shared" si="103"/>
        <v/>
      </c>
      <c r="R213" s="323" t="str">
        <f t="shared" si="104"/>
        <v/>
      </c>
      <c r="S213" s="350"/>
      <c r="T213" s="43"/>
      <c r="U213" s="347" t="str">
        <f t="shared" si="81"/>
        <v/>
      </c>
      <c r="V213" s="7" t="e">
        <f t="shared" si="82"/>
        <v>#N/A</v>
      </c>
      <c r="W213" s="7" t="e">
        <f t="shared" si="83"/>
        <v>#N/A</v>
      </c>
      <c r="X213" s="7" t="e">
        <f t="shared" si="84"/>
        <v>#N/A</v>
      </c>
      <c r="Y213" s="7" t="str">
        <f t="shared" si="85"/>
        <v/>
      </c>
      <c r="Z213" s="11">
        <f t="shared" si="86"/>
        <v>1</v>
      </c>
      <c r="AA213" s="7" t="e">
        <f t="shared" si="87"/>
        <v>#N/A</v>
      </c>
      <c r="AB213" s="7" t="e">
        <f t="shared" si="88"/>
        <v>#N/A</v>
      </c>
      <c r="AC213" s="7" t="e">
        <f t="shared" si="89"/>
        <v>#N/A</v>
      </c>
      <c r="AD213" s="472" t="e">
        <f>VLOOKUP(AF213,'排出係数(2017)'!$A$4:$I$1151,9,FALSE)</f>
        <v>#N/A</v>
      </c>
      <c r="AE213" s="12" t="str">
        <f t="shared" si="90"/>
        <v xml:space="preserve"> </v>
      </c>
      <c r="AF213" s="7" t="e">
        <f t="shared" si="105"/>
        <v>#N/A</v>
      </c>
      <c r="AG213" s="7" t="e">
        <f t="shared" si="91"/>
        <v>#N/A</v>
      </c>
      <c r="AH213" s="472" t="e">
        <f>VLOOKUP(AF213,'排出係数(2017)'!$A$4:$I$1151,6,FALSE)</f>
        <v>#N/A</v>
      </c>
      <c r="AI213" s="7" t="e">
        <f t="shared" si="92"/>
        <v>#N/A</v>
      </c>
      <c r="AJ213" s="7" t="e">
        <f t="shared" si="93"/>
        <v>#N/A</v>
      </c>
      <c r="AK213" s="472" t="e">
        <f>VLOOKUP(AF213,'排出係数(2017)'!$A$4:$I$1151,7,FALSE)</f>
        <v>#N/A</v>
      </c>
      <c r="AL213" s="7" t="e">
        <f t="shared" si="94"/>
        <v>#N/A</v>
      </c>
      <c r="AM213" s="7" t="e">
        <f t="shared" si="95"/>
        <v>#N/A</v>
      </c>
      <c r="AN213" s="7" t="e">
        <f t="shared" si="96"/>
        <v>#N/A</v>
      </c>
      <c r="AO213" s="7">
        <f t="shared" si="97"/>
        <v>0</v>
      </c>
      <c r="AP213" s="7" t="e">
        <f t="shared" si="106"/>
        <v>#N/A</v>
      </c>
      <c r="AQ213" s="7" t="str">
        <f t="shared" si="98"/>
        <v/>
      </c>
      <c r="AR213" s="7" t="str">
        <f t="shared" si="99"/>
        <v/>
      </c>
      <c r="AS213" s="7" t="str">
        <f t="shared" si="100"/>
        <v/>
      </c>
      <c r="AT213" s="97"/>
      <c r="AZ213" s="477" t="s">
        <v>23</v>
      </c>
      <c r="CF213" s="586" t="str">
        <f t="shared" si="107"/>
        <v/>
      </c>
      <c r="CG213"/>
      <c r="CH213"/>
    </row>
    <row r="214" spans="1:86" s="13" customFormat="1" ht="13.75" customHeight="1">
      <c r="A214" s="137">
        <v>199</v>
      </c>
      <c r="B214" s="138"/>
      <c r="C214" s="139"/>
      <c r="D214" s="140"/>
      <c r="E214" s="139"/>
      <c r="F214" s="139"/>
      <c r="G214" s="191"/>
      <c r="H214" s="139"/>
      <c r="I214" s="141"/>
      <c r="J214" s="142"/>
      <c r="K214" s="139"/>
      <c r="L214" s="147"/>
      <c r="M214" s="148"/>
      <c r="N214" s="583"/>
      <c r="O214" s="229" t="str">
        <f t="shared" si="101"/>
        <v/>
      </c>
      <c r="P214" s="229" t="str">
        <f t="shared" si="102"/>
        <v/>
      </c>
      <c r="Q214" s="230" t="str">
        <f t="shared" si="103"/>
        <v/>
      </c>
      <c r="R214" s="323" t="str">
        <f t="shared" si="104"/>
        <v/>
      </c>
      <c r="S214" s="350"/>
      <c r="T214" s="43"/>
      <c r="U214" s="347" t="str">
        <f t="shared" si="81"/>
        <v/>
      </c>
      <c r="V214" s="7" t="e">
        <f t="shared" si="82"/>
        <v>#N/A</v>
      </c>
      <c r="W214" s="7" t="e">
        <f t="shared" si="83"/>
        <v>#N/A</v>
      </c>
      <c r="X214" s="7" t="e">
        <f t="shared" si="84"/>
        <v>#N/A</v>
      </c>
      <c r="Y214" s="7" t="str">
        <f t="shared" si="85"/>
        <v/>
      </c>
      <c r="Z214" s="11">
        <f t="shared" si="86"/>
        <v>1</v>
      </c>
      <c r="AA214" s="7" t="e">
        <f t="shared" si="87"/>
        <v>#N/A</v>
      </c>
      <c r="AB214" s="7" t="e">
        <f t="shared" si="88"/>
        <v>#N/A</v>
      </c>
      <c r="AC214" s="7" t="e">
        <f t="shared" si="89"/>
        <v>#N/A</v>
      </c>
      <c r="AD214" s="472" t="e">
        <f>VLOOKUP(AF214,'排出係数(2017)'!$A$4:$I$1151,9,FALSE)</f>
        <v>#N/A</v>
      </c>
      <c r="AE214" s="12" t="str">
        <f t="shared" si="90"/>
        <v xml:space="preserve"> </v>
      </c>
      <c r="AF214" s="7" t="e">
        <f t="shared" si="105"/>
        <v>#N/A</v>
      </c>
      <c r="AG214" s="7" t="e">
        <f t="shared" si="91"/>
        <v>#N/A</v>
      </c>
      <c r="AH214" s="472" t="e">
        <f>VLOOKUP(AF214,'排出係数(2017)'!$A$4:$I$1151,6,FALSE)</f>
        <v>#N/A</v>
      </c>
      <c r="AI214" s="7" t="e">
        <f t="shared" si="92"/>
        <v>#N/A</v>
      </c>
      <c r="AJ214" s="7" t="e">
        <f t="shared" si="93"/>
        <v>#N/A</v>
      </c>
      <c r="AK214" s="472" t="e">
        <f>VLOOKUP(AF214,'排出係数(2017)'!$A$4:$I$1151,7,FALSE)</f>
        <v>#N/A</v>
      </c>
      <c r="AL214" s="7" t="e">
        <f t="shared" si="94"/>
        <v>#N/A</v>
      </c>
      <c r="AM214" s="7" t="e">
        <f t="shared" si="95"/>
        <v>#N/A</v>
      </c>
      <c r="AN214" s="7" t="e">
        <f t="shared" si="96"/>
        <v>#N/A</v>
      </c>
      <c r="AO214" s="7">
        <f t="shared" si="97"/>
        <v>0</v>
      </c>
      <c r="AP214" s="7" t="e">
        <f t="shared" si="106"/>
        <v>#N/A</v>
      </c>
      <c r="AQ214" s="7" t="str">
        <f t="shared" si="98"/>
        <v/>
      </c>
      <c r="AR214" s="7" t="str">
        <f t="shared" si="99"/>
        <v/>
      </c>
      <c r="AS214" s="7" t="str">
        <f t="shared" si="100"/>
        <v/>
      </c>
      <c r="AT214" s="97"/>
      <c r="AZ214" s="477" t="s">
        <v>34</v>
      </c>
      <c r="CF214" s="586" t="str">
        <f t="shared" si="107"/>
        <v/>
      </c>
      <c r="CG214"/>
      <c r="CH214"/>
    </row>
    <row r="215" spans="1:86" s="13" customFormat="1" ht="13.75" customHeight="1">
      <c r="A215" s="137">
        <v>200</v>
      </c>
      <c r="B215" s="138"/>
      <c r="C215" s="139"/>
      <c r="D215" s="140"/>
      <c r="E215" s="139"/>
      <c r="F215" s="139"/>
      <c r="G215" s="191"/>
      <c r="H215" s="139"/>
      <c r="I215" s="141"/>
      <c r="J215" s="142"/>
      <c r="K215" s="139"/>
      <c r="L215" s="147"/>
      <c r="M215" s="148"/>
      <c r="N215" s="583"/>
      <c r="O215" s="229" t="str">
        <f t="shared" si="101"/>
        <v/>
      </c>
      <c r="P215" s="229" t="str">
        <f t="shared" si="102"/>
        <v/>
      </c>
      <c r="Q215" s="230" t="str">
        <f t="shared" si="103"/>
        <v/>
      </c>
      <c r="R215" s="323" t="str">
        <f t="shared" si="104"/>
        <v/>
      </c>
      <c r="S215" s="350"/>
      <c r="T215" s="43"/>
      <c r="U215" s="347" t="str">
        <f t="shared" si="81"/>
        <v/>
      </c>
      <c r="V215" s="7" t="e">
        <f t="shared" si="82"/>
        <v>#N/A</v>
      </c>
      <c r="W215" s="7" t="e">
        <f t="shared" si="83"/>
        <v>#N/A</v>
      </c>
      <c r="X215" s="7" t="e">
        <f t="shared" si="84"/>
        <v>#N/A</v>
      </c>
      <c r="Y215" s="7" t="str">
        <f t="shared" si="85"/>
        <v/>
      </c>
      <c r="Z215" s="11">
        <f t="shared" si="86"/>
        <v>1</v>
      </c>
      <c r="AA215" s="7" t="e">
        <f t="shared" si="87"/>
        <v>#N/A</v>
      </c>
      <c r="AB215" s="7" t="e">
        <f t="shared" si="88"/>
        <v>#N/A</v>
      </c>
      <c r="AC215" s="7" t="e">
        <f t="shared" si="89"/>
        <v>#N/A</v>
      </c>
      <c r="AD215" s="472" t="e">
        <f>VLOOKUP(AF215,'排出係数(2017)'!$A$4:$I$1151,9,FALSE)</f>
        <v>#N/A</v>
      </c>
      <c r="AE215" s="12" t="str">
        <f t="shared" si="90"/>
        <v xml:space="preserve"> </v>
      </c>
      <c r="AF215" s="7" t="e">
        <f t="shared" si="105"/>
        <v>#N/A</v>
      </c>
      <c r="AG215" s="7" t="e">
        <f t="shared" si="91"/>
        <v>#N/A</v>
      </c>
      <c r="AH215" s="472" t="e">
        <f>VLOOKUP(AF215,'排出係数(2017)'!$A$4:$I$1151,6,FALSE)</f>
        <v>#N/A</v>
      </c>
      <c r="AI215" s="7" t="e">
        <f t="shared" si="92"/>
        <v>#N/A</v>
      </c>
      <c r="AJ215" s="7" t="e">
        <f t="shared" si="93"/>
        <v>#N/A</v>
      </c>
      <c r="AK215" s="472" t="e">
        <f>VLOOKUP(AF215,'排出係数(2017)'!$A$4:$I$1151,7,FALSE)</f>
        <v>#N/A</v>
      </c>
      <c r="AL215" s="7" t="e">
        <f t="shared" si="94"/>
        <v>#N/A</v>
      </c>
      <c r="AM215" s="7" t="e">
        <f t="shared" si="95"/>
        <v>#N/A</v>
      </c>
      <c r="AN215" s="7" t="e">
        <f t="shared" si="96"/>
        <v>#N/A</v>
      </c>
      <c r="AO215" s="7">
        <f t="shared" si="97"/>
        <v>0</v>
      </c>
      <c r="AP215" s="7" t="e">
        <f t="shared" si="106"/>
        <v>#N/A</v>
      </c>
      <c r="AQ215" s="7" t="str">
        <f t="shared" si="98"/>
        <v/>
      </c>
      <c r="AR215" s="7" t="str">
        <f t="shared" si="99"/>
        <v/>
      </c>
      <c r="AS215" s="7" t="str">
        <f t="shared" si="100"/>
        <v/>
      </c>
      <c r="AT215" s="97"/>
      <c r="AZ215" s="477" t="s">
        <v>118</v>
      </c>
      <c r="CF215" s="586" t="str">
        <f t="shared" si="107"/>
        <v/>
      </c>
      <c r="CG215"/>
      <c r="CH215"/>
    </row>
    <row r="216" spans="1:86" s="13" customFormat="1" ht="13.75" customHeight="1">
      <c r="A216" s="137">
        <v>201</v>
      </c>
      <c r="B216" s="138"/>
      <c r="C216" s="139"/>
      <c r="D216" s="140"/>
      <c r="E216" s="139"/>
      <c r="F216" s="139"/>
      <c r="G216" s="191"/>
      <c r="H216" s="139"/>
      <c r="I216" s="141"/>
      <c r="J216" s="142"/>
      <c r="K216" s="139"/>
      <c r="L216" s="147"/>
      <c r="M216" s="148"/>
      <c r="N216" s="583"/>
      <c r="O216" s="229" t="str">
        <f t="shared" si="101"/>
        <v/>
      </c>
      <c r="P216" s="229" t="str">
        <f t="shared" si="102"/>
        <v/>
      </c>
      <c r="Q216" s="230" t="str">
        <f t="shared" si="103"/>
        <v/>
      </c>
      <c r="R216" s="323" t="str">
        <f t="shared" si="104"/>
        <v/>
      </c>
      <c r="S216" s="350"/>
      <c r="T216" s="43"/>
      <c r="U216" s="347" t="str">
        <f t="shared" si="81"/>
        <v/>
      </c>
      <c r="V216" s="7" t="e">
        <f t="shared" si="82"/>
        <v>#N/A</v>
      </c>
      <c r="W216" s="7" t="e">
        <f t="shared" si="83"/>
        <v>#N/A</v>
      </c>
      <c r="X216" s="7" t="e">
        <f t="shared" si="84"/>
        <v>#N/A</v>
      </c>
      <c r="Y216" s="7" t="str">
        <f t="shared" si="85"/>
        <v/>
      </c>
      <c r="Z216" s="11">
        <f t="shared" si="86"/>
        <v>1</v>
      </c>
      <c r="AA216" s="7" t="e">
        <f t="shared" si="87"/>
        <v>#N/A</v>
      </c>
      <c r="AB216" s="7" t="e">
        <f t="shared" si="88"/>
        <v>#N/A</v>
      </c>
      <c r="AC216" s="7" t="e">
        <f t="shared" si="89"/>
        <v>#N/A</v>
      </c>
      <c r="AD216" s="472" t="e">
        <f>VLOOKUP(AF216,'排出係数(2017)'!$A$4:$I$1151,9,FALSE)</f>
        <v>#N/A</v>
      </c>
      <c r="AE216" s="12" t="str">
        <f t="shared" si="90"/>
        <v xml:space="preserve"> </v>
      </c>
      <c r="AF216" s="7" t="e">
        <f t="shared" si="105"/>
        <v>#N/A</v>
      </c>
      <c r="AG216" s="7" t="e">
        <f t="shared" si="91"/>
        <v>#N/A</v>
      </c>
      <c r="AH216" s="472" t="e">
        <f>VLOOKUP(AF216,'排出係数(2017)'!$A$4:$I$1151,6,FALSE)</f>
        <v>#N/A</v>
      </c>
      <c r="AI216" s="7" t="e">
        <f t="shared" si="92"/>
        <v>#N/A</v>
      </c>
      <c r="AJ216" s="7" t="e">
        <f t="shared" si="93"/>
        <v>#N/A</v>
      </c>
      <c r="AK216" s="472" t="e">
        <f>VLOOKUP(AF216,'排出係数(2017)'!$A$4:$I$1151,7,FALSE)</f>
        <v>#N/A</v>
      </c>
      <c r="AL216" s="7" t="e">
        <f t="shared" si="94"/>
        <v>#N/A</v>
      </c>
      <c r="AM216" s="7" t="e">
        <f t="shared" si="95"/>
        <v>#N/A</v>
      </c>
      <c r="AN216" s="7" t="e">
        <f t="shared" si="96"/>
        <v>#N/A</v>
      </c>
      <c r="AO216" s="7">
        <f t="shared" si="97"/>
        <v>0</v>
      </c>
      <c r="AP216" s="7" t="e">
        <f t="shared" si="106"/>
        <v>#N/A</v>
      </c>
      <c r="AQ216" s="7" t="str">
        <f t="shared" si="98"/>
        <v/>
      </c>
      <c r="AR216" s="7" t="str">
        <f t="shared" si="99"/>
        <v/>
      </c>
      <c r="AS216" s="7" t="str">
        <f t="shared" si="100"/>
        <v/>
      </c>
      <c r="AT216" s="97"/>
      <c r="AZ216" s="477" t="s">
        <v>119</v>
      </c>
      <c r="CF216" s="586" t="str">
        <f t="shared" si="107"/>
        <v/>
      </c>
      <c r="CG216"/>
      <c r="CH216"/>
    </row>
    <row r="217" spans="1:86" s="13" customFormat="1" ht="13.75" customHeight="1">
      <c r="A217" s="137">
        <v>202</v>
      </c>
      <c r="B217" s="138"/>
      <c r="C217" s="139"/>
      <c r="D217" s="140"/>
      <c r="E217" s="139"/>
      <c r="F217" s="139"/>
      <c r="G217" s="191"/>
      <c r="H217" s="139"/>
      <c r="I217" s="141"/>
      <c r="J217" s="142"/>
      <c r="K217" s="139"/>
      <c r="L217" s="147"/>
      <c r="M217" s="148"/>
      <c r="N217" s="583"/>
      <c r="O217" s="229" t="str">
        <f t="shared" si="101"/>
        <v/>
      </c>
      <c r="P217" s="229" t="str">
        <f t="shared" si="102"/>
        <v/>
      </c>
      <c r="Q217" s="230" t="str">
        <f t="shared" si="103"/>
        <v/>
      </c>
      <c r="R217" s="323" t="str">
        <f t="shared" si="104"/>
        <v/>
      </c>
      <c r="S217" s="350"/>
      <c r="T217" s="43"/>
      <c r="U217" s="347" t="str">
        <f t="shared" si="81"/>
        <v/>
      </c>
      <c r="V217" s="7" t="e">
        <f t="shared" si="82"/>
        <v>#N/A</v>
      </c>
      <c r="W217" s="7" t="e">
        <f t="shared" si="83"/>
        <v>#N/A</v>
      </c>
      <c r="X217" s="7" t="e">
        <f t="shared" si="84"/>
        <v>#N/A</v>
      </c>
      <c r="Y217" s="7" t="str">
        <f t="shared" si="85"/>
        <v/>
      </c>
      <c r="Z217" s="11">
        <f t="shared" si="86"/>
        <v>1</v>
      </c>
      <c r="AA217" s="7" t="e">
        <f t="shared" si="87"/>
        <v>#N/A</v>
      </c>
      <c r="AB217" s="7" t="e">
        <f t="shared" si="88"/>
        <v>#N/A</v>
      </c>
      <c r="AC217" s="7" t="e">
        <f t="shared" si="89"/>
        <v>#N/A</v>
      </c>
      <c r="AD217" s="472" t="e">
        <f>VLOOKUP(AF217,'排出係数(2017)'!$A$4:$I$1151,9,FALSE)</f>
        <v>#N/A</v>
      </c>
      <c r="AE217" s="12" t="str">
        <f t="shared" si="90"/>
        <v xml:space="preserve"> </v>
      </c>
      <c r="AF217" s="7" t="e">
        <f t="shared" si="105"/>
        <v>#N/A</v>
      </c>
      <c r="AG217" s="7" t="e">
        <f t="shared" si="91"/>
        <v>#N/A</v>
      </c>
      <c r="AH217" s="472" t="e">
        <f>VLOOKUP(AF217,'排出係数(2017)'!$A$4:$I$1151,6,FALSE)</f>
        <v>#N/A</v>
      </c>
      <c r="AI217" s="7" t="e">
        <f t="shared" si="92"/>
        <v>#N/A</v>
      </c>
      <c r="AJ217" s="7" t="e">
        <f t="shared" si="93"/>
        <v>#N/A</v>
      </c>
      <c r="AK217" s="472" t="e">
        <f>VLOOKUP(AF217,'排出係数(2017)'!$A$4:$I$1151,7,FALSE)</f>
        <v>#N/A</v>
      </c>
      <c r="AL217" s="7" t="e">
        <f t="shared" si="94"/>
        <v>#N/A</v>
      </c>
      <c r="AM217" s="7" t="e">
        <f t="shared" si="95"/>
        <v>#N/A</v>
      </c>
      <c r="AN217" s="7" t="e">
        <f t="shared" si="96"/>
        <v>#N/A</v>
      </c>
      <c r="AO217" s="7">
        <f t="shared" si="97"/>
        <v>0</v>
      </c>
      <c r="AP217" s="7" t="e">
        <f t="shared" si="106"/>
        <v>#N/A</v>
      </c>
      <c r="AQ217" s="7" t="str">
        <f t="shared" si="98"/>
        <v/>
      </c>
      <c r="AR217" s="7" t="str">
        <f t="shared" si="99"/>
        <v/>
      </c>
      <c r="AS217" s="7" t="str">
        <f t="shared" si="100"/>
        <v/>
      </c>
      <c r="AT217" s="97"/>
      <c r="AZ217" s="477" t="s">
        <v>120</v>
      </c>
      <c r="CF217" s="586" t="str">
        <f t="shared" si="107"/>
        <v/>
      </c>
      <c r="CG217"/>
      <c r="CH217"/>
    </row>
    <row r="218" spans="1:86" s="13" customFormat="1" ht="13.75" customHeight="1">
      <c r="A218" s="137">
        <v>203</v>
      </c>
      <c r="B218" s="138"/>
      <c r="C218" s="139"/>
      <c r="D218" s="140"/>
      <c r="E218" s="139"/>
      <c r="F218" s="139"/>
      <c r="G218" s="191"/>
      <c r="H218" s="139"/>
      <c r="I218" s="141"/>
      <c r="J218" s="142"/>
      <c r="K218" s="139"/>
      <c r="L218" s="147"/>
      <c r="M218" s="148"/>
      <c r="N218" s="583"/>
      <c r="O218" s="229" t="str">
        <f t="shared" si="101"/>
        <v/>
      </c>
      <c r="P218" s="229" t="str">
        <f t="shared" si="102"/>
        <v/>
      </c>
      <c r="Q218" s="230" t="str">
        <f t="shared" si="103"/>
        <v/>
      </c>
      <c r="R218" s="323" t="str">
        <f t="shared" si="104"/>
        <v/>
      </c>
      <c r="S218" s="350"/>
      <c r="T218" s="43"/>
      <c r="U218" s="347" t="str">
        <f t="shared" si="81"/>
        <v/>
      </c>
      <c r="V218" s="7" t="e">
        <f t="shared" si="82"/>
        <v>#N/A</v>
      </c>
      <c r="W218" s="7" t="e">
        <f t="shared" si="83"/>
        <v>#N/A</v>
      </c>
      <c r="X218" s="7" t="e">
        <f t="shared" si="84"/>
        <v>#N/A</v>
      </c>
      <c r="Y218" s="7" t="str">
        <f t="shared" si="85"/>
        <v/>
      </c>
      <c r="Z218" s="11">
        <f t="shared" si="86"/>
        <v>1</v>
      </c>
      <c r="AA218" s="7" t="e">
        <f t="shared" si="87"/>
        <v>#N/A</v>
      </c>
      <c r="AB218" s="7" t="e">
        <f t="shared" si="88"/>
        <v>#N/A</v>
      </c>
      <c r="AC218" s="7" t="e">
        <f t="shared" si="89"/>
        <v>#N/A</v>
      </c>
      <c r="AD218" s="472" t="e">
        <f>VLOOKUP(AF218,'排出係数(2017)'!$A$4:$I$1151,9,FALSE)</f>
        <v>#N/A</v>
      </c>
      <c r="AE218" s="12" t="str">
        <f t="shared" si="90"/>
        <v xml:space="preserve"> </v>
      </c>
      <c r="AF218" s="7" t="e">
        <f t="shared" si="105"/>
        <v>#N/A</v>
      </c>
      <c r="AG218" s="7" t="e">
        <f t="shared" si="91"/>
        <v>#N/A</v>
      </c>
      <c r="AH218" s="472" t="e">
        <f>VLOOKUP(AF218,'排出係数(2017)'!$A$4:$I$1151,6,FALSE)</f>
        <v>#N/A</v>
      </c>
      <c r="AI218" s="7" t="e">
        <f t="shared" si="92"/>
        <v>#N/A</v>
      </c>
      <c r="AJ218" s="7" t="e">
        <f t="shared" si="93"/>
        <v>#N/A</v>
      </c>
      <c r="AK218" s="472" t="e">
        <f>VLOOKUP(AF218,'排出係数(2017)'!$A$4:$I$1151,7,FALSE)</f>
        <v>#N/A</v>
      </c>
      <c r="AL218" s="7" t="e">
        <f t="shared" si="94"/>
        <v>#N/A</v>
      </c>
      <c r="AM218" s="7" t="e">
        <f t="shared" si="95"/>
        <v>#N/A</v>
      </c>
      <c r="AN218" s="7" t="e">
        <f t="shared" si="96"/>
        <v>#N/A</v>
      </c>
      <c r="AO218" s="7">
        <f t="shared" si="97"/>
        <v>0</v>
      </c>
      <c r="AP218" s="7" t="e">
        <f t="shared" si="106"/>
        <v>#N/A</v>
      </c>
      <c r="AQ218" s="7" t="str">
        <f t="shared" si="98"/>
        <v/>
      </c>
      <c r="AR218" s="7" t="str">
        <f t="shared" si="99"/>
        <v/>
      </c>
      <c r="AS218" s="7" t="str">
        <f t="shared" si="100"/>
        <v/>
      </c>
      <c r="AT218" s="97"/>
      <c r="AZ218" s="477" t="s">
        <v>121</v>
      </c>
      <c r="CF218" s="586" t="str">
        <f t="shared" si="107"/>
        <v/>
      </c>
      <c r="CG218"/>
      <c r="CH218"/>
    </row>
    <row r="219" spans="1:86" s="13" customFormat="1" ht="13.75" customHeight="1">
      <c r="A219" s="137">
        <v>204</v>
      </c>
      <c r="B219" s="138"/>
      <c r="C219" s="139"/>
      <c r="D219" s="140"/>
      <c r="E219" s="139"/>
      <c r="F219" s="139"/>
      <c r="G219" s="191"/>
      <c r="H219" s="139"/>
      <c r="I219" s="141"/>
      <c r="J219" s="142"/>
      <c r="K219" s="139"/>
      <c r="L219" s="147"/>
      <c r="M219" s="148"/>
      <c r="N219" s="583"/>
      <c r="O219" s="229" t="str">
        <f t="shared" si="101"/>
        <v/>
      </c>
      <c r="P219" s="229" t="str">
        <f t="shared" si="102"/>
        <v/>
      </c>
      <c r="Q219" s="230" t="str">
        <f t="shared" si="103"/>
        <v/>
      </c>
      <c r="R219" s="323" t="str">
        <f t="shared" si="104"/>
        <v/>
      </c>
      <c r="S219" s="350"/>
      <c r="T219" s="43"/>
      <c r="U219" s="347" t="str">
        <f t="shared" si="81"/>
        <v/>
      </c>
      <c r="V219" s="7" t="e">
        <f t="shared" si="82"/>
        <v>#N/A</v>
      </c>
      <c r="W219" s="7" t="e">
        <f t="shared" si="83"/>
        <v>#N/A</v>
      </c>
      <c r="X219" s="7" t="e">
        <f t="shared" si="84"/>
        <v>#N/A</v>
      </c>
      <c r="Y219" s="7" t="str">
        <f t="shared" si="85"/>
        <v/>
      </c>
      <c r="Z219" s="11">
        <f t="shared" si="86"/>
        <v>1</v>
      </c>
      <c r="AA219" s="7" t="e">
        <f t="shared" si="87"/>
        <v>#N/A</v>
      </c>
      <c r="AB219" s="7" t="e">
        <f t="shared" si="88"/>
        <v>#N/A</v>
      </c>
      <c r="AC219" s="7" t="e">
        <f t="shared" si="89"/>
        <v>#N/A</v>
      </c>
      <c r="AD219" s="472" t="e">
        <f>VLOOKUP(AF219,'排出係数(2017)'!$A$4:$I$1151,9,FALSE)</f>
        <v>#N/A</v>
      </c>
      <c r="AE219" s="12" t="str">
        <f t="shared" si="90"/>
        <v xml:space="preserve"> </v>
      </c>
      <c r="AF219" s="7" t="e">
        <f t="shared" si="105"/>
        <v>#N/A</v>
      </c>
      <c r="AG219" s="7" t="e">
        <f t="shared" si="91"/>
        <v>#N/A</v>
      </c>
      <c r="AH219" s="472" t="e">
        <f>VLOOKUP(AF219,'排出係数(2017)'!$A$4:$I$1151,6,FALSE)</f>
        <v>#N/A</v>
      </c>
      <c r="AI219" s="7" t="e">
        <f t="shared" si="92"/>
        <v>#N/A</v>
      </c>
      <c r="AJ219" s="7" t="e">
        <f t="shared" si="93"/>
        <v>#N/A</v>
      </c>
      <c r="AK219" s="472" t="e">
        <f>VLOOKUP(AF219,'排出係数(2017)'!$A$4:$I$1151,7,FALSE)</f>
        <v>#N/A</v>
      </c>
      <c r="AL219" s="7" t="e">
        <f t="shared" si="94"/>
        <v>#N/A</v>
      </c>
      <c r="AM219" s="7" t="e">
        <f t="shared" si="95"/>
        <v>#N/A</v>
      </c>
      <c r="AN219" s="7" t="e">
        <f t="shared" si="96"/>
        <v>#N/A</v>
      </c>
      <c r="AO219" s="7">
        <f t="shared" si="97"/>
        <v>0</v>
      </c>
      <c r="AP219" s="7" t="e">
        <f t="shared" si="106"/>
        <v>#N/A</v>
      </c>
      <c r="AQ219" s="7" t="str">
        <f t="shared" si="98"/>
        <v/>
      </c>
      <c r="AR219" s="7" t="str">
        <f t="shared" si="99"/>
        <v/>
      </c>
      <c r="AS219" s="7" t="str">
        <f t="shared" si="100"/>
        <v/>
      </c>
      <c r="AT219" s="97"/>
      <c r="AZ219" s="477" t="s">
        <v>122</v>
      </c>
      <c r="CF219" s="586" t="str">
        <f t="shared" si="107"/>
        <v/>
      </c>
      <c r="CG219"/>
      <c r="CH219"/>
    </row>
    <row r="220" spans="1:86" s="13" customFormat="1" ht="13.75" customHeight="1">
      <c r="A220" s="137">
        <v>205</v>
      </c>
      <c r="B220" s="138"/>
      <c r="C220" s="139"/>
      <c r="D220" s="140"/>
      <c r="E220" s="139"/>
      <c r="F220" s="139"/>
      <c r="G220" s="191"/>
      <c r="H220" s="139"/>
      <c r="I220" s="141"/>
      <c r="J220" s="142"/>
      <c r="K220" s="139"/>
      <c r="L220" s="147"/>
      <c r="M220" s="148"/>
      <c r="N220" s="583"/>
      <c r="O220" s="229" t="str">
        <f t="shared" si="101"/>
        <v/>
      </c>
      <c r="P220" s="229" t="str">
        <f t="shared" si="102"/>
        <v/>
      </c>
      <c r="Q220" s="230" t="str">
        <f t="shared" si="103"/>
        <v/>
      </c>
      <c r="R220" s="323" t="str">
        <f t="shared" si="104"/>
        <v/>
      </c>
      <c r="S220" s="350"/>
      <c r="T220" s="43"/>
      <c r="U220" s="347" t="str">
        <f t="shared" si="81"/>
        <v/>
      </c>
      <c r="V220" s="7" t="e">
        <f t="shared" si="82"/>
        <v>#N/A</v>
      </c>
      <c r="W220" s="7" t="e">
        <f t="shared" si="83"/>
        <v>#N/A</v>
      </c>
      <c r="X220" s="7" t="e">
        <f t="shared" si="84"/>
        <v>#N/A</v>
      </c>
      <c r="Y220" s="7" t="str">
        <f t="shared" si="85"/>
        <v/>
      </c>
      <c r="Z220" s="11">
        <f t="shared" si="86"/>
        <v>1</v>
      </c>
      <c r="AA220" s="7" t="e">
        <f t="shared" si="87"/>
        <v>#N/A</v>
      </c>
      <c r="AB220" s="7" t="e">
        <f t="shared" si="88"/>
        <v>#N/A</v>
      </c>
      <c r="AC220" s="7" t="e">
        <f t="shared" si="89"/>
        <v>#N/A</v>
      </c>
      <c r="AD220" s="472" t="e">
        <f>VLOOKUP(AF220,'排出係数(2017)'!$A$4:$I$1151,9,FALSE)</f>
        <v>#N/A</v>
      </c>
      <c r="AE220" s="12" t="str">
        <f t="shared" si="90"/>
        <v xml:space="preserve"> </v>
      </c>
      <c r="AF220" s="7" t="e">
        <f t="shared" si="105"/>
        <v>#N/A</v>
      </c>
      <c r="AG220" s="7" t="e">
        <f t="shared" si="91"/>
        <v>#N/A</v>
      </c>
      <c r="AH220" s="472" t="e">
        <f>VLOOKUP(AF220,'排出係数(2017)'!$A$4:$I$1151,6,FALSE)</f>
        <v>#N/A</v>
      </c>
      <c r="AI220" s="7" t="e">
        <f t="shared" si="92"/>
        <v>#N/A</v>
      </c>
      <c r="AJ220" s="7" t="e">
        <f t="shared" si="93"/>
        <v>#N/A</v>
      </c>
      <c r="AK220" s="472" t="e">
        <f>VLOOKUP(AF220,'排出係数(2017)'!$A$4:$I$1151,7,FALSE)</f>
        <v>#N/A</v>
      </c>
      <c r="AL220" s="7" t="e">
        <f t="shared" si="94"/>
        <v>#N/A</v>
      </c>
      <c r="AM220" s="7" t="e">
        <f t="shared" si="95"/>
        <v>#N/A</v>
      </c>
      <c r="AN220" s="7" t="e">
        <f t="shared" si="96"/>
        <v>#N/A</v>
      </c>
      <c r="AO220" s="7">
        <f t="shared" si="97"/>
        <v>0</v>
      </c>
      <c r="AP220" s="7" t="e">
        <f t="shared" si="106"/>
        <v>#N/A</v>
      </c>
      <c r="AQ220" s="7" t="str">
        <f t="shared" si="98"/>
        <v/>
      </c>
      <c r="AR220" s="7" t="str">
        <f t="shared" si="99"/>
        <v/>
      </c>
      <c r="AS220" s="7" t="str">
        <f t="shared" si="100"/>
        <v/>
      </c>
      <c r="AT220" s="97"/>
      <c r="AZ220" s="477" t="s">
        <v>123</v>
      </c>
      <c r="CF220" s="586" t="str">
        <f t="shared" si="107"/>
        <v/>
      </c>
      <c r="CG220"/>
      <c r="CH220"/>
    </row>
    <row r="221" spans="1:86" s="13" customFormat="1" ht="13.75" customHeight="1">
      <c r="A221" s="137">
        <v>206</v>
      </c>
      <c r="B221" s="138"/>
      <c r="C221" s="139"/>
      <c r="D221" s="140"/>
      <c r="E221" s="139"/>
      <c r="F221" s="139"/>
      <c r="G221" s="191"/>
      <c r="H221" s="139"/>
      <c r="I221" s="141"/>
      <c r="J221" s="142"/>
      <c r="K221" s="139"/>
      <c r="L221" s="147"/>
      <c r="M221" s="148"/>
      <c r="N221" s="583"/>
      <c r="O221" s="229" t="str">
        <f t="shared" si="101"/>
        <v/>
      </c>
      <c r="P221" s="229" t="str">
        <f t="shared" si="102"/>
        <v/>
      </c>
      <c r="Q221" s="230" t="str">
        <f t="shared" si="103"/>
        <v/>
      </c>
      <c r="R221" s="323" t="str">
        <f t="shared" si="104"/>
        <v/>
      </c>
      <c r="S221" s="350"/>
      <c r="T221" s="43"/>
      <c r="U221" s="347" t="str">
        <f t="shared" si="81"/>
        <v/>
      </c>
      <c r="V221" s="7" t="e">
        <f t="shared" si="82"/>
        <v>#N/A</v>
      </c>
      <c r="W221" s="7" t="e">
        <f t="shared" si="83"/>
        <v>#N/A</v>
      </c>
      <c r="X221" s="7" t="e">
        <f t="shared" si="84"/>
        <v>#N/A</v>
      </c>
      <c r="Y221" s="7" t="str">
        <f t="shared" si="85"/>
        <v/>
      </c>
      <c r="Z221" s="11">
        <f t="shared" si="86"/>
        <v>1</v>
      </c>
      <c r="AA221" s="7" t="e">
        <f t="shared" si="87"/>
        <v>#N/A</v>
      </c>
      <c r="AB221" s="7" t="e">
        <f t="shared" si="88"/>
        <v>#N/A</v>
      </c>
      <c r="AC221" s="7" t="e">
        <f t="shared" si="89"/>
        <v>#N/A</v>
      </c>
      <c r="AD221" s="472" t="e">
        <f>VLOOKUP(AF221,'排出係数(2017)'!$A$4:$I$1151,9,FALSE)</f>
        <v>#N/A</v>
      </c>
      <c r="AE221" s="12" t="str">
        <f t="shared" si="90"/>
        <v xml:space="preserve"> </v>
      </c>
      <c r="AF221" s="7" t="e">
        <f t="shared" si="105"/>
        <v>#N/A</v>
      </c>
      <c r="AG221" s="7" t="e">
        <f t="shared" si="91"/>
        <v>#N/A</v>
      </c>
      <c r="AH221" s="472" t="e">
        <f>VLOOKUP(AF221,'排出係数(2017)'!$A$4:$I$1151,6,FALSE)</f>
        <v>#N/A</v>
      </c>
      <c r="AI221" s="7" t="e">
        <f t="shared" si="92"/>
        <v>#N/A</v>
      </c>
      <c r="AJ221" s="7" t="e">
        <f t="shared" si="93"/>
        <v>#N/A</v>
      </c>
      <c r="AK221" s="472" t="e">
        <f>VLOOKUP(AF221,'排出係数(2017)'!$A$4:$I$1151,7,FALSE)</f>
        <v>#N/A</v>
      </c>
      <c r="AL221" s="7" t="e">
        <f t="shared" si="94"/>
        <v>#N/A</v>
      </c>
      <c r="AM221" s="7" t="e">
        <f t="shared" si="95"/>
        <v>#N/A</v>
      </c>
      <c r="AN221" s="7" t="e">
        <f t="shared" si="96"/>
        <v>#N/A</v>
      </c>
      <c r="AO221" s="7">
        <f t="shared" si="97"/>
        <v>0</v>
      </c>
      <c r="AP221" s="7" t="e">
        <f t="shared" si="106"/>
        <v>#N/A</v>
      </c>
      <c r="AQ221" s="7" t="str">
        <f t="shared" si="98"/>
        <v/>
      </c>
      <c r="AR221" s="7" t="str">
        <f t="shared" si="99"/>
        <v/>
      </c>
      <c r="AS221" s="7" t="str">
        <f t="shared" si="100"/>
        <v/>
      </c>
      <c r="AT221" s="97"/>
      <c r="AZ221" s="477" t="s">
        <v>124</v>
      </c>
      <c r="CF221" s="586" t="str">
        <f t="shared" si="107"/>
        <v/>
      </c>
      <c r="CG221"/>
      <c r="CH221"/>
    </row>
    <row r="222" spans="1:86" s="13" customFormat="1" ht="13.75" customHeight="1">
      <c r="A222" s="137">
        <v>207</v>
      </c>
      <c r="B222" s="138"/>
      <c r="C222" s="139"/>
      <c r="D222" s="140"/>
      <c r="E222" s="139"/>
      <c r="F222" s="139"/>
      <c r="G222" s="191"/>
      <c r="H222" s="139"/>
      <c r="I222" s="141"/>
      <c r="J222" s="142"/>
      <c r="K222" s="139"/>
      <c r="L222" s="147"/>
      <c r="M222" s="148"/>
      <c r="N222" s="583"/>
      <c r="O222" s="229" t="str">
        <f t="shared" si="101"/>
        <v/>
      </c>
      <c r="P222" s="229" t="str">
        <f t="shared" si="102"/>
        <v/>
      </c>
      <c r="Q222" s="230" t="str">
        <f t="shared" si="103"/>
        <v/>
      </c>
      <c r="R222" s="323" t="str">
        <f t="shared" si="104"/>
        <v/>
      </c>
      <c r="S222" s="350"/>
      <c r="T222" s="43"/>
      <c r="U222" s="347" t="str">
        <f t="shared" si="81"/>
        <v/>
      </c>
      <c r="V222" s="7" t="e">
        <f t="shared" si="82"/>
        <v>#N/A</v>
      </c>
      <c r="W222" s="7" t="e">
        <f t="shared" si="83"/>
        <v>#N/A</v>
      </c>
      <c r="X222" s="7" t="e">
        <f t="shared" si="84"/>
        <v>#N/A</v>
      </c>
      <c r="Y222" s="7" t="str">
        <f t="shared" si="85"/>
        <v/>
      </c>
      <c r="Z222" s="11">
        <f t="shared" si="86"/>
        <v>1</v>
      </c>
      <c r="AA222" s="7" t="e">
        <f t="shared" si="87"/>
        <v>#N/A</v>
      </c>
      <c r="AB222" s="7" t="e">
        <f t="shared" si="88"/>
        <v>#N/A</v>
      </c>
      <c r="AC222" s="7" t="e">
        <f t="shared" si="89"/>
        <v>#N/A</v>
      </c>
      <c r="AD222" s="472" t="e">
        <f>VLOOKUP(AF222,'排出係数(2017)'!$A$4:$I$1151,9,FALSE)</f>
        <v>#N/A</v>
      </c>
      <c r="AE222" s="12" t="str">
        <f t="shared" si="90"/>
        <v xml:space="preserve"> </v>
      </c>
      <c r="AF222" s="7" t="e">
        <f t="shared" si="105"/>
        <v>#N/A</v>
      </c>
      <c r="AG222" s="7" t="e">
        <f t="shared" si="91"/>
        <v>#N/A</v>
      </c>
      <c r="AH222" s="472" t="e">
        <f>VLOOKUP(AF222,'排出係数(2017)'!$A$4:$I$1151,6,FALSE)</f>
        <v>#N/A</v>
      </c>
      <c r="AI222" s="7" t="e">
        <f t="shared" si="92"/>
        <v>#N/A</v>
      </c>
      <c r="AJ222" s="7" t="e">
        <f t="shared" si="93"/>
        <v>#N/A</v>
      </c>
      <c r="AK222" s="472" t="e">
        <f>VLOOKUP(AF222,'排出係数(2017)'!$A$4:$I$1151,7,FALSE)</f>
        <v>#N/A</v>
      </c>
      <c r="AL222" s="7" t="e">
        <f t="shared" si="94"/>
        <v>#N/A</v>
      </c>
      <c r="AM222" s="7" t="e">
        <f t="shared" si="95"/>
        <v>#N/A</v>
      </c>
      <c r="AN222" s="7" t="e">
        <f t="shared" si="96"/>
        <v>#N/A</v>
      </c>
      <c r="AO222" s="7">
        <f t="shared" si="97"/>
        <v>0</v>
      </c>
      <c r="AP222" s="7" t="e">
        <f t="shared" si="106"/>
        <v>#N/A</v>
      </c>
      <c r="AQ222" s="7" t="str">
        <f t="shared" si="98"/>
        <v/>
      </c>
      <c r="AR222" s="7" t="str">
        <f t="shared" si="99"/>
        <v/>
      </c>
      <c r="AS222" s="7" t="str">
        <f t="shared" si="100"/>
        <v/>
      </c>
      <c r="AT222" s="97"/>
      <c r="AZ222" s="477" t="s">
        <v>125</v>
      </c>
      <c r="CF222" s="586" t="str">
        <f t="shared" si="107"/>
        <v/>
      </c>
      <c r="CG222"/>
      <c r="CH222"/>
    </row>
    <row r="223" spans="1:86" s="13" customFormat="1" ht="13.75" customHeight="1">
      <c r="A223" s="137">
        <v>208</v>
      </c>
      <c r="B223" s="138"/>
      <c r="C223" s="139"/>
      <c r="D223" s="140"/>
      <c r="E223" s="139"/>
      <c r="F223" s="139"/>
      <c r="G223" s="191"/>
      <c r="H223" s="139"/>
      <c r="I223" s="141"/>
      <c r="J223" s="142"/>
      <c r="K223" s="139"/>
      <c r="L223" s="147"/>
      <c r="M223" s="148"/>
      <c r="N223" s="583"/>
      <c r="O223" s="229" t="str">
        <f t="shared" si="101"/>
        <v/>
      </c>
      <c r="P223" s="229" t="str">
        <f t="shared" si="102"/>
        <v/>
      </c>
      <c r="Q223" s="230" t="str">
        <f t="shared" si="103"/>
        <v/>
      </c>
      <c r="R223" s="323" t="str">
        <f t="shared" si="104"/>
        <v/>
      </c>
      <c r="S223" s="350"/>
      <c r="T223" s="43"/>
      <c r="U223" s="347" t="str">
        <f t="shared" si="81"/>
        <v/>
      </c>
      <c r="V223" s="7" t="e">
        <f t="shared" si="82"/>
        <v>#N/A</v>
      </c>
      <c r="W223" s="7" t="e">
        <f t="shared" si="83"/>
        <v>#N/A</v>
      </c>
      <c r="X223" s="7" t="e">
        <f t="shared" si="84"/>
        <v>#N/A</v>
      </c>
      <c r="Y223" s="7" t="str">
        <f t="shared" si="85"/>
        <v/>
      </c>
      <c r="Z223" s="11">
        <f t="shared" si="86"/>
        <v>1</v>
      </c>
      <c r="AA223" s="7" t="e">
        <f t="shared" si="87"/>
        <v>#N/A</v>
      </c>
      <c r="AB223" s="7" t="e">
        <f t="shared" si="88"/>
        <v>#N/A</v>
      </c>
      <c r="AC223" s="7" t="e">
        <f t="shared" si="89"/>
        <v>#N/A</v>
      </c>
      <c r="AD223" s="472" t="e">
        <f>VLOOKUP(AF223,'排出係数(2017)'!$A$4:$I$1151,9,FALSE)</f>
        <v>#N/A</v>
      </c>
      <c r="AE223" s="12" t="str">
        <f t="shared" si="90"/>
        <v xml:space="preserve"> </v>
      </c>
      <c r="AF223" s="7" t="e">
        <f t="shared" si="105"/>
        <v>#N/A</v>
      </c>
      <c r="AG223" s="7" t="e">
        <f t="shared" si="91"/>
        <v>#N/A</v>
      </c>
      <c r="AH223" s="472" t="e">
        <f>VLOOKUP(AF223,'排出係数(2017)'!$A$4:$I$1151,6,FALSE)</f>
        <v>#N/A</v>
      </c>
      <c r="AI223" s="7" t="e">
        <f t="shared" si="92"/>
        <v>#N/A</v>
      </c>
      <c r="AJ223" s="7" t="e">
        <f t="shared" si="93"/>
        <v>#N/A</v>
      </c>
      <c r="AK223" s="472" t="e">
        <f>VLOOKUP(AF223,'排出係数(2017)'!$A$4:$I$1151,7,FALSE)</f>
        <v>#N/A</v>
      </c>
      <c r="AL223" s="7" t="e">
        <f t="shared" si="94"/>
        <v>#N/A</v>
      </c>
      <c r="AM223" s="7" t="e">
        <f t="shared" si="95"/>
        <v>#N/A</v>
      </c>
      <c r="AN223" s="7" t="e">
        <f t="shared" si="96"/>
        <v>#N/A</v>
      </c>
      <c r="AO223" s="7">
        <f t="shared" si="97"/>
        <v>0</v>
      </c>
      <c r="AP223" s="7" t="e">
        <f t="shared" si="106"/>
        <v>#N/A</v>
      </c>
      <c r="AQ223" s="7" t="str">
        <f t="shared" si="98"/>
        <v/>
      </c>
      <c r="AR223" s="7" t="str">
        <f t="shared" si="99"/>
        <v/>
      </c>
      <c r="AS223" s="7" t="str">
        <f t="shared" si="100"/>
        <v/>
      </c>
      <c r="AT223" s="97"/>
      <c r="AZ223" s="477" t="s">
        <v>126</v>
      </c>
      <c r="CF223" s="586" t="str">
        <f t="shared" si="107"/>
        <v/>
      </c>
      <c r="CG223"/>
      <c r="CH223"/>
    </row>
    <row r="224" spans="1:86" s="13" customFormat="1" ht="13.75" customHeight="1">
      <c r="A224" s="137">
        <v>209</v>
      </c>
      <c r="B224" s="138"/>
      <c r="C224" s="139"/>
      <c r="D224" s="140"/>
      <c r="E224" s="139"/>
      <c r="F224" s="139"/>
      <c r="G224" s="191"/>
      <c r="H224" s="139"/>
      <c r="I224" s="141"/>
      <c r="J224" s="142"/>
      <c r="K224" s="139"/>
      <c r="L224" s="147"/>
      <c r="M224" s="148"/>
      <c r="N224" s="583"/>
      <c r="O224" s="229" t="str">
        <f t="shared" si="101"/>
        <v/>
      </c>
      <c r="P224" s="229" t="str">
        <f t="shared" si="102"/>
        <v/>
      </c>
      <c r="Q224" s="230" t="str">
        <f t="shared" si="103"/>
        <v/>
      </c>
      <c r="R224" s="323" t="str">
        <f t="shared" si="104"/>
        <v/>
      </c>
      <c r="S224" s="350"/>
      <c r="T224" s="43"/>
      <c r="U224" s="347" t="str">
        <f t="shared" si="81"/>
        <v/>
      </c>
      <c r="V224" s="7" t="e">
        <f t="shared" si="82"/>
        <v>#N/A</v>
      </c>
      <c r="W224" s="7" t="e">
        <f t="shared" si="83"/>
        <v>#N/A</v>
      </c>
      <c r="X224" s="7" t="e">
        <f t="shared" si="84"/>
        <v>#N/A</v>
      </c>
      <c r="Y224" s="7" t="str">
        <f t="shared" si="85"/>
        <v/>
      </c>
      <c r="Z224" s="11">
        <f t="shared" si="86"/>
        <v>1</v>
      </c>
      <c r="AA224" s="7" t="e">
        <f t="shared" si="87"/>
        <v>#N/A</v>
      </c>
      <c r="AB224" s="7" t="e">
        <f t="shared" si="88"/>
        <v>#N/A</v>
      </c>
      <c r="AC224" s="7" t="e">
        <f t="shared" si="89"/>
        <v>#N/A</v>
      </c>
      <c r="AD224" s="472" t="e">
        <f>VLOOKUP(AF224,'排出係数(2017)'!$A$4:$I$1151,9,FALSE)</f>
        <v>#N/A</v>
      </c>
      <c r="AE224" s="12" t="str">
        <f t="shared" si="90"/>
        <v xml:space="preserve"> </v>
      </c>
      <c r="AF224" s="7" t="e">
        <f t="shared" si="105"/>
        <v>#N/A</v>
      </c>
      <c r="AG224" s="7" t="e">
        <f t="shared" si="91"/>
        <v>#N/A</v>
      </c>
      <c r="AH224" s="472" t="e">
        <f>VLOOKUP(AF224,'排出係数(2017)'!$A$4:$I$1151,6,FALSE)</f>
        <v>#N/A</v>
      </c>
      <c r="AI224" s="7" t="e">
        <f t="shared" si="92"/>
        <v>#N/A</v>
      </c>
      <c r="AJ224" s="7" t="e">
        <f t="shared" si="93"/>
        <v>#N/A</v>
      </c>
      <c r="AK224" s="472" t="e">
        <f>VLOOKUP(AF224,'排出係数(2017)'!$A$4:$I$1151,7,FALSE)</f>
        <v>#N/A</v>
      </c>
      <c r="AL224" s="7" t="e">
        <f t="shared" si="94"/>
        <v>#N/A</v>
      </c>
      <c r="AM224" s="7" t="e">
        <f t="shared" si="95"/>
        <v>#N/A</v>
      </c>
      <c r="AN224" s="7" t="e">
        <f t="shared" si="96"/>
        <v>#N/A</v>
      </c>
      <c r="AO224" s="7">
        <f t="shared" si="97"/>
        <v>0</v>
      </c>
      <c r="AP224" s="7" t="e">
        <f t="shared" si="106"/>
        <v>#N/A</v>
      </c>
      <c r="AQ224" s="7" t="str">
        <f t="shared" si="98"/>
        <v/>
      </c>
      <c r="AR224" s="7" t="str">
        <f t="shared" si="99"/>
        <v/>
      </c>
      <c r="AS224" s="7" t="str">
        <f t="shared" si="100"/>
        <v/>
      </c>
      <c r="AT224" s="97"/>
      <c r="AZ224" s="477" t="s">
        <v>127</v>
      </c>
      <c r="CF224" s="586" t="str">
        <f t="shared" si="107"/>
        <v/>
      </c>
      <c r="CG224"/>
      <c r="CH224"/>
    </row>
    <row r="225" spans="1:86" s="13" customFormat="1" ht="13.75" customHeight="1">
      <c r="A225" s="137">
        <v>210</v>
      </c>
      <c r="B225" s="138"/>
      <c r="C225" s="139"/>
      <c r="D225" s="140"/>
      <c r="E225" s="139"/>
      <c r="F225" s="139"/>
      <c r="G225" s="191"/>
      <c r="H225" s="139"/>
      <c r="I225" s="141"/>
      <c r="J225" s="142"/>
      <c r="K225" s="139"/>
      <c r="L225" s="147"/>
      <c r="M225" s="148"/>
      <c r="N225" s="583"/>
      <c r="O225" s="229" t="str">
        <f t="shared" si="101"/>
        <v/>
      </c>
      <c r="P225" s="229" t="str">
        <f t="shared" si="102"/>
        <v/>
      </c>
      <c r="Q225" s="230" t="str">
        <f t="shared" si="103"/>
        <v/>
      </c>
      <c r="R225" s="323" t="str">
        <f t="shared" si="104"/>
        <v/>
      </c>
      <c r="S225" s="350"/>
      <c r="T225" s="43"/>
      <c r="U225" s="347" t="str">
        <f t="shared" si="81"/>
        <v/>
      </c>
      <c r="V225" s="7" t="e">
        <f t="shared" si="82"/>
        <v>#N/A</v>
      </c>
      <c r="W225" s="7" t="e">
        <f t="shared" si="83"/>
        <v>#N/A</v>
      </c>
      <c r="X225" s="7" t="e">
        <f t="shared" si="84"/>
        <v>#N/A</v>
      </c>
      <c r="Y225" s="7" t="str">
        <f t="shared" si="85"/>
        <v/>
      </c>
      <c r="Z225" s="11">
        <f t="shared" si="86"/>
        <v>1</v>
      </c>
      <c r="AA225" s="7" t="e">
        <f t="shared" si="87"/>
        <v>#N/A</v>
      </c>
      <c r="AB225" s="7" t="e">
        <f t="shared" si="88"/>
        <v>#N/A</v>
      </c>
      <c r="AC225" s="7" t="e">
        <f t="shared" si="89"/>
        <v>#N/A</v>
      </c>
      <c r="AD225" s="472" t="e">
        <f>VLOOKUP(AF225,'排出係数(2017)'!$A$4:$I$1151,9,FALSE)</f>
        <v>#N/A</v>
      </c>
      <c r="AE225" s="12" t="str">
        <f t="shared" si="90"/>
        <v xml:space="preserve"> </v>
      </c>
      <c r="AF225" s="7" t="e">
        <f t="shared" si="105"/>
        <v>#N/A</v>
      </c>
      <c r="AG225" s="7" t="e">
        <f t="shared" si="91"/>
        <v>#N/A</v>
      </c>
      <c r="AH225" s="472" t="e">
        <f>VLOOKUP(AF225,'排出係数(2017)'!$A$4:$I$1151,6,FALSE)</f>
        <v>#N/A</v>
      </c>
      <c r="AI225" s="7" t="e">
        <f t="shared" si="92"/>
        <v>#N/A</v>
      </c>
      <c r="AJ225" s="7" t="e">
        <f t="shared" si="93"/>
        <v>#N/A</v>
      </c>
      <c r="AK225" s="472" t="e">
        <f>VLOOKUP(AF225,'排出係数(2017)'!$A$4:$I$1151,7,FALSE)</f>
        <v>#N/A</v>
      </c>
      <c r="AL225" s="7" t="e">
        <f t="shared" si="94"/>
        <v>#N/A</v>
      </c>
      <c r="AM225" s="7" t="e">
        <f t="shared" si="95"/>
        <v>#N/A</v>
      </c>
      <c r="AN225" s="7" t="e">
        <f t="shared" si="96"/>
        <v>#N/A</v>
      </c>
      <c r="AO225" s="7">
        <f t="shared" si="97"/>
        <v>0</v>
      </c>
      <c r="AP225" s="7" t="e">
        <f t="shared" si="106"/>
        <v>#N/A</v>
      </c>
      <c r="AQ225" s="7" t="str">
        <f t="shared" si="98"/>
        <v/>
      </c>
      <c r="AR225" s="7" t="str">
        <f t="shared" si="99"/>
        <v/>
      </c>
      <c r="AS225" s="7" t="str">
        <f t="shared" si="100"/>
        <v/>
      </c>
      <c r="AT225" s="97"/>
      <c r="AZ225" s="477" t="s">
        <v>128</v>
      </c>
      <c r="CF225" s="586" t="str">
        <f t="shared" si="107"/>
        <v/>
      </c>
      <c r="CG225"/>
      <c r="CH225"/>
    </row>
    <row r="226" spans="1:86" s="13" customFormat="1" ht="13.75" customHeight="1">
      <c r="A226" s="137">
        <v>211</v>
      </c>
      <c r="B226" s="138"/>
      <c r="C226" s="139"/>
      <c r="D226" s="140"/>
      <c r="E226" s="139"/>
      <c r="F226" s="139"/>
      <c r="G226" s="191"/>
      <c r="H226" s="139"/>
      <c r="I226" s="141"/>
      <c r="J226" s="142"/>
      <c r="K226" s="139"/>
      <c r="L226" s="147"/>
      <c r="M226" s="148"/>
      <c r="N226" s="583"/>
      <c r="O226" s="229" t="str">
        <f t="shared" si="101"/>
        <v/>
      </c>
      <c r="P226" s="229" t="str">
        <f t="shared" si="102"/>
        <v/>
      </c>
      <c r="Q226" s="230" t="str">
        <f t="shared" si="103"/>
        <v/>
      </c>
      <c r="R226" s="323" t="str">
        <f t="shared" si="104"/>
        <v/>
      </c>
      <c r="S226" s="350"/>
      <c r="T226" s="43"/>
      <c r="U226" s="347" t="str">
        <f t="shared" si="81"/>
        <v/>
      </c>
      <c r="V226" s="7" t="e">
        <f t="shared" si="82"/>
        <v>#N/A</v>
      </c>
      <c r="W226" s="7" t="e">
        <f t="shared" si="83"/>
        <v>#N/A</v>
      </c>
      <c r="X226" s="7" t="e">
        <f t="shared" si="84"/>
        <v>#N/A</v>
      </c>
      <c r="Y226" s="7" t="str">
        <f t="shared" si="85"/>
        <v/>
      </c>
      <c r="Z226" s="11">
        <f t="shared" si="86"/>
        <v>1</v>
      </c>
      <c r="AA226" s="7" t="e">
        <f t="shared" si="87"/>
        <v>#N/A</v>
      </c>
      <c r="AB226" s="7" t="e">
        <f t="shared" si="88"/>
        <v>#N/A</v>
      </c>
      <c r="AC226" s="7" t="e">
        <f t="shared" si="89"/>
        <v>#N/A</v>
      </c>
      <c r="AD226" s="472" t="e">
        <f>VLOOKUP(AF226,'排出係数(2017)'!$A$4:$I$1151,9,FALSE)</f>
        <v>#N/A</v>
      </c>
      <c r="AE226" s="12" t="str">
        <f t="shared" si="90"/>
        <v xml:space="preserve"> </v>
      </c>
      <c r="AF226" s="7" t="e">
        <f t="shared" si="105"/>
        <v>#N/A</v>
      </c>
      <c r="AG226" s="7" t="e">
        <f t="shared" si="91"/>
        <v>#N/A</v>
      </c>
      <c r="AH226" s="472" t="e">
        <f>VLOOKUP(AF226,'排出係数(2017)'!$A$4:$I$1151,6,FALSE)</f>
        <v>#N/A</v>
      </c>
      <c r="AI226" s="7" t="e">
        <f t="shared" si="92"/>
        <v>#N/A</v>
      </c>
      <c r="AJ226" s="7" t="e">
        <f t="shared" si="93"/>
        <v>#N/A</v>
      </c>
      <c r="AK226" s="472" t="e">
        <f>VLOOKUP(AF226,'排出係数(2017)'!$A$4:$I$1151,7,FALSE)</f>
        <v>#N/A</v>
      </c>
      <c r="AL226" s="7" t="e">
        <f t="shared" si="94"/>
        <v>#N/A</v>
      </c>
      <c r="AM226" s="7" t="e">
        <f t="shared" si="95"/>
        <v>#N/A</v>
      </c>
      <c r="AN226" s="7" t="e">
        <f t="shared" si="96"/>
        <v>#N/A</v>
      </c>
      <c r="AO226" s="7">
        <f t="shared" si="97"/>
        <v>0</v>
      </c>
      <c r="AP226" s="7" t="e">
        <f t="shared" si="106"/>
        <v>#N/A</v>
      </c>
      <c r="AQ226" s="7" t="str">
        <f t="shared" si="98"/>
        <v/>
      </c>
      <c r="AR226" s="7" t="str">
        <f t="shared" si="99"/>
        <v/>
      </c>
      <c r="AS226" s="7" t="str">
        <f t="shared" si="100"/>
        <v/>
      </c>
      <c r="AT226" s="97"/>
      <c r="AZ226" s="477" t="s">
        <v>129</v>
      </c>
      <c r="CF226" s="586" t="str">
        <f t="shared" si="107"/>
        <v/>
      </c>
      <c r="CG226"/>
      <c r="CH226"/>
    </row>
    <row r="227" spans="1:86" s="13" customFormat="1" ht="13.75" customHeight="1">
      <c r="A227" s="137">
        <v>212</v>
      </c>
      <c r="B227" s="138"/>
      <c r="C227" s="139"/>
      <c r="D227" s="140"/>
      <c r="E227" s="139"/>
      <c r="F227" s="139"/>
      <c r="G227" s="191"/>
      <c r="H227" s="139"/>
      <c r="I227" s="141"/>
      <c r="J227" s="142"/>
      <c r="K227" s="139"/>
      <c r="L227" s="147"/>
      <c r="M227" s="148"/>
      <c r="N227" s="583"/>
      <c r="O227" s="229" t="str">
        <f t="shared" si="101"/>
        <v/>
      </c>
      <c r="P227" s="229" t="str">
        <f t="shared" si="102"/>
        <v/>
      </c>
      <c r="Q227" s="230" t="str">
        <f t="shared" si="103"/>
        <v/>
      </c>
      <c r="R227" s="323" t="str">
        <f t="shared" si="104"/>
        <v/>
      </c>
      <c r="S227" s="350"/>
      <c r="T227" s="43"/>
      <c r="U227" s="347" t="str">
        <f t="shared" si="81"/>
        <v/>
      </c>
      <c r="V227" s="7" t="e">
        <f t="shared" si="82"/>
        <v>#N/A</v>
      </c>
      <c r="W227" s="7" t="e">
        <f t="shared" si="83"/>
        <v>#N/A</v>
      </c>
      <c r="X227" s="7" t="e">
        <f t="shared" si="84"/>
        <v>#N/A</v>
      </c>
      <c r="Y227" s="7" t="str">
        <f t="shared" si="85"/>
        <v/>
      </c>
      <c r="Z227" s="11">
        <f t="shared" si="86"/>
        <v>1</v>
      </c>
      <c r="AA227" s="7" t="e">
        <f t="shared" si="87"/>
        <v>#N/A</v>
      </c>
      <c r="AB227" s="7" t="e">
        <f t="shared" si="88"/>
        <v>#N/A</v>
      </c>
      <c r="AC227" s="7" t="e">
        <f t="shared" si="89"/>
        <v>#N/A</v>
      </c>
      <c r="AD227" s="472" t="e">
        <f>VLOOKUP(AF227,'排出係数(2017)'!$A$4:$I$1151,9,FALSE)</f>
        <v>#N/A</v>
      </c>
      <c r="AE227" s="12" t="str">
        <f t="shared" si="90"/>
        <v xml:space="preserve"> </v>
      </c>
      <c r="AF227" s="7" t="e">
        <f t="shared" si="105"/>
        <v>#N/A</v>
      </c>
      <c r="AG227" s="7" t="e">
        <f t="shared" si="91"/>
        <v>#N/A</v>
      </c>
      <c r="AH227" s="472" t="e">
        <f>VLOOKUP(AF227,'排出係数(2017)'!$A$4:$I$1151,6,FALSE)</f>
        <v>#N/A</v>
      </c>
      <c r="AI227" s="7" t="e">
        <f t="shared" si="92"/>
        <v>#N/A</v>
      </c>
      <c r="AJ227" s="7" t="e">
        <f t="shared" si="93"/>
        <v>#N/A</v>
      </c>
      <c r="AK227" s="472" t="e">
        <f>VLOOKUP(AF227,'排出係数(2017)'!$A$4:$I$1151,7,FALSE)</f>
        <v>#N/A</v>
      </c>
      <c r="AL227" s="7" t="e">
        <f t="shared" si="94"/>
        <v>#N/A</v>
      </c>
      <c r="AM227" s="7" t="e">
        <f t="shared" si="95"/>
        <v>#N/A</v>
      </c>
      <c r="AN227" s="7" t="e">
        <f t="shared" si="96"/>
        <v>#N/A</v>
      </c>
      <c r="AO227" s="7">
        <f t="shared" si="97"/>
        <v>0</v>
      </c>
      <c r="AP227" s="7" t="e">
        <f t="shared" si="106"/>
        <v>#N/A</v>
      </c>
      <c r="AQ227" s="7" t="str">
        <f t="shared" si="98"/>
        <v/>
      </c>
      <c r="AR227" s="7" t="str">
        <f t="shared" si="99"/>
        <v/>
      </c>
      <c r="AS227" s="7" t="str">
        <f t="shared" si="100"/>
        <v/>
      </c>
      <c r="AT227" s="97"/>
      <c r="AZ227" s="477" t="s">
        <v>130</v>
      </c>
      <c r="CF227" s="586" t="str">
        <f t="shared" si="107"/>
        <v/>
      </c>
      <c r="CG227"/>
      <c r="CH227"/>
    </row>
    <row r="228" spans="1:86" s="13" customFormat="1" ht="13.75" customHeight="1">
      <c r="A228" s="137">
        <v>213</v>
      </c>
      <c r="B228" s="138"/>
      <c r="C228" s="139"/>
      <c r="D228" s="140"/>
      <c r="E228" s="139"/>
      <c r="F228" s="139"/>
      <c r="G228" s="191"/>
      <c r="H228" s="139"/>
      <c r="I228" s="141"/>
      <c r="J228" s="142"/>
      <c r="K228" s="139"/>
      <c r="L228" s="147"/>
      <c r="M228" s="148"/>
      <c r="N228" s="583"/>
      <c r="O228" s="229" t="str">
        <f t="shared" si="101"/>
        <v/>
      </c>
      <c r="P228" s="229" t="str">
        <f t="shared" si="102"/>
        <v/>
      </c>
      <c r="Q228" s="230" t="str">
        <f t="shared" si="103"/>
        <v/>
      </c>
      <c r="R228" s="323" t="str">
        <f t="shared" si="104"/>
        <v/>
      </c>
      <c r="S228" s="350"/>
      <c r="T228" s="43"/>
      <c r="U228" s="347" t="str">
        <f t="shared" si="81"/>
        <v/>
      </c>
      <c r="V228" s="7" t="e">
        <f t="shared" si="82"/>
        <v>#N/A</v>
      </c>
      <c r="W228" s="7" t="e">
        <f t="shared" si="83"/>
        <v>#N/A</v>
      </c>
      <c r="X228" s="7" t="e">
        <f t="shared" si="84"/>
        <v>#N/A</v>
      </c>
      <c r="Y228" s="7" t="str">
        <f t="shared" si="85"/>
        <v/>
      </c>
      <c r="Z228" s="11">
        <f t="shared" si="86"/>
        <v>1</v>
      </c>
      <c r="AA228" s="7" t="e">
        <f t="shared" si="87"/>
        <v>#N/A</v>
      </c>
      <c r="AB228" s="7" t="e">
        <f t="shared" si="88"/>
        <v>#N/A</v>
      </c>
      <c r="AC228" s="7" t="e">
        <f t="shared" si="89"/>
        <v>#N/A</v>
      </c>
      <c r="AD228" s="472" t="e">
        <f>VLOOKUP(AF228,'排出係数(2017)'!$A$4:$I$1151,9,FALSE)</f>
        <v>#N/A</v>
      </c>
      <c r="AE228" s="12" t="str">
        <f t="shared" si="90"/>
        <v xml:space="preserve"> </v>
      </c>
      <c r="AF228" s="7" t="e">
        <f t="shared" si="105"/>
        <v>#N/A</v>
      </c>
      <c r="AG228" s="7" t="e">
        <f t="shared" si="91"/>
        <v>#N/A</v>
      </c>
      <c r="AH228" s="472" t="e">
        <f>VLOOKUP(AF228,'排出係数(2017)'!$A$4:$I$1151,6,FALSE)</f>
        <v>#N/A</v>
      </c>
      <c r="AI228" s="7" t="e">
        <f t="shared" si="92"/>
        <v>#N/A</v>
      </c>
      <c r="AJ228" s="7" t="e">
        <f t="shared" si="93"/>
        <v>#N/A</v>
      </c>
      <c r="AK228" s="472" t="e">
        <f>VLOOKUP(AF228,'排出係数(2017)'!$A$4:$I$1151,7,FALSE)</f>
        <v>#N/A</v>
      </c>
      <c r="AL228" s="7" t="e">
        <f t="shared" si="94"/>
        <v>#N/A</v>
      </c>
      <c r="AM228" s="7" t="e">
        <f t="shared" si="95"/>
        <v>#N/A</v>
      </c>
      <c r="AN228" s="7" t="e">
        <f t="shared" si="96"/>
        <v>#N/A</v>
      </c>
      <c r="AO228" s="7">
        <f t="shared" si="97"/>
        <v>0</v>
      </c>
      <c r="AP228" s="7" t="e">
        <f t="shared" si="106"/>
        <v>#N/A</v>
      </c>
      <c r="AQ228" s="7" t="str">
        <f t="shared" si="98"/>
        <v/>
      </c>
      <c r="AR228" s="7" t="str">
        <f t="shared" si="99"/>
        <v/>
      </c>
      <c r="AS228" s="7" t="str">
        <f t="shared" si="100"/>
        <v/>
      </c>
      <c r="AT228" s="97"/>
      <c r="AZ228" s="477" t="s">
        <v>10</v>
      </c>
      <c r="CF228" s="586" t="str">
        <f t="shared" si="107"/>
        <v/>
      </c>
      <c r="CG228"/>
      <c r="CH228"/>
    </row>
    <row r="229" spans="1:86" s="13" customFormat="1" ht="13.75" customHeight="1">
      <c r="A229" s="137">
        <v>214</v>
      </c>
      <c r="B229" s="138"/>
      <c r="C229" s="139"/>
      <c r="D229" s="140"/>
      <c r="E229" s="139"/>
      <c r="F229" s="139"/>
      <c r="G229" s="191"/>
      <c r="H229" s="139"/>
      <c r="I229" s="141"/>
      <c r="J229" s="142"/>
      <c r="K229" s="139"/>
      <c r="L229" s="147"/>
      <c r="M229" s="148"/>
      <c r="N229" s="583"/>
      <c r="O229" s="229" t="str">
        <f t="shared" si="101"/>
        <v/>
      </c>
      <c r="P229" s="229" t="str">
        <f t="shared" si="102"/>
        <v/>
      </c>
      <c r="Q229" s="230" t="str">
        <f t="shared" si="103"/>
        <v/>
      </c>
      <c r="R229" s="323" t="str">
        <f t="shared" si="104"/>
        <v/>
      </c>
      <c r="S229" s="350"/>
      <c r="T229" s="43"/>
      <c r="U229" s="347" t="str">
        <f t="shared" si="81"/>
        <v/>
      </c>
      <c r="V229" s="7" t="e">
        <f t="shared" si="82"/>
        <v>#N/A</v>
      </c>
      <c r="W229" s="7" t="e">
        <f t="shared" si="83"/>
        <v>#N/A</v>
      </c>
      <c r="X229" s="7" t="e">
        <f t="shared" si="84"/>
        <v>#N/A</v>
      </c>
      <c r="Y229" s="7" t="str">
        <f t="shared" si="85"/>
        <v/>
      </c>
      <c r="Z229" s="11">
        <f t="shared" si="86"/>
        <v>1</v>
      </c>
      <c r="AA229" s="7" t="e">
        <f t="shared" si="87"/>
        <v>#N/A</v>
      </c>
      <c r="AB229" s="7" t="e">
        <f t="shared" si="88"/>
        <v>#N/A</v>
      </c>
      <c r="AC229" s="7" t="e">
        <f t="shared" si="89"/>
        <v>#N/A</v>
      </c>
      <c r="AD229" s="472" t="e">
        <f>VLOOKUP(AF229,'排出係数(2017)'!$A$4:$I$1151,9,FALSE)</f>
        <v>#N/A</v>
      </c>
      <c r="AE229" s="12" t="str">
        <f t="shared" si="90"/>
        <v xml:space="preserve"> </v>
      </c>
      <c r="AF229" s="7" t="e">
        <f t="shared" si="105"/>
        <v>#N/A</v>
      </c>
      <c r="AG229" s="7" t="e">
        <f t="shared" si="91"/>
        <v>#N/A</v>
      </c>
      <c r="AH229" s="472" t="e">
        <f>VLOOKUP(AF229,'排出係数(2017)'!$A$4:$I$1151,6,FALSE)</f>
        <v>#N/A</v>
      </c>
      <c r="AI229" s="7" t="e">
        <f t="shared" si="92"/>
        <v>#N/A</v>
      </c>
      <c r="AJ229" s="7" t="e">
        <f t="shared" si="93"/>
        <v>#N/A</v>
      </c>
      <c r="AK229" s="472" t="e">
        <f>VLOOKUP(AF229,'排出係数(2017)'!$A$4:$I$1151,7,FALSE)</f>
        <v>#N/A</v>
      </c>
      <c r="AL229" s="7" t="e">
        <f t="shared" si="94"/>
        <v>#N/A</v>
      </c>
      <c r="AM229" s="7" t="e">
        <f t="shared" si="95"/>
        <v>#N/A</v>
      </c>
      <c r="AN229" s="7" t="e">
        <f t="shared" si="96"/>
        <v>#N/A</v>
      </c>
      <c r="AO229" s="7">
        <f t="shared" si="97"/>
        <v>0</v>
      </c>
      <c r="AP229" s="7" t="e">
        <f t="shared" si="106"/>
        <v>#N/A</v>
      </c>
      <c r="AQ229" s="7" t="str">
        <f t="shared" si="98"/>
        <v/>
      </c>
      <c r="AR229" s="7" t="str">
        <f t="shared" si="99"/>
        <v/>
      </c>
      <c r="AS229" s="7" t="str">
        <f t="shared" si="100"/>
        <v/>
      </c>
      <c r="AT229" s="97"/>
      <c r="AZ229" s="477" t="s">
        <v>70</v>
      </c>
      <c r="CF229" s="586" t="str">
        <f t="shared" si="107"/>
        <v/>
      </c>
      <c r="CG229"/>
      <c r="CH229"/>
    </row>
    <row r="230" spans="1:86" s="13" customFormat="1" ht="13.75" customHeight="1">
      <c r="A230" s="137">
        <v>215</v>
      </c>
      <c r="B230" s="138"/>
      <c r="C230" s="139"/>
      <c r="D230" s="140"/>
      <c r="E230" s="139"/>
      <c r="F230" s="139"/>
      <c r="G230" s="191"/>
      <c r="H230" s="139"/>
      <c r="I230" s="141"/>
      <c r="J230" s="142"/>
      <c r="K230" s="139"/>
      <c r="L230" s="147"/>
      <c r="M230" s="148"/>
      <c r="N230" s="583"/>
      <c r="O230" s="229" t="str">
        <f t="shared" si="101"/>
        <v/>
      </c>
      <c r="P230" s="229" t="str">
        <f t="shared" si="102"/>
        <v/>
      </c>
      <c r="Q230" s="230" t="str">
        <f t="shared" si="103"/>
        <v/>
      </c>
      <c r="R230" s="323" t="str">
        <f t="shared" si="104"/>
        <v/>
      </c>
      <c r="S230" s="350"/>
      <c r="T230" s="43"/>
      <c r="U230" s="347" t="str">
        <f t="shared" si="81"/>
        <v/>
      </c>
      <c r="V230" s="7" t="e">
        <f t="shared" si="82"/>
        <v>#N/A</v>
      </c>
      <c r="W230" s="7" t="e">
        <f t="shared" si="83"/>
        <v>#N/A</v>
      </c>
      <c r="X230" s="7" t="e">
        <f t="shared" si="84"/>
        <v>#N/A</v>
      </c>
      <c r="Y230" s="7" t="str">
        <f t="shared" si="85"/>
        <v/>
      </c>
      <c r="Z230" s="11">
        <f t="shared" si="86"/>
        <v>1</v>
      </c>
      <c r="AA230" s="7" t="e">
        <f t="shared" si="87"/>
        <v>#N/A</v>
      </c>
      <c r="AB230" s="7" t="e">
        <f t="shared" si="88"/>
        <v>#N/A</v>
      </c>
      <c r="AC230" s="7" t="e">
        <f t="shared" si="89"/>
        <v>#N/A</v>
      </c>
      <c r="AD230" s="472" t="e">
        <f>VLOOKUP(AF230,'排出係数(2017)'!$A$4:$I$1151,9,FALSE)</f>
        <v>#N/A</v>
      </c>
      <c r="AE230" s="12" t="str">
        <f t="shared" si="90"/>
        <v xml:space="preserve"> </v>
      </c>
      <c r="AF230" s="7" t="e">
        <f t="shared" si="105"/>
        <v>#N/A</v>
      </c>
      <c r="AG230" s="7" t="e">
        <f t="shared" si="91"/>
        <v>#N/A</v>
      </c>
      <c r="AH230" s="472" t="e">
        <f>VLOOKUP(AF230,'排出係数(2017)'!$A$4:$I$1151,6,FALSE)</f>
        <v>#N/A</v>
      </c>
      <c r="AI230" s="7" t="e">
        <f t="shared" si="92"/>
        <v>#N/A</v>
      </c>
      <c r="AJ230" s="7" t="e">
        <f t="shared" si="93"/>
        <v>#N/A</v>
      </c>
      <c r="AK230" s="472" t="e">
        <f>VLOOKUP(AF230,'排出係数(2017)'!$A$4:$I$1151,7,FALSE)</f>
        <v>#N/A</v>
      </c>
      <c r="AL230" s="7" t="e">
        <f t="shared" si="94"/>
        <v>#N/A</v>
      </c>
      <c r="AM230" s="7" t="e">
        <f t="shared" si="95"/>
        <v>#N/A</v>
      </c>
      <c r="AN230" s="7" t="e">
        <f t="shared" si="96"/>
        <v>#N/A</v>
      </c>
      <c r="AO230" s="7">
        <f t="shared" si="97"/>
        <v>0</v>
      </c>
      <c r="AP230" s="7" t="e">
        <f t="shared" si="106"/>
        <v>#N/A</v>
      </c>
      <c r="AQ230" s="7" t="str">
        <f t="shared" si="98"/>
        <v/>
      </c>
      <c r="AR230" s="7" t="str">
        <f t="shared" si="99"/>
        <v/>
      </c>
      <c r="AS230" s="7" t="str">
        <f t="shared" si="100"/>
        <v/>
      </c>
      <c r="AT230" s="97"/>
      <c r="AZ230" s="477" t="s">
        <v>1418</v>
      </c>
      <c r="CF230" s="586" t="str">
        <f t="shared" si="107"/>
        <v/>
      </c>
      <c r="CG230"/>
      <c r="CH230"/>
    </row>
    <row r="231" spans="1:86" s="13" customFormat="1" ht="13.75" customHeight="1">
      <c r="A231" s="137">
        <v>216</v>
      </c>
      <c r="B231" s="138"/>
      <c r="C231" s="139"/>
      <c r="D231" s="140"/>
      <c r="E231" s="139"/>
      <c r="F231" s="139"/>
      <c r="G231" s="191"/>
      <c r="H231" s="139"/>
      <c r="I231" s="141"/>
      <c r="J231" s="142"/>
      <c r="K231" s="139"/>
      <c r="L231" s="147"/>
      <c r="M231" s="148"/>
      <c r="N231" s="583"/>
      <c r="O231" s="229" t="str">
        <f t="shared" si="101"/>
        <v/>
      </c>
      <c r="P231" s="229" t="str">
        <f t="shared" si="102"/>
        <v/>
      </c>
      <c r="Q231" s="230" t="str">
        <f t="shared" si="103"/>
        <v/>
      </c>
      <c r="R231" s="323" t="str">
        <f t="shared" si="104"/>
        <v/>
      </c>
      <c r="S231" s="350"/>
      <c r="T231" s="43"/>
      <c r="U231" s="347" t="str">
        <f t="shared" si="81"/>
        <v/>
      </c>
      <c r="V231" s="7" t="e">
        <f t="shared" si="82"/>
        <v>#N/A</v>
      </c>
      <c r="W231" s="7" t="e">
        <f t="shared" si="83"/>
        <v>#N/A</v>
      </c>
      <c r="X231" s="7" t="e">
        <f t="shared" si="84"/>
        <v>#N/A</v>
      </c>
      <c r="Y231" s="7" t="str">
        <f t="shared" si="85"/>
        <v/>
      </c>
      <c r="Z231" s="11">
        <f t="shared" si="86"/>
        <v>1</v>
      </c>
      <c r="AA231" s="7" t="e">
        <f t="shared" si="87"/>
        <v>#N/A</v>
      </c>
      <c r="AB231" s="7" t="e">
        <f t="shared" si="88"/>
        <v>#N/A</v>
      </c>
      <c r="AC231" s="7" t="e">
        <f t="shared" si="89"/>
        <v>#N/A</v>
      </c>
      <c r="AD231" s="472" t="e">
        <f>VLOOKUP(AF231,'排出係数(2017)'!$A$4:$I$1151,9,FALSE)</f>
        <v>#N/A</v>
      </c>
      <c r="AE231" s="12" t="str">
        <f t="shared" si="90"/>
        <v xml:space="preserve"> </v>
      </c>
      <c r="AF231" s="7" t="e">
        <f t="shared" si="105"/>
        <v>#N/A</v>
      </c>
      <c r="AG231" s="7" t="e">
        <f t="shared" si="91"/>
        <v>#N/A</v>
      </c>
      <c r="AH231" s="472" t="e">
        <f>VLOOKUP(AF231,'排出係数(2017)'!$A$4:$I$1151,6,FALSE)</f>
        <v>#N/A</v>
      </c>
      <c r="AI231" s="7" t="e">
        <f t="shared" si="92"/>
        <v>#N/A</v>
      </c>
      <c r="AJ231" s="7" t="e">
        <f t="shared" si="93"/>
        <v>#N/A</v>
      </c>
      <c r="AK231" s="472" t="e">
        <f>VLOOKUP(AF231,'排出係数(2017)'!$A$4:$I$1151,7,FALSE)</f>
        <v>#N/A</v>
      </c>
      <c r="AL231" s="7" t="e">
        <f t="shared" si="94"/>
        <v>#N/A</v>
      </c>
      <c r="AM231" s="7" t="e">
        <f t="shared" si="95"/>
        <v>#N/A</v>
      </c>
      <c r="AN231" s="7" t="e">
        <f t="shared" si="96"/>
        <v>#N/A</v>
      </c>
      <c r="AO231" s="7">
        <f t="shared" si="97"/>
        <v>0</v>
      </c>
      <c r="AP231" s="7" t="e">
        <f t="shared" si="106"/>
        <v>#N/A</v>
      </c>
      <c r="AQ231" s="7" t="str">
        <f t="shared" si="98"/>
        <v/>
      </c>
      <c r="AR231" s="7" t="str">
        <f t="shared" si="99"/>
        <v/>
      </c>
      <c r="AS231" s="7" t="str">
        <f t="shared" si="100"/>
        <v/>
      </c>
      <c r="AT231" s="97"/>
      <c r="AZ231" s="477" t="s">
        <v>271</v>
      </c>
      <c r="CF231" s="586" t="str">
        <f t="shared" si="107"/>
        <v/>
      </c>
      <c r="CG231"/>
      <c r="CH231"/>
    </row>
    <row r="232" spans="1:86" s="13" customFormat="1" ht="13.75" customHeight="1">
      <c r="A232" s="137">
        <v>217</v>
      </c>
      <c r="B232" s="138"/>
      <c r="C232" s="139"/>
      <c r="D232" s="140"/>
      <c r="E232" s="139"/>
      <c r="F232" s="139"/>
      <c r="G232" s="191"/>
      <c r="H232" s="139"/>
      <c r="I232" s="141"/>
      <c r="J232" s="142"/>
      <c r="K232" s="139"/>
      <c r="L232" s="147"/>
      <c r="M232" s="148"/>
      <c r="N232" s="583"/>
      <c r="O232" s="229" t="str">
        <f t="shared" si="101"/>
        <v/>
      </c>
      <c r="P232" s="229" t="str">
        <f t="shared" si="102"/>
        <v/>
      </c>
      <c r="Q232" s="230" t="str">
        <f t="shared" si="103"/>
        <v/>
      </c>
      <c r="R232" s="323" t="str">
        <f t="shared" si="104"/>
        <v/>
      </c>
      <c r="S232" s="350"/>
      <c r="T232" s="43"/>
      <c r="U232" s="347" t="str">
        <f t="shared" si="81"/>
        <v/>
      </c>
      <c r="V232" s="7" t="e">
        <f t="shared" si="82"/>
        <v>#N/A</v>
      </c>
      <c r="W232" s="7" t="e">
        <f t="shared" si="83"/>
        <v>#N/A</v>
      </c>
      <c r="X232" s="7" t="e">
        <f t="shared" si="84"/>
        <v>#N/A</v>
      </c>
      <c r="Y232" s="7" t="str">
        <f t="shared" si="85"/>
        <v/>
      </c>
      <c r="Z232" s="11">
        <f t="shared" si="86"/>
        <v>1</v>
      </c>
      <c r="AA232" s="7" t="e">
        <f t="shared" si="87"/>
        <v>#N/A</v>
      </c>
      <c r="AB232" s="7" t="e">
        <f t="shared" si="88"/>
        <v>#N/A</v>
      </c>
      <c r="AC232" s="7" t="e">
        <f t="shared" si="89"/>
        <v>#N/A</v>
      </c>
      <c r="AD232" s="472" t="e">
        <f>VLOOKUP(AF232,'排出係数(2017)'!$A$4:$I$1151,9,FALSE)</f>
        <v>#N/A</v>
      </c>
      <c r="AE232" s="12" t="str">
        <f t="shared" si="90"/>
        <v xml:space="preserve"> </v>
      </c>
      <c r="AF232" s="7" t="e">
        <f t="shared" si="105"/>
        <v>#N/A</v>
      </c>
      <c r="AG232" s="7" t="e">
        <f t="shared" si="91"/>
        <v>#N/A</v>
      </c>
      <c r="AH232" s="472" t="e">
        <f>VLOOKUP(AF232,'排出係数(2017)'!$A$4:$I$1151,6,FALSE)</f>
        <v>#N/A</v>
      </c>
      <c r="AI232" s="7" t="e">
        <f t="shared" si="92"/>
        <v>#N/A</v>
      </c>
      <c r="AJ232" s="7" t="e">
        <f t="shared" si="93"/>
        <v>#N/A</v>
      </c>
      <c r="AK232" s="472" t="e">
        <f>VLOOKUP(AF232,'排出係数(2017)'!$A$4:$I$1151,7,FALSE)</f>
        <v>#N/A</v>
      </c>
      <c r="AL232" s="7" t="e">
        <f t="shared" si="94"/>
        <v>#N/A</v>
      </c>
      <c r="AM232" s="7" t="e">
        <f t="shared" si="95"/>
        <v>#N/A</v>
      </c>
      <c r="AN232" s="7" t="e">
        <f t="shared" si="96"/>
        <v>#N/A</v>
      </c>
      <c r="AO232" s="7">
        <f t="shared" si="97"/>
        <v>0</v>
      </c>
      <c r="AP232" s="7" t="e">
        <f t="shared" si="106"/>
        <v>#N/A</v>
      </c>
      <c r="AQ232" s="7" t="str">
        <f t="shared" si="98"/>
        <v/>
      </c>
      <c r="AR232" s="7" t="str">
        <f t="shared" si="99"/>
        <v/>
      </c>
      <c r="AS232" s="7" t="str">
        <f t="shared" si="100"/>
        <v/>
      </c>
      <c r="AT232" s="97"/>
      <c r="AZ232" s="477" t="s">
        <v>317</v>
      </c>
      <c r="CF232" s="586" t="str">
        <f t="shared" si="107"/>
        <v/>
      </c>
      <c r="CG232"/>
      <c r="CH232"/>
    </row>
    <row r="233" spans="1:86" s="13" customFormat="1" ht="13.75" customHeight="1">
      <c r="A233" s="137">
        <v>218</v>
      </c>
      <c r="B233" s="138"/>
      <c r="C233" s="139"/>
      <c r="D233" s="140"/>
      <c r="E233" s="139"/>
      <c r="F233" s="139"/>
      <c r="G233" s="191"/>
      <c r="H233" s="139"/>
      <c r="I233" s="141"/>
      <c r="J233" s="142"/>
      <c r="K233" s="139"/>
      <c r="L233" s="147"/>
      <c r="M233" s="148"/>
      <c r="N233" s="583"/>
      <c r="O233" s="229" t="str">
        <f t="shared" si="101"/>
        <v/>
      </c>
      <c r="P233" s="229" t="str">
        <f t="shared" si="102"/>
        <v/>
      </c>
      <c r="Q233" s="230" t="str">
        <f t="shared" si="103"/>
        <v/>
      </c>
      <c r="R233" s="323" t="str">
        <f t="shared" si="104"/>
        <v/>
      </c>
      <c r="S233" s="350"/>
      <c r="T233" s="43"/>
      <c r="U233" s="347" t="str">
        <f t="shared" si="81"/>
        <v/>
      </c>
      <c r="V233" s="7" t="e">
        <f t="shared" si="82"/>
        <v>#N/A</v>
      </c>
      <c r="W233" s="7" t="e">
        <f t="shared" si="83"/>
        <v>#N/A</v>
      </c>
      <c r="X233" s="7" t="e">
        <f t="shared" si="84"/>
        <v>#N/A</v>
      </c>
      <c r="Y233" s="7" t="str">
        <f t="shared" si="85"/>
        <v/>
      </c>
      <c r="Z233" s="11">
        <f t="shared" si="86"/>
        <v>1</v>
      </c>
      <c r="AA233" s="7" t="e">
        <f t="shared" si="87"/>
        <v>#N/A</v>
      </c>
      <c r="AB233" s="7" t="e">
        <f t="shared" si="88"/>
        <v>#N/A</v>
      </c>
      <c r="AC233" s="7" t="e">
        <f t="shared" si="89"/>
        <v>#N/A</v>
      </c>
      <c r="AD233" s="472" t="e">
        <f>VLOOKUP(AF233,'排出係数(2017)'!$A$4:$I$1151,9,FALSE)</f>
        <v>#N/A</v>
      </c>
      <c r="AE233" s="12" t="str">
        <f t="shared" si="90"/>
        <v xml:space="preserve"> </v>
      </c>
      <c r="AF233" s="7" t="e">
        <f t="shared" si="105"/>
        <v>#N/A</v>
      </c>
      <c r="AG233" s="7" t="e">
        <f t="shared" si="91"/>
        <v>#N/A</v>
      </c>
      <c r="AH233" s="472" t="e">
        <f>VLOOKUP(AF233,'排出係数(2017)'!$A$4:$I$1151,6,FALSE)</f>
        <v>#N/A</v>
      </c>
      <c r="AI233" s="7" t="e">
        <f t="shared" si="92"/>
        <v>#N/A</v>
      </c>
      <c r="AJ233" s="7" t="e">
        <f t="shared" si="93"/>
        <v>#N/A</v>
      </c>
      <c r="AK233" s="472" t="e">
        <f>VLOOKUP(AF233,'排出係数(2017)'!$A$4:$I$1151,7,FALSE)</f>
        <v>#N/A</v>
      </c>
      <c r="AL233" s="7" t="e">
        <f t="shared" si="94"/>
        <v>#N/A</v>
      </c>
      <c r="AM233" s="7" t="e">
        <f t="shared" si="95"/>
        <v>#N/A</v>
      </c>
      <c r="AN233" s="7" t="e">
        <f t="shared" si="96"/>
        <v>#N/A</v>
      </c>
      <c r="AO233" s="7">
        <f t="shared" si="97"/>
        <v>0</v>
      </c>
      <c r="AP233" s="7" t="e">
        <f t="shared" si="106"/>
        <v>#N/A</v>
      </c>
      <c r="AQ233" s="7" t="str">
        <f t="shared" si="98"/>
        <v/>
      </c>
      <c r="AR233" s="7" t="str">
        <f t="shared" si="99"/>
        <v/>
      </c>
      <c r="AS233" s="7" t="str">
        <f t="shared" si="100"/>
        <v/>
      </c>
      <c r="AT233" s="97"/>
      <c r="AZ233" s="477" t="s">
        <v>397</v>
      </c>
      <c r="CF233" s="586" t="str">
        <f t="shared" si="107"/>
        <v/>
      </c>
      <c r="CG233"/>
      <c r="CH233"/>
    </row>
    <row r="234" spans="1:86" s="13" customFormat="1" ht="13.75" customHeight="1">
      <c r="A234" s="137">
        <v>219</v>
      </c>
      <c r="B234" s="138"/>
      <c r="C234" s="139"/>
      <c r="D234" s="140"/>
      <c r="E234" s="139"/>
      <c r="F234" s="139"/>
      <c r="G234" s="191"/>
      <c r="H234" s="139"/>
      <c r="I234" s="141"/>
      <c r="J234" s="142"/>
      <c r="K234" s="139"/>
      <c r="L234" s="147"/>
      <c r="M234" s="148"/>
      <c r="N234" s="583"/>
      <c r="O234" s="229" t="str">
        <f t="shared" si="101"/>
        <v/>
      </c>
      <c r="P234" s="229" t="str">
        <f t="shared" si="102"/>
        <v/>
      </c>
      <c r="Q234" s="230" t="str">
        <f t="shared" si="103"/>
        <v/>
      </c>
      <c r="R234" s="323" t="str">
        <f t="shared" si="104"/>
        <v/>
      </c>
      <c r="S234" s="350"/>
      <c r="T234" s="43"/>
      <c r="U234" s="347" t="str">
        <f t="shared" si="81"/>
        <v/>
      </c>
      <c r="V234" s="7" t="e">
        <f t="shared" si="82"/>
        <v>#N/A</v>
      </c>
      <c r="W234" s="7" t="e">
        <f t="shared" si="83"/>
        <v>#N/A</v>
      </c>
      <c r="X234" s="7" t="e">
        <f t="shared" si="84"/>
        <v>#N/A</v>
      </c>
      <c r="Y234" s="7" t="str">
        <f t="shared" si="85"/>
        <v/>
      </c>
      <c r="Z234" s="11">
        <f t="shared" si="86"/>
        <v>1</v>
      </c>
      <c r="AA234" s="7" t="e">
        <f t="shared" si="87"/>
        <v>#N/A</v>
      </c>
      <c r="AB234" s="7" t="e">
        <f t="shared" si="88"/>
        <v>#N/A</v>
      </c>
      <c r="AC234" s="7" t="e">
        <f t="shared" si="89"/>
        <v>#N/A</v>
      </c>
      <c r="AD234" s="472" t="e">
        <f>VLOOKUP(AF234,'排出係数(2017)'!$A$4:$I$1151,9,FALSE)</f>
        <v>#N/A</v>
      </c>
      <c r="AE234" s="12" t="str">
        <f t="shared" si="90"/>
        <v xml:space="preserve"> </v>
      </c>
      <c r="AF234" s="7" t="e">
        <f t="shared" si="105"/>
        <v>#N/A</v>
      </c>
      <c r="AG234" s="7" t="e">
        <f t="shared" si="91"/>
        <v>#N/A</v>
      </c>
      <c r="AH234" s="472" t="e">
        <f>VLOOKUP(AF234,'排出係数(2017)'!$A$4:$I$1151,6,FALSE)</f>
        <v>#N/A</v>
      </c>
      <c r="AI234" s="7" t="e">
        <f t="shared" si="92"/>
        <v>#N/A</v>
      </c>
      <c r="AJ234" s="7" t="e">
        <f t="shared" si="93"/>
        <v>#N/A</v>
      </c>
      <c r="AK234" s="472" t="e">
        <f>VLOOKUP(AF234,'排出係数(2017)'!$A$4:$I$1151,7,FALSE)</f>
        <v>#N/A</v>
      </c>
      <c r="AL234" s="7" t="e">
        <f t="shared" si="94"/>
        <v>#N/A</v>
      </c>
      <c r="AM234" s="7" t="e">
        <f t="shared" si="95"/>
        <v>#N/A</v>
      </c>
      <c r="AN234" s="7" t="e">
        <f t="shared" si="96"/>
        <v>#N/A</v>
      </c>
      <c r="AO234" s="7">
        <f t="shared" si="97"/>
        <v>0</v>
      </c>
      <c r="AP234" s="7" t="e">
        <f t="shared" si="106"/>
        <v>#N/A</v>
      </c>
      <c r="AQ234" s="7" t="str">
        <f t="shared" si="98"/>
        <v/>
      </c>
      <c r="AR234" s="7" t="str">
        <f t="shared" si="99"/>
        <v/>
      </c>
      <c r="AS234" s="7" t="str">
        <f t="shared" si="100"/>
        <v/>
      </c>
      <c r="AT234" s="97"/>
      <c r="AZ234" s="477" t="s">
        <v>71</v>
      </c>
      <c r="CF234" s="586" t="str">
        <f t="shared" si="107"/>
        <v/>
      </c>
      <c r="CG234"/>
      <c r="CH234"/>
    </row>
    <row r="235" spans="1:86" s="13" customFormat="1" ht="13.75" customHeight="1">
      <c r="A235" s="137">
        <v>220</v>
      </c>
      <c r="B235" s="138"/>
      <c r="C235" s="139"/>
      <c r="D235" s="140"/>
      <c r="E235" s="139"/>
      <c r="F235" s="139"/>
      <c r="G235" s="191"/>
      <c r="H235" s="139"/>
      <c r="I235" s="141"/>
      <c r="J235" s="142"/>
      <c r="K235" s="139"/>
      <c r="L235" s="147"/>
      <c r="M235" s="148"/>
      <c r="N235" s="583"/>
      <c r="O235" s="229" t="str">
        <f t="shared" si="101"/>
        <v/>
      </c>
      <c r="P235" s="229" t="str">
        <f t="shared" si="102"/>
        <v/>
      </c>
      <c r="Q235" s="230" t="str">
        <f t="shared" si="103"/>
        <v/>
      </c>
      <c r="R235" s="323" t="str">
        <f t="shared" si="104"/>
        <v/>
      </c>
      <c r="S235" s="350"/>
      <c r="T235" s="43"/>
      <c r="U235" s="347" t="str">
        <f t="shared" si="81"/>
        <v/>
      </c>
      <c r="V235" s="7" t="e">
        <f t="shared" si="82"/>
        <v>#N/A</v>
      </c>
      <c r="W235" s="7" t="e">
        <f t="shared" si="83"/>
        <v>#N/A</v>
      </c>
      <c r="X235" s="7" t="e">
        <f t="shared" si="84"/>
        <v>#N/A</v>
      </c>
      <c r="Y235" s="7" t="str">
        <f t="shared" si="85"/>
        <v/>
      </c>
      <c r="Z235" s="11">
        <f t="shared" si="86"/>
        <v>1</v>
      </c>
      <c r="AA235" s="7" t="e">
        <f t="shared" si="87"/>
        <v>#N/A</v>
      </c>
      <c r="AB235" s="7" t="e">
        <f t="shared" si="88"/>
        <v>#N/A</v>
      </c>
      <c r="AC235" s="7" t="e">
        <f t="shared" si="89"/>
        <v>#N/A</v>
      </c>
      <c r="AD235" s="472" t="e">
        <f>VLOOKUP(AF235,'排出係数(2017)'!$A$4:$I$1151,9,FALSE)</f>
        <v>#N/A</v>
      </c>
      <c r="AE235" s="12" t="str">
        <f t="shared" si="90"/>
        <v xml:space="preserve"> </v>
      </c>
      <c r="AF235" s="7" t="e">
        <f t="shared" si="105"/>
        <v>#N/A</v>
      </c>
      <c r="AG235" s="7" t="e">
        <f t="shared" si="91"/>
        <v>#N/A</v>
      </c>
      <c r="AH235" s="472" t="e">
        <f>VLOOKUP(AF235,'排出係数(2017)'!$A$4:$I$1151,6,FALSE)</f>
        <v>#N/A</v>
      </c>
      <c r="AI235" s="7" t="e">
        <f t="shared" si="92"/>
        <v>#N/A</v>
      </c>
      <c r="AJ235" s="7" t="e">
        <f t="shared" si="93"/>
        <v>#N/A</v>
      </c>
      <c r="AK235" s="472" t="e">
        <f>VLOOKUP(AF235,'排出係数(2017)'!$A$4:$I$1151,7,FALSE)</f>
        <v>#N/A</v>
      </c>
      <c r="AL235" s="7" t="e">
        <f t="shared" si="94"/>
        <v>#N/A</v>
      </c>
      <c r="AM235" s="7" t="e">
        <f t="shared" si="95"/>
        <v>#N/A</v>
      </c>
      <c r="AN235" s="7" t="e">
        <f t="shared" si="96"/>
        <v>#N/A</v>
      </c>
      <c r="AO235" s="7">
        <f t="shared" si="97"/>
        <v>0</v>
      </c>
      <c r="AP235" s="7" t="e">
        <f t="shared" si="106"/>
        <v>#N/A</v>
      </c>
      <c r="AQ235" s="7" t="str">
        <f t="shared" si="98"/>
        <v/>
      </c>
      <c r="AR235" s="7" t="str">
        <f t="shared" si="99"/>
        <v/>
      </c>
      <c r="AS235" s="7" t="str">
        <f t="shared" si="100"/>
        <v/>
      </c>
      <c r="AT235" s="97"/>
      <c r="AZ235" s="477" t="s">
        <v>1416</v>
      </c>
      <c r="CF235" s="586" t="str">
        <f t="shared" si="107"/>
        <v/>
      </c>
      <c r="CG235"/>
      <c r="CH235"/>
    </row>
    <row r="236" spans="1:86" s="13" customFormat="1" ht="13.75" customHeight="1">
      <c r="A236" s="137">
        <v>221</v>
      </c>
      <c r="B236" s="138"/>
      <c r="C236" s="139"/>
      <c r="D236" s="140"/>
      <c r="E236" s="139"/>
      <c r="F236" s="139"/>
      <c r="G236" s="191"/>
      <c r="H236" s="139"/>
      <c r="I236" s="141"/>
      <c r="J236" s="142"/>
      <c r="K236" s="139"/>
      <c r="L236" s="147"/>
      <c r="M236" s="148"/>
      <c r="N236" s="583"/>
      <c r="O236" s="229" t="str">
        <f t="shared" si="101"/>
        <v/>
      </c>
      <c r="P236" s="229" t="str">
        <f t="shared" si="102"/>
        <v/>
      </c>
      <c r="Q236" s="230" t="str">
        <f t="shared" si="103"/>
        <v/>
      </c>
      <c r="R236" s="323" t="str">
        <f t="shared" si="104"/>
        <v/>
      </c>
      <c r="S236" s="350"/>
      <c r="T236" s="43"/>
      <c r="U236" s="347" t="str">
        <f t="shared" si="81"/>
        <v/>
      </c>
      <c r="V236" s="7" t="e">
        <f t="shared" si="82"/>
        <v>#N/A</v>
      </c>
      <c r="W236" s="7" t="e">
        <f t="shared" si="83"/>
        <v>#N/A</v>
      </c>
      <c r="X236" s="7" t="e">
        <f t="shared" si="84"/>
        <v>#N/A</v>
      </c>
      <c r="Y236" s="7" t="str">
        <f t="shared" si="85"/>
        <v/>
      </c>
      <c r="Z236" s="11">
        <f t="shared" si="86"/>
        <v>1</v>
      </c>
      <c r="AA236" s="7" t="e">
        <f t="shared" si="87"/>
        <v>#N/A</v>
      </c>
      <c r="AB236" s="7" t="e">
        <f t="shared" si="88"/>
        <v>#N/A</v>
      </c>
      <c r="AC236" s="7" t="e">
        <f t="shared" si="89"/>
        <v>#N/A</v>
      </c>
      <c r="AD236" s="472" t="e">
        <f>VLOOKUP(AF236,'排出係数(2017)'!$A$4:$I$1151,9,FALSE)</f>
        <v>#N/A</v>
      </c>
      <c r="AE236" s="12" t="str">
        <f t="shared" si="90"/>
        <v xml:space="preserve"> </v>
      </c>
      <c r="AF236" s="7" t="e">
        <f t="shared" si="105"/>
        <v>#N/A</v>
      </c>
      <c r="AG236" s="7" t="e">
        <f t="shared" si="91"/>
        <v>#N/A</v>
      </c>
      <c r="AH236" s="472" t="e">
        <f>VLOOKUP(AF236,'排出係数(2017)'!$A$4:$I$1151,6,FALSE)</f>
        <v>#N/A</v>
      </c>
      <c r="AI236" s="7" t="e">
        <f t="shared" si="92"/>
        <v>#N/A</v>
      </c>
      <c r="AJ236" s="7" t="e">
        <f t="shared" si="93"/>
        <v>#N/A</v>
      </c>
      <c r="AK236" s="472" t="e">
        <f>VLOOKUP(AF236,'排出係数(2017)'!$A$4:$I$1151,7,FALSE)</f>
        <v>#N/A</v>
      </c>
      <c r="AL236" s="7" t="e">
        <f t="shared" si="94"/>
        <v>#N/A</v>
      </c>
      <c r="AM236" s="7" t="e">
        <f t="shared" si="95"/>
        <v>#N/A</v>
      </c>
      <c r="AN236" s="7" t="e">
        <f t="shared" si="96"/>
        <v>#N/A</v>
      </c>
      <c r="AO236" s="7">
        <f t="shared" si="97"/>
        <v>0</v>
      </c>
      <c r="AP236" s="7" t="e">
        <f t="shared" si="106"/>
        <v>#N/A</v>
      </c>
      <c r="AQ236" s="7" t="str">
        <f t="shared" si="98"/>
        <v/>
      </c>
      <c r="AR236" s="7" t="str">
        <f t="shared" si="99"/>
        <v/>
      </c>
      <c r="AS236" s="7" t="str">
        <f t="shared" si="100"/>
        <v/>
      </c>
      <c r="AT236" s="97"/>
      <c r="AZ236" s="477" t="s">
        <v>269</v>
      </c>
      <c r="CF236" s="586" t="str">
        <f t="shared" si="107"/>
        <v/>
      </c>
      <c r="CG236"/>
      <c r="CH236"/>
    </row>
    <row r="237" spans="1:86" s="13" customFormat="1" ht="13.75" customHeight="1">
      <c r="A237" s="137">
        <v>222</v>
      </c>
      <c r="B237" s="138"/>
      <c r="C237" s="139"/>
      <c r="D237" s="140"/>
      <c r="E237" s="139"/>
      <c r="F237" s="139"/>
      <c r="G237" s="191"/>
      <c r="H237" s="139"/>
      <c r="I237" s="141"/>
      <c r="J237" s="142"/>
      <c r="K237" s="139"/>
      <c r="L237" s="147"/>
      <c r="M237" s="148"/>
      <c r="N237" s="583"/>
      <c r="O237" s="229" t="str">
        <f t="shared" si="101"/>
        <v/>
      </c>
      <c r="P237" s="229" t="str">
        <f t="shared" si="102"/>
        <v/>
      </c>
      <c r="Q237" s="230" t="str">
        <f t="shared" si="103"/>
        <v/>
      </c>
      <c r="R237" s="323" t="str">
        <f t="shared" si="104"/>
        <v/>
      </c>
      <c r="S237" s="350"/>
      <c r="T237" s="43"/>
      <c r="U237" s="347" t="str">
        <f t="shared" si="81"/>
        <v/>
      </c>
      <c r="V237" s="7" t="e">
        <f t="shared" si="82"/>
        <v>#N/A</v>
      </c>
      <c r="W237" s="7" t="e">
        <f t="shared" si="83"/>
        <v>#N/A</v>
      </c>
      <c r="X237" s="7" t="e">
        <f t="shared" si="84"/>
        <v>#N/A</v>
      </c>
      <c r="Y237" s="7" t="str">
        <f t="shared" si="85"/>
        <v/>
      </c>
      <c r="Z237" s="11">
        <f t="shared" si="86"/>
        <v>1</v>
      </c>
      <c r="AA237" s="7" t="e">
        <f t="shared" si="87"/>
        <v>#N/A</v>
      </c>
      <c r="AB237" s="7" t="e">
        <f t="shared" si="88"/>
        <v>#N/A</v>
      </c>
      <c r="AC237" s="7" t="e">
        <f t="shared" si="89"/>
        <v>#N/A</v>
      </c>
      <c r="AD237" s="472" t="e">
        <f>VLOOKUP(AF237,'排出係数(2017)'!$A$4:$I$1151,9,FALSE)</f>
        <v>#N/A</v>
      </c>
      <c r="AE237" s="12" t="str">
        <f t="shared" si="90"/>
        <v xml:space="preserve"> </v>
      </c>
      <c r="AF237" s="7" t="e">
        <f t="shared" si="105"/>
        <v>#N/A</v>
      </c>
      <c r="AG237" s="7" t="e">
        <f t="shared" si="91"/>
        <v>#N/A</v>
      </c>
      <c r="AH237" s="472" t="e">
        <f>VLOOKUP(AF237,'排出係数(2017)'!$A$4:$I$1151,6,FALSE)</f>
        <v>#N/A</v>
      </c>
      <c r="AI237" s="7" t="e">
        <f t="shared" si="92"/>
        <v>#N/A</v>
      </c>
      <c r="AJ237" s="7" t="e">
        <f t="shared" si="93"/>
        <v>#N/A</v>
      </c>
      <c r="AK237" s="472" t="e">
        <f>VLOOKUP(AF237,'排出係数(2017)'!$A$4:$I$1151,7,FALSE)</f>
        <v>#N/A</v>
      </c>
      <c r="AL237" s="7" t="e">
        <f t="shared" si="94"/>
        <v>#N/A</v>
      </c>
      <c r="AM237" s="7" t="e">
        <f t="shared" si="95"/>
        <v>#N/A</v>
      </c>
      <c r="AN237" s="7" t="e">
        <f t="shared" si="96"/>
        <v>#N/A</v>
      </c>
      <c r="AO237" s="7">
        <f t="shared" si="97"/>
        <v>0</v>
      </c>
      <c r="AP237" s="7" t="e">
        <f t="shared" si="106"/>
        <v>#N/A</v>
      </c>
      <c r="AQ237" s="7" t="str">
        <f t="shared" si="98"/>
        <v/>
      </c>
      <c r="AR237" s="7" t="str">
        <f t="shared" si="99"/>
        <v/>
      </c>
      <c r="AS237" s="7" t="str">
        <f t="shared" si="100"/>
        <v/>
      </c>
      <c r="AT237" s="97"/>
      <c r="AZ237" s="477" t="s">
        <v>315</v>
      </c>
      <c r="CF237" s="586" t="str">
        <f t="shared" si="107"/>
        <v/>
      </c>
      <c r="CG237"/>
      <c r="CH237"/>
    </row>
    <row r="238" spans="1:86" s="13" customFormat="1" ht="13.75" customHeight="1">
      <c r="A238" s="137">
        <v>223</v>
      </c>
      <c r="B238" s="138"/>
      <c r="C238" s="139"/>
      <c r="D238" s="140"/>
      <c r="E238" s="139"/>
      <c r="F238" s="139"/>
      <c r="G238" s="191"/>
      <c r="H238" s="139"/>
      <c r="I238" s="141"/>
      <c r="J238" s="142"/>
      <c r="K238" s="139"/>
      <c r="L238" s="147"/>
      <c r="M238" s="148"/>
      <c r="N238" s="583"/>
      <c r="O238" s="229" t="str">
        <f t="shared" si="101"/>
        <v/>
      </c>
      <c r="P238" s="229" t="str">
        <f t="shared" si="102"/>
        <v/>
      </c>
      <c r="Q238" s="230" t="str">
        <f t="shared" si="103"/>
        <v/>
      </c>
      <c r="R238" s="323" t="str">
        <f t="shared" si="104"/>
        <v/>
      </c>
      <c r="S238" s="350"/>
      <c r="T238" s="43"/>
      <c r="U238" s="347" t="str">
        <f t="shared" si="81"/>
        <v/>
      </c>
      <c r="V238" s="7" t="e">
        <f t="shared" si="82"/>
        <v>#N/A</v>
      </c>
      <c r="W238" s="7" t="e">
        <f t="shared" si="83"/>
        <v>#N/A</v>
      </c>
      <c r="X238" s="7" t="e">
        <f t="shared" si="84"/>
        <v>#N/A</v>
      </c>
      <c r="Y238" s="7" t="str">
        <f t="shared" si="85"/>
        <v/>
      </c>
      <c r="Z238" s="11">
        <f t="shared" si="86"/>
        <v>1</v>
      </c>
      <c r="AA238" s="7" t="e">
        <f t="shared" si="87"/>
        <v>#N/A</v>
      </c>
      <c r="AB238" s="7" t="e">
        <f t="shared" si="88"/>
        <v>#N/A</v>
      </c>
      <c r="AC238" s="7" t="e">
        <f t="shared" si="89"/>
        <v>#N/A</v>
      </c>
      <c r="AD238" s="472" t="e">
        <f>VLOOKUP(AF238,'排出係数(2017)'!$A$4:$I$1151,9,FALSE)</f>
        <v>#N/A</v>
      </c>
      <c r="AE238" s="12" t="str">
        <f t="shared" si="90"/>
        <v xml:space="preserve"> </v>
      </c>
      <c r="AF238" s="7" t="e">
        <f t="shared" si="105"/>
        <v>#N/A</v>
      </c>
      <c r="AG238" s="7" t="e">
        <f t="shared" si="91"/>
        <v>#N/A</v>
      </c>
      <c r="AH238" s="472" t="e">
        <f>VLOOKUP(AF238,'排出係数(2017)'!$A$4:$I$1151,6,FALSE)</f>
        <v>#N/A</v>
      </c>
      <c r="AI238" s="7" t="e">
        <f t="shared" si="92"/>
        <v>#N/A</v>
      </c>
      <c r="AJ238" s="7" t="e">
        <f t="shared" si="93"/>
        <v>#N/A</v>
      </c>
      <c r="AK238" s="472" t="e">
        <f>VLOOKUP(AF238,'排出係数(2017)'!$A$4:$I$1151,7,FALSE)</f>
        <v>#N/A</v>
      </c>
      <c r="AL238" s="7" t="e">
        <f t="shared" si="94"/>
        <v>#N/A</v>
      </c>
      <c r="AM238" s="7" t="e">
        <f t="shared" si="95"/>
        <v>#N/A</v>
      </c>
      <c r="AN238" s="7" t="e">
        <f t="shared" si="96"/>
        <v>#N/A</v>
      </c>
      <c r="AO238" s="7">
        <f t="shared" si="97"/>
        <v>0</v>
      </c>
      <c r="AP238" s="7" t="e">
        <f t="shared" si="106"/>
        <v>#N/A</v>
      </c>
      <c r="AQ238" s="7" t="str">
        <f t="shared" si="98"/>
        <v/>
      </c>
      <c r="AR238" s="7" t="str">
        <f t="shared" si="99"/>
        <v/>
      </c>
      <c r="AS238" s="7" t="str">
        <f t="shared" si="100"/>
        <v/>
      </c>
      <c r="AT238" s="97"/>
      <c r="AZ238" s="477" t="s">
        <v>395</v>
      </c>
      <c r="CF238" s="586" t="str">
        <f t="shared" si="107"/>
        <v/>
      </c>
      <c r="CG238"/>
      <c r="CH238"/>
    </row>
    <row r="239" spans="1:86" s="13" customFormat="1" ht="13.75" customHeight="1">
      <c r="A239" s="137">
        <v>224</v>
      </c>
      <c r="B239" s="138"/>
      <c r="C239" s="139"/>
      <c r="D239" s="140"/>
      <c r="E239" s="139"/>
      <c r="F239" s="139"/>
      <c r="G239" s="191"/>
      <c r="H239" s="139"/>
      <c r="I239" s="141"/>
      <c r="J239" s="142"/>
      <c r="K239" s="139"/>
      <c r="L239" s="147"/>
      <c r="M239" s="148"/>
      <c r="N239" s="583"/>
      <c r="O239" s="229" t="str">
        <f t="shared" si="101"/>
        <v/>
      </c>
      <c r="P239" s="229" t="str">
        <f t="shared" si="102"/>
        <v/>
      </c>
      <c r="Q239" s="230" t="str">
        <f t="shared" si="103"/>
        <v/>
      </c>
      <c r="R239" s="323" t="str">
        <f t="shared" si="104"/>
        <v/>
      </c>
      <c r="S239" s="350"/>
      <c r="T239" s="43"/>
      <c r="U239" s="347" t="str">
        <f t="shared" si="81"/>
        <v/>
      </c>
      <c r="V239" s="7" t="e">
        <f t="shared" si="82"/>
        <v>#N/A</v>
      </c>
      <c r="W239" s="7" t="e">
        <f t="shared" si="83"/>
        <v>#N/A</v>
      </c>
      <c r="X239" s="7" t="e">
        <f t="shared" si="84"/>
        <v>#N/A</v>
      </c>
      <c r="Y239" s="7" t="str">
        <f t="shared" si="85"/>
        <v/>
      </c>
      <c r="Z239" s="11">
        <f t="shared" si="86"/>
        <v>1</v>
      </c>
      <c r="AA239" s="7" t="e">
        <f t="shared" si="87"/>
        <v>#N/A</v>
      </c>
      <c r="AB239" s="7" t="e">
        <f t="shared" si="88"/>
        <v>#N/A</v>
      </c>
      <c r="AC239" s="7" t="e">
        <f t="shared" si="89"/>
        <v>#N/A</v>
      </c>
      <c r="AD239" s="472" t="e">
        <f>VLOOKUP(AF239,'排出係数(2017)'!$A$4:$I$1151,9,FALSE)</f>
        <v>#N/A</v>
      </c>
      <c r="AE239" s="12" t="str">
        <f t="shared" si="90"/>
        <v xml:space="preserve"> </v>
      </c>
      <c r="AF239" s="7" t="e">
        <f t="shared" si="105"/>
        <v>#N/A</v>
      </c>
      <c r="AG239" s="7" t="e">
        <f t="shared" si="91"/>
        <v>#N/A</v>
      </c>
      <c r="AH239" s="472" t="e">
        <f>VLOOKUP(AF239,'排出係数(2017)'!$A$4:$I$1151,6,FALSE)</f>
        <v>#N/A</v>
      </c>
      <c r="AI239" s="7" t="e">
        <f t="shared" si="92"/>
        <v>#N/A</v>
      </c>
      <c r="AJ239" s="7" t="e">
        <f t="shared" si="93"/>
        <v>#N/A</v>
      </c>
      <c r="AK239" s="472" t="e">
        <f>VLOOKUP(AF239,'排出係数(2017)'!$A$4:$I$1151,7,FALSE)</f>
        <v>#N/A</v>
      </c>
      <c r="AL239" s="7" t="e">
        <f t="shared" si="94"/>
        <v>#N/A</v>
      </c>
      <c r="AM239" s="7" t="e">
        <f t="shared" si="95"/>
        <v>#N/A</v>
      </c>
      <c r="AN239" s="7" t="e">
        <f t="shared" si="96"/>
        <v>#N/A</v>
      </c>
      <c r="AO239" s="7">
        <f t="shared" si="97"/>
        <v>0</v>
      </c>
      <c r="AP239" s="7" t="e">
        <f t="shared" si="106"/>
        <v>#N/A</v>
      </c>
      <c r="AQ239" s="7" t="str">
        <f t="shared" si="98"/>
        <v/>
      </c>
      <c r="AR239" s="7" t="str">
        <f t="shared" si="99"/>
        <v/>
      </c>
      <c r="AS239" s="7" t="str">
        <f t="shared" si="100"/>
        <v/>
      </c>
      <c r="AT239" s="97"/>
      <c r="AZ239" s="477" t="s">
        <v>72</v>
      </c>
      <c r="CF239" s="586" t="str">
        <f t="shared" si="107"/>
        <v/>
      </c>
      <c r="CG239"/>
      <c r="CH239"/>
    </row>
    <row r="240" spans="1:86" s="13" customFormat="1" ht="13.75" customHeight="1">
      <c r="A240" s="137">
        <v>225</v>
      </c>
      <c r="B240" s="138"/>
      <c r="C240" s="139"/>
      <c r="D240" s="140"/>
      <c r="E240" s="139"/>
      <c r="F240" s="139"/>
      <c r="G240" s="191"/>
      <c r="H240" s="139"/>
      <c r="I240" s="141"/>
      <c r="J240" s="142"/>
      <c r="K240" s="139"/>
      <c r="L240" s="147"/>
      <c r="M240" s="148"/>
      <c r="N240" s="583"/>
      <c r="O240" s="229" t="str">
        <f t="shared" si="101"/>
        <v/>
      </c>
      <c r="P240" s="229" t="str">
        <f t="shared" si="102"/>
        <v/>
      </c>
      <c r="Q240" s="230" t="str">
        <f t="shared" si="103"/>
        <v/>
      </c>
      <c r="R240" s="323" t="str">
        <f t="shared" si="104"/>
        <v/>
      </c>
      <c r="S240" s="350"/>
      <c r="T240" s="43"/>
      <c r="U240" s="347" t="str">
        <f t="shared" si="81"/>
        <v/>
      </c>
      <c r="V240" s="7" t="e">
        <f t="shared" si="82"/>
        <v>#N/A</v>
      </c>
      <c r="W240" s="7" t="e">
        <f t="shared" si="83"/>
        <v>#N/A</v>
      </c>
      <c r="X240" s="7" t="e">
        <f t="shared" si="84"/>
        <v>#N/A</v>
      </c>
      <c r="Y240" s="7" t="str">
        <f t="shared" si="85"/>
        <v/>
      </c>
      <c r="Z240" s="11">
        <f t="shared" si="86"/>
        <v>1</v>
      </c>
      <c r="AA240" s="7" t="e">
        <f t="shared" si="87"/>
        <v>#N/A</v>
      </c>
      <c r="AB240" s="7" t="e">
        <f t="shared" si="88"/>
        <v>#N/A</v>
      </c>
      <c r="AC240" s="7" t="e">
        <f t="shared" si="89"/>
        <v>#N/A</v>
      </c>
      <c r="AD240" s="472" t="e">
        <f>VLOOKUP(AF240,'排出係数(2017)'!$A$4:$I$1151,9,FALSE)</f>
        <v>#N/A</v>
      </c>
      <c r="AE240" s="12" t="str">
        <f t="shared" si="90"/>
        <v xml:space="preserve"> </v>
      </c>
      <c r="AF240" s="7" t="e">
        <f t="shared" si="105"/>
        <v>#N/A</v>
      </c>
      <c r="AG240" s="7" t="e">
        <f t="shared" si="91"/>
        <v>#N/A</v>
      </c>
      <c r="AH240" s="472" t="e">
        <f>VLOOKUP(AF240,'排出係数(2017)'!$A$4:$I$1151,6,FALSE)</f>
        <v>#N/A</v>
      </c>
      <c r="AI240" s="7" t="e">
        <f t="shared" si="92"/>
        <v>#N/A</v>
      </c>
      <c r="AJ240" s="7" t="e">
        <f t="shared" si="93"/>
        <v>#N/A</v>
      </c>
      <c r="AK240" s="472" t="e">
        <f>VLOOKUP(AF240,'排出係数(2017)'!$A$4:$I$1151,7,FALSE)</f>
        <v>#N/A</v>
      </c>
      <c r="AL240" s="7" t="e">
        <f t="shared" si="94"/>
        <v>#N/A</v>
      </c>
      <c r="AM240" s="7" t="e">
        <f t="shared" si="95"/>
        <v>#N/A</v>
      </c>
      <c r="AN240" s="7" t="e">
        <f t="shared" si="96"/>
        <v>#N/A</v>
      </c>
      <c r="AO240" s="7">
        <f t="shared" si="97"/>
        <v>0</v>
      </c>
      <c r="AP240" s="7" t="e">
        <f t="shared" si="106"/>
        <v>#N/A</v>
      </c>
      <c r="AQ240" s="7" t="str">
        <f t="shared" si="98"/>
        <v/>
      </c>
      <c r="AR240" s="7" t="str">
        <f t="shared" si="99"/>
        <v/>
      </c>
      <c r="AS240" s="7" t="str">
        <f t="shared" si="100"/>
        <v/>
      </c>
      <c r="AT240" s="97"/>
      <c r="AZ240" s="477" t="s">
        <v>1576</v>
      </c>
      <c r="CF240" s="586" t="str">
        <f t="shared" si="107"/>
        <v/>
      </c>
      <c r="CG240"/>
      <c r="CH240"/>
    </row>
    <row r="241" spans="1:86" s="13" customFormat="1" ht="13.75" customHeight="1">
      <c r="A241" s="137">
        <v>226</v>
      </c>
      <c r="B241" s="138"/>
      <c r="C241" s="139"/>
      <c r="D241" s="140"/>
      <c r="E241" s="139"/>
      <c r="F241" s="139"/>
      <c r="G241" s="191"/>
      <c r="H241" s="139"/>
      <c r="I241" s="141"/>
      <c r="J241" s="142"/>
      <c r="K241" s="139"/>
      <c r="L241" s="147"/>
      <c r="M241" s="148"/>
      <c r="N241" s="583"/>
      <c r="O241" s="229" t="str">
        <f t="shared" si="101"/>
        <v/>
      </c>
      <c r="P241" s="229" t="str">
        <f t="shared" si="102"/>
        <v/>
      </c>
      <c r="Q241" s="230" t="str">
        <f t="shared" si="103"/>
        <v/>
      </c>
      <c r="R241" s="323" t="str">
        <f t="shared" si="104"/>
        <v/>
      </c>
      <c r="S241" s="350"/>
      <c r="T241" s="43"/>
      <c r="U241" s="347" t="str">
        <f t="shared" si="81"/>
        <v/>
      </c>
      <c r="V241" s="7" t="e">
        <f t="shared" si="82"/>
        <v>#N/A</v>
      </c>
      <c r="W241" s="7" t="e">
        <f t="shared" si="83"/>
        <v>#N/A</v>
      </c>
      <c r="X241" s="7" t="e">
        <f t="shared" si="84"/>
        <v>#N/A</v>
      </c>
      <c r="Y241" s="7" t="str">
        <f t="shared" si="85"/>
        <v/>
      </c>
      <c r="Z241" s="11">
        <f t="shared" si="86"/>
        <v>1</v>
      </c>
      <c r="AA241" s="7" t="e">
        <f t="shared" si="87"/>
        <v>#N/A</v>
      </c>
      <c r="AB241" s="7" t="e">
        <f t="shared" si="88"/>
        <v>#N/A</v>
      </c>
      <c r="AC241" s="7" t="e">
        <f t="shared" si="89"/>
        <v>#N/A</v>
      </c>
      <c r="AD241" s="472" t="e">
        <f>VLOOKUP(AF241,'排出係数(2017)'!$A$4:$I$1151,9,FALSE)</f>
        <v>#N/A</v>
      </c>
      <c r="AE241" s="12" t="str">
        <f t="shared" si="90"/>
        <v xml:space="preserve"> </v>
      </c>
      <c r="AF241" s="7" t="e">
        <f t="shared" si="105"/>
        <v>#N/A</v>
      </c>
      <c r="AG241" s="7" t="e">
        <f t="shared" si="91"/>
        <v>#N/A</v>
      </c>
      <c r="AH241" s="472" t="e">
        <f>VLOOKUP(AF241,'排出係数(2017)'!$A$4:$I$1151,6,FALSE)</f>
        <v>#N/A</v>
      </c>
      <c r="AI241" s="7" t="e">
        <f t="shared" si="92"/>
        <v>#N/A</v>
      </c>
      <c r="AJ241" s="7" t="e">
        <f t="shared" si="93"/>
        <v>#N/A</v>
      </c>
      <c r="AK241" s="472" t="e">
        <f>VLOOKUP(AF241,'排出係数(2017)'!$A$4:$I$1151,7,FALSE)</f>
        <v>#N/A</v>
      </c>
      <c r="AL241" s="7" t="e">
        <f t="shared" si="94"/>
        <v>#N/A</v>
      </c>
      <c r="AM241" s="7" t="e">
        <f t="shared" si="95"/>
        <v>#N/A</v>
      </c>
      <c r="AN241" s="7" t="e">
        <f t="shared" si="96"/>
        <v>#N/A</v>
      </c>
      <c r="AO241" s="7">
        <f t="shared" si="97"/>
        <v>0</v>
      </c>
      <c r="AP241" s="7" t="e">
        <f t="shared" si="106"/>
        <v>#N/A</v>
      </c>
      <c r="AQ241" s="7" t="str">
        <f t="shared" si="98"/>
        <v/>
      </c>
      <c r="AR241" s="7" t="str">
        <f t="shared" si="99"/>
        <v/>
      </c>
      <c r="AS241" s="7" t="str">
        <f t="shared" si="100"/>
        <v/>
      </c>
      <c r="AT241" s="97"/>
      <c r="AZ241" s="477" t="s">
        <v>615</v>
      </c>
      <c r="CF241" s="586" t="str">
        <f t="shared" si="107"/>
        <v/>
      </c>
      <c r="CG241"/>
      <c r="CH241"/>
    </row>
    <row r="242" spans="1:86" s="13" customFormat="1" ht="13.75" customHeight="1">
      <c r="A242" s="137">
        <v>227</v>
      </c>
      <c r="B242" s="138"/>
      <c r="C242" s="139"/>
      <c r="D242" s="140"/>
      <c r="E242" s="139"/>
      <c r="F242" s="139"/>
      <c r="G242" s="191"/>
      <c r="H242" s="139"/>
      <c r="I242" s="141"/>
      <c r="J242" s="142"/>
      <c r="K242" s="139"/>
      <c r="L242" s="147"/>
      <c r="M242" s="148"/>
      <c r="N242" s="583"/>
      <c r="O242" s="229" t="str">
        <f t="shared" si="101"/>
        <v/>
      </c>
      <c r="P242" s="229" t="str">
        <f t="shared" si="102"/>
        <v/>
      </c>
      <c r="Q242" s="230" t="str">
        <f t="shared" si="103"/>
        <v/>
      </c>
      <c r="R242" s="323" t="str">
        <f t="shared" si="104"/>
        <v/>
      </c>
      <c r="S242" s="350"/>
      <c r="T242" s="43"/>
      <c r="U242" s="347" t="str">
        <f t="shared" si="81"/>
        <v/>
      </c>
      <c r="V242" s="7" t="e">
        <f t="shared" si="82"/>
        <v>#N/A</v>
      </c>
      <c r="W242" s="7" t="e">
        <f t="shared" si="83"/>
        <v>#N/A</v>
      </c>
      <c r="X242" s="7" t="e">
        <f t="shared" si="84"/>
        <v>#N/A</v>
      </c>
      <c r="Y242" s="7" t="str">
        <f t="shared" si="85"/>
        <v/>
      </c>
      <c r="Z242" s="11">
        <f t="shared" si="86"/>
        <v>1</v>
      </c>
      <c r="AA242" s="7" t="e">
        <f t="shared" si="87"/>
        <v>#N/A</v>
      </c>
      <c r="AB242" s="7" t="e">
        <f t="shared" si="88"/>
        <v>#N/A</v>
      </c>
      <c r="AC242" s="7" t="e">
        <f t="shared" si="89"/>
        <v>#N/A</v>
      </c>
      <c r="AD242" s="472" t="e">
        <f>VLOOKUP(AF242,'排出係数(2017)'!$A$4:$I$1151,9,FALSE)</f>
        <v>#N/A</v>
      </c>
      <c r="AE242" s="12" t="str">
        <f t="shared" si="90"/>
        <v xml:space="preserve"> </v>
      </c>
      <c r="AF242" s="7" t="e">
        <f t="shared" si="105"/>
        <v>#N/A</v>
      </c>
      <c r="AG242" s="7" t="e">
        <f t="shared" si="91"/>
        <v>#N/A</v>
      </c>
      <c r="AH242" s="472" t="e">
        <f>VLOOKUP(AF242,'排出係数(2017)'!$A$4:$I$1151,6,FALSE)</f>
        <v>#N/A</v>
      </c>
      <c r="AI242" s="7" t="e">
        <f t="shared" si="92"/>
        <v>#N/A</v>
      </c>
      <c r="AJ242" s="7" t="e">
        <f t="shared" si="93"/>
        <v>#N/A</v>
      </c>
      <c r="AK242" s="472" t="e">
        <f>VLOOKUP(AF242,'排出係数(2017)'!$A$4:$I$1151,7,FALSE)</f>
        <v>#N/A</v>
      </c>
      <c r="AL242" s="7" t="e">
        <f t="shared" si="94"/>
        <v>#N/A</v>
      </c>
      <c r="AM242" s="7" t="e">
        <f t="shared" si="95"/>
        <v>#N/A</v>
      </c>
      <c r="AN242" s="7" t="e">
        <f t="shared" si="96"/>
        <v>#N/A</v>
      </c>
      <c r="AO242" s="7">
        <f t="shared" si="97"/>
        <v>0</v>
      </c>
      <c r="AP242" s="7" t="e">
        <f t="shared" si="106"/>
        <v>#N/A</v>
      </c>
      <c r="AQ242" s="7" t="str">
        <f t="shared" si="98"/>
        <v/>
      </c>
      <c r="AR242" s="7" t="str">
        <f t="shared" si="99"/>
        <v/>
      </c>
      <c r="AS242" s="7" t="str">
        <f t="shared" si="100"/>
        <v/>
      </c>
      <c r="AT242" s="97"/>
      <c r="AZ242" s="477" t="s">
        <v>848</v>
      </c>
      <c r="CF242" s="586" t="str">
        <f t="shared" si="107"/>
        <v/>
      </c>
      <c r="CG242"/>
      <c r="CH242"/>
    </row>
    <row r="243" spans="1:86" s="13" customFormat="1" ht="13.75" customHeight="1">
      <c r="A243" s="137">
        <v>228</v>
      </c>
      <c r="B243" s="138"/>
      <c r="C243" s="139"/>
      <c r="D243" s="140"/>
      <c r="E243" s="139"/>
      <c r="F243" s="139"/>
      <c r="G243" s="191"/>
      <c r="H243" s="139"/>
      <c r="I243" s="141"/>
      <c r="J243" s="142"/>
      <c r="K243" s="139"/>
      <c r="L243" s="147"/>
      <c r="M243" s="148"/>
      <c r="N243" s="583"/>
      <c r="O243" s="229" t="str">
        <f t="shared" si="101"/>
        <v/>
      </c>
      <c r="P243" s="229" t="str">
        <f t="shared" si="102"/>
        <v/>
      </c>
      <c r="Q243" s="230" t="str">
        <f t="shared" si="103"/>
        <v/>
      </c>
      <c r="R243" s="323" t="str">
        <f t="shared" si="104"/>
        <v/>
      </c>
      <c r="S243" s="350"/>
      <c r="T243" s="43"/>
      <c r="U243" s="347" t="str">
        <f t="shared" si="81"/>
        <v/>
      </c>
      <c r="V243" s="7" t="e">
        <f t="shared" si="82"/>
        <v>#N/A</v>
      </c>
      <c r="W243" s="7" t="e">
        <f t="shared" si="83"/>
        <v>#N/A</v>
      </c>
      <c r="X243" s="7" t="e">
        <f t="shared" si="84"/>
        <v>#N/A</v>
      </c>
      <c r="Y243" s="7" t="str">
        <f t="shared" si="85"/>
        <v/>
      </c>
      <c r="Z243" s="11">
        <f t="shared" si="86"/>
        <v>1</v>
      </c>
      <c r="AA243" s="7" t="e">
        <f t="shared" si="87"/>
        <v>#N/A</v>
      </c>
      <c r="AB243" s="7" t="e">
        <f t="shared" si="88"/>
        <v>#N/A</v>
      </c>
      <c r="AC243" s="7" t="e">
        <f t="shared" si="89"/>
        <v>#N/A</v>
      </c>
      <c r="AD243" s="472" t="e">
        <f>VLOOKUP(AF243,'排出係数(2017)'!$A$4:$I$1151,9,FALSE)</f>
        <v>#N/A</v>
      </c>
      <c r="AE243" s="12" t="str">
        <f t="shared" si="90"/>
        <v xml:space="preserve"> </v>
      </c>
      <c r="AF243" s="7" t="e">
        <f t="shared" si="105"/>
        <v>#N/A</v>
      </c>
      <c r="AG243" s="7" t="e">
        <f t="shared" si="91"/>
        <v>#N/A</v>
      </c>
      <c r="AH243" s="472" t="e">
        <f>VLOOKUP(AF243,'排出係数(2017)'!$A$4:$I$1151,6,FALSE)</f>
        <v>#N/A</v>
      </c>
      <c r="AI243" s="7" t="e">
        <f t="shared" si="92"/>
        <v>#N/A</v>
      </c>
      <c r="AJ243" s="7" t="e">
        <f t="shared" si="93"/>
        <v>#N/A</v>
      </c>
      <c r="AK243" s="472" t="e">
        <f>VLOOKUP(AF243,'排出係数(2017)'!$A$4:$I$1151,7,FALSE)</f>
        <v>#N/A</v>
      </c>
      <c r="AL243" s="7" t="e">
        <f t="shared" si="94"/>
        <v>#N/A</v>
      </c>
      <c r="AM243" s="7" t="e">
        <f t="shared" si="95"/>
        <v>#N/A</v>
      </c>
      <c r="AN243" s="7" t="e">
        <f t="shared" si="96"/>
        <v>#N/A</v>
      </c>
      <c r="AO243" s="7">
        <f t="shared" si="97"/>
        <v>0</v>
      </c>
      <c r="AP243" s="7" t="e">
        <f t="shared" si="106"/>
        <v>#N/A</v>
      </c>
      <c r="AQ243" s="7" t="str">
        <f t="shared" si="98"/>
        <v/>
      </c>
      <c r="AR243" s="7" t="str">
        <f t="shared" si="99"/>
        <v/>
      </c>
      <c r="AS243" s="7" t="str">
        <f t="shared" si="100"/>
        <v/>
      </c>
      <c r="AT243" s="97"/>
      <c r="AZ243" s="477" t="s">
        <v>1055</v>
      </c>
      <c r="CF243" s="586" t="str">
        <f t="shared" si="107"/>
        <v/>
      </c>
      <c r="CG243"/>
      <c r="CH243"/>
    </row>
    <row r="244" spans="1:86" s="13" customFormat="1" ht="13.75" customHeight="1">
      <c r="A244" s="137">
        <v>229</v>
      </c>
      <c r="B244" s="138"/>
      <c r="C244" s="139"/>
      <c r="D244" s="140"/>
      <c r="E244" s="139"/>
      <c r="F244" s="139"/>
      <c r="G244" s="191"/>
      <c r="H244" s="139"/>
      <c r="I244" s="141"/>
      <c r="J244" s="142"/>
      <c r="K244" s="139"/>
      <c r="L244" s="147"/>
      <c r="M244" s="148"/>
      <c r="N244" s="583"/>
      <c r="O244" s="229" t="str">
        <f t="shared" si="101"/>
        <v/>
      </c>
      <c r="P244" s="229" t="str">
        <f t="shared" si="102"/>
        <v/>
      </c>
      <c r="Q244" s="230" t="str">
        <f t="shared" si="103"/>
        <v/>
      </c>
      <c r="R244" s="323" t="str">
        <f t="shared" si="104"/>
        <v/>
      </c>
      <c r="S244" s="350"/>
      <c r="T244" s="43"/>
      <c r="U244" s="347" t="str">
        <f t="shared" si="81"/>
        <v/>
      </c>
      <c r="V244" s="7" t="e">
        <f t="shared" si="82"/>
        <v>#N/A</v>
      </c>
      <c r="W244" s="7" t="e">
        <f t="shared" si="83"/>
        <v>#N/A</v>
      </c>
      <c r="X244" s="7" t="e">
        <f t="shared" si="84"/>
        <v>#N/A</v>
      </c>
      <c r="Y244" s="7" t="str">
        <f t="shared" si="85"/>
        <v/>
      </c>
      <c r="Z244" s="11">
        <f t="shared" si="86"/>
        <v>1</v>
      </c>
      <c r="AA244" s="7" t="e">
        <f t="shared" si="87"/>
        <v>#N/A</v>
      </c>
      <c r="AB244" s="7" t="e">
        <f t="shared" si="88"/>
        <v>#N/A</v>
      </c>
      <c r="AC244" s="7" t="e">
        <f t="shared" si="89"/>
        <v>#N/A</v>
      </c>
      <c r="AD244" s="472" t="e">
        <f>VLOOKUP(AF244,'排出係数(2017)'!$A$4:$I$1151,9,FALSE)</f>
        <v>#N/A</v>
      </c>
      <c r="AE244" s="12" t="str">
        <f t="shared" si="90"/>
        <v xml:space="preserve"> </v>
      </c>
      <c r="AF244" s="7" t="e">
        <f t="shared" si="105"/>
        <v>#N/A</v>
      </c>
      <c r="AG244" s="7" t="e">
        <f t="shared" si="91"/>
        <v>#N/A</v>
      </c>
      <c r="AH244" s="472" t="e">
        <f>VLOOKUP(AF244,'排出係数(2017)'!$A$4:$I$1151,6,FALSE)</f>
        <v>#N/A</v>
      </c>
      <c r="AI244" s="7" t="e">
        <f t="shared" si="92"/>
        <v>#N/A</v>
      </c>
      <c r="AJ244" s="7" t="e">
        <f t="shared" si="93"/>
        <v>#N/A</v>
      </c>
      <c r="AK244" s="472" t="e">
        <f>VLOOKUP(AF244,'排出係数(2017)'!$A$4:$I$1151,7,FALSE)</f>
        <v>#N/A</v>
      </c>
      <c r="AL244" s="7" t="e">
        <f t="shared" si="94"/>
        <v>#N/A</v>
      </c>
      <c r="AM244" s="7" t="e">
        <f t="shared" si="95"/>
        <v>#N/A</v>
      </c>
      <c r="AN244" s="7" t="e">
        <f t="shared" si="96"/>
        <v>#N/A</v>
      </c>
      <c r="AO244" s="7">
        <f t="shared" si="97"/>
        <v>0</v>
      </c>
      <c r="AP244" s="7" t="e">
        <f t="shared" si="106"/>
        <v>#N/A</v>
      </c>
      <c r="AQ244" s="7" t="str">
        <f t="shared" si="98"/>
        <v/>
      </c>
      <c r="AR244" s="7" t="str">
        <f t="shared" si="99"/>
        <v/>
      </c>
      <c r="AS244" s="7" t="str">
        <f t="shared" si="100"/>
        <v/>
      </c>
      <c r="AT244" s="97"/>
      <c r="AZ244" s="477" t="s">
        <v>73</v>
      </c>
      <c r="CF244" s="586" t="str">
        <f t="shared" si="107"/>
        <v/>
      </c>
      <c r="CG244"/>
      <c r="CH244"/>
    </row>
    <row r="245" spans="1:86" s="13" customFormat="1" ht="13.75" customHeight="1">
      <c r="A245" s="137">
        <v>230</v>
      </c>
      <c r="B245" s="138"/>
      <c r="C245" s="139"/>
      <c r="D245" s="140"/>
      <c r="E245" s="139"/>
      <c r="F245" s="139"/>
      <c r="G245" s="191"/>
      <c r="H245" s="139"/>
      <c r="I245" s="141"/>
      <c r="J245" s="142"/>
      <c r="K245" s="139"/>
      <c r="L245" s="147"/>
      <c r="M245" s="148"/>
      <c r="N245" s="583"/>
      <c r="O245" s="229" t="str">
        <f t="shared" si="101"/>
        <v/>
      </c>
      <c r="P245" s="229" t="str">
        <f t="shared" si="102"/>
        <v/>
      </c>
      <c r="Q245" s="230" t="str">
        <f t="shared" si="103"/>
        <v/>
      </c>
      <c r="R245" s="323" t="str">
        <f t="shared" si="104"/>
        <v/>
      </c>
      <c r="S245" s="350"/>
      <c r="T245" s="43"/>
      <c r="U245" s="347" t="str">
        <f t="shared" si="81"/>
        <v/>
      </c>
      <c r="V245" s="7" t="e">
        <f t="shared" si="82"/>
        <v>#N/A</v>
      </c>
      <c r="W245" s="7" t="e">
        <f t="shared" si="83"/>
        <v>#N/A</v>
      </c>
      <c r="X245" s="7" t="e">
        <f t="shared" si="84"/>
        <v>#N/A</v>
      </c>
      <c r="Y245" s="7" t="str">
        <f t="shared" si="85"/>
        <v/>
      </c>
      <c r="Z245" s="11">
        <f t="shared" si="86"/>
        <v>1</v>
      </c>
      <c r="AA245" s="7" t="e">
        <f t="shared" si="87"/>
        <v>#N/A</v>
      </c>
      <c r="AB245" s="7" t="e">
        <f t="shared" si="88"/>
        <v>#N/A</v>
      </c>
      <c r="AC245" s="7" t="e">
        <f t="shared" si="89"/>
        <v>#N/A</v>
      </c>
      <c r="AD245" s="472" t="e">
        <f>VLOOKUP(AF245,'排出係数(2017)'!$A$4:$I$1151,9,FALSE)</f>
        <v>#N/A</v>
      </c>
      <c r="AE245" s="12" t="str">
        <f t="shared" si="90"/>
        <v xml:space="preserve"> </v>
      </c>
      <c r="AF245" s="7" t="e">
        <f t="shared" si="105"/>
        <v>#N/A</v>
      </c>
      <c r="AG245" s="7" t="e">
        <f t="shared" si="91"/>
        <v>#N/A</v>
      </c>
      <c r="AH245" s="472" t="e">
        <f>VLOOKUP(AF245,'排出係数(2017)'!$A$4:$I$1151,6,FALSE)</f>
        <v>#N/A</v>
      </c>
      <c r="AI245" s="7" t="e">
        <f t="shared" si="92"/>
        <v>#N/A</v>
      </c>
      <c r="AJ245" s="7" t="e">
        <f t="shared" si="93"/>
        <v>#N/A</v>
      </c>
      <c r="AK245" s="472" t="e">
        <f>VLOOKUP(AF245,'排出係数(2017)'!$A$4:$I$1151,7,FALSE)</f>
        <v>#N/A</v>
      </c>
      <c r="AL245" s="7" t="e">
        <f t="shared" si="94"/>
        <v>#N/A</v>
      </c>
      <c r="AM245" s="7" t="e">
        <f t="shared" si="95"/>
        <v>#N/A</v>
      </c>
      <c r="AN245" s="7" t="e">
        <f t="shared" si="96"/>
        <v>#N/A</v>
      </c>
      <c r="AO245" s="7">
        <f t="shared" si="97"/>
        <v>0</v>
      </c>
      <c r="AP245" s="7" t="e">
        <f t="shared" si="106"/>
        <v>#N/A</v>
      </c>
      <c r="AQ245" s="7" t="str">
        <f t="shared" si="98"/>
        <v/>
      </c>
      <c r="AR245" s="7" t="str">
        <f t="shared" si="99"/>
        <v/>
      </c>
      <c r="AS245" s="7" t="str">
        <f t="shared" si="100"/>
        <v/>
      </c>
      <c r="AT245" s="97"/>
      <c r="AZ245" s="477" t="s">
        <v>1570</v>
      </c>
      <c r="CF245" s="586" t="str">
        <f t="shared" si="107"/>
        <v/>
      </c>
      <c r="CG245"/>
      <c r="CH245"/>
    </row>
    <row r="246" spans="1:86" s="13" customFormat="1" ht="13.75" customHeight="1">
      <c r="A246" s="137">
        <v>231</v>
      </c>
      <c r="B246" s="138"/>
      <c r="C246" s="139"/>
      <c r="D246" s="140"/>
      <c r="E246" s="139"/>
      <c r="F246" s="139"/>
      <c r="G246" s="191"/>
      <c r="H246" s="139"/>
      <c r="I246" s="141"/>
      <c r="J246" s="142"/>
      <c r="K246" s="139"/>
      <c r="L246" s="147"/>
      <c r="M246" s="148"/>
      <c r="N246" s="583"/>
      <c r="O246" s="229" t="str">
        <f t="shared" si="101"/>
        <v/>
      </c>
      <c r="P246" s="229" t="str">
        <f t="shared" si="102"/>
        <v/>
      </c>
      <c r="Q246" s="230" t="str">
        <f t="shared" si="103"/>
        <v/>
      </c>
      <c r="R246" s="323" t="str">
        <f t="shared" si="104"/>
        <v/>
      </c>
      <c r="S246" s="350"/>
      <c r="T246" s="43"/>
      <c r="U246" s="347" t="str">
        <f t="shared" si="81"/>
        <v/>
      </c>
      <c r="V246" s="7" t="e">
        <f t="shared" si="82"/>
        <v>#N/A</v>
      </c>
      <c r="W246" s="7" t="e">
        <f t="shared" si="83"/>
        <v>#N/A</v>
      </c>
      <c r="X246" s="7" t="e">
        <f t="shared" si="84"/>
        <v>#N/A</v>
      </c>
      <c r="Y246" s="7" t="str">
        <f t="shared" si="85"/>
        <v/>
      </c>
      <c r="Z246" s="11">
        <f t="shared" si="86"/>
        <v>1</v>
      </c>
      <c r="AA246" s="7" t="e">
        <f t="shared" si="87"/>
        <v>#N/A</v>
      </c>
      <c r="AB246" s="7" t="e">
        <f t="shared" si="88"/>
        <v>#N/A</v>
      </c>
      <c r="AC246" s="7" t="e">
        <f t="shared" si="89"/>
        <v>#N/A</v>
      </c>
      <c r="AD246" s="472" t="e">
        <f>VLOOKUP(AF246,'排出係数(2017)'!$A$4:$I$1151,9,FALSE)</f>
        <v>#N/A</v>
      </c>
      <c r="AE246" s="12" t="str">
        <f t="shared" si="90"/>
        <v xml:space="preserve"> </v>
      </c>
      <c r="AF246" s="7" t="e">
        <f t="shared" si="105"/>
        <v>#N/A</v>
      </c>
      <c r="AG246" s="7" t="e">
        <f t="shared" si="91"/>
        <v>#N/A</v>
      </c>
      <c r="AH246" s="472" t="e">
        <f>VLOOKUP(AF246,'排出係数(2017)'!$A$4:$I$1151,6,FALSE)</f>
        <v>#N/A</v>
      </c>
      <c r="AI246" s="7" t="e">
        <f t="shared" si="92"/>
        <v>#N/A</v>
      </c>
      <c r="AJ246" s="7" t="e">
        <f t="shared" si="93"/>
        <v>#N/A</v>
      </c>
      <c r="AK246" s="472" t="e">
        <f>VLOOKUP(AF246,'排出係数(2017)'!$A$4:$I$1151,7,FALSE)</f>
        <v>#N/A</v>
      </c>
      <c r="AL246" s="7" t="e">
        <f t="shared" si="94"/>
        <v>#N/A</v>
      </c>
      <c r="AM246" s="7" t="e">
        <f t="shared" si="95"/>
        <v>#N/A</v>
      </c>
      <c r="AN246" s="7" t="e">
        <f t="shared" si="96"/>
        <v>#N/A</v>
      </c>
      <c r="AO246" s="7">
        <f t="shared" si="97"/>
        <v>0</v>
      </c>
      <c r="AP246" s="7" t="e">
        <f t="shared" si="106"/>
        <v>#N/A</v>
      </c>
      <c r="AQ246" s="7" t="str">
        <f t="shared" si="98"/>
        <v/>
      </c>
      <c r="AR246" s="7" t="str">
        <f t="shared" si="99"/>
        <v/>
      </c>
      <c r="AS246" s="7" t="str">
        <f t="shared" si="100"/>
        <v/>
      </c>
      <c r="AT246" s="97"/>
      <c r="AZ246" s="477" t="s">
        <v>606</v>
      </c>
      <c r="CF246" s="586" t="str">
        <f t="shared" si="107"/>
        <v/>
      </c>
      <c r="CG246"/>
      <c r="CH246"/>
    </row>
    <row r="247" spans="1:86" s="13" customFormat="1" ht="13.75" customHeight="1">
      <c r="A247" s="137">
        <v>232</v>
      </c>
      <c r="B247" s="138"/>
      <c r="C247" s="139"/>
      <c r="D247" s="140"/>
      <c r="E247" s="139"/>
      <c r="F247" s="139"/>
      <c r="G247" s="191"/>
      <c r="H247" s="139"/>
      <c r="I247" s="141"/>
      <c r="J247" s="142"/>
      <c r="K247" s="139"/>
      <c r="L247" s="147"/>
      <c r="M247" s="148"/>
      <c r="N247" s="583"/>
      <c r="O247" s="229" t="str">
        <f t="shared" si="101"/>
        <v/>
      </c>
      <c r="P247" s="229" t="str">
        <f t="shared" si="102"/>
        <v/>
      </c>
      <c r="Q247" s="230" t="str">
        <f t="shared" si="103"/>
        <v/>
      </c>
      <c r="R247" s="323" t="str">
        <f t="shared" si="104"/>
        <v/>
      </c>
      <c r="S247" s="350"/>
      <c r="T247" s="43"/>
      <c r="U247" s="347" t="str">
        <f t="shared" si="81"/>
        <v/>
      </c>
      <c r="V247" s="7" t="e">
        <f t="shared" si="82"/>
        <v>#N/A</v>
      </c>
      <c r="W247" s="7" t="e">
        <f t="shared" si="83"/>
        <v>#N/A</v>
      </c>
      <c r="X247" s="7" t="e">
        <f t="shared" si="84"/>
        <v>#N/A</v>
      </c>
      <c r="Y247" s="7" t="str">
        <f t="shared" si="85"/>
        <v/>
      </c>
      <c r="Z247" s="11">
        <f t="shared" si="86"/>
        <v>1</v>
      </c>
      <c r="AA247" s="7" t="e">
        <f t="shared" si="87"/>
        <v>#N/A</v>
      </c>
      <c r="AB247" s="7" t="e">
        <f t="shared" si="88"/>
        <v>#N/A</v>
      </c>
      <c r="AC247" s="7" t="e">
        <f t="shared" si="89"/>
        <v>#N/A</v>
      </c>
      <c r="AD247" s="472" t="e">
        <f>VLOOKUP(AF247,'排出係数(2017)'!$A$4:$I$1151,9,FALSE)</f>
        <v>#N/A</v>
      </c>
      <c r="AE247" s="12" t="str">
        <f t="shared" si="90"/>
        <v xml:space="preserve"> </v>
      </c>
      <c r="AF247" s="7" t="e">
        <f t="shared" si="105"/>
        <v>#N/A</v>
      </c>
      <c r="AG247" s="7" t="e">
        <f t="shared" si="91"/>
        <v>#N/A</v>
      </c>
      <c r="AH247" s="472" t="e">
        <f>VLOOKUP(AF247,'排出係数(2017)'!$A$4:$I$1151,6,FALSE)</f>
        <v>#N/A</v>
      </c>
      <c r="AI247" s="7" t="e">
        <f t="shared" si="92"/>
        <v>#N/A</v>
      </c>
      <c r="AJ247" s="7" t="e">
        <f t="shared" si="93"/>
        <v>#N/A</v>
      </c>
      <c r="AK247" s="472" t="e">
        <f>VLOOKUP(AF247,'排出係数(2017)'!$A$4:$I$1151,7,FALSE)</f>
        <v>#N/A</v>
      </c>
      <c r="AL247" s="7" t="e">
        <f t="shared" si="94"/>
        <v>#N/A</v>
      </c>
      <c r="AM247" s="7" t="e">
        <f t="shared" si="95"/>
        <v>#N/A</v>
      </c>
      <c r="AN247" s="7" t="e">
        <f t="shared" si="96"/>
        <v>#N/A</v>
      </c>
      <c r="AO247" s="7">
        <f t="shared" si="97"/>
        <v>0</v>
      </c>
      <c r="AP247" s="7" t="e">
        <f t="shared" si="106"/>
        <v>#N/A</v>
      </c>
      <c r="AQ247" s="7" t="str">
        <f t="shared" si="98"/>
        <v/>
      </c>
      <c r="AR247" s="7" t="str">
        <f t="shared" si="99"/>
        <v/>
      </c>
      <c r="AS247" s="7" t="str">
        <f t="shared" si="100"/>
        <v/>
      </c>
      <c r="AT247" s="97"/>
      <c r="AZ247" s="477" t="s">
        <v>840</v>
      </c>
      <c r="CF247" s="586" t="str">
        <f t="shared" si="107"/>
        <v/>
      </c>
      <c r="CG247"/>
      <c r="CH247"/>
    </row>
    <row r="248" spans="1:86" s="13" customFormat="1" ht="13.75" customHeight="1">
      <c r="A248" s="137">
        <v>233</v>
      </c>
      <c r="B248" s="138"/>
      <c r="C248" s="139"/>
      <c r="D248" s="140"/>
      <c r="E248" s="139"/>
      <c r="F248" s="139"/>
      <c r="G248" s="191"/>
      <c r="H248" s="139"/>
      <c r="I248" s="141"/>
      <c r="J248" s="142"/>
      <c r="K248" s="139"/>
      <c r="L248" s="147"/>
      <c r="M248" s="148"/>
      <c r="N248" s="583"/>
      <c r="O248" s="229" t="str">
        <f t="shared" si="101"/>
        <v/>
      </c>
      <c r="P248" s="229" t="str">
        <f t="shared" si="102"/>
        <v/>
      </c>
      <c r="Q248" s="230" t="str">
        <f t="shared" si="103"/>
        <v/>
      </c>
      <c r="R248" s="323" t="str">
        <f t="shared" si="104"/>
        <v/>
      </c>
      <c r="S248" s="350"/>
      <c r="T248" s="43"/>
      <c r="U248" s="347" t="str">
        <f t="shared" si="81"/>
        <v/>
      </c>
      <c r="V248" s="7" t="e">
        <f t="shared" si="82"/>
        <v>#N/A</v>
      </c>
      <c r="W248" s="7" t="e">
        <f t="shared" si="83"/>
        <v>#N/A</v>
      </c>
      <c r="X248" s="7" t="e">
        <f t="shared" si="84"/>
        <v>#N/A</v>
      </c>
      <c r="Y248" s="7" t="str">
        <f t="shared" si="85"/>
        <v/>
      </c>
      <c r="Z248" s="11">
        <f t="shared" si="86"/>
        <v>1</v>
      </c>
      <c r="AA248" s="7" t="e">
        <f t="shared" si="87"/>
        <v>#N/A</v>
      </c>
      <c r="AB248" s="7" t="e">
        <f t="shared" si="88"/>
        <v>#N/A</v>
      </c>
      <c r="AC248" s="7" t="e">
        <f t="shared" si="89"/>
        <v>#N/A</v>
      </c>
      <c r="AD248" s="472" t="e">
        <f>VLOOKUP(AF248,'排出係数(2017)'!$A$4:$I$1151,9,FALSE)</f>
        <v>#N/A</v>
      </c>
      <c r="AE248" s="12" t="str">
        <f t="shared" si="90"/>
        <v xml:space="preserve"> </v>
      </c>
      <c r="AF248" s="7" t="e">
        <f t="shared" si="105"/>
        <v>#N/A</v>
      </c>
      <c r="AG248" s="7" t="e">
        <f t="shared" si="91"/>
        <v>#N/A</v>
      </c>
      <c r="AH248" s="472" t="e">
        <f>VLOOKUP(AF248,'排出係数(2017)'!$A$4:$I$1151,6,FALSE)</f>
        <v>#N/A</v>
      </c>
      <c r="AI248" s="7" t="e">
        <f t="shared" si="92"/>
        <v>#N/A</v>
      </c>
      <c r="AJ248" s="7" t="e">
        <f t="shared" si="93"/>
        <v>#N/A</v>
      </c>
      <c r="AK248" s="472" t="e">
        <f>VLOOKUP(AF248,'排出係数(2017)'!$A$4:$I$1151,7,FALSE)</f>
        <v>#N/A</v>
      </c>
      <c r="AL248" s="7" t="e">
        <f t="shared" si="94"/>
        <v>#N/A</v>
      </c>
      <c r="AM248" s="7" t="e">
        <f t="shared" si="95"/>
        <v>#N/A</v>
      </c>
      <c r="AN248" s="7" t="e">
        <f t="shared" si="96"/>
        <v>#N/A</v>
      </c>
      <c r="AO248" s="7">
        <f t="shared" si="97"/>
        <v>0</v>
      </c>
      <c r="AP248" s="7" t="e">
        <f t="shared" si="106"/>
        <v>#N/A</v>
      </c>
      <c r="AQ248" s="7" t="str">
        <f t="shared" si="98"/>
        <v/>
      </c>
      <c r="AR248" s="7" t="str">
        <f t="shared" si="99"/>
        <v/>
      </c>
      <c r="AS248" s="7" t="str">
        <f t="shared" si="100"/>
        <v/>
      </c>
      <c r="AT248" s="97"/>
      <c r="AZ248" s="477" t="s">
        <v>1047</v>
      </c>
      <c r="CF248" s="586" t="str">
        <f t="shared" si="107"/>
        <v/>
      </c>
      <c r="CG248"/>
      <c r="CH248"/>
    </row>
    <row r="249" spans="1:86" s="13" customFormat="1" ht="13.75" customHeight="1">
      <c r="A249" s="137">
        <v>234</v>
      </c>
      <c r="B249" s="138"/>
      <c r="C249" s="139"/>
      <c r="D249" s="140"/>
      <c r="E249" s="139"/>
      <c r="F249" s="139"/>
      <c r="G249" s="191"/>
      <c r="H249" s="139"/>
      <c r="I249" s="141"/>
      <c r="J249" s="142"/>
      <c r="K249" s="139"/>
      <c r="L249" s="147"/>
      <c r="M249" s="148"/>
      <c r="N249" s="583"/>
      <c r="O249" s="229" t="str">
        <f t="shared" si="101"/>
        <v/>
      </c>
      <c r="P249" s="229" t="str">
        <f t="shared" si="102"/>
        <v/>
      </c>
      <c r="Q249" s="230" t="str">
        <f t="shared" si="103"/>
        <v/>
      </c>
      <c r="R249" s="323" t="str">
        <f t="shared" si="104"/>
        <v/>
      </c>
      <c r="S249" s="350"/>
      <c r="T249" s="43"/>
      <c r="U249" s="347" t="str">
        <f t="shared" si="81"/>
        <v/>
      </c>
      <c r="V249" s="7" t="e">
        <f t="shared" si="82"/>
        <v>#N/A</v>
      </c>
      <c r="W249" s="7" t="e">
        <f t="shared" si="83"/>
        <v>#N/A</v>
      </c>
      <c r="X249" s="7" t="e">
        <f t="shared" si="84"/>
        <v>#N/A</v>
      </c>
      <c r="Y249" s="7" t="str">
        <f t="shared" si="85"/>
        <v/>
      </c>
      <c r="Z249" s="11">
        <f t="shared" si="86"/>
        <v>1</v>
      </c>
      <c r="AA249" s="7" t="e">
        <f t="shared" si="87"/>
        <v>#N/A</v>
      </c>
      <c r="AB249" s="7" t="e">
        <f t="shared" si="88"/>
        <v>#N/A</v>
      </c>
      <c r="AC249" s="7" t="e">
        <f t="shared" si="89"/>
        <v>#N/A</v>
      </c>
      <c r="AD249" s="472" t="e">
        <f>VLOOKUP(AF249,'排出係数(2017)'!$A$4:$I$1151,9,FALSE)</f>
        <v>#N/A</v>
      </c>
      <c r="AE249" s="12" t="str">
        <f t="shared" si="90"/>
        <v xml:space="preserve"> </v>
      </c>
      <c r="AF249" s="7" t="e">
        <f t="shared" si="105"/>
        <v>#N/A</v>
      </c>
      <c r="AG249" s="7" t="e">
        <f t="shared" si="91"/>
        <v>#N/A</v>
      </c>
      <c r="AH249" s="472" t="e">
        <f>VLOOKUP(AF249,'排出係数(2017)'!$A$4:$I$1151,6,FALSE)</f>
        <v>#N/A</v>
      </c>
      <c r="AI249" s="7" t="e">
        <f t="shared" si="92"/>
        <v>#N/A</v>
      </c>
      <c r="AJ249" s="7" t="e">
        <f t="shared" si="93"/>
        <v>#N/A</v>
      </c>
      <c r="AK249" s="472" t="e">
        <f>VLOOKUP(AF249,'排出係数(2017)'!$A$4:$I$1151,7,FALSE)</f>
        <v>#N/A</v>
      </c>
      <c r="AL249" s="7" t="e">
        <f t="shared" si="94"/>
        <v>#N/A</v>
      </c>
      <c r="AM249" s="7" t="e">
        <f t="shared" si="95"/>
        <v>#N/A</v>
      </c>
      <c r="AN249" s="7" t="e">
        <f t="shared" si="96"/>
        <v>#N/A</v>
      </c>
      <c r="AO249" s="7">
        <f t="shared" si="97"/>
        <v>0</v>
      </c>
      <c r="AP249" s="7" t="e">
        <f t="shared" si="106"/>
        <v>#N/A</v>
      </c>
      <c r="AQ249" s="7" t="str">
        <f t="shared" si="98"/>
        <v/>
      </c>
      <c r="AR249" s="7" t="str">
        <f t="shared" si="99"/>
        <v/>
      </c>
      <c r="AS249" s="7" t="str">
        <f t="shared" si="100"/>
        <v/>
      </c>
      <c r="AT249" s="97"/>
      <c r="AZ249" s="477" t="s">
        <v>1678</v>
      </c>
      <c r="CF249" s="586" t="str">
        <f t="shared" si="107"/>
        <v/>
      </c>
      <c r="CG249"/>
      <c r="CH249"/>
    </row>
    <row r="250" spans="1:86" s="13" customFormat="1" ht="13.75" customHeight="1">
      <c r="A250" s="137">
        <v>235</v>
      </c>
      <c r="B250" s="138"/>
      <c r="C250" s="139"/>
      <c r="D250" s="140"/>
      <c r="E250" s="139"/>
      <c r="F250" s="139"/>
      <c r="G250" s="191"/>
      <c r="H250" s="139"/>
      <c r="I250" s="141"/>
      <c r="J250" s="142"/>
      <c r="K250" s="139"/>
      <c r="L250" s="147"/>
      <c r="M250" s="148"/>
      <c r="N250" s="583"/>
      <c r="O250" s="229" t="str">
        <f t="shared" si="101"/>
        <v/>
      </c>
      <c r="P250" s="229" t="str">
        <f t="shared" si="102"/>
        <v/>
      </c>
      <c r="Q250" s="230" t="str">
        <f t="shared" si="103"/>
        <v/>
      </c>
      <c r="R250" s="323" t="str">
        <f t="shared" si="104"/>
        <v/>
      </c>
      <c r="S250" s="350"/>
      <c r="T250" s="43"/>
      <c r="U250" s="347" t="str">
        <f t="shared" si="81"/>
        <v/>
      </c>
      <c r="V250" s="7" t="e">
        <f t="shared" si="82"/>
        <v>#N/A</v>
      </c>
      <c r="W250" s="7" t="e">
        <f t="shared" si="83"/>
        <v>#N/A</v>
      </c>
      <c r="X250" s="7" t="e">
        <f t="shared" si="84"/>
        <v>#N/A</v>
      </c>
      <c r="Y250" s="7" t="str">
        <f t="shared" si="85"/>
        <v/>
      </c>
      <c r="Z250" s="11">
        <f t="shared" si="86"/>
        <v>1</v>
      </c>
      <c r="AA250" s="7" t="e">
        <f t="shared" si="87"/>
        <v>#N/A</v>
      </c>
      <c r="AB250" s="7" t="e">
        <f t="shared" si="88"/>
        <v>#N/A</v>
      </c>
      <c r="AC250" s="7" t="e">
        <f t="shared" si="89"/>
        <v>#N/A</v>
      </c>
      <c r="AD250" s="472" t="e">
        <f>VLOOKUP(AF250,'排出係数(2017)'!$A$4:$I$1151,9,FALSE)</f>
        <v>#N/A</v>
      </c>
      <c r="AE250" s="12" t="str">
        <f t="shared" si="90"/>
        <v xml:space="preserve"> </v>
      </c>
      <c r="AF250" s="7" t="e">
        <f t="shared" si="105"/>
        <v>#N/A</v>
      </c>
      <c r="AG250" s="7" t="e">
        <f t="shared" si="91"/>
        <v>#N/A</v>
      </c>
      <c r="AH250" s="472" t="e">
        <f>VLOOKUP(AF250,'排出係数(2017)'!$A$4:$I$1151,6,FALSE)</f>
        <v>#N/A</v>
      </c>
      <c r="AI250" s="7" t="e">
        <f t="shared" si="92"/>
        <v>#N/A</v>
      </c>
      <c r="AJ250" s="7" t="e">
        <f t="shared" si="93"/>
        <v>#N/A</v>
      </c>
      <c r="AK250" s="472" t="e">
        <f>VLOOKUP(AF250,'排出係数(2017)'!$A$4:$I$1151,7,FALSE)</f>
        <v>#N/A</v>
      </c>
      <c r="AL250" s="7" t="e">
        <f t="shared" si="94"/>
        <v>#N/A</v>
      </c>
      <c r="AM250" s="7" t="e">
        <f t="shared" si="95"/>
        <v>#N/A</v>
      </c>
      <c r="AN250" s="7" t="e">
        <f t="shared" si="96"/>
        <v>#N/A</v>
      </c>
      <c r="AO250" s="7">
        <f t="shared" si="97"/>
        <v>0</v>
      </c>
      <c r="AP250" s="7" t="e">
        <f t="shared" si="106"/>
        <v>#N/A</v>
      </c>
      <c r="AQ250" s="7" t="str">
        <f t="shared" si="98"/>
        <v/>
      </c>
      <c r="AR250" s="7" t="str">
        <f t="shared" si="99"/>
        <v/>
      </c>
      <c r="AS250" s="7" t="str">
        <f t="shared" si="100"/>
        <v/>
      </c>
      <c r="AT250" s="97"/>
      <c r="AZ250" s="477" t="s">
        <v>1147</v>
      </c>
      <c r="CF250" s="586" t="str">
        <f t="shared" si="107"/>
        <v/>
      </c>
      <c r="CG250"/>
      <c r="CH250"/>
    </row>
    <row r="251" spans="1:86" s="13" customFormat="1" ht="13.75" customHeight="1">
      <c r="A251" s="137">
        <v>236</v>
      </c>
      <c r="B251" s="138"/>
      <c r="C251" s="139"/>
      <c r="D251" s="140"/>
      <c r="E251" s="139"/>
      <c r="F251" s="139"/>
      <c r="G251" s="191"/>
      <c r="H251" s="139"/>
      <c r="I251" s="141"/>
      <c r="J251" s="142"/>
      <c r="K251" s="139"/>
      <c r="L251" s="147"/>
      <c r="M251" s="148"/>
      <c r="N251" s="583"/>
      <c r="O251" s="229" t="str">
        <f t="shared" si="101"/>
        <v/>
      </c>
      <c r="P251" s="229" t="str">
        <f t="shared" si="102"/>
        <v/>
      </c>
      <c r="Q251" s="230" t="str">
        <f t="shared" si="103"/>
        <v/>
      </c>
      <c r="R251" s="323" t="str">
        <f t="shared" si="104"/>
        <v/>
      </c>
      <c r="S251" s="350"/>
      <c r="T251" s="43"/>
      <c r="U251" s="347" t="str">
        <f t="shared" si="81"/>
        <v/>
      </c>
      <c r="V251" s="7" t="e">
        <f t="shared" si="82"/>
        <v>#N/A</v>
      </c>
      <c r="W251" s="7" t="e">
        <f t="shared" si="83"/>
        <v>#N/A</v>
      </c>
      <c r="X251" s="7" t="e">
        <f t="shared" si="84"/>
        <v>#N/A</v>
      </c>
      <c r="Y251" s="7" t="str">
        <f t="shared" si="85"/>
        <v/>
      </c>
      <c r="Z251" s="11">
        <f t="shared" si="86"/>
        <v>1</v>
      </c>
      <c r="AA251" s="7" t="e">
        <f t="shared" si="87"/>
        <v>#N/A</v>
      </c>
      <c r="AB251" s="7" t="e">
        <f t="shared" si="88"/>
        <v>#N/A</v>
      </c>
      <c r="AC251" s="7" t="e">
        <f t="shared" si="89"/>
        <v>#N/A</v>
      </c>
      <c r="AD251" s="472" t="e">
        <f>VLOOKUP(AF251,'排出係数(2017)'!$A$4:$I$1151,9,FALSE)</f>
        <v>#N/A</v>
      </c>
      <c r="AE251" s="12" t="str">
        <f t="shared" si="90"/>
        <v xml:space="preserve"> </v>
      </c>
      <c r="AF251" s="7" t="e">
        <f t="shared" si="105"/>
        <v>#N/A</v>
      </c>
      <c r="AG251" s="7" t="e">
        <f t="shared" si="91"/>
        <v>#N/A</v>
      </c>
      <c r="AH251" s="472" t="e">
        <f>VLOOKUP(AF251,'排出係数(2017)'!$A$4:$I$1151,6,FALSE)</f>
        <v>#N/A</v>
      </c>
      <c r="AI251" s="7" t="e">
        <f t="shared" si="92"/>
        <v>#N/A</v>
      </c>
      <c r="AJ251" s="7" t="e">
        <f t="shared" si="93"/>
        <v>#N/A</v>
      </c>
      <c r="AK251" s="472" t="e">
        <f>VLOOKUP(AF251,'排出係数(2017)'!$A$4:$I$1151,7,FALSE)</f>
        <v>#N/A</v>
      </c>
      <c r="AL251" s="7" t="e">
        <f t="shared" si="94"/>
        <v>#N/A</v>
      </c>
      <c r="AM251" s="7" t="e">
        <f t="shared" si="95"/>
        <v>#N/A</v>
      </c>
      <c r="AN251" s="7" t="e">
        <f t="shared" si="96"/>
        <v>#N/A</v>
      </c>
      <c r="AO251" s="7">
        <f t="shared" si="97"/>
        <v>0</v>
      </c>
      <c r="AP251" s="7" t="e">
        <f t="shared" si="106"/>
        <v>#N/A</v>
      </c>
      <c r="AQ251" s="7" t="str">
        <f t="shared" si="98"/>
        <v/>
      </c>
      <c r="AR251" s="7" t="str">
        <f t="shared" si="99"/>
        <v/>
      </c>
      <c r="AS251" s="7" t="str">
        <f t="shared" si="100"/>
        <v/>
      </c>
      <c r="AT251" s="97"/>
      <c r="AZ251" s="477" t="s">
        <v>1180</v>
      </c>
      <c r="CF251" s="586" t="str">
        <f t="shared" si="107"/>
        <v/>
      </c>
      <c r="CG251"/>
      <c r="CH251"/>
    </row>
    <row r="252" spans="1:86" s="13" customFormat="1" ht="13.75" customHeight="1">
      <c r="A252" s="137">
        <v>237</v>
      </c>
      <c r="B252" s="138"/>
      <c r="C252" s="139"/>
      <c r="D252" s="140"/>
      <c r="E252" s="139"/>
      <c r="F252" s="139"/>
      <c r="G252" s="191"/>
      <c r="H252" s="139"/>
      <c r="I252" s="141"/>
      <c r="J252" s="142"/>
      <c r="K252" s="139"/>
      <c r="L252" s="147"/>
      <c r="M252" s="148"/>
      <c r="N252" s="583"/>
      <c r="O252" s="229" t="str">
        <f t="shared" si="101"/>
        <v/>
      </c>
      <c r="P252" s="229" t="str">
        <f t="shared" si="102"/>
        <v/>
      </c>
      <c r="Q252" s="230" t="str">
        <f t="shared" si="103"/>
        <v/>
      </c>
      <c r="R252" s="323" t="str">
        <f t="shared" si="104"/>
        <v/>
      </c>
      <c r="S252" s="350"/>
      <c r="T252" s="43"/>
      <c r="U252" s="347" t="str">
        <f t="shared" si="81"/>
        <v/>
      </c>
      <c r="V252" s="7" t="e">
        <f t="shared" si="82"/>
        <v>#N/A</v>
      </c>
      <c r="W252" s="7" t="e">
        <f t="shared" si="83"/>
        <v>#N/A</v>
      </c>
      <c r="X252" s="7" t="e">
        <f t="shared" si="84"/>
        <v>#N/A</v>
      </c>
      <c r="Y252" s="7" t="str">
        <f t="shared" si="85"/>
        <v/>
      </c>
      <c r="Z252" s="11">
        <f t="shared" si="86"/>
        <v>1</v>
      </c>
      <c r="AA252" s="7" t="e">
        <f t="shared" si="87"/>
        <v>#N/A</v>
      </c>
      <c r="AB252" s="7" t="e">
        <f t="shared" si="88"/>
        <v>#N/A</v>
      </c>
      <c r="AC252" s="7" t="e">
        <f t="shared" si="89"/>
        <v>#N/A</v>
      </c>
      <c r="AD252" s="472" t="e">
        <f>VLOOKUP(AF252,'排出係数(2017)'!$A$4:$I$1151,9,FALSE)</f>
        <v>#N/A</v>
      </c>
      <c r="AE252" s="12" t="str">
        <f t="shared" si="90"/>
        <v xml:space="preserve"> </v>
      </c>
      <c r="AF252" s="7" t="e">
        <f t="shared" si="105"/>
        <v>#N/A</v>
      </c>
      <c r="AG252" s="7" t="e">
        <f t="shared" si="91"/>
        <v>#N/A</v>
      </c>
      <c r="AH252" s="472" t="e">
        <f>VLOOKUP(AF252,'排出係数(2017)'!$A$4:$I$1151,6,FALSE)</f>
        <v>#N/A</v>
      </c>
      <c r="AI252" s="7" t="e">
        <f t="shared" si="92"/>
        <v>#N/A</v>
      </c>
      <c r="AJ252" s="7" t="e">
        <f t="shared" si="93"/>
        <v>#N/A</v>
      </c>
      <c r="AK252" s="472" t="e">
        <f>VLOOKUP(AF252,'排出係数(2017)'!$A$4:$I$1151,7,FALSE)</f>
        <v>#N/A</v>
      </c>
      <c r="AL252" s="7" t="e">
        <f t="shared" si="94"/>
        <v>#N/A</v>
      </c>
      <c r="AM252" s="7" t="e">
        <f t="shared" si="95"/>
        <v>#N/A</v>
      </c>
      <c r="AN252" s="7" t="e">
        <f t="shared" si="96"/>
        <v>#N/A</v>
      </c>
      <c r="AO252" s="7">
        <f t="shared" si="97"/>
        <v>0</v>
      </c>
      <c r="AP252" s="7" t="e">
        <f t="shared" si="106"/>
        <v>#N/A</v>
      </c>
      <c r="AQ252" s="7" t="str">
        <f t="shared" si="98"/>
        <v/>
      </c>
      <c r="AR252" s="7" t="str">
        <f t="shared" si="99"/>
        <v/>
      </c>
      <c r="AS252" s="7" t="str">
        <f t="shared" si="100"/>
        <v/>
      </c>
      <c r="AT252" s="97"/>
      <c r="AZ252" s="477" t="s">
        <v>1241</v>
      </c>
      <c r="CF252" s="586" t="str">
        <f t="shared" si="107"/>
        <v/>
      </c>
      <c r="CG252"/>
      <c r="CH252"/>
    </row>
    <row r="253" spans="1:86" s="13" customFormat="1" ht="13.75" customHeight="1">
      <c r="A253" s="137">
        <v>238</v>
      </c>
      <c r="B253" s="138"/>
      <c r="C253" s="139"/>
      <c r="D253" s="140"/>
      <c r="E253" s="139"/>
      <c r="F253" s="139"/>
      <c r="G253" s="191"/>
      <c r="H253" s="139"/>
      <c r="I253" s="141"/>
      <c r="J253" s="142"/>
      <c r="K253" s="139"/>
      <c r="L253" s="147"/>
      <c r="M253" s="148"/>
      <c r="N253" s="583"/>
      <c r="O253" s="229" t="str">
        <f t="shared" si="101"/>
        <v/>
      </c>
      <c r="P253" s="229" t="str">
        <f t="shared" si="102"/>
        <v/>
      </c>
      <c r="Q253" s="230" t="str">
        <f t="shared" si="103"/>
        <v/>
      </c>
      <c r="R253" s="323" t="str">
        <f t="shared" si="104"/>
        <v/>
      </c>
      <c r="S253" s="350"/>
      <c r="T253" s="43"/>
      <c r="U253" s="347" t="str">
        <f t="shared" si="81"/>
        <v/>
      </c>
      <c r="V253" s="7" t="e">
        <f t="shared" si="82"/>
        <v>#N/A</v>
      </c>
      <c r="W253" s="7" t="e">
        <f t="shared" si="83"/>
        <v>#N/A</v>
      </c>
      <c r="X253" s="7" t="e">
        <f t="shared" si="84"/>
        <v>#N/A</v>
      </c>
      <c r="Y253" s="7" t="str">
        <f t="shared" si="85"/>
        <v/>
      </c>
      <c r="Z253" s="11">
        <f t="shared" si="86"/>
        <v>1</v>
      </c>
      <c r="AA253" s="7" t="e">
        <f t="shared" si="87"/>
        <v>#N/A</v>
      </c>
      <c r="AB253" s="7" t="e">
        <f t="shared" si="88"/>
        <v>#N/A</v>
      </c>
      <c r="AC253" s="7" t="e">
        <f t="shared" si="89"/>
        <v>#N/A</v>
      </c>
      <c r="AD253" s="472" t="e">
        <f>VLOOKUP(AF253,'排出係数(2017)'!$A$4:$I$1151,9,FALSE)</f>
        <v>#N/A</v>
      </c>
      <c r="AE253" s="12" t="str">
        <f t="shared" si="90"/>
        <v xml:space="preserve"> </v>
      </c>
      <c r="AF253" s="7" t="e">
        <f t="shared" si="105"/>
        <v>#N/A</v>
      </c>
      <c r="AG253" s="7" t="e">
        <f t="shared" si="91"/>
        <v>#N/A</v>
      </c>
      <c r="AH253" s="472" t="e">
        <f>VLOOKUP(AF253,'排出係数(2017)'!$A$4:$I$1151,6,FALSE)</f>
        <v>#N/A</v>
      </c>
      <c r="AI253" s="7" t="e">
        <f t="shared" si="92"/>
        <v>#N/A</v>
      </c>
      <c r="AJ253" s="7" t="e">
        <f t="shared" si="93"/>
        <v>#N/A</v>
      </c>
      <c r="AK253" s="472" t="e">
        <f>VLOOKUP(AF253,'排出係数(2017)'!$A$4:$I$1151,7,FALSE)</f>
        <v>#N/A</v>
      </c>
      <c r="AL253" s="7" t="e">
        <f t="shared" si="94"/>
        <v>#N/A</v>
      </c>
      <c r="AM253" s="7" t="e">
        <f t="shared" si="95"/>
        <v>#N/A</v>
      </c>
      <c r="AN253" s="7" t="e">
        <f t="shared" si="96"/>
        <v>#N/A</v>
      </c>
      <c r="AO253" s="7">
        <f t="shared" si="97"/>
        <v>0</v>
      </c>
      <c r="AP253" s="7" t="e">
        <f t="shared" si="106"/>
        <v>#N/A</v>
      </c>
      <c r="AQ253" s="7" t="str">
        <f t="shared" si="98"/>
        <v/>
      </c>
      <c r="AR253" s="7" t="str">
        <f t="shared" si="99"/>
        <v/>
      </c>
      <c r="AS253" s="7" t="str">
        <f t="shared" si="100"/>
        <v/>
      </c>
      <c r="AT253" s="97"/>
      <c r="AZ253" s="477" t="s">
        <v>1526</v>
      </c>
      <c r="CF253" s="586" t="str">
        <f t="shared" si="107"/>
        <v/>
      </c>
      <c r="CG253"/>
      <c r="CH253"/>
    </row>
    <row r="254" spans="1:86" s="13" customFormat="1" ht="13.75" customHeight="1">
      <c r="A254" s="137">
        <v>239</v>
      </c>
      <c r="B254" s="138"/>
      <c r="C254" s="139"/>
      <c r="D254" s="140"/>
      <c r="E254" s="139"/>
      <c r="F254" s="139"/>
      <c r="G254" s="191"/>
      <c r="H254" s="139"/>
      <c r="I254" s="141"/>
      <c r="J254" s="142"/>
      <c r="K254" s="139"/>
      <c r="L254" s="147"/>
      <c r="M254" s="148"/>
      <c r="N254" s="583"/>
      <c r="O254" s="229" t="str">
        <f t="shared" si="101"/>
        <v/>
      </c>
      <c r="P254" s="229" t="str">
        <f t="shared" si="102"/>
        <v/>
      </c>
      <c r="Q254" s="230" t="str">
        <f t="shared" si="103"/>
        <v/>
      </c>
      <c r="R254" s="323" t="str">
        <f t="shared" si="104"/>
        <v/>
      </c>
      <c r="S254" s="350"/>
      <c r="T254" s="43"/>
      <c r="U254" s="347" t="str">
        <f t="shared" si="81"/>
        <v/>
      </c>
      <c r="V254" s="7" t="e">
        <f t="shared" si="82"/>
        <v>#N/A</v>
      </c>
      <c r="W254" s="7" t="e">
        <f t="shared" si="83"/>
        <v>#N/A</v>
      </c>
      <c r="X254" s="7" t="e">
        <f t="shared" si="84"/>
        <v>#N/A</v>
      </c>
      <c r="Y254" s="7" t="str">
        <f t="shared" si="85"/>
        <v/>
      </c>
      <c r="Z254" s="11">
        <f t="shared" si="86"/>
        <v>1</v>
      </c>
      <c r="AA254" s="7" t="e">
        <f t="shared" si="87"/>
        <v>#N/A</v>
      </c>
      <c r="AB254" s="7" t="e">
        <f t="shared" si="88"/>
        <v>#N/A</v>
      </c>
      <c r="AC254" s="7" t="e">
        <f t="shared" si="89"/>
        <v>#N/A</v>
      </c>
      <c r="AD254" s="472" t="e">
        <f>VLOOKUP(AF254,'排出係数(2017)'!$A$4:$I$1151,9,FALSE)</f>
        <v>#N/A</v>
      </c>
      <c r="AE254" s="12" t="str">
        <f t="shared" si="90"/>
        <v xml:space="preserve"> </v>
      </c>
      <c r="AF254" s="7" t="e">
        <f t="shared" si="105"/>
        <v>#N/A</v>
      </c>
      <c r="AG254" s="7" t="e">
        <f t="shared" si="91"/>
        <v>#N/A</v>
      </c>
      <c r="AH254" s="472" t="e">
        <f>VLOOKUP(AF254,'排出係数(2017)'!$A$4:$I$1151,6,FALSE)</f>
        <v>#N/A</v>
      </c>
      <c r="AI254" s="7" t="e">
        <f t="shared" si="92"/>
        <v>#N/A</v>
      </c>
      <c r="AJ254" s="7" t="e">
        <f t="shared" si="93"/>
        <v>#N/A</v>
      </c>
      <c r="AK254" s="472" t="e">
        <f>VLOOKUP(AF254,'排出係数(2017)'!$A$4:$I$1151,7,FALSE)</f>
        <v>#N/A</v>
      </c>
      <c r="AL254" s="7" t="e">
        <f t="shared" si="94"/>
        <v>#N/A</v>
      </c>
      <c r="AM254" s="7" t="e">
        <f t="shared" si="95"/>
        <v>#N/A</v>
      </c>
      <c r="AN254" s="7" t="e">
        <f t="shared" si="96"/>
        <v>#N/A</v>
      </c>
      <c r="AO254" s="7">
        <f t="shared" si="97"/>
        <v>0</v>
      </c>
      <c r="AP254" s="7" t="e">
        <f t="shared" si="106"/>
        <v>#N/A</v>
      </c>
      <c r="AQ254" s="7" t="str">
        <f t="shared" si="98"/>
        <v/>
      </c>
      <c r="AR254" s="7" t="str">
        <f t="shared" si="99"/>
        <v/>
      </c>
      <c r="AS254" s="7" t="str">
        <f t="shared" si="100"/>
        <v/>
      </c>
      <c r="AT254" s="97"/>
      <c r="AZ254" s="477" t="s">
        <v>1676</v>
      </c>
      <c r="CF254" s="586" t="str">
        <f t="shared" si="107"/>
        <v/>
      </c>
      <c r="CG254"/>
      <c r="CH254"/>
    </row>
    <row r="255" spans="1:86" s="13" customFormat="1" ht="13.75" customHeight="1">
      <c r="A255" s="137">
        <v>240</v>
      </c>
      <c r="B255" s="138"/>
      <c r="C255" s="139"/>
      <c r="D255" s="140"/>
      <c r="E255" s="139"/>
      <c r="F255" s="139"/>
      <c r="G255" s="191"/>
      <c r="H255" s="139"/>
      <c r="I255" s="141"/>
      <c r="J255" s="142"/>
      <c r="K255" s="139"/>
      <c r="L255" s="147"/>
      <c r="M255" s="148"/>
      <c r="N255" s="583"/>
      <c r="O255" s="229" t="str">
        <f t="shared" si="101"/>
        <v/>
      </c>
      <c r="P255" s="229" t="str">
        <f t="shared" si="102"/>
        <v/>
      </c>
      <c r="Q255" s="230" t="str">
        <f t="shared" si="103"/>
        <v/>
      </c>
      <c r="R255" s="323" t="str">
        <f t="shared" si="104"/>
        <v/>
      </c>
      <c r="S255" s="350"/>
      <c r="T255" s="43"/>
      <c r="U255" s="347" t="str">
        <f t="shared" si="81"/>
        <v/>
      </c>
      <c r="V255" s="7" t="e">
        <f t="shared" si="82"/>
        <v>#N/A</v>
      </c>
      <c r="W255" s="7" t="e">
        <f t="shared" si="83"/>
        <v>#N/A</v>
      </c>
      <c r="X255" s="7" t="e">
        <f t="shared" si="84"/>
        <v>#N/A</v>
      </c>
      <c r="Y255" s="7" t="str">
        <f t="shared" si="85"/>
        <v/>
      </c>
      <c r="Z255" s="11">
        <f t="shared" si="86"/>
        <v>1</v>
      </c>
      <c r="AA255" s="7" t="e">
        <f t="shared" si="87"/>
        <v>#N/A</v>
      </c>
      <c r="AB255" s="7" t="e">
        <f t="shared" si="88"/>
        <v>#N/A</v>
      </c>
      <c r="AC255" s="7" t="e">
        <f t="shared" si="89"/>
        <v>#N/A</v>
      </c>
      <c r="AD255" s="472" t="e">
        <f>VLOOKUP(AF255,'排出係数(2017)'!$A$4:$I$1151,9,FALSE)</f>
        <v>#N/A</v>
      </c>
      <c r="AE255" s="12" t="str">
        <f t="shared" si="90"/>
        <v xml:space="preserve"> </v>
      </c>
      <c r="AF255" s="7" t="e">
        <f t="shared" si="105"/>
        <v>#N/A</v>
      </c>
      <c r="AG255" s="7" t="e">
        <f t="shared" si="91"/>
        <v>#N/A</v>
      </c>
      <c r="AH255" s="472" t="e">
        <f>VLOOKUP(AF255,'排出係数(2017)'!$A$4:$I$1151,6,FALSE)</f>
        <v>#N/A</v>
      </c>
      <c r="AI255" s="7" t="e">
        <f t="shared" si="92"/>
        <v>#N/A</v>
      </c>
      <c r="AJ255" s="7" t="e">
        <f t="shared" si="93"/>
        <v>#N/A</v>
      </c>
      <c r="AK255" s="472" t="e">
        <f>VLOOKUP(AF255,'排出係数(2017)'!$A$4:$I$1151,7,FALSE)</f>
        <v>#N/A</v>
      </c>
      <c r="AL255" s="7" t="e">
        <f t="shared" si="94"/>
        <v>#N/A</v>
      </c>
      <c r="AM255" s="7" t="e">
        <f t="shared" si="95"/>
        <v>#N/A</v>
      </c>
      <c r="AN255" s="7" t="e">
        <f t="shared" si="96"/>
        <v>#N/A</v>
      </c>
      <c r="AO255" s="7">
        <f t="shared" si="97"/>
        <v>0</v>
      </c>
      <c r="AP255" s="7" t="e">
        <f t="shared" si="106"/>
        <v>#N/A</v>
      </c>
      <c r="AQ255" s="7" t="str">
        <f t="shared" si="98"/>
        <v/>
      </c>
      <c r="AR255" s="7" t="str">
        <f t="shared" si="99"/>
        <v/>
      </c>
      <c r="AS255" s="7" t="str">
        <f t="shared" si="100"/>
        <v/>
      </c>
      <c r="AT255" s="97"/>
      <c r="AZ255" s="477" t="s">
        <v>1145</v>
      </c>
      <c r="CF255" s="586" t="str">
        <f t="shared" si="107"/>
        <v/>
      </c>
      <c r="CG255"/>
      <c r="CH255"/>
    </row>
    <row r="256" spans="1:86" s="13" customFormat="1" ht="13.75" customHeight="1">
      <c r="A256" s="137">
        <v>241</v>
      </c>
      <c r="B256" s="138"/>
      <c r="C256" s="139"/>
      <c r="D256" s="140"/>
      <c r="E256" s="139"/>
      <c r="F256" s="139"/>
      <c r="G256" s="191"/>
      <c r="H256" s="139"/>
      <c r="I256" s="141"/>
      <c r="J256" s="142"/>
      <c r="K256" s="139"/>
      <c r="L256" s="147"/>
      <c r="M256" s="148"/>
      <c r="N256" s="583"/>
      <c r="O256" s="229" t="str">
        <f t="shared" si="101"/>
        <v/>
      </c>
      <c r="P256" s="229" t="str">
        <f t="shared" si="102"/>
        <v/>
      </c>
      <c r="Q256" s="230" t="str">
        <f t="shared" si="103"/>
        <v/>
      </c>
      <c r="R256" s="323" t="str">
        <f t="shared" si="104"/>
        <v/>
      </c>
      <c r="S256" s="350"/>
      <c r="T256" s="43"/>
      <c r="U256" s="347" t="str">
        <f t="shared" si="81"/>
        <v/>
      </c>
      <c r="V256" s="7" t="e">
        <f t="shared" si="82"/>
        <v>#N/A</v>
      </c>
      <c r="W256" s="7" t="e">
        <f t="shared" si="83"/>
        <v>#N/A</v>
      </c>
      <c r="X256" s="7" t="e">
        <f t="shared" si="84"/>
        <v>#N/A</v>
      </c>
      <c r="Y256" s="7" t="str">
        <f t="shared" si="85"/>
        <v/>
      </c>
      <c r="Z256" s="11">
        <f t="shared" si="86"/>
        <v>1</v>
      </c>
      <c r="AA256" s="7" t="e">
        <f t="shared" si="87"/>
        <v>#N/A</v>
      </c>
      <c r="AB256" s="7" t="e">
        <f t="shared" si="88"/>
        <v>#N/A</v>
      </c>
      <c r="AC256" s="7" t="e">
        <f t="shared" si="89"/>
        <v>#N/A</v>
      </c>
      <c r="AD256" s="472" t="e">
        <f>VLOOKUP(AF256,'排出係数(2017)'!$A$4:$I$1151,9,FALSE)</f>
        <v>#N/A</v>
      </c>
      <c r="AE256" s="12" t="str">
        <f t="shared" si="90"/>
        <v xml:space="preserve"> </v>
      </c>
      <c r="AF256" s="7" t="e">
        <f t="shared" si="105"/>
        <v>#N/A</v>
      </c>
      <c r="AG256" s="7" t="e">
        <f t="shared" si="91"/>
        <v>#N/A</v>
      </c>
      <c r="AH256" s="472" t="e">
        <f>VLOOKUP(AF256,'排出係数(2017)'!$A$4:$I$1151,6,FALSE)</f>
        <v>#N/A</v>
      </c>
      <c r="AI256" s="7" t="e">
        <f t="shared" si="92"/>
        <v>#N/A</v>
      </c>
      <c r="AJ256" s="7" t="e">
        <f t="shared" si="93"/>
        <v>#N/A</v>
      </c>
      <c r="AK256" s="472" t="e">
        <f>VLOOKUP(AF256,'排出係数(2017)'!$A$4:$I$1151,7,FALSE)</f>
        <v>#N/A</v>
      </c>
      <c r="AL256" s="7" t="e">
        <f t="shared" si="94"/>
        <v>#N/A</v>
      </c>
      <c r="AM256" s="7" t="e">
        <f t="shared" si="95"/>
        <v>#N/A</v>
      </c>
      <c r="AN256" s="7" t="e">
        <f t="shared" si="96"/>
        <v>#N/A</v>
      </c>
      <c r="AO256" s="7">
        <f t="shared" si="97"/>
        <v>0</v>
      </c>
      <c r="AP256" s="7" t="e">
        <f t="shared" si="106"/>
        <v>#N/A</v>
      </c>
      <c r="AQ256" s="7" t="str">
        <f t="shared" si="98"/>
        <v/>
      </c>
      <c r="AR256" s="7" t="str">
        <f t="shared" si="99"/>
        <v/>
      </c>
      <c r="AS256" s="7" t="str">
        <f t="shared" si="100"/>
        <v/>
      </c>
      <c r="AT256" s="97"/>
      <c r="AZ256" s="477" t="s">
        <v>1178</v>
      </c>
      <c r="CF256" s="586" t="str">
        <f t="shared" si="107"/>
        <v/>
      </c>
      <c r="CG256"/>
      <c r="CH256"/>
    </row>
    <row r="257" spans="1:86" s="13" customFormat="1" ht="13.75" customHeight="1">
      <c r="A257" s="137">
        <v>242</v>
      </c>
      <c r="B257" s="138"/>
      <c r="C257" s="139"/>
      <c r="D257" s="140"/>
      <c r="E257" s="139"/>
      <c r="F257" s="139"/>
      <c r="G257" s="191"/>
      <c r="H257" s="139"/>
      <c r="I257" s="141"/>
      <c r="J257" s="142"/>
      <c r="K257" s="139"/>
      <c r="L257" s="147"/>
      <c r="M257" s="148"/>
      <c r="N257" s="583"/>
      <c r="O257" s="229" t="str">
        <f t="shared" si="101"/>
        <v/>
      </c>
      <c r="P257" s="229" t="str">
        <f t="shared" si="102"/>
        <v/>
      </c>
      <c r="Q257" s="230" t="str">
        <f t="shared" si="103"/>
        <v/>
      </c>
      <c r="R257" s="323" t="str">
        <f t="shared" si="104"/>
        <v/>
      </c>
      <c r="S257" s="350"/>
      <c r="T257" s="43"/>
      <c r="U257" s="347" t="str">
        <f t="shared" si="81"/>
        <v/>
      </c>
      <c r="V257" s="7" t="e">
        <f t="shared" si="82"/>
        <v>#N/A</v>
      </c>
      <c r="W257" s="7" t="e">
        <f t="shared" si="83"/>
        <v>#N/A</v>
      </c>
      <c r="X257" s="7" t="e">
        <f t="shared" si="84"/>
        <v>#N/A</v>
      </c>
      <c r="Y257" s="7" t="str">
        <f t="shared" si="85"/>
        <v/>
      </c>
      <c r="Z257" s="11">
        <f t="shared" si="86"/>
        <v>1</v>
      </c>
      <c r="AA257" s="7" t="e">
        <f t="shared" si="87"/>
        <v>#N/A</v>
      </c>
      <c r="AB257" s="7" t="e">
        <f t="shared" si="88"/>
        <v>#N/A</v>
      </c>
      <c r="AC257" s="7" t="e">
        <f t="shared" si="89"/>
        <v>#N/A</v>
      </c>
      <c r="AD257" s="472" t="e">
        <f>VLOOKUP(AF257,'排出係数(2017)'!$A$4:$I$1151,9,FALSE)</f>
        <v>#N/A</v>
      </c>
      <c r="AE257" s="12" t="str">
        <f t="shared" si="90"/>
        <v xml:space="preserve"> </v>
      </c>
      <c r="AF257" s="7" t="e">
        <f t="shared" si="105"/>
        <v>#N/A</v>
      </c>
      <c r="AG257" s="7" t="e">
        <f t="shared" si="91"/>
        <v>#N/A</v>
      </c>
      <c r="AH257" s="472" t="e">
        <f>VLOOKUP(AF257,'排出係数(2017)'!$A$4:$I$1151,6,FALSE)</f>
        <v>#N/A</v>
      </c>
      <c r="AI257" s="7" t="e">
        <f t="shared" si="92"/>
        <v>#N/A</v>
      </c>
      <c r="AJ257" s="7" t="e">
        <f t="shared" si="93"/>
        <v>#N/A</v>
      </c>
      <c r="AK257" s="472" t="e">
        <f>VLOOKUP(AF257,'排出係数(2017)'!$A$4:$I$1151,7,FALSE)</f>
        <v>#N/A</v>
      </c>
      <c r="AL257" s="7" t="e">
        <f t="shared" si="94"/>
        <v>#N/A</v>
      </c>
      <c r="AM257" s="7" t="e">
        <f t="shared" si="95"/>
        <v>#N/A</v>
      </c>
      <c r="AN257" s="7" t="e">
        <f t="shared" si="96"/>
        <v>#N/A</v>
      </c>
      <c r="AO257" s="7">
        <f t="shared" si="97"/>
        <v>0</v>
      </c>
      <c r="AP257" s="7" t="e">
        <f t="shared" si="106"/>
        <v>#N/A</v>
      </c>
      <c r="AQ257" s="7" t="str">
        <f t="shared" si="98"/>
        <v/>
      </c>
      <c r="AR257" s="7" t="str">
        <f t="shared" si="99"/>
        <v/>
      </c>
      <c r="AS257" s="7" t="str">
        <f t="shared" si="100"/>
        <v/>
      </c>
      <c r="AT257" s="97"/>
      <c r="AZ257" s="477" t="s">
        <v>1239</v>
      </c>
      <c r="CF257" s="586" t="str">
        <f t="shared" si="107"/>
        <v/>
      </c>
      <c r="CG257"/>
      <c r="CH257"/>
    </row>
    <row r="258" spans="1:86" s="13" customFormat="1" ht="13.75" customHeight="1">
      <c r="A258" s="137">
        <v>243</v>
      </c>
      <c r="B258" s="138"/>
      <c r="C258" s="139"/>
      <c r="D258" s="140"/>
      <c r="E258" s="139"/>
      <c r="F258" s="139"/>
      <c r="G258" s="191"/>
      <c r="H258" s="139"/>
      <c r="I258" s="141"/>
      <c r="J258" s="142"/>
      <c r="K258" s="139"/>
      <c r="L258" s="147"/>
      <c r="M258" s="148"/>
      <c r="N258" s="583"/>
      <c r="O258" s="229" t="str">
        <f t="shared" si="101"/>
        <v/>
      </c>
      <c r="P258" s="229" t="str">
        <f t="shared" si="102"/>
        <v/>
      </c>
      <c r="Q258" s="230" t="str">
        <f t="shared" si="103"/>
        <v/>
      </c>
      <c r="R258" s="323" t="str">
        <f t="shared" si="104"/>
        <v/>
      </c>
      <c r="S258" s="350"/>
      <c r="T258" s="43"/>
      <c r="U258" s="347" t="str">
        <f t="shared" si="81"/>
        <v/>
      </c>
      <c r="V258" s="7" t="e">
        <f t="shared" si="82"/>
        <v>#N/A</v>
      </c>
      <c r="W258" s="7" t="e">
        <f t="shared" si="83"/>
        <v>#N/A</v>
      </c>
      <c r="X258" s="7" t="e">
        <f t="shared" si="84"/>
        <v>#N/A</v>
      </c>
      <c r="Y258" s="7" t="str">
        <f t="shared" si="85"/>
        <v/>
      </c>
      <c r="Z258" s="11">
        <f t="shared" si="86"/>
        <v>1</v>
      </c>
      <c r="AA258" s="7" t="e">
        <f t="shared" si="87"/>
        <v>#N/A</v>
      </c>
      <c r="AB258" s="7" t="e">
        <f t="shared" si="88"/>
        <v>#N/A</v>
      </c>
      <c r="AC258" s="7" t="e">
        <f t="shared" si="89"/>
        <v>#N/A</v>
      </c>
      <c r="AD258" s="472" t="e">
        <f>VLOOKUP(AF258,'排出係数(2017)'!$A$4:$I$1151,9,FALSE)</f>
        <v>#N/A</v>
      </c>
      <c r="AE258" s="12" t="str">
        <f t="shared" si="90"/>
        <v xml:space="preserve"> </v>
      </c>
      <c r="AF258" s="7" t="e">
        <f t="shared" si="105"/>
        <v>#N/A</v>
      </c>
      <c r="AG258" s="7" t="e">
        <f t="shared" si="91"/>
        <v>#N/A</v>
      </c>
      <c r="AH258" s="472" t="e">
        <f>VLOOKUP(AF258,'排出係数(2017)'!$A$4:$I$1151,6,FALSE)</f>
        <v>#N/A</v>
      </c>
      <c r="AI258" s="7" t="e">
        <f t="shared" si="92"/>
        <v>#N/A</v>
      </c>
      <c r="AJ258" s="7" t="e">
        <f t="shared" si="93"/>
        <v>#N/A</v>
      </c>
      <c r="AK258" s="472" t="e">
        <f>VLOOKUP(AF258,'排出係数(2017)'!$A$4:$I$1151,7,FALSE)</f>
        <v>#N/A</v>
      </c>
      <c r="AL258" s="7" t="e">
        <f t="shared" si="94"/>
        <v>#N/A</v>
      </c>
      <c r="AM258" s="7" t="e">
        <f t="shared" si="95"/>
        <v>#N/A</v>
      </c>
      <c r="AN258" s="7" t="e">
        <f t="shared" si="96"/>
        <v>#N/A</v>
      </c>
      <c r="AO258" s="7">
        <f t="shared" si="97"/>
        <v>0</v>
      </c>
      <c r="AP258" s="7" t="e">
        <f t="shared" si="106"/>
        <v>#N/A</v>
      </c>
      <c r="AQ258" s="7" t="str">
        <f t="shared" si="98"/>
        <v/>
      </c>
      <c r="AR258" s="7" t="str">
        <f t="shared" si="99"/>
        <v/>
      </c>
      <c r="AS258" s="7" t="str">
        <f t="shared" si="100"/>
        <v/>
      </c>
      <c r="AT258" s="97"/>
      <c r="AZ258" s="477" t="s">
        <v>1530</v>
      </c>
      <c r="CF258" s="586" t="str">
        <f t="shared" si="107"/>
        <v/>
      </c>
      <c r="CG258"/>
      <c r="CH258"/>
    </row>
    <row r="259" spans="1:86" s="13" customFormat="1" ht="13.75" customHeight="1">
      <c r="A259" s="137">
        <v>244</v>
      </c>
      <c r="B259" s="138"/>
      <c r="C259" s="139"/>
      <c r="D259" s="140"/>
      <c r="E259" s="139"/>
      <c r="F259" s="139"/>
      <c r="G259" s="191"/>
      <c r="H259" s="139"/>
      <c r="I259" s="141"/>
      <c r="J259" s="142"/>
      <c r="K259" s="139"/>
      <c r="L259" s="147"/>
      <c r="M259" s="148"/>
      <c r="N259" s="583"/>
      <c r="O259" s="229" t="str">
        <f t="shared" si="101"/>
        <v/>
      </c>
      <c r="P259" s="229" t="str">
        <f t="shared" si="102"/>
        <v/>
      </c>
      <c r="Q259" s="230" t="str">
        <f t="shared" si="103"/>
        <v/>
      </c>
      <c r="R259" s="323" t="str">
        <f t="shared" si="104"/>
        <v/>
      </c>
      <c r="S259" s="350"/>
      <c r="T259" s="43"/>
      <c r="U259" s="347" t="str">
        <f t="shared" si="81"/>
        <v/>
      </c>
      <c r="V259" s="7" t="e">
        <f t="shared" si="82"/>
        <v>#N/A</v>
      </c>
      <c r="W259" s="7" t="e">
        <f t="shared" si="83"/>
        <v>#N/A</v>
      </c>
      <c r="X259" s="7" t="e">
        <f t="shared" si="84"/>
        <v>#N/A</v>
      </c>
      <c r="Y259" s="7" t="str">
        <f t="shared" si="85"/>
        <v/>
      </c>
      <c r="Z259" s="11">
        <f t="shared" si="86"/>
        <v>1</v>
      </c>
      <c r="AA259" s="7" t="e">
        <f t="shared" si="87"/>
        <v>#N/A</v>
      </c>
      <c r="AB259" s="7" t="e">
        <f t="shared" si="88"/>
        <v>#N/A</v>
      </c>
      <c r="AC259" s="7" t="e">
        <f t="shared" si="89"/>
        <v>#N/A</v>
      </c>
      <c r="AD259" s="472" t="e">
        <f>VLOOKUP(AF259,'排出係数(2017)'!$A$4:$I$1151,9,FALSE)</f>
        <v>#N/A</v>
      </c>
      <c r="AE259" s="12" t="str">
        <f t="shared" si="90"/>
        <v xml:space="preserve"> </v>
      </c>
      <c r="AF259" s="7" t="e">
        <f t="shared" si="105"/>
        <v>#N/A</v>
      </c>
      <c r="AG259" s="7" t="e">
        <f t="shared" si="91"/>
        <v>#N/A</v>
      </c>
      <c r="AH259" s="472" t="e">
        <f>VLOOKUP(AF259,'排出係数(2017)'!$A$4:$I$1151,6,FALSE)</f>
        <v>#N/A</v>
      </c>
      <c r="AI259" s="7" t="e">
        <f t="shared" si="92"/>
        <v>#N/A</v>
      </c>
      <c r="AJ259" s="7" t="e">
        <f t="shared" si="93"/>
        <v>#N/A</v>
      </c>
      <c r="AK259" s="472" t="e">
        <f>VLOOKUP(AF259,'排出係数(2017)'!$A$4:$I$1151,7,FALSE)</f>
        <v>#N/A</v>
      </c>
      <c r="AL259" s="7" t="e">
        <f t="shared" si="94"/>
        <v>#N/A</v>
      </c>
      <c r="AM259" s="7" t="e">
        <f t="shared" si="95"/>
        <v>#N/A</v>
      </c>
      <c r="AN259" s="7" t="e">
        <f t="shared" si="96"/>
        <v>#N/A</v>
      </c>
      <c r="AO259" s="7">
        <f t="shared" si="97"/>
        <v>0</v>
      </c>
      <c r="AP259" s="7" t="e">
        <f t="shared" si="106"/>
        <v>#N/A</v>
      </c>
      <c r="AQ259" s="7" t="str">
        <f t="shared" si="98"/>
        <v/>
      </c>
      <c r="AR259" s="7" t="str">
        <f t="shared" si="99"/>
        <v/>
      </c>
      <c r="AS259" s="7" t="str">
        <f t="shared" si="100"/>
        <v/>
      </c>
      <c r="AT259" s="97"/>
      <c r="AZ259" s="477" t="s">
        <v>1706</v>
      </c>
      <c r="CF259" s="586" t="str">
        <f t="shared" si="107"/>
        <v/>
      </c>
      <c r="CG259"/>
      <c r="CH259"/>
    </row>
    <row r="260" spans="1:86" s="13" customFormat="1" ht="13.75" customHeight="1">
      <c r="A260" s="137">
        <v>245</v>
      </c>
      <c r="B260" s="138"/>
      <c r="C260" s="139"/>
      <c r="D260" s="140"/>
      <c r="E260" s="139"/>
      <c r="F260" s="139"/>
      <c r="G260" s="191"/>
      <c r="H260" s="139"/>
      <c r="I260" s="141"/>
      <c r="J260" s="142"/>
      <c r="K260" s="139"/>
      <c r="L260" s="147"/>
      <c r="M260" s="148"/>
      <c r="N260" s="583"/>
      <c r="O260" s="229" t="str">
        <f t="shared" si="101"/>
        <v/>
      </c>
      <c r="P260" s="229" t="str">
        <f t="shared" si="102"/>
        <v/>
      </c>
      <c r="Q260" s="230" t="str">
        <f t="shared" si="103"/>
        <v/>
      </c>
      <c r="R260" s="323" t="str">
        <f t="shared" si="104"/>
        <v/>
      </c>
      <c r="S260" s="350"/>
      <c r="T260" s="43"/>
      <c r="U260" s="347" t="str">
        <f t="shared" si="81"/>
        <v/>
      </c>
      <c r="V260" s="7" t="e">
        <f t="shared" si="82"/>
        <v>#N/A</v>
      </c>
      <c r="W260" s="7" t="e">
        <f t="shared" si="83"/>
        <v>#N/A</v>
      </c>
      <c r="X260" s="7" t="e">
        <f t="shared" si="84"/>
        <v>#N/A</v>
      </c>
      <c r="Y260" s="7" t="str">
        <f t="shared" si="85"/>
        <v/>
      </c>
      <c r="Z260" s="11">
        <f t="shared" si="86"/>
        <v>1</v>
      </c>
      <c r="AA260" s="7" t="e">
        <f t="shared" si="87"/>
        <v>#N/A</v>
      </c>
      <c r="AB260" s="7" t="e">
        <f t="shared" si="88"/>
        <v>#N/A</v>
      </c>
      <c r="AC260" s="7" t="e">
        <f t="shared" si="89"/>
        <v>#N/A</v>
      </c>
      <c r="AD260" s="472" t="e">
        <f>VLOOKUP(AF260,'排出係数(2017)'!$A$4:$I$1151,9,FALSE)</f>
        <v>#N/A</v>
      </c>
      <c r="AE260" s="12" t="str">
        <f t="shared" si="90"/>
        <v xml:space="preserve"> </v>
      </c>
      <c r="AF260" s="7" t="e">
        <f t="shared" si="105"/>
        <v>#N/A</v>
      </c>
      <c r="AG260" s="7" t="e">
        <f t="shared" si="91"/>
        <v>#N/A</v>
      </c>
      <c r="AH260" s="472" t="e">
        <f>VLOOKUP(AF260,'排出係数(2017)'!$A$4:$I$1151,6,FALSE)</f>
        <v>#N/A</v>
      </c>
      <c r="AI260" s="7" t="e">
        <f t="shared" si="92"/>
        <v>#N/A</v>
      </c>
      <c r="AJ260" s="7" t="e">
        <f t="shared" si="93"/>
        <v>#N/A</v>
      </c>
      <c r="AK260" s="472" t="e">
        <f>VLOOKUP(AF260,'排出係数(2017)'!$A$4:$I$1151,7,FALSE)</f>
        <v>#N/A</v>
      </c>
      <c r="AL260" s="7" t="e">
        <f t="shared" si="94"/>
        <v>#N/A</v>
      </c>
      <c r="AM260" s="7" t="e">
        <f t="shared" si="95"/>
        <v>#N/A</v>
      </c>
      <c r="AN260" s="7" t="e">
        <f t="shared" si="96"/>
        <v>#N/A</v>
      </c>
      <c r="AO260" s="7">
        <f t="shared" si="97"/>
        <v>0</v>
      </c>
      <c r="AP260" s="7" t="e">
        <f t="shared" si="106"/>
        <v>#N/A</v>
      </c>
      <c r="AQ260" s="7" t="str">
        <f t="shared" si="98"/>
        <v/>
      </c>
      <c r="AR260" s="7" t="str">
        <f t="shared" si="99"/>
        <v/>
      </c>
      <c r="AS260" s="7" t="str">
        <f t="shared" si="100"/>
        <v/>
      </c>
      <c r="AT260" s="97"/>
      <c r="AZ260" s="477" t="s">
        <v>1282</v>
      </c>
      <c r="CF260" s="586" t="str">
        <f t="shared" si="107"/>
        <v/>
      </c>
      <c r="CG260"/>
      <c r="CH260"/>
    </row>
    <row r="261" spans="1:86" s="13" customFormat="1" ht="13.75" customHeight="1">
      <c r="A261" s="137">
        <v>246</v>
      </c>
      <c r="B261" s="138"/>
      <c r="C261" s="139"/>
      <c r="D261" s="140"/>
      <c r="E261" s="139"/>
      <c r="F261" s="139"/>
      <c r="G261" s="191"/>
      <c r="H261" s="139"/>
      <c r="I261" s="141"/>
      <c r="J261" s="142"/>
      <c r="K261" s="139"/>
      <c r="L261" s="147"/>
      <c r="M261" s="148"/>
      <c r="N261" s="583"/>
      <c r="O261" s="229" t="str">
        <f t="shared" si="101"/>
        <v/>
      </c>
      <c r="P261" s="229" t="str">
        <f t="shared" si="102"/>
        <v/>
      </c>
      <c r="Q261" s="230" t="str">
        <f t="shared" si="103"/>
        <v/>
      </c>
      <c r="R261" s="323" t="str">
        <f t="shared" si="104"/>
        <v/>
      </c>
      <c r="S261" s="350"/>
      <c r="T261" s="43"/>
      <c r="U261" s="347" t="str">
        <f t="shared" si="81"/>
        <v/>
      </c>
      <c r="V261" s="7" t="e">
        <f t="shared" si="82"/>
        <v>#N/A</v>
      </c>
      <c r="W261" s="7" t="e">
        <f t="shared" si="83"/>
        <v>#N/A</v>
      </c>
      <c r="X261" s="7" t="e">
        <f t="shared" si="84"/>
        <v>#N/A</v>
      </c>
      <c r="Y261" s="7" t="str">
        <f t="shared" si="85"/>
        <v/>
      </c>
      <c r="Z261" s="11">
        <f t="shared" si="86"/>
        <v>1</v>
      </c>
      <c r="AA261" s="7" t="e">
        <f t="shared" si="87"/>
        <v>#N/A</v>
      </c>
      <c r="AB261" s="7" t="e">
        <f t="shared" si="88"/>
        <v>#N/A</v>
      </c>
      <c r="AC261" s="7" t="e">
        <f t="shared" si="89"/>
        <v>#N/A</v>
      </c>
      <c r="AD261" s="472" t="e">
        <f>VLOOKUP(AF261,'排出係数(2017)'!$A$4:$I$1151,9,FALSE)</f>
        <v>#N/A</v>
      </c>
      <c r="AE261" s="12" t="str">
        <f t="shared" si="90"/>
        <v xml:space="preserve"> </v>
      </c>
      <c r="AF261" s="7" t="e">
        <f t="shared" si="105"/>
        <v>#N/A</v>
      </c>
      <c r="AG261" s="7" t="e">
        <f t="shared" si="91"/>
        <v>#N/A</v>
      </c>
      <c r="AH261" s="472" t="e">
        <f>VLOOKUP(AF261,'排出係数(2017)'!$A$4:$I$1151,6,FALSE)</f>
        <v>#N/A</v>
      </c>
      <c r="AI261" s="7" t="e">
        <f t="shared" si="92"/>
        <v>#N/A</v>
      </c>
      <c r="AJ261" s="7" t="e">
        <f t="shared" si="93"/>
        <v>#N/A</v>
      </c>
      <c r="AK261" s="472" t="e">
        <f>VLOOKUP(AF261,'排出係数(2017)'!$A$4:$I$1151,7,FALSE)</f>
        <v>#N/A</v>
      </c>
      <c r="AL261" s="7" t="e">
        <f t="shared" si="94"/>
        <v>#N/A</v>
      </c>
      <c r="AM261" s="7" t="e">
        <f t="shared" si="95"/>
        <v>#N/A</v>
      </c>
      <c r="AN261" s="7" t="e">
        <f t="shared" si="96"/>
        <v>#N/A</v>
      </c>
      <c r="AO261" s="7">
        <f t="shared" si="97"/>
        <v>0</v>
      </c>
      <c r="AP261" s="7" t="e">
        <f t="shared" si="106"/>
        <v>#N/A</v>
      </c>
      <c r="AQ261" s="7" t="str">
        <f t="shared" si="98"/>
        <v/>
      </c>
      <c r="AR261" s="7" t="str">
        <f t="shared" si="99"/>
        <v/>
      </c>
      <c r="AS261" s="7" t="str">
        <f t="shared" si="100"/>
        <v/>
      </c>
      <c r="AT261" s="97"/>
      <c r="AZ261" s="477" t="s">
        <v>1313</v>
      </c>
      <c r="CF261" s="586" t="str">
        <f t="shared" si="107"/>
        <v/>
      </c>
      <c r="CG261"/>
      <c r="CH261"/>
    </row>
    <row r="262" spans="1:86" s="13" customFormat="1" ht="13.75" customHeight="1">
      <c r="A262" s="137">
        <v>247</v>
      </c>
      <c r="B262" s="138"/>
      <c r="C262" s="139"/>
      <c r="D262" s="140"/>
      <c r="E262" s="139"/>
      <c r="F262" s="139"/>
      <c r="G262" s="191"/>
      <c r="H262" s="139"/>
      <c r="I262" s="141"/>
      <c r="J262" s="142"/>
      <c r="K262" s="139"/>
      <c r="L262" s="147"/>
      <c r="M262" s="148"/>
      <c r="N262" s="583"/>
      <c r="O262" s="229" t="str">
        <f t="shared" si="101"/>
        <v/>
      </c>
      <c r="P262" s="229" t="str">
        <f t="shared" si="102"/>
        <v/>
      </c>
      <c r="Q262" s="230" t="str">
        <f t="shared" si="103"/>
        <v/>
      </c>
      <c r="R262" s="323" t="str">
        <f t="shared" si="104"/>
        <v/>
      </c>
      <c r="S262" s="350"/>
      <c r="T262" s="43"/>
      <c r="U262" s="347" t="str">
        <f t="shared" si="81"/>
        <v/>
      </c>
      <c r="V262" s="7" t="e">
        <f t="shared" si="82"/>
        <v>#N/A</v>
      </c>
      <c r="W262" s="7" t="e">
        <f t="shared" si="83"/>
        <v>#N/A</v>
      </c>
      <c r="X262" s="7" t="e">
        <f t="shared" si="84"/>
        <v>#N/A</v>
      </c>
      <c r="Y262" s="7" t="str">
        <f t="shared" si="85"/>
        <v/>
      </c>
      <c r="Z262" s="11">
        <f t="shared" si="86"/>
        <v>1</v>
      </c>
      <c r="AA262" s="7" t="e">
        <f t="shared" si="87"/>
        <v>#N/A</v>
      </c>
      <c r="AB262" s="7" t="e">
        <f t="shared" si="88"/>
        <v>#N/A</v>
      </c>
      <c r="AC262" s="7" t="e">
        <f t="shared" si="89"/>
        <v>#N/A</v>
      </c>
      <c r="AD262" s="472" t="e">
        <f>VLOOKUP(AF262,'排出係数(2017)'!$A$4:$I$1151,9,FALSE)</f>
        <v>#N/A</v>
      </c>
      <c r="AE262" s="12" t="str">
        <f t="shared" si="90"/>
        <v xml:space="preserve"> </v>
      </c>
      <c r="AF262" s="7" t="e">
        <f t="shared" si="105"/>
        <v>#N/A</v>
      </c>
      <c r="AG262" s="7" t="e">
        <f t="shared" si="91"/>
        <v>#N/A</v>
      </c>
      <c r="AH262" s="472" t="e">
        <f>VLOOKUP(AF262,'排出係数(2017)'!$A$4:$I$1151,6,FALSE)</f>
        <v>#N/A</v>
      </c>
      <c r="AI262" s="7" t="e">
        <f t="shared" si="92"/>
        <v>#N/A</v>
      </c>
      <c r="AJ262" s="7" t="e">
        <f t="shared" si="93"/>
        <v>#N/A</v>
      </c>
      <c r="AK262" s="472" t="e">
        <f>VLOOKUP(AF262,'排出係数(2017)'!$A$4:$I$1151,7,FALSE)</f>
        <v>#N/A</v>
      </c>
      <c r="AL262" s="7" t="e">
        <f t="shared" si="94"/>
        <v>#N/A</v>
      </c>
      <c r="AM262" s="7" t="e">
        <f t="shared" si="95"/>
        <v>#N/A</v>
      </c>
      <c r="AN262" s="7" t="e">
        <f t="shared" si="96"/>
        <v>#N/A</v>
      </c>
      <c r="AO262" s="7">
        <f t="shared" si="97"/>
        <v>0</v>
      </c>
      <c r="AP262" s="7" t="e">
        <f t="shared" si="106"/>
        <v>#N/A</v>
      </c>
      <c r="AQ262" s="7" t="str">
        <f t="shared" si="98"/>
        <v/>
      </c>
      <c r="AR262" s="7" t="str">
        <f t="shared" si="99"/>
        <v/>
      </c>
      <c r="AS262" s="7" t="str">
        <f t="shared" si="100"/>
        <v/>
      </c>
      <c r="AT262" s="97"/>
      <c r="AZ262" s="477" t="s">
        <v>1363</v>
      </c>
      <c r="CF262" s="586" t="str">
        <f t="shared" si="107"/>
        <v/>
      </c>
      <c r="CG262"/>
      <c r="CH262"/>
    </row>
    <row r="263" spans="1:86" s="13" customFormat="1" ht="13.75" customHeight="1">
      <c r="A263" s="137">
        <v>248</v>
      </c>
      <c r="B263" s="138"/>
      <c r="C263" s="139"/>
      <c r="D263" s="140"/>
      <c r="E263" s="139"/>
      <c r="F263" s="139"/>
      <c r="G263" s="191"/>
      <c r="H263" s="139"/>
      <c r="I263" s="141"/>
      <c r="J263" s="142"/>
      <c r="K263" s="139"/>
      <c r="L263" s="147"/>
      <c r="M263" s="148"/>
      <c r="N263" s="583"/>
      <c r="O263" s="229" t="str">
        <f t="shared" si="101"/>
        <v/>
      </c>
      <c r="P263" s="229" t="str">
        <f t="shared" si="102"/>
        <v/>
      </c>
      <c r="Q263" s="230" t="str">
        <f t="shared" si="103"/>
        <v/>
      </c>
      <c r="R263" s="323" t="str">
        <f t="shared" si="104"/>
        <v/>
      </c>
      <c r="S263" s="350"/>
      <c r="T263" s="43"/>
      <c r="U263" s="347" t="str">
        <f t="shared" si="81"/>
        <v/>
      </c>
      <c r="V263" s="7" t="e">
        <f t="shared" si="82"/>
        <v>#N/A</v>
      </c>
      <c r="W263" s="7" t="e">
        <f t="shared" si="83"/>
        <v>#N/A</v>
      </c>
      <c r="X263" s="7" t="e">
        <f t="shared" si="84"/>
        <v>#N/A</v>
      </c>
      <c r="Y263" s="7" t="str">
        <f t="shared" si="85"/>
        <v/>
      </c>
      <c r="Z263" s="11">
        <f t="shared" si="86"/>
        <v>1</v>
      </c>
      <c r="AA263" s="7" t="e">
        <f t="shared" si="87"/>
        <v>#N/A</v>
      </c>
      <c r="AB263" s="7" t="e">
        <f t="shared" si="88"/>
        <v>#N/A</v>
      </c>
      <c r="AC263" s="7" t="e">
        <f t="shared" si="89"/>
        <v>#N/A</v>
      </c>
      <c r="AD263" s="472" t="e">
        <f>VLOOKUP(AF263,'排出係数(2017)'!$A$4:$I$1151,9,FALSE)</f>
        <v>#N/A</v>
      </c>
      <c r="AE263" s="12" t="str">
        <f t="shared" si="90"/>
        <v xml:space="preserve"> </v>
      </c>
      <c r="AF263" s="7" t="e">
        <f t="shared" si="105"/>
        <v>#N/A</v>
      </c>
      <c r="AG263" s="7" t="e">
        <f t="shared" si="91"/>
        <v>#N/A</v>
      </c>
      <c r="AH263" s="472" t="e">
        <f>VLOOKUP(AF263,'排出係数(2017)'!$A$4:$I$1151,6,FALSE)</f>
        <v>#N/A</v>
      </c>
      <c r="AI263" s="7" t="e">
        <f t="shared" si="92"/>
        <v>#N/A</v>
      </c>
      <c r="AJ263" s="7" t="e">
        <f t="shared" si="93"/>
        <v>#N/A</v>
      </c>
      <c r="AK263" s="472" t="e">
        <f>VLOOKUP(AF263,'排出係数(2017)'!$A$4:$I$1151,7,FALSE)</f>
        <v>#N/A</v>
      </c>
      <c r="AL263" s="7" t="e">
        <f t="shared" si="94"/>
        <v>#N/A</v>
      </c>
      <c r="AM263" s="7" t="e">
        <f t="shared" si="95"/>
        <v>#N/A</v>
      </c>
      <c r="AN263" s="7" t="e">
        <f t="shared" si="96"/>
        <v>#N/A</v>
      </c>
      <c r="AO263" s="7">
        <f t="shared" si="97"/>
        <v>0</v>
      </c>
      <c r="AP263" s="7" t="e">
        <f t="shared" si="106"/>
        <v>#N/A</v>
      </c>
      <c r="AQ263" s="7" t="str">
        <f t="shared" si="98"/>
        <v/>
      </c>
      <c r="AR263" s="7" t="str">
        <f t="shared" si="99"/>
        <v/>
      </c>
      <c r="AS263" s="7" t="str">
        <f t="shared" si="100"/>
        <v/>
      </c>
      <c r="AT263" s="97"/>
      <c r="AZ263" s="477" t="s">
        <v>131</v>
      </c>
      <c r="CF263" s="586" t="str">
        <f t="shared" si="107"/>
        <v/>
      </c>
      <c r="CG263"/>
      <c r="CH263"/>
    </row>
    <row r="264" spans="1:86" s="13" customFormat="1" ht="13.75" customHeight="1">
      <c r="A264" s="137">
        <v>249</v>
      </c>
      <c r="B264" s="138"/>
      <c r="C264" s="139"/>
      <c r="D264" s="140"/>
      <c r="E264" s="139"/>
      <c r="F264" s="139"/>
      <c r="G264" s="191"/>
      <c r="H264" s="139"/>
      <c r="I264" s="141"/>
      <c r="J264" s="142"/>
      <c r="K264" s="139"/>
      <c r="L264" s="147"/>
      <c r="M264" s="148"/>
      <c r="N264" s="583"/>
      <c r="O264" s="229" t="str">
        <f t="shared" si="101"/>
        <v/>
      </c>
      <c r="P264" s="229" t="str">
        <f t="shared" si="102"/>
        <v/>
      </c>
      <c r="Q264" s="230" t="str">
        <f t="shared" si="103"/>
        <v/>
      </c>
      <c r="R264" s="323" t="str">
        <f t="shared" si="104"/>
        <v/>
      </c>
      <c r="S264" s="350"/>
      <c r="T264" s="43"/>
      <c r="U264" s="347" t="str">
        <f t="shared" si="81"/>
        <v/>
      </c>
      <c r="V264" s="7" t="e">
        <f t="shared" si="82"/>
        <v>#N/A</v>
      </c>
      <c r="W264" s="7" t="e">
        <f t="shared" si="83"/>
        <v>#N/A</v>
      </c>
      <c r="X264" s="7" t="e">
        <f t="shared" si="84"/>
        <v>#N/A</v>
      </c>
      <c r="Y264" s="7" t="str">
        <f t="shared" si="85"/>
        <v/>
      </c>
      <c r="Z264" s="11">
        <f t="shared" si="86"/>
        <v>1</v>
      </c>
      <c r="AA264" s="7" t="e">
        <f t="shared" si="87"/>
        <v>#N/A</v>
      </c>
      <c r="AB264" s="7" t="e">
        <f t="shared" si="88"/>
        <v>#N/A</v>
      </c>
      <c r="AC264" s="7" t="e">
        <f t="shared" si="89"/>
        <v>#N/A</v>
      </c>
      <c r="AD264" s="472" t="e">
        <f>VLOOKUP(AF264,'排出係数(2017)'!$A$4:$I$1151,9,FALSE)</f>
        <v>#N/A</v>
      </c>
      <c r="AE264" s="12" t="str">
        <f t="shared" si="90"/>
        <v xml:space="preserve"> </v>
      </c>
      <c r="AF264" s="7" t="e">
        <f t="shared" si="105"/>
        <v>#N/A</v>
      </c>
      <c r="AG264" s="7" t="e">
        <f t="shared" si="91"/>
        <v>#N/A</v>
      </c>
      <c r="AH264" s="472" t="e">
        <f>VLOOKUP(AF264,'排出係数(2017)'!$A$4:$I$1151,6,FALSE)</f>
        <v>#N/A</v>
      </c>
      <c r="AI264" s="7" t="e">
        <f t="shared" si="92"/>
        <v>#N/A</v>
      </c>
      <c r="AJ264" s="7" t="e">
        <f t="shared" si="93"/>
        <v>#N/A</v>
      </c>
      <c r="AK264" s="472" t="e">
        <f>VLOOKUP(AF264,'排出係数(2017)'!$A$4:$I$1151,7,FALSE)</f>
        <v>#N/A</v>
      </c>
      <c r="AL264" s="7" t="e">
        <f t="shared" si="94"/>
        <v>#N/A</v>
      </c>
      <c r="AM264" s="7" t="e">
        <f t="shared" si="95"/>
        <v>#N/A</v>
      </c>
      <c r="AN264" s="7" t="e">
        <f t="shared" si="96"/>
        <v>#N/A</v>
      </c>
      <c r="AO264" s="7">
        <f t="shared" si="97"/>
        <v>0</v>
      </c>
      <c r="AP264" s="7" t="e">
        <f t="shared" si="106"/>
        <v>#N/A</v>
      </c>
      <c r="AQ264" s="7" t="str">
        <f t="shared" si="98"/>
        <v/>
      </c>
      <c r="AR264" s="7" t="str">
        <f t="shared" si="99"/>
        <v/>
      </c>
      <c r="AS264" s="7" t="str">
        <f t="shared" si="100"/>
        <v/>
      </c>
      <c r="AT264" s="97"/>
      <c r="AZ264" s="477" t="s">
        <v>1704</v>
      </c>
      <c r="CF264" s="586" t="str">
        <f t="shared" si="107"/>
        <v/>
      </c>
      <c r="CG264"/>
      <c r="CH264"/>
    </row>
    <row r="265" spans="1:86" s="13" customFormat="1" ht="13.75" customHeight="1">
      <c r="A265" s="137">
        <v>250</v>
      </c>
      <c r="B265" s="138"/>
      <c r="C265" s="139"/>
      <c r="D265" s="140"/>
      <c r="E265" s="139"/>
      <c r="F265" s="139"/>
      <c r="G265" s="191"/>
      <c r="H265" s="139"/>
      <c r="I265" s="141"/>
      <c r="J265" s="142"/>
      <c r="K265" s="139"/>
      <c r="L265" s="147"/>
      <c r="M265" s="148"/>
      <c r="N265" s="583"/>
      <c r="O265" s="229" t="str">
        <f t="shared" si="101"/>
        <v/>
      </c>
      <c r="P265" s="229" t="str">
        <f t="shared" si="102"/>
        <v/>
      </c>
      <c r="Q265" s="230" t="str">
        <f t="shared" si="103"/>
        <v/>
      </c>
      <c r="R265" s="323" t="str">
        <f t="shared" si="104"/>
        <v/>
      </c>
      <c r="S265" s="350"/>
      <c r="T265" s="43"/>
      <c r="U265" s="347" t="str">
        <f t="shared" si="81"/>
        <v/>
      </c>
      <c r="V265" s="7" t="e">
        <f t="shared" si="82"/>
        <v>#N/A</v>
      </c>
      <c r="W265" s="7" t="e">
        <f t="shared" si="83"/>
        <v>#N/A</v>
      </c>
      <c r="X265" s="7" t="e">
        <f t="shared" si="84"/>
        <v>#N/A</v>
      </c>
      <c r="Y265" s="7" t="str">
        <f t="shared" si="85"/>
        <v/>
      </c>
      <c r="Z265" s="11">
        <f t="shared" si="86"/>
        <v>1</v>
      </c>
      <c r="AA265" s="7" t="e">
        <f t="shared" si="87"/>
        <v>#N/A</v>
      </c>
      <c r="AB265" s="7" t="e">
        <f t="shared" si="88"/>
        <v>#N/A</v>
      </c>
      <c r="AC265" s="7" t="e">
        <f t="shared" si="89"/>
        <v>#N/A</v>
      </c>
      <c r="AD265" s="472" t="e">
        <f>VLOOKUP(AF265,'排出係数(2017)'!$A$4:$I$1151,9,FALSE)</f>
        <v>#N/A</v>
      </c>
      <c r="AE265" s="12" t="str">
        <f t="shared" si="90"/>
        <v xml:space="preserve"> </v>
      </c>
      <c r="AF265" s="7" t="e">
        <f t="shared" si="105"/>
        <v>#N/A</v>
      </c>
      <c r="AG265" s="7" t="e">
        <f t="shared" si="91"/>
        <v>#N/A</v>
      </c>
      <c r="AH265" s="472" t="e">
        <f>VLOOKUP(AF265,'排出係数(2017)'!$A$4:$I$1151,6,FALSE)</f>
        <v>#N/A</v>
      </c>
      <c r="AI265" s="7" t="e">
        <f t="shared" si="92"/>
        <v>#N/A</v>
      </c>
      <c r="AJ265" s="7" t="e">
        <f t="shared" si="93"/>
        <v>#N/A</v>
      </c>
      <c r="AK265" s="472" t="e">
        <f>VLOOKUP(AF265,'排出係数(2017)'!$A$4:$I$1151,7,FALSE)</f>
        <v>#N/A</v>
      </c>
      <c r="AL265" s="7" t="e">
        <f t="shared" si="94"/>
        <v>#N/A</v>
      </c>
      <c r="AM265" s="7" t="e">
        <f t="shared" si="95"/>
        <v>#N/A</v>
      </c>
      <c r="AN265" s="7" t="e">
        <f t="shared" si="96"/>
        <v>#N/A</v>
      </c>
      <c r="AO265" s="7">
        <f t="shared" si="97"/>
        <v>0</v>
      </c>
      <c r="AP265" s="7" t="e">
        <f t="shared" si="106"/>
        <v>#N/A</v>
      </c>
      <c r="AQ265" s="7" t="str">
        <f t="shared" si="98"/>
        <v/>
      </c>
      <c r="AR265" s="7" t="str">
        <f t="shared" si="99"/>
        <v/>
      </c>
      <c r="AS265" s="7" t="str">
        <f t="shared" si="100"/>
        <v/>
      </c>
      <c r="AT265" s="97"/>
      <c r="AZ265" s="477" t="s">
        <v>1280</v>
      </c>
      <c r="CF265" s="586" t="str">
        <f t="shared" si="107"/>
        <v/>
      </c>
      <c r="CG265"/>
      <c r="CH265"/>
    </row>
    <row r="266" spans="1:86" s="13" customFormat="1" ht="13.75" customHeight="1">
      <c r="A266" s="137">
        <v>251</v>
      </c>
      <c r="B266" s="138"/>
      <c r="C266" s="139"/>
      <c r="D266" s="140"/>
      <c r="E266" s="139"/>
      <c r="F266" s="139"/>
      <c r="G266" s="191"/>
      <c r="H266" s="139"/>
      <c r="I266" s="141"/>
      <c r="J266" s="142"/>
      <c r="K266" s="139"/>
      <c r="L266" s="147"/>
      <c r="M266" s="148"/>
      <c r="N266" s="583"/>
      <c r="O266" s="229" t="str">
        <f t="shared" si="101"/>
        <v/>
      </c>
      <c r="P266" s="229" t="str">
        <f t="shared" si="102"/>
        <v/>
      </c>
      <c r="Q266" s="230" t="str">
        <f t="shared" si="103"/>
        <v/>
      </c>
      <c r="R266" s="323" t="str">
        <f t="shared" si="104"/>
        <v/>
      </c>
      <c r="S266" s="350"/>
      <c r="T266" s="43"/>
      <c r="U266" s="347" t="str">
        <f t="shared" si="81"/>
        <v/>
      </c>
      <c r="V266" s="7" t="e">
        <f t="shared" si="82"/>
        <v>#N/A</v>
      </c>
      <c r="W266" s="7" t="e">
        <f t="shared" si="83"/>
        <v>#N/A</v>
      </c>
      <c r="X266" s="7" t="e">
        <f t="shared" si="84"/>
        <v>#N/A</v>
      </c>
      <c r="Y266" s="7" t="str">
        <f t="shared" si="85"/>
        <v/>
      </c>
      <c r="Z266" s="11">
        <f t="shared" si="86"/>
        <v>1</v>
      </c>
      <c r="AA266" s="7" t="e">
        <f t="shared" si="87"/>
        <v>#N/A</v>
      </c>
      <c r="AB266" s="7" t="e">
        <f t="shared" si="88"/>
        <v>#N/A</v>
      </c>
      <c r="AC266" s="7" t="e">
        <f t="shared" si="89"/>
        <v>#N/A</v>
      </c>
      <c r="AD266" s="472" t="e">
        <f>VLOOKUP(AF266,'排出係数(2017)'!$A$4:$I$1151,9,FALSE)</f>
        <v>#N/A</v>
      </c>
      <c r="AE266" s="12" t="str">
        <f t="shared" si="90"/>
        <v xml:space="preserve"> </v>
      </c>
      <c r="AF266" s="7" t="e">
        <f t="shared" si="105"/>
        <v>#N/A</v>
      </c>
      <c r="AG266" s="7" t="e">
        <f t="shared" si="91"/>
        <v>#N/A</v>
      </c>
      <c r="AH266" s="472" t="e">
        <f>VLOOKUP(AF266,'排出係数(2017)'!$A$4:$I$1151,6,FALSE)</f>
        <v>#N/A</v>
      </c>
      <c r="AI266" s="7" t="e">
        <f t="shared" si="92"/>
        <v>#N/A</v>
      </c>
      <c r="AJ266" s="7" t="e">
        <f t="shared" si="93"/>
        <v>#N/A</v>
      </c>
      <c r="AK266" s="472" t="e">
        <f>VLOOKUP(AF266,'排出係数(2017)'!$A$4:$I$1151,7,FALSE)</f>
        <v>#N/A</v>
      </c>
      <c r="AL266" s="7" t="e">
        <f t="shared" si="94"/>
        <v>#N/A</v>
      </c>
      <c r="AM266" s="7" t="e">
        <f t="shared" si="95"/>
        <v>#N/A</v>
      </c>
      <c r="AN266" s="7" t="e">
        <f t="shared" si="96"/>
        <v>#N/A</v>
      </c>
      <c r="AO266" s="7">
        <f t="shared" si="97"/>
        <v>0</v>
      </c>
      <c r="AP266" s="7" t="e">
        <f t="shared" si="106"/>
        <v>#N/A</v>
      </c>
      <c r="AQ266" s="7" t="str">
        <f t="shared" si="98"/>
        <v/>
      </c>
      <c r="AR266" s="7" t="str">
        <f t="shared" si="99"/>
        <v/>
      </c>
      <c r="AS266" s="7" t="str">
        <f t="shared" si="100"/>
        <v/>
      </c>
      <c r="AT266" s="97"/>
      <c r="AZ266" s="477" t="s">
        <v>1311</v>
      </c>
      <c r="CF266" s="586" t="str">
        <f t="shared" si="107"/>
        <v/>
      </c>
      <c r="CG266"/>
      <c r="CH266"/>
    </row>
    <row r="267" spans="1:86" s="13" customFormat="1" ht="13.75" customHeight="1">
      <c r="A267" s="137">
        <v>252</v>
      </c>
      <c r="B267" s="138"/>
      <c r="C267" s="139"/>
      <c r="D267" s="140"/>
      <c r="E267" s="139"/>
      <c r="F267" s="139"/>
      <c r="G267" s="191"/>
      <c r="H267" s="139"/>
      <c r="I267" s="141"/>
      <c r="J267" s="142"/>
      <c r="K267" s="139"/>
      <c r="L267" s="147"/>
      <c r="M267" s="148"/>
      <c r="N267" s="583"/>
      <c r="O267" s="229" t="str">
        <f t="shared" si="101"/>
        <v/>
      </c>
      <c r="P267" s="229" t="str">
        <f t="shared" si="102"/>
        <v/>
      </c>
      <c r="Q267" s="230" t="str">
        <f t="shared" si="103"/>
        <v/>
      </c>
      <c r="R267" s="323" t="str">
        <f t="shared" si="104"/>
        <v/>
      </c>
      <c r="S267" s="350"/>
      <c r="T267" s="43"/>
      <c r="U267" s="347" t="str">
        <f t="shared" si="81"/>
        <v/>
      </c>
      <c r="V267" s="7" t="e">
        <f t="shared" si="82"/>
        <v>#N/A</v>
      </c>
      <c r="W267" s="7" t="e">
        <f t="shared" si="83"/>
        <v>#N/A</v>
      </c>
      <c r="X267" s="7" t="e">
        <f t="shared" si="84"/>
        <v>#N/A</v>
      </c>
      <c r="Y267" s="7" t="str">
        <f t="shared" si="85"/>
        <v/>
      </c>
      <c r="Z267" s="11">
        <f t="shared" si="86"/>
        <v>1</v>
      </c>
      <c r="AA267" s="7" t="e">
        <f t="shared" si="87"/>
        <v>#N/A</v>
      </c>
      <c r="AB267" s="7" t="e">
        <f t="shared" si="88"/>
        <v>#N/A</v>
      </c>
      <c r="AC267" s="7" t="e">
        <f t="shared" si="89"/>
        <v>#N/A</v>
      </c>
      <c r="AD267" s="472" t="e">
        <f>VLOOKUP(AF267,'排出係数(2017)'!$A$4:$I$1151,9,FALSE)</f>
        <v>#N/A</v>
      </c>
      <c r="AE267" s="12" t="str">
        <f t="shared" si="90"/>
        <v xml:space="preserve"> </v>
      </c>
      <c r="AF267" s="7" t="e">
        <f t="shared" si="105"/>
        <v>#N/A</v>
      </c>
      <c r="AG267" s="7" t="e">
        <f t="shared" si="91"/>
        <v>#N/A</v>
      </c>
      <c r="AH267" s="472" t="e">
        <f>VLOOKUP(AF267,'排出係数(2017)'!$A$4:$I$1151,6,FALSE)</f>
        <v>#N/A</v>
      </c>
      <c r="AI267" s="7" t="e">
        <f t="shared" si="92"/>
        <v>#N/A</v>
      </c>
      <c r="AJ267" s="7" t="e">
        <f t="shared" si="93"/>
        <v>#N/A</v>
      </c>
      <c r="AK267" s="472" t="e">
        <f>VLOOKUP(AF267,'排出係数(2017)'!$A$4:$I$1151,7,FALSE)</f>
        <v>#N/A</v>
      </c>
      <c r="AL267" s="7" t="e">
        <f t="shared" si="94"/>
        <v>#N/A</v>
      </c>
      <c r="AM267" s="7" t="e">
        <f t="shared" si="95"/>
        <v>#N/A</v>
      </c>
      <c r="AN267" s="7" t="e">
        <f t="shared" si="96"/>
        <v>#N/A</v>
      </c>
      <c r="AO267" s="7">
        <f t="shared" si="97"/>
        <v>0</v>
      </c>
      <c r="AP267" s="7" t="e">
        <f t="shared" si="106"/>
        <v>#N/A</v>
      </c>
      <c r="AQ267" s="7" t="str">
        <f t="shared" si="98"/>
        <v/>
      </c>
      <c r="AR267" s="7" t="str">
        <f t="shared" si="99"/>
        <v/>
      </c>
      <c r="AS267" s="7" t="str">
        <f t="shared" si="100"/>
        <v/>
      </c>
      <c r="AT267" s="97"/>
      <c r="AZ267" s="477" t="s">
        <v>1361</v>
      </c>
      <c r="CF267" s="586" t="str">
        <f t="shared" si="107"/>
        <v/>
      </c>
      <c r="CG267"/>
      <c r="CH267"/>
    </row>
    <row r="268" spans="1:86" s="13" customFormat="1" ht="13.75" customHeight="1">
      <c r="A268" s="137">
        <v>253</v>
      </c>
      <c r="B268" s="138"/>
      <c r="C268" s="139"/>
      <c r="D268" s="140"/>
      <c r="E268" s="139"/>
      <c r="F268" s="139"/>
      <c r="G268" s="191"/>
      <c r="H268" s="139"/>
      <c r="I268" s="141"/>
      <c r="J268" s="142"/>
      <c r="K268" s="139"/>
      <c r="L268" s="147"/>
      <c r="M268" s="148"/>
      <c r="N268" s="583"/>
      <c r="O268" s="229" t="str">
        <f t="shared" si="101"/>
        <v/>
      </c>
      <c r="P268" s="229" t="str">
        <f t="shared" si="102"/>
        <v/>
      </c>
      <c r="Q268" s="230" t="str">
        <f t="shared" si="103"/>
        <v/>
      </c>
      <c r="R268" s="323" t="str">
        <f t="shared" si="104"/>
        <v/>
      </c>
      <c r="S268" s="350"/>
      <c r="T268" s="43"/>
      <c r="U268" s="347" t="str">
        <f t="shared" si="81"/>
        <v/>
      </c>
      <c r="V268" s="7" t="e">
        <f t="shared" si="82"/>
        <v>#N/A</v>
      </c>
      <c r="W268" s="7" t="e">
        <f t="shared" si="83"/>
        <v>#N/A</v>
      </c>
      <c r="X268" s="7" t="e">
        <f t="shared" si="84"/>
        <v>#N/A</v>
      </c>
      <c r="Y268" s="7" t="str">
        <f t="shared" si="85"/>
        <v/>
      </c>
      <c r="Z268" s="11">
        <f t="shared" si="86"/>
        <v>1</v>
      </c>
      <c r="AA268" s="7" t="e">
        <f t="shared" si="87"/>
        <v>#N/A</v>
      </c>
      <c r="AB268" s="7" t="e">
        <f t="shared" si="88"/>
        <v>#N/A</v>
      </c>
      <c r="AC268" s="7" t="e">
        <f t="shared" si="89"/>
        <v>#N/A</v>
      </c>
      <c r="AD268" s="472" t="e">
        <f>VLOOKUP(AF268,'排出係数(2017)'!$A$4:$I$1151,9,FALSE)</f>
        <v>#N/A</v>
      </c>
      <c r="AE268" s="12" t="str">
        <f t="shared" si="90"/>
        <v xml:space="preserve"> </v>
      </c>
      <c r="AF268" s="7" t="e">
        <f t="shared" si="105"/>
        <v>#N/A</v>
      </c>
      <c r="AG268" s="7" t="e">
        <f t="shared" si="91"/>
        <v>#N/A</v>
      </c>
      <c r="AH268" s="472" t="e">
        <f>VLOOKUP(AF268,'排出係数(2017)'!$A$4:$I$1151,6,FALSE)</f>
        <v>#N/A</v>
      </c>
      <c r="AI268" s="7" t="e">
        <f t="shared" si="92"/>
        <v>#N/A</v>
      </c>
      <c r="AJ268" s="7" t="e">
        <f t="shared" si="93"/>
        <v>#N/A</v>
      </c>
      <c r="AK268" s="472" t="e">
        <f>VLOOKUP(AF268,'排出係数(2017)'!$A$4:$I$1151,7,FALSE)</f>
        <v>#N/A</v>
      </c>
      <c r="AL268" s="7" t="e">
        <f t="shared" si="94"/>
        <v>#N/A</v>
      </c>
      <c r="AM268" s="7" t="e">
        <f t="shared" si="95"/>
        <v>#N/A</v>
      </c>
      <c r="AN268" s="7" t="e">
        <f t="shared" si="96"/>
        <v>#N/A</v>
      </c>
      <c r="AO268" s="7">
        <f t="shared" si="97"/>
        <v>0</v>
      </c>
      <c r="AP268" s="7" t="e">
        <f t="shared" si="106"/>
        <v>#N/A</v>
      </c>
      <c r="AQ268" s="7" t="str">
        <f t="shared" si="98"/>
        <v/>
      </c>
      <c r="AR268" s="7" t="str">
        <f t="shared" si="99"/>
        <v/>
      </c>
      <c r="AS268" s="7" t="str">
        <f t="shared" si="100"/>
        <v/>
      </c>
      <c r="AT268" s="97"/>
      <c r="AZ268" s="477" t="s">
        <v>132</v>
      </c>
      <c r="CF268" s="586" t="str">
        <f t="shared" si="107"/>
        <v/>
      </c>
      <c r="CG268"/>
      <c r="CH268"/>
    </row>
    <row r="269" spans="1:86" s="13" customFormat="1" ht="13.75" customHeight="1">
      <c r="A269" s="137">
        <v>254</v>
      </c>
      <c r="B269" s="138"/>
      <c r="C269" s="139"/>
      <c r="D269" s="140"/>
      <c r="E269" s="139"/>
      <c r="F269" s="139"/>
      <c r="G269" s="191"/>
      <c r="H269" s="139"/>
      <c r="I269" s="141"/>
      <c r="J269" s="142"/>
      <c r="K269" s="139"/>
      <c r="L269" s="147"/>
      <c r="M269" s="148"/>
      <c r="N269" s="583"/>
      <c r="O269" s="229" t="str">
        <f t="shared" si="101"/>
        <v/>
      </c>
      <c r="P269" s="229" t="str">
        <f t="shared" si="102"/>
        <v/>
      </c>
      <c r="Q269" s="230" t="str">
        <f t="shared" si="103"/>
        <v/>
      </c>
      <c r="R269" s="323" t="str">
        <f t="shared" si="104"/>
        <v/>
      </c>
      <c r="S269" s="350"/>
      <c r="T269" s="43"/>
      <c r="U269" s="347" t="str">
        <f t="shared" si="81"/>
        <v/>
      </c>
      <c r="V269" s="7" t="e">
        <f t="shared" si="82"/>
        <v>#N/A</v>
      </c>
      <c r="W269" s="7" t="e">
        <f t="shared" si="83"/>
        <v>#N/A</v>
      </c>
      <c r="X269" s="7" t="e">
        <f t="shared" si="84"/>
        <v>#N/A</v>
      </c>
      <c r="Y269" s="7" t="str">
        <f t="shared" si="85"/>
        <v/>
      </c>
      <c r="Z269" s="11">
        <f t="shared" si="86"/>
        <v>1</v>
      </c>
      <c r="AA269" s="7" t="e">
        <f t="shared" si="87"/>
        <v>#N/A</v>
      </c>
      <c r="AB269" s="7" t="e">
        <f t="shared" si="88"/>
        <v>#N/A</v>
      </c>
      <c r="AC269" s="7" t="e">
        <f t="shared" si="89"/>
        <v>#N/A</v>
      </c>
      <c r="AD269" s="472" t="e">
        <f>VLOOKUP(AF269,'排出係数(2017)'!$A$4:$I$1151,9,FALSE)</f>
        <v>#N/A</v>
      </c>
      <c r="AE269" s="12" t="str">
        <f t="shared" si="90"/>
        <v xml:space="preserve"> </v>
      </c>
      <c r="AF269" s="7" t="e">
        <f t="shared" si="105"/>
        <v>#N/A</v>
      </c>
      <c r="AG269" s="7" t="e">
        <f t="shared" si="91"/>
        <v>#N/A</v>
      </c>
      <c r="AH269" s="472" t="e">
        <f>VLOOKUP(AF269,'排出係数(2017)'!$A$4:$I$1151,6,FALSE)</f>
        <v>#N/A</v>
      </c>
      <c r="AI269" s="7" t="e">
        <f t="shared" si="92"/>
        <v>#N/A</v>
      </c>
      <c r="AJ269" s="7" t="e">
        <f t="shared" si="93"/>
        <v>#N/A</v>
      </c>
      <c r="AK269" s="472" t="e">
        <f>VLOOKUP(AF269,'排出係数(2017)'!$A$4:$I$1151,7,FALSE)</f>
        <v>#N/A</v>
      </c>
      <c r="AL269" s="7" t="e">
        <f t="shared" si="94"/>
        <v>#N/A</v>
      </c>
      <c r="AM269" s="7" t="e">
        <f t="shared" si="95"/>
        <v>#N/A</v>
      </c>
      <c r="AN269" s="7" t="e">
        <f t="shared" si="96"/>
        <v>#N/A</v>
      </c>
      <c r="AO269" s="7">
        <f t="shared" si="97"/>
        <v>0</v>
      </c>
      <c r="AP269" s="7" t="e">
        <f t="shared" si="106"/>
        <v>#N/A</v>
      </c>
      <c r="AQ269" s="7" t="str">
        <f t="shared" si="98"/>
        <v/>
      </c>
      <c r="AR269" s="7" t="str">
        <f t="shared" si="99"/>
        <v/>
      </c>
      <c r="AS269" s="7" t="str">
        <f t="shared" si="100"/>
        <v/>
      </c>
      <c r="AT269" s="97"/>
      <c r="AZ269" s="477" t="s">
        <v>1057</v>
      </c>
      <c r="CF269" s="586" t="str">
        <f t="shared" si="107"/>
        <v/>
      </c>
      <c r="CG269"/>
      <c r="CH269"/>
    </row>
    <row r="270" spans="1:86" s="13" customFormat="1" ht="13.75" customHeight="1">
      <c r="A270" s="137">
        <v>255</v>
      </c>
      <c r="B270" s="138"/>
      <c r="C270" s="139"/>
      <c r="D270" s="140"/>
      <c r="E270" s="139"/>
      <c r="F270" s="139"/>
      <c r="G270" s="191"/>
      <c r="H270" s="139"/>
      <c r="I270" s="141"/>
      <c r="J270" s="142"/>
      <c r="K270" s="139"/>
      <c r="L270" s="147"/>
      <c r="M270" s="148"/>
      <c r="N270" s="583"/>
      <c r="O270" s="229" t="str">
        <f t="shared" si="101"/>
        <v/>
      </c>
      <c r="P270" s="229" t="str">
        <f t="shared" si="102"/>
        <v/>
      </c>
      <c r="Q270" s="230" t="str">
        <f t="shared" si="103"/>
        <v/>
      </c>
      <c r="R270" s="323" t="str">
        <f t="shared" si="104"/>
        <v/>
      </c>
      <c r="S270" s="350"/>
      <c r="T270" s="43"/>
      <c r="U270" s="347" t="str">
        <f t="shared" si="81"/>
        <v/>
      </c>
      <c r="V270" s="7" t="e">
        <f t="shared" si="82"/>
        <v>#N/A</v>
      </c>
      <c r="W270" s="7" t="e">
        <f t="shared" si="83"/>
        <v>#N/A</v>
      </c>
      <c r="X270" s="7" t="e">
        <f t="shared" si="84"/>
        <v>#N/A</v>
      </c>
      <c r="Y270" s="7" t="str">
        <f t="shared" si="85"/>
        <v/>
      </c>
      <c r="Z270" s="11">
        <f t="shared" si="86"/>
        <v>1</v>
      </c>
      <c r="AA270" s="7" t="e">
        <f t="shared" si="87"/>
        <v>#N/A</v>
      </c>
      <c r="AB270" s="7" t="e">
        <f t="shared" si="88"/>
        <v>#N/A</v>
      </c>
      <c r="AC270" s="7" t="e">
        <f t="shared" si="89"/>
        <v>#N/A</v>
      </c>
      <c r="AD270" s="472" t="e">
        <f>VLOOKUP(AF270,'排出係数(2017)'!$A$4:$I$1151,9,FALSE)</f>
        <v>#N/A</v>
      </c>
      <c r="AE270" s="12" t="str">
        <f t="shared" si="90"/>
        <v xml:space="preserve"> </v>
      </c>
      <c r="AF270" s="7" t="e">
        <f t="shared" si="105"/>
        <v>#N/A</v>
      </c>
      <c r="AG270" s="7" t="e">
        <f t="shared" si="91"/>
        <v>#N/A</v>
      </c>
      <c r="AH270" s="472" t="e">
        <f>VLOOKUP(AF270,'排出係数(2017)'!$A$4:$I$1151,6,FALSE)</f>
        <v>#N/A</v>
      </c>
      <c r="AI270" s="7" t="e">
        <f t="shared" si="92"/>
        <v>#N/A</v>
      </c>
      <c r="AJ270" s="7" t="e">
        <f t="shared" si="93"/>
        <v>#N/A</v>
      </c>
      <c r="AK270" s="472" t="e">
        <f>VLOOKUP(AF270,'排出係数(2017)'!$A$4:$I$1151,7,FALSE)</f>
        <v>#N/A</v>
      </c>
      <c r="AL270" s="7" t="e">
        <f t="shared" si="94"/>
        <v>#N/A</v>
      </c>
      <c r="AM270" s="7" t="e">
        <f t="shared" si="95"/>
        <v>#N/A</v>
      </c>
      <c r="AN270" s="7" t="e">
        <f t="shared" si="96"/>
        <v>#N/A</v>
      </c>
      <c r="AO270" s="7">
        <f t="shared" si="97"/>
        <v>0</v>
      </c>
      <c r="AP270" s="7" t="e">
        <f t="shared" si="106"/>
        <v>#N/A</v>
      </c>
      <c r="AQ270" s="7" t="str">
        <f t="shared" si="98"/>
        <v/>
      </c>
      <c r="AR270" s="7" t="str">
        <f t="shared" si="99"/>
        <v/>
      </c>
      <c r="AS270" s="7" t="str">
        <f t="shared" si="100"/>
        <v/>
      </c>
      <c r="AT270" s="97"/>
      <c r="AZ270" s="477" t="s">
        <v>133</v>
      </c>
      <c r="CF270" s="586" t="str">
        <f t="shared" si="107"/>
        <v/>
      </c>
      <c r="CG270"/>
      <c r="CH270"/>
    </row>
    <row r="271" spans="1:86" s="13" customFormat="1" ht="13.75" customHeight="1">
      <c r="A271" s="137">
        <v>256</v>
      </c>
      <c r="B271" s="138"/>
      <c r="C271" s="139"/>
      <c r="D271" s="140"/>
      <c r="E271" s="139"/>
      <c r="F271" s="139"/>
      <c r="G271" s="191"/>
      <c r="H271" s="139"/>
      <c r="I271" s="141"/>
      <c r="J271" s="142"/>
      <c r="K271" s="139"/>
      <c r="L271" s="147"/>
      <c r="M271" s="148"/>
      <c r="N271" s="583"/>
      <c r="O271" s="229" t="str">
        <f t="shared" si="101"/>
        <v/>
      </c>
      <c r="P271" s="229" t="str">
        <f t="shared" si="102"/>
        <v/>
      </c>
      <c r="Q271" s="230" t="str">
        <f t="shared" si="103"/>
        <v/>
      </c>
      <c r="R271" s="323" t="str">
        <f t="shared" si="104"/>
        <v/>
      </c>
      <c r="S271" s="350"/>
      <c r="T271" s="43"/>
      <c r="U271" s="347" t="str">
        <f t="shared" si="81"/>
        <v/>
      </c>
      <c r="V271" s="7" t="e">
        <f t="shared" si="82"/>
        <v>#N/A</v>
      </c>
      <c r="W271" s="7" t="e">
        <f t="shared" si="83"/>
        <v>#N/A</v>
      </c>
      <c r="X271" s="7" t="e">
        <f t="shared" si="84"/>
        <v>#N/A</v>
      </c>
      <c r="Y271" s="7" t="str">
        <f t="shared" si="85"/>
        <v/>
      </c>
      <c r="Z271" s="11">
        <f t="shared" si="86"/>
        <v>1</v>
      </c>
      <c r="AA271" s="7" t="e">
        <f t="shared" si="87"/>
        <v>#N/A</v>
      </c>
      <c r="AB271" s="7" t="e">
        <f t="shared" si="88"/>
        <v>#N/A</v>
      </c>
      <c r="AC271" s="7" t="e">
        <f t="shared" si="89"/>
        <v>#N/A</v>
      </c>
      <c r="AD271" s="472" t="e">
        <f>VLOOKUP(AF271,'排出係数(2017)'!$A$4:$I$1151,9,FALSE)</f>
        <v>#N/A</v>
      </c>
      <c r="AE271" s="12" t="str">
        <f t="shared" si="90"/>
        <v xml:space="preserve"> </v>
      </c>
      <c r="AF271" s="7" t="e">
        <f t="shared" si="105"/>
        <v>#N/A</v>
      </c>
      <c r="AG271" s="7" t="e">
        <f t="shared" si="91"/>
        <v>#N/A</v>
      </c>
      <c r="AH271" s="472" t="e">
        <f>VLOOKUP(AF271,'排出係数(2017)'!$A$4:$I$1151,6,FALSE)</f>
        <v>#N/A</v>
      </c>
      <c r="AI271" s="7" t="e">
        <f t="shared" si="92"/>
        <v>#N/A</v>
      </c>
      <c r="AJ271" s="7" t="e">
        <f t="shared" si="93"/>
        <v>#N/A</v>
      </c>
      <c r="AK271" s="472" t="e">
        <f>VLOOKUP(AF271,'排出係数(2017)'!$A$4:$I$1151,7,FALSE)</f>
        <v>#N/A</v>
      </c>
      <c r="AL271" s="7" t="e">
        <f t="shared" si="94"/>
        <v>#N/A</v>
      </c>
      <c r="AM271" s="7" t="e">
        <f t="shared" si="95"/>
        <v>#N/A</v>
      </c>
      <c r="AN271" s="7" t="e">
        <f t="shared" si="96"/>
        <v>#N/A</v>
      </c>
      <c r="AO271" s="7">
        <f t="shared" si="97"/>
        <v>0</v>
      </c>
      <c r="AP271" s="7" t="e">
        <f t="shared" si="106"/>
        <v>#N/A</v>
      </c>
      <c r="AQ271" s="7" t="str">
        <f t="shared" si="98"/>
        <v/>
      </c>
      <c r="AR271" s="7" t="str">
        <f t="shared" si="99"/>
        <v/>
      </c>
      <c r="AS271" s="7" t="str">
        <f t="shared" si="100"/>
        <v/>
      </c>
      <c r="AT271" s="97"/>
      <c r="AZ271" s="477" t="s">
        <v>1049</v>
      </c>
      <c r="CF271" s="586" t="str">
        <f t="shared" si="107"/>
        <v/>
      </c>
      <c r="CG271"/>
      <c r="CH271"/>
    </row>
    <row r="272" spans="1:86" s="13" customFormat="1" ht="13.75" customHeight="1">
      <c r="A272" s="137">
        <v>257</v>
      </c>
      <c r="B272" s="138"/>
      <c r="C272" s="139"/>
      <c r="D272" s="140"/>
      <c r="E272" s="139"/>
      <c r="F272" s="139"/>
      <c r="G272" s="191"/>
      <c r="H272" s="139"/>
      <c r="I272" s="141"/>
      <c r="J272" s="142"/>
      <c r="K272" s="139"/>
      <c r="L272" s="147"/>
      <c r="M272" s="148"/>
      <c r="N272" s="583"/>
      <c r="O272" s="229" t="str">
        <f t="shared" si="101"/>
        <v/>
      </c>
      <c r="P272" s="229" t="str">
        <f t="shared" si="102"/>
        <v/>
      </c>
      <c r="Q272" s="230" t="str">
        <f t="shared" si="103"/>
        <v/>
      </c>
      <c r="R272" s="323" t="str">
        <f t="shared" si="104"/>
        <v/>
      </c>
      <c r="S272" s="350"/>
      <c r="T272" s="43"/>
      <c r="U272" s="347" t="str">
        <f t="shared" ref="U272:U335" si="108">IF(ISBLANK(H272)=TRUE,"",IF(OR(ISBLANK(B272)=TRUE),1,""))</f>
        <v/>
      </c>
      <c r="V272" s="7" t="e">
        <f t="shared" ref="V272:V335" si="109">VLOOKUP(H272,$AU$17:$AX$23,2,FALSE)</f>
        <v>#N/A</v>
      </c>
      <c r="W272" s="7" t="e">
        <f t="shared" ref="W272:W335" si="110">VLOOKUP(H272,$AU$17:$AX$23,3,FALSE)</f>
        <v>#N/A</v>
      </c>
      <c r="X272" s="7" t="e">
        <f t="shared" ref="X272:X335" si="111">VLOOKUP(H272,$AU$17:$AX$23,4,FALSE)</f>
        <v>#N/A</v>
      </c>
      <c r="Y272" s="7" t="str">
        <f t="shared" ref="Y272:Y335" si="112">IF(ISERROR(SEARCH("-",I272,1))=TRUE,ASC(UPPER(I272)),ASC(UPPER(LEFT(I272,SEARCH("-",I272,1)-1))))</f>
        <v/>
      </c>
      <c r="Z272" s="11">
        <f t="shared" ref="Z272:Z335" si="113">IF(J272&gt;3500,J272/1000,1)</f>
        <v>1</v>
      </c>
      <c r="AA272" s="7" t="e">
        <f t="shared" ref="AA272:AA335" si="114">IF(X272=9,0,IF(J272&lt;=1700,1,IF(J272&lt;=2500,2,IF(J272&lt;=3500,3,4))))</f>
        <v>#N/A</v>
      </c>
      <c r="AB272" s="7" t="e">
        <f t="shared" ref="AB272:AB335" si="115">IF(X272=5,0,IF(X272=9,0,IF(J272&lt;=1700,1,IF(J272&lt;=2500,2,IF(J272&lt;=3500,3,4)))))</f>
        <v>#N/A</v>
      </c>
      <c r="AC272" s="7" t="e">
        <f t="shared" ref="AC272:AC335" si="116">VLOOKUP(K272,$BC$17:$BD$25,2,FALSE)</f>
        <v>#N/A</v>
      </c>
      <c r="AD272" s="472" t="e">
        <f>VLOOKUP(AF272,'排出係数(2017)'!$A$4:$I$1151,9,FALSE)</f>
        <v>#N/A</v>
      </c>
      <c r="AE272" s="12" t="str">
        <f t="shared" ref="AE272:AE335" si="117">IF(OR(ISBLANK(K272)=TRUE,ISBLANK(B272)=TRUE)," ",CONCATENATE(B272,X272,AA272))</f>
        <v xml:space="preserve"> </v>
      </c>
      <c r="AF272" s="7" t="e">
        <f t="shared" si="105"/>
        <v>#N/A</v>
      </c>
      <c r="AG272" s="7" t="e">
        <f t="shared" ref="AG272:AG335" si="118">IF(AND(L272="あり",AC272="軽"),AI272,AH272)</f>
        <v>#N/A</v>
      </c>
      <c r="AH272" s="472" t="e">
        <f>VLOOKUP(AF272,'排出係数(2017)'!$A$4:$I$1151,6,FALSE)</f>
        <v>#N/A</v>
      </c>
      <c r="AI272" s="7" t="e">
        <f t="shared" ref="AI272:AI335" si="119">VLOOKUP(AB272,$BQ$17:$BU$21,2,FALSE)</f>
        <v>#N/A</v>
      </c>
      <c r="AJ272" s="7" t="e">
        <f t="shared" ref="AJ272:AJ335" si="120">IF(AND(L272="あり",M272="なし",AC272="軽"),AL272,IF(AND(L272="あり",M272="あり(H17なし)",AC272="軽"),AL272,IF(AND(L272="あり",M272="",AC272="軽"),AL272,IF(AND(L272="なし",M272="あり(H17なし)",AC272="軽"),AM272,IF(AND(L272="",M272="あり(H17なし)",AC272="軽"),AM272,IF(AND(M272="あり(H17あり)",AC272="軽"),AN272,AK272))))))</f>
        <v>#N/A</v>
      </c>
      <c r="AK272" s="472" t="e">
        <f>VLOOKUP(AF272,'排出係数(2017)'!$A$4:$I$1151,7,FALSE)</f>
        <v>#N/A</v>
      </c>
      <c r="AL272" s="7" t="e">
        <f t="shared" ref="AL272:AL335" si="121">VLOOKUP(AB272,$BQ$17:$BU$21,3,FALSE)</f>
        <v>#N/A</v>
      </c>
      <c r="AM272" s="7" t="e">
        <f t="shared" ref="AM272:AM335" si="122">VLOOKUP(AB272,$BQ$17:$BU$21,4,FALSE)</f>
        <v>#N/A</v>
      </c>
      <c r="AN272" s="7" t="e">
        <f t="shared" ref="AN272:AN335" si="123">VLOOKUP(AB272,$BQ$17:$BU$21,5,FALSE)</f>
        <v>#N/A</v>
      </c>
      <c r="AO272" s="7">
        <f t="shared" ref="AO272:AO335" si="124">IF(AND(L272="なし",M272="なし"),0,IF(AND(L272="",M272=""),0,IF(AND(L272="",M272="なし"),0,IF(AND(L272="なし",M272=""),0,1))))</f>
        <v>0</v>
      </c>
      <c r="AP272" s="7" t="e">
        <f t="shared" si="106"/>
        <v>#N/A</v>
      </c>
      <c r="AQ272" s="7" t="str">
        <f t="shared" ref="AQ272:AQ335" si="125">IF(H272="","",VLOOKUP(H272,$AU$17:$AY$25,5,FALSE))</f>
        <v/>
      </c>
      <c r="AR272" s="7" t="str">
        <f t="shared" ref="AR272:AR335" si="126">IF(D272="","",VLOOKUP(CONCATENATE("A",LEFT(D272)),$BN$17:$BO$26,2,FALSE))</f>
        <v/>
      </c>
      <c r="AS272" s="7" t="str">
        <f t="shared" ref="AS272:AS335" si="127">IF(AQ272=AR272,"",1)</f>
        <v/>
      </c>
      <c r="AT272" s="97"/>
      <c r="AZ272" s="477" t="s">
        <v>134</v>
      </c>
      <c r="CF272" s="586" t="str">
        <f t="shared" si="107"/>
        <v/>
      </c>
      <c r="CG272"/>
      <c r="CH272"/>
    </row>
    <row r="273" spans="1:86" s="13" customFormat="1" ht="13.75" customHeight="1">
      <c r="A273" s="137">
        <v>258</v>
      </c>
      <c r="B273" s="138"/>
      <c r="C273" s="139"/>
      <c r="D273" s="140"/>
      <c r="E273" s="139"/>
      <c r="F273" s="139"/>
      <c r="G273" s="191"/>
      <c r="H273" s="139"/>
      <c r="I273" s="141"/>
      <c r="J273" s="142"/>
      <c r="K273" s="139"/>
      <c r="L273" s="147"/>
      <c r="M273" s="148"/>
      <c r="N273" s="583"/>
      <c r="O273" s="229" t="str">
        <f t="shared" ref="O273:O336" si="128">IF(ISBLANK(K273)=TRUE,"",IF(ISNUMBER(AG273)=TRUE,AG273,"0"))</f>
        <v/>
      </c>
      <c r="P273" s="229" t="str">
        <f t="shared" ref="P273:P336" si="129">IF(ISBLANK($K273)=TRUE,"",IF(ISNUMBER(AJ273)=TRUE,AJ273,"0"))</f>
        <v/>
      </c>
      <c r="Q273" s="230" t="str">
        <f t="shared" ref="Q273:Q336" si="130">IF(O273="","",IF(ISERROR(O273*N273*Z273),"0",IF(ISBLANK(O273)=TRUE,"0",IF(ISBLANK(N273)=TRUE,"0",IF(AS273=1,"0",O273*N273*Z273/1000)))))</f>
        <v/>
      </c>
      <c r="R273" s="323" t="str">
        <f t="shared" ref="R273:R336" si="131">IF(P273="","",IF(ISERROR(P273*N273*Z273),"0",IF(ISBLANK(P273)=TRUE,"0",IF(ISBLANK(N273)=TRUE,"0",IF(AS273=1,"0",P273*N273*Z273/1000)))))</f>
        <v/>
      </c>
      <c r="S273" s="350"/>
      <c r="T273" s="43"/>
      <c r="U273" s="347" t="str">
        <f t="shared" si="108"/>
        <v/>
      </c>
      <c r="V273" s="7" t="e">
        <f t="shared" si="109"/>
        <v>#N/A</v>
      </c>
      <c r="W273" s="7" t="e">
        <f t="shared" si="110"/>
        <v>#N/A</v>
      </c>
      <c r="X273" s="7" t="e">
        <f t="shared" si="111"/>
        <v>#N/A</v>
      </c>
      <c r="Y273" s="7" t="str">
        <f t="shared" si="112"/>
        <v/>
      </c>
      <c r="Z273" s="11">
        <f t="shared" si="113"/>
        <v>1</v>
      </c>
      <c r="AA273" s="7" t="e">
        <f t="shared" si="114"/>
        <v>#N/A</v>
      </c>
      <c r="AB273" s="7" t="e">
        <f t="shared" si="115"/>
        <v>#N/A</v>
      </c>
      <c r="AC273" s="7" t="e">
        <f t="shared" si="116"/>
        <v>#N/A</v>
      </c>
      <c r="AD273" s="472" t="e">
        <f>VLOOKUP(AF273,'排出係数(2017)'!$A$4:$I$1151,9,FALSE)</f>
        <v>#N/A</v>
      </c>
      <c r="AE273" s="12" t="str">
        <f t="shared" si="117"/>
        <v xml:space="preserve"> </v>
      </c>
      <c r="AF273" s="7" t="e">
        <f t="shared" ref="AF273:AF336" si="132">CONCATENATE(V273,AB273,AC273,Y273)</f>
        <v>#N/A</v>
      </c>
      <c r="AG273" s="7" t="e">
        <f t="shared" si="118"/>
        <v>#N/A</v>
      </c>
      <c r="AH273" s="472" t="e">
        <f>VLOOKUP(AF273,'排出係数(2017)'!$A$4:$I$1151,6,FALSE)</f>
        <v>#N/A</v>
      </c>
      <c r="AI273" s="7" t="e">
        <f t="shared" si="119"/>
        <v>#N/A</v>
      </c>
      <c r="AJ273" s="7" t="e">
        <f t="shared" si="120"/>
        <v>#N/A</v>
      </c>
      <c r="AK273" s="472" t="e">
        <f>VLOOKUP(AF273,'排出係数(2017)'!$A$4:$I$1151,7,FALSE)</f>
        <v>#N/A</v>
      </c>
      <c r="AL273" s="7" t="e">
        <f t="shared" si="121"/>
        <v>#N/A</v>
      </c>
      <c r="AM273" s="7" t="e">
        <f t="shared" si="122"/>
        <v>#N/A</v>
      </c>
      <c r="AN273" s="7" t="e">
        <f t="shared" si="123"/>
        <v>#N/A</v>
      </c>
      <c r="AO273" s="7">
        <f t="shared" si="124"/>
        <v>0</v>
      </c>
      <c r="AP273" s="7" t="e">
        <f t="shared" ref="AP273:AP336" si="133">VLOOKUP(AF273,排出係数表,8,FALSE)</f>
        <v>#N/A</v>
      </c>
      <c r="AQ273" s="7" t="str">
        <f t="shared" si="125"/>
        <v/>
      </c>
      <c r="AR273" s="7" t="str">
        <f t="shared" si="126"/>
        <v/>
      </c>
      <c r="AS273" s="7" t="str">
        <f t="shared" si="127"/>
        <v/>
      </c>
      <c r="AT273" s="97"/>
      <c r="AZ273" s="477" t="s">
        <v>1420</v>
      </c>
      <c r="CF273" s="586" t="str">
        <f t="shared" ref="CF273:CF336" si="134">IF(COUNTA(B273:F273,H273:K273)&gt;0,IF(OR(ISNUMBER(AH273)=FALSE,ISNUMBER(AK273)=FALSE,COUNTA(B273:F273,H273:K273)&lt;9),"×","〇"),"")</f>
        <v/>
      </c>
      <c r="CG273"/>
      <c r="CH273"/>
    </row>
    <row r="274" spans="1:86" s="13" customFormat="1" ht="13.75" customHeight="1">
      <c r="A274" s="137">
        <v>259</v>
      </c>
      <c r="B274" s="138"/>
      <c r="C274" s="139"/>
      <c r="D274" s="140"/>
      <c r="E274" s="139"/>
      <c r="F274" s="139"/>
      <c r="G274" s="191"/>
      <c r="H274" s="139"/>
      <c r="I274" s="141"/>
      <c r="J274" s="142"/>
      <c r="K274" s="139"/>
      <c r="L274" s="147"/>
      <c r="M274" s="148"/>
      <c r="N274" s="583"/>
      <c r="O274" s="229" t="str">
        <f t="shared" si="128"/>
        <v/>
      </c>
      <c r="P274" s="229" t="str">
        <f t="shared" si="129"/>
        <v/>
      </c>
      <c r="Q274" s="230" t="str">
        <f t="shared" si="130"/>
        <v/>
      </c>
      <c r="R274" s="323" t="str">
        <f t="shared" si="131"/>
        <v/>
      </c>
      <c r="S274" s="350"/>
      <c r="T274" s="43"/>
      <c r="U274" s="347" t="str">
        <f t="shared" si="108"/>
        <v/>
      </c>
      <c r="V274" s="7" t="e">
        <f t="shared" si="109"/>
        <v>#N/A</v>
      </c>
      <c r="W274" s="7" t="e">
        <f t="shared" si="110"/>
        <v>#N/A</v>
      </c>
      <c r="X274" s="7" t="e">
        <f t="shared" si="111"/>
        <v>#N/A</v>
      </c>
      <c r="Y274" s="7" t="str">
        <f t="shared" si="112"/>
        <v/>
      </c>
      <c r="Z274" s="11">
        <f t="shared" si="113"/>
        <v>1</v>
      </c>
      <c r="AA274" s="7" t="e">
        <f t="shared" si="114"/>
        <v>#N/A</v>
      </c>
      <c r="AB274" s="7" t="e">
        <f t="shared" si="115"/>
        <v>#N/A</v>
      </c>
      <c r="AC274" s="7" t="e">
        <f t="shared" si="116"/>
        <v>#N/A</v>
      </c>
      <c r="AD274" s="472" t="e">
        <f>VLOOKUP(AF274,'排出係数(2017)'!$A$4:$I$1151,9,FALSE)</f>
        <v>#N/A</v>
      </c>
      <c r="AE274" s="12" t="str">
        <f t="shared" si="117"/>
        <v xml:space="preserve"> </v>
      </c>
      <c r="AF274" s="7" t="e">
        <f t="shared" si="132"/>
        <v>#N/A</v>
      </c>
      <c r="AG274" s="7" t="e">
        <f t="shared" si="118"/>
        <v>#N/A</v>
      </c>
      <c r="AH274" s="472" t="e">
        <f>VLOOKUP(AF274,'排出係数(2017)'!$A$4:$I$1151,6,FALSE)</f>
        <v>#N/A</v>
      </c>
      <c r="AI274" s="7" t="e">
        <f t="shared" si="119"/>
        <v>#N/A</v>
      </c>
      <c r="AJ274" s="7" t="e">
        <f t="shared" si="120"/>
        <v>#N/A</v>
      </c>
      <c r="AK274" s="472" t="e">
        <f>VLOOKUP(AF274,'排出係数(2017)'!$A$4:$I$1151,7,FALSE)</f>
        <v>#N/A</v>
      </c>
      <c r="AL274" s="7" t="e">
        <f t="shared" si="121"/>
        <v>#N/A</v>
      </c>
      <c r="AM274" s="7" t="e">
        <f t="shared" si="122"/>
        <v>#N/A</v>
      </c>
      <c r="AN274" s="7" t="e">
        <f t="shared" si="123"/>
        <v>#N/A</v>
      </c>
      <c r="AO274" s="7">
        <f t="shared" si="124"/>
        <v>0</v>
      </c>
      <c r="AP274" s="7" t="e">
        <f t="shared" si="133"/>
        <v>#N/A</v>
      </c>
      <c r="AQ274" s="7" t="str">
        <f t="shared" si="125"/>
        <v/>
      </c>
      <c r="AR274" s="7" t="str">
        <f t="shared" si="126"/>
        <v/>
      </c>
      <c r="AS274" s="7" t="str">
        <f t="shared" si="127"/>
        <v/>
      </c>
      <c r="AT274" s="97"/>
      <c r="AZ274" s="477" t="s">
        <v>2523</v>
      </c>
      <c r="CF274" s="586" t="str">
        <f t="shared" si="134"/>
        <v/>
      </c>
      <c r="CG274"/>
      <c r="CH274"/>
    </row>
    <row r="275" spans="1:86" s="13" customFormat="1" ht="13.75" customHeight="1">
      <c r="A275" s="137">
        <v>260</v>
      </c>
      <c r="B275" s="138"/>
      <c r="C275" s="139"/>
      <c r="D275" s="140"/>
      <c r="E275" s="139"/>
      <c r="F275" s="139"/>
      <c r="G275" s="191"/>
      <c r="H275" s="139"/>
      <c r="I275" s="141"/>
      <c r="J275" s="142"/>
      <c r="K275" s="139"/>
      <c r="L275" s="147"/>
      <c r="M275" s="148"/>
      <c r="N275" s="583"/>
      <c r="O275" s="229" t="str">
        <f t="shared" si="128"/>
        <v/>
      </c>
      <c r="P275" s="229" t="str">
        <f t="shared" si="129"/>
        <v/>
      </c>
      <c r="Q275" s="230" t="str">
        <f t="shared" si="130"/>
        <v/>
      </c>
      <c r="R275" s="323" t="str">
        <f t="shared" si="131"/>
        <v/>
      </c>
      <c r="S275" s="350"/>
      <c r="T275" s="43"/>
      <c r="U275" s="347" t="str">
        <f t="shared" si="108"/>
        <v/>
      </c>
      <c r="V275" s="7" t="e">
        <f t="shared" si="109"/>
        <v>#N/A</v>
      </c>
      <c r="W275" s="7" t="e">
        <f t="shared" si="110"/>
        <v>#N/A</v>
      </c>
      <c r="X275" s="7" t="e">
        <f t="shared" si="111"/>
        <v>#N/A</v>
      </c>
      <c r="Y275" s="7" t="str">
        <f t="shared" si="112"/>
        <v/>
      </c>
      <c r="Z275" s="11">
        <f t="shared" si="113"/>
        <v>1</v>
      </c>
      <c r="AA275" s="7" t="e">
        <f t="shared" si="114"/>
        <v>#N/A</v>
      </c>
      <c r="AB275" s="7" t="e">
        <f t="shared" si="115"/>
        <v>#N/A</v>
      </c>
      <c r="AC275" s="7" t="e">
        <f t="shared" si="116"/>
        <v>#N/A</v>
      </c>
      <c r="AD275" s="472" t="e">
        <f>VLOOKUP(AF275,'排出係数(2017)'!$A$4:$I$1151,9,FALSE)</f>
        <v>#N/A</v>
      </c>
      <c r="AE275" s="12" t="str">
        <f t="shared" si="117"/>
        <v xml:space="preserve"> </v>
      </c>
      <c r="AF275" s="7" t="e">
        <f t="shared" si="132"/>
        <v>#N/A</v>
      </c>
      <c r="AG275" s="7" t="e">
        <f t="shared" si="118"/>
        <v>#N/A</v>
      </c>
      <c r="AH275" s="472" t="e">
        <f>VLOOKUP(AF275,'排出係数(2017)'!$A$4:$I$1151,6,FALSE)</f>
        <v>#N/A</v>
      </c>
      <c r="AI275" s="7" t="e">
        <f t="shared" si="119"/>
        <v>#N/A</v>
      </c>
      <c r="AJ275" s="7" t="e">
        <f t="shared" si="120"/>
        <v>#N/A</v>
      </c>
      <c r="AK275" s="472" t="e">
        <f>VLOOKUP(AF275,'排出係数(2017)'!$A$4:$I$1151,7,FALSE)</f>
        <v>#N/A</v>
      </c>
      <c r="AL275" s="7" t="e">
        <f t="shared" si="121"/>
        <v>#N/A</v>
      </c>
      <c r="AM275" s="7" t="e">
        <f t="shared" si="122"/>
        <v>#N/A</v>
      </c>
      <c r="AN275" s="7" t="e">
        <f t="shared" si="123"/>
        <v>#N/A</v>
      </c>
      <c r="AO275" s="7">
        <f t="shared" si="124"/>
        <v>0</v>
      </c>
      <c r="AP275" s="7" t="e">
        <f t="shared" si="133"/>
        <v>#N/A</v>
      </c>
      <c r="AQ275" s="7" t="str">
        <f t="shared" si="125"/>
        <v/>
      </c>
      <c r="AR275" s="7" t="str">
        <f t="shared" si="126"/>
        <v/>
      </c>
      <c r="AS275" s="7" t="str">
        <f t="shared" si="127"/>
        <v/>
      </c>
      <c r="AT275" s="97"/>
      <c r="AZ275" s="477" t="s">
        <v>2524</v>
      </c>
      <c r="CF275" s="586" t="str">
        <f t="shared" si="134"/>
        <v/>
      </c>
      <c r="CG275"/>
      <c r="CH275"/>
    </row>
    <row r="276" spans="1:86" s="13" customFormat="1" ht="13.75" customHeight="1">
      <c r="A276" s="137">
        <v>261</v>
      </c>
      <c r="B276" s="138"/>
      <c r="C276" s="139"/>
      <c r="D276" s="140"/>
      <c r="E276" s="139"/>
      <c r="F276" s="139"/>
      <c r="G276" s="191"/>
      <c r="H276" s="139"/>
      <c r="I276" s="141"/>
      <c r="J276" s="142"/>
      <c r="K276" s="139"/>
      <c r="L276" s="147"/>
      <c r="M276" s="148"/>
      <c r="N276" s="583"/>
      <c r="O276" s="229" t="str">
        <f t="shared" si="128"/>
        <v/>
      </c>
      <c r="P276" s="229" t="str">
        <f t="shared" si="129"/>
        <v/>
      </c>
      <c r="Q276" s="230" t="str">
        <f t="shared" si="130"/>
        <v/>
      </c>
      <c r="R276" s="323" t="str">
        <f t="shared" si="131"/>
        <v/>
      </c>
      <c r="S276" s="350"/>
      <c r="T276" s="43"/>
      <c r="U276" s="347" t="str">
        <f t="shared" si="108"/>
        <v/>
      </c>
      <c r="V276" s="7" t="e">
        <f t="shared" si="109"/>
        <v>#N/A</v>
      </c>
      <c r="W276" s="7" t="e">
        <f t="shared" si="110"/>
        <v>#N/A</v>
      </c>
      <c r="X276" s="7" t="e">
        <f t="shared" si="111"/>
        <v>#N/A</v>
      </c>
      <c r="Y276" s="7" t="str">
        <f t="shared" si="112"/>
        <v/>
      </c>
      <c r="Z276" s="11">
        <f t="shared" si="113"/>
        <v>1</v>
      </c>
      <c r="AA276" s="7" t="e">
        <f t="shared" si="114"/>
        <v>#N/A</v>
      </c>
      <c r="AB276" s="7" t="e">
        <f t="shared" si="115"/>
        <v>#N/A</v>
      </c>
      <c r="AC276" s="7" t="e">
        <f t="shared" si="116"/>
        <v>#N/A</v>
      </c>
      <c r="AD276" s="472" t="e">
        <f>VLOOKUP(AF276,'排出係数(2017)'!$A$4:$I$1151,9,FALSE)</f>
        <v>#N/A</v>
      </c>
      <c r="AE276" s="12" t="str">
        <f t="shared" si="117"/>
        <v xml:space="preserve"> </v>
      </c>
      <c r="AF276" s="7" t="e">
        <f t="shared" si="132"/>
        <v>#N/A</v>
      </c>
      <c r="AG276" s="7" t="e">
        <f t="shared" si="118"/>
        <v>#N/A</v>
      </c>
      <c r="AH276" s="472" t="e">
        <f>VLOOKUP(AF276,'排出係数(2017)'!$A$4:$I$1151,6,FALSE)</f>
        <v>#N/A</v>
      </c>
      <c r="AI276" s="7" t="e">
        <f t="shared" si="119"/>
        <v>#N/A</v>
      </c>
      <c r="AJ276" s="7" t="e">
        <f t="shared" si="120"/>
        <v>#N/A</v>
      </c>
      <c r="AK276" s="472" t="e">
        <f>VLOOKUP(AF276,'排出係数(2017)'!$A$4:$I$1151,7,FALSE)</f>
        <v>#N/A</v>
      </c>
      <c r="AL276" s="7" t="e">
        <f t="shared" si="121"/>
        <v>#N/A</v>
      </c>
      <c r="AM276" s="7" t="e">
        <f t="shared" si="122"/>
        <v>#N/A</v>
      </c>
      <c r="AN276" s="7" t="e">
        <f t="shared" si="123"/>
        <v>#N/A</v>
      </c>
      <c r="AO276" s="7">
        <f t="shared" si="124"/>
        <v>0</v>
      </c>
      <c r="AP276" s="7" t="e">
        <f t="shared" si="133"/>
        <v>#N/A</v>
      </c>
      <c r="AQ276" s="7" t="str">
        <f t="shared" si="125"/>
        <v/>
      </c>
      <c r="AR276" s="7" t="str">
        <f t="shared" si="126"/>
        <v/>
      </c>
      <c r="AS276" s="7" t="str">
        <f t="shared" si="127"/>
        <v/>
      </c>
      <c r="AT276" s="97"/>
      <c r="AZ276" s="477" t="s">
        <v>2525</v>
      </c>
      <c r="CF276" s="586" t="str">
        <f t="shared" si="134"/>
        <v/>
      </c>
      <c r="CG276"/>
      <c r="CH276"/>
    </row>
    <row r="277" spans="1:86" s="13" customFormat="1" ht="13.75" customHeight="1">
      <c r="A277" s="137">
        <v>262</v>
      </c>
      <c r="B277" s="138"/>
      <c r="C277" s="139"/>
      <c r="D277" s="140"/>
      <c r="E277" s="139"/>
      <c r="F277" s="139"/>
      <c r="G277" s="191"/>
      <c r="H277" s="139"/>
      <c r="I277" s="141"/>
      <c r="J277" s="142"/>
      <c r="K277" s="139"/>
      <c r="L277" s="147"/>
      <c r="M277" s="148"/>
      <c r="N277" s="583"/>
      <c r="O277" s="229" t="str">
        <f t="shared" si="128"/>
        <v/>
      </c>
      <c r="P277" s="229" t="str">
        <f t="shared" si="129"/>
        <v/>
      </c>
      <c r="Q277" s="230" t="str">
        <f t="shared" si="130"/>
        <v/>
      </c>
      <c r="R277" s="323" t="str">
        <f t="shared" si="131"/>
        <v/>
      </c>
      <c r="S277" s="350"/>
      <c r="T277" s="43"/>
      <c r="U277" s="347" t="str">
        <f t="shared" si="108"/>
        <v/>
      </c>
      <c r="V277" s="7" t="e">
        <f t="shared" si="109"/>
        <v>#N/A</v>
      </c>
      <c r="W277" s="7" t="e">
        <f t="shared" si="110"/>
        <v>#N/A</v>
      </c>
      <c r="X277" s="7" t="e">
        <f t="shared" si="111"/>
        <v>#N/A</v>
      </c>
      <c r="Y277" s="7" t="str">
        <f t="shared" si="112"/>
        <v/>
      </c>
      <c r="Z277" s="11">
        <f t="shared" si="113"/>
        <v>1</v>
      </c>
      <c r="AA277" s="7" t="e">
        <f t="shared" si="114"/>
        <v>#N/A</v>
      </c>
      <c r="AB277" s="7" t="e">
        <f t="shared" si="115"/>
        <v>#N/A</v>
      </c>
      <c r="AC277" s="7" t="e">
        <f t="shared" si="116"/>
        <v>#N/A</v>
      </c>
      <c r="AD277" s="472" t="e">
        <f>VLOOKUP(AF277,'排出係数(2017)'!$A$4:$I$1151,9,FALSE)</f>
        <v>#N/A</v>
      </c>
      <c r="AE277" s="12" t="str">
        <f t="shared" si="117"/>
        <v xml:space="preserve"> </v>
      </c>
      <c r="AF277" s="7" t="e">
        <f t="shared" si="132"/>
        <v>#N/A</v>
      </c>
      <c r="AG277" s="7" t="e">
        <f t="shared" si="118"/>
        <v>#N/A</v>
      </c>
      <c r="AH277" s="472" t="e">
        <f>VLOOKUP(AF277,'排出係数(2017)'!$A$4:$I$1151,6,FALSE)</f>
        <v>#N/A</v>
      </c>
      <c r="AI277" s="7" t="e">
        <f t="shared" si="119"/>
        <v>#N/A</v>
      </c>
      <c r="AJ277" s="7" t="e">
        <f t="shared" si="120"/>
        <v>#N/A</v>
      </c>
      <c r="AK277" s="472" t="e">
        <f>VLOOKUP(AF277,'排出係数(2017)'!$A$4:$I$1151,7,FALSE)</f>
        <v>#N/A</v>
      </c>
      <c r="AL277" s="7" t="e">
        <f t="shared" si="121"/>
        <v>#N/A</v>
      </c>
      <c r="AM277" s="7" t="e">
        <f t="shared" si="122"/>
        <v>#N/A</v>
      </c>
      <c r="AN277" s="7" t="e">
        <f t="shared" si="123"/>
        <v>#N/A</v>
      </c>
      <c r="AO277" s="7">
        <f t="shared" si="124"/>
        <v>0</v>
      </c>
      <c r="AP277" s="7" t="e">
        <f t="shared" si="133"/>
        <v>#N/A</v>
      </c>
      <c r="AQ277" s="7" t="str">
        <f t="shared" si="125"/>
        <v/>
      </c>
      <c r="AR277" s="7" t="str">
        <f t="shared" si="126"/>
        <v/>
      </c>
      <c r="AS277" s="7" t="str">
        <f t="shared" si="127"/>
        <v/>
      </c>
      <c r="AT277" s="97"/>
      <c r="AZ277" s="477" t="s">
        <v>135</v>
      </c>
      <c r="CF277" s="586" t="str">
        <f t="shared" si="134"/>
        <v/>
      </c>
      <c r="CG277"/>
      <c r="CH277"/>
    </row>
    <row r="278" spans="1:86" s="13" customFormat="1" ht="13.75" customHeight="1">
      <c r="A278" s="137">
        <v>263</v>
      </c>
      <c r="B278" s="138"/>
      <c r="C278" s="139"/>
      <c r="D278" s="140"/>
      <c r="E278" s="139"/>
      <c r="F278" s="139"/>
      <c r="G278" s="191"/>
      <c r="H278" s="139"/>
      <c r="I278" s="141"/>
      <c r="J278" s="142"/>
      <c r="K278" s="139"/>
      <c r="L278" s="147"/>
      <c r="M278" s="148"/>
      <c r="N278" s="583"/>
      <c r="O278" s="229" t="str">
        <f t="shared" si="128"/>
        <v/>
      </c>
      <c r="P278" s="229" t="str">
        <f t="shared" si="129"/>
        <v/>
      </c>
      <c r="Q278" s="230" t="str">
        <f t="shared" si="130"/>
        <v/>
      </c>
      <c r="R278" s="323" t="str">
        <f t="shared" si="131"/>
        <v/>
      </c>
      <c r="S278" s="350"/>
      <c r="T278" s="43"/>
      <c r="U278" s="347" t="str">
        <f t="shared" si="108"/>
        <v/>
      </c>
      <c r="V278" s="7" t="e">
        <f t="shared" si="109"/>
        <v>#N/A</v>
      </c>
      <c r="W278" s="7" t="e">
        <f t="shared" si="110"/>
        <v>#N/A</v>
      </c>
      <c r="X278" s="7" t="e">
        <f t="shared" si="111"/>
        <v>#N/A</v>
      </c>
      <c r="Y278" s="7" t="str">
        <f t="shared" si="112"/>
        <v/>
      </c>
      <c r="Z278" s="11">
        <f t="shared" si="113"/>
        <v>1</v>
      </c>
      <c r="AA278" s="7" t="e">
        <f t="shared" si="114"/>
        <v>#N/A</v>
      </c>
      <c r="AB278" s="7" t="e">
        <f t="shared" si="115"/>
        <v>#N/A</v>
      </c>
      <c r="AC278" s="7" t="e">
        <f t="shared" si="116"/>
        <v>#N/A</v>
      </c>
      <c r="AD278" s="472" t="e">
        <f>VLOOKUP(AF278,'排出係数(2017)'!$A$4:$I$1151,9,FALSE)</f>
        <v>#N/A</v>
      </c>
      <c r="AE278" s="12" t="str">
        <f t="shared" si="117"/>
        <v xml:space="preserve"> </v>
      </c>
      <c r="AF278" s="7" t="e">
        <f t="shared" si="132"/>
        <v>#N/A</v>
      </c>
      <c r="AG278" s="7" t="e">
        <f t="shared" si="118"/>
        <v>#N/A</v>
      </c>
      <c r="AH278" s="472" t="e">
        <f>VLOOKUP(AF278,'排出係数(2017)'!$A$4:$I$1151,6,FALSE)</f>
        <v>#N/A</v>
      </c>
      <c r="AI278" s="7" t="e">
        <f t="shared" si="119"/>
        <v>#N/A</v>
      </c>
      <c r="AJ278" s="7" t="e">
        <f t="shared" si="120"/>
        <v>#N/A</v>
      </c>
      <c r="AK278" s="472" t="e">
        <f>VLOOKUP(AF278,'排出係数(2017)'!$A$4:$I$1151,7,FALSE)</f>
        <v>#N/A</v>
      </c>
      <c r="AL278" s="7" t="e">
        <f t="shared" si="121"/>
        <v>#N/A</v>
      </c>
      <c r="AM278" s="7" t="e">
        <f t="shared" si="122"/>
        <v>#N/A</v>
      </c>
      <c r="AN278" s="7" t="e">
        <f t="shared" si="123"/>
        <v>#N/A</v>
      </c>
      <c r="AO278" s="7">
        <f t="shared" si="124"/>
        <v>0</v>
      </c>
      <c r="AP278" s="7" t="e">
        <f t="shared" si="133"/>
        <v>#N/A</v>
      </c>
      <c r="AQ278" s="7" t="str">
        <f t="shared" si="125"/>
        <v/>
      </c>
      <c r="AR278" s="7" t="str">
        <f t="shared" si="126"/>
        <v/>
      </c>
      <c r="AS278" s="7" t="str">
        <f t="shared" si="127"/>
        <v/>
      </c>
      <c r="AT278" s="97"/>
      <c r="AZ278" s="477" t="s">
        <v>1582</v>
      </c>
      <c r="CF278" s="586" t="str">
        <f t="shared" si="134"/>
        <v/>
      </c>
      <c r="CG278"/>
      <c r="CH278"/>
    </row>
    <row r="279" spans="1:86" s="13" customFormat="1" ht="13.75" customHeight="1">
      <c r="A279" s="137">
        <v>264</v>
      </c>
      <c r="B279" s="138"/>
      <c r="C279" s="139"/>
      <c r="D279" s="140"/>
      <c r="E279" s="139"/>
      <c r="F279" s="139"/>
      <c r="G279" s="191"/>
      <c r="H279" s="139"/>
      <c r="I279" s="141"/>
      <c r="J279" s="142"/>
      <c r="K279" s="139"/>
      <c r="L279" s="147"/>
      <c r="M279" s="148"/>
      <c r="N279" s="583"/>
      <c r="O279" s="229" t="str">
        <f t="shared" si="128"/>
        <v/>
      </c>
      <c r="P279" s="229" t="str">
        <f t="shared" si="129"/>
        <v/>
      </c>
      <c r="Q279" s="230" t="str">
        <f t="shared" si="130"/>
        <v/>
      </c>
      <c r="R279" s="323" t="str">
        <f t="shared" si="131"/>
        <v/>
      </c>
      <c r="S279" s="350"/>
      <c r="T279" s="43"/>
      <c r="U279" s="347" t="str">
        <f t="shared" si="108"/>
        <v/>
      </c>
      <c r="V279" s="7" t="e">
        <f t="shared" si="109"/>
        <v>#N/A</v>
      </c>
      <c r="W279" s="7" t="e">
        <f t="shared" si="110"/>
        <v>#N/A</v>
      </c>
      <c r="X279" s="7" t="e">
        <f t="shared" si="111"/>
        <v>#N/A</v>
      </c>
      <c r="Y279" s="7" t="str">
        <f t="shared" si="112"/>
        <v/>
      </c>
      <c r="Z279" s="11">
        <f t="shared" si="113"/>
        <v>1</v>
      </c>
      <c r="AA279" s="7" t="e">
        <f t="shared" si="114"/>
        <v>#N/A</v>
      </c>
      <c r="AB279" s="7" t="e">
        <f t="shared" si="115"/>
        <v>#N/A</v>
      </c>
      <c r="AC279" s="7" t="e">
        <f t="shared" si="116"/>
        <v>#N/A</v>
      </c>
      <c r="AD279" s="472" t="e">
        <f>VLOOKUP(AF279,'排出係数(2017)'!$A$4:$I$1151,9,FALSE)</f>
        <v>#N/A</v>
      </c>
      <c r="AE279" s="12" t="str">
        <f t="shared" si="117"/>
        <v xml:space="preserve"> </v>
      </c>
      <c r="AF279" s="7" t="e">
        <f t="shared" si="132"/>
        <v>#N/A</v>
      </c>
      <c r="AG279" s="7" t="e">
        <f t="shared" si="118"/>
        <v>#N/A</v>
      </c>
      <c r="AH279" s="472" t="e">
        <f>VLOOKUP(AF279,'排出係数(2017)'!$A$4:$I$1151,6,FALSE)</f>
        <v>#N/A</v>
      </c>
      <c r="AI279" s="7" t="e">
        <f t="shared" si="119"/>
        <v>#N/A</v>
      </c>
      <c r="AJ279" s="7" t="e">
        <f t="shared" si="120"/>
        <v>#N/A</v>
      </c>
      <c r="AK279" s="472" t="e">
        <f>VLOOKUP(AF279,'排出係数(2017)'!$A$4:$I$1151,7,FALSE)</f>
        <v>#N/A</v>
      </c>
      <c r="AL279" s="7" t="e">
        <f t="shared" si="121"/>
        <v>#N/A</v>
      </c>
      <c r="AM279" s="7" t="e">
        <f t="shared" si="122"/>
        <v>#N/A</v>
      </c>
      <c r="AN279" s="7" t="e">
        <f t="shared" si="123"/>
        <v>#N/A</v>
      </c>
      <c r="AO279" s="7">
        <f t="shared" si="124"/>
        <v>0</v>
      </c>
      <c r="AP279" s="7" t="e">
        <f t="shared" si="133"/>
        <v>#N/A</v>
      </c>
      <c r="AQ279" s="7" t="str">
        <f t="shared" si="125"/>
        <v/>
      </c>
      <c r="AR279" s="7" t="str">
        <f t="shared" si="126"/>
        <v/>
      </c>
      <c r="AS279" s="7" t="str">
        <f t="shared" si="127"/>
        <v/>
      </c>
      <c r="AT279" s="97"/>
      <c r="AZ279" s="477" t="s">
        <v>2526</v>
      </c>
      <c r="CF279" s="586" t="str">
        <f t="shared" si="134"/>
        <v/>
      </c>
      <c r="CG279"/>
      <c r="CH279"/>
    </row>
    <row r="280" spans="1:86" s="13" customFormat="1" ht="13.75" customHeight="1">
      <c r="A280" s="137">
        <v>265</v>
      </c>
      <c r="B280" s="138"/>
      <c r="C280" s="139"/>
      <c r="D280" s="140"/>
      <c r="E280" s="139"/>
      <c r="F280" s="139"/>
      <c r="G280" s="191"/>
      <c r="H280" s="139"/>
      <c r="I280" s="141"/>
      <c r="J280" s="142"/>
      <c r="K280" s="139"/>
      <c r="L280" s="147"/>
      <c r="M280" s="148"/>
      <c r="N280" s="583"/>
      <c r="O280" s="229" t="str">
        <f t="shared" si="128"/>
        <v/>
      </c>
      <c r="P280" s="229" t="str">
        <f t="shared" si="129"/>
        <v/>
      </c>
      <c r="Q280" s="230" t="str">
        <f t="shared" si="130"/>
        <v/>
      </c>
      <c r="R280" s="323" t="str">
        <f t="shared" si="131"/>
        <v/>
      </c>
      <c r="S280" s="350"/>
      <c r="T280" s="43"/>
      <c r="U280" s="347" t="str">
        <f t="shared" si="108"/>
        <v/>
      </c>
      <c r="V280" s="7" t="e">
        <f t="shared" si="109"/>
        <v>#N/A</v>
      </c>
      <c r="W280" s="7" t="e">
        <f t="shared" si="110"/>
        <v>#N/A</v>
      </c>
      <c r="X280" s="7" t="e">
        <f t="shared" si="111"/>
        <v>#N/A</v>
      </c>
      <c r="Y280" s="7" t="str">
        <f t="shared" si="112"/>
        <v/>
      </c>
      <c r="Z280" s="11">
        <f t="shared" si="113"/>
        <v>1</v>
      </c>
      <c r="AA280" s="7" t="e">
        <f t="shared" si="114"/>
        <v>#N/A</v>
      </c>
      <c r="AB280" s="7" t="e">
        <f t="shared" si="115"/>
        <v>#N/A</v>
      </c>
      <c r="AC280" s="7" t="e">
        <f t="shared" si="116"/>
        <v>#N/A</v>
      </c>
      <c r="AD280" s="472" t="e">
        <f>VLOOKUP(AF280,'排出係数(2017)'!$A$4:$I$1151,9,FALSE)</f>
        <v>#N/A</v>
      </c>
      <c r="AE280" s="12" t="str">
        <f t="shared" si="117"/>
        <v xml:space="preserve"> </v>
      </c>
      <c r="AF280" s="7" t="e">
        <f t="shared" si="132"/>
        <v>#N/A</v>
      </c>
      <c r="AG280" s="7" t="e">
        <f t="shared" si="118"/>
        <v>#N/A</v>
      </c>
      <c r="AH280" s="472" t="e">
        <f>VLOOKUP(AF280,'排出係数(2017)'!$A$4:$I$1151,6,FALSE)</f>
        <v>#N/A</v>
      </c>
      <c r="AI280" s="7" t="e">
        <f t="shared" si="119"/>
        <v>#N/A</v>
      </c>
      <c r="AJ280" s="7" t="e">
        <f t="shared" si="120"/>
        <v>#N/A</v>
      </c>
      <c r="AK280" s="472" t="e">
        <f>VLOOKUP(AF280,'排出係数(2017)'!$A$4:$I$1151,7,FALSE)</f>
        <v>#N/A</v>
      </c>
      <c r="AL280" s="7" t="e">
        <f t="shared" si="121"/>
        <v>#N/A</v>
      </c>
      <c r="AM280" s="7" t="e">
        <f t="shared" si="122"/>
        <v>#N/A</v>
      </c>
      <c r="AN280" s="7" t="e">
        <f t="shared" si="123"/>
        <v>#N/A</v>
      </c>
      <c r="AO280" s="7">
        <f t="shared" si="124"/>
        <v>0</v>
      </c>
      <c r="AP280" s="7" t="e">
        <f t="shared" si="133"/>
        <v>#N/A</v>
      </c>
      <c r="AQ280" s="7" t="str">
        <f t="shared" si="125"/>
        <v/>
      </c>
      <c r="AR280" s="7" t="str">
        <f t="shared" si="126"/>
        <v/>
      </c>
      <c r="AS280" s="7" t="str">
        <f t="shared" si="127"/>
        <v/>
      </c>
      <c r="AT280" s="97"/>
      <c r="AZ280" s="477" t="s">
        <v>2527</v>
      </c>
      <c r="CF280" s="586" t="str">
        <f t="shared" si="134"/>
        <v/>
      </c>
      <c r="CG280"/>
      <c r="CH280"/>
    </row>
    <row r="281" spans="1:86" s="13" customFormat="1" ht="13.75" customHeight="1">
      <c r="A281" s="137">
        <v>266</v>
      </c>
      <c r="B281" s="138"/>
      <c r="C281" s="139"/>
      <c r="D281" s="140"/>
      <c r="E281" s="139"/>
      <c r="F281" s="139"/>
      <c r="G281" s="191"/>
      <c r="H281" s="139"/>
      <c r="I281" s="141"/>
      <c r="J281" s="142"/>
      <c r="K281" s="139"/>
      <c r="L281" s="147"/>
      <c r="M281" s="148"/>
      <c r="N281" s="583"/>
      <c r="O281" s="229" t="str">
        <f t="shared" si="128"/>
        <v/>
      </c>
      <c r="P281" s="229" t="str">
        <f t="shared" si="129"/>
        <v/>
      </c>
      <c r="Q281" s="230" t="str">
        <f t="shared" si="130"/>
        <v/>
      </c>
      <c r="R281" s="323" t="str">
        <f t="shared" si="131"/>
        <v/>
      </c>
      <c r="S281" s="350"/>
      <c r="T281" s="43"/>
      <c r="U281" s="347" t="str">
        <f t="shared" si="108"/>
        <v/>
      </c>
      <c r="V281" s="7" t="e">
        <f t="shared" si="109"/>
        <v>#N/A</v>
      </c>
      <c r="W281" s="7" t="e">
        <f t="shared" si="110"/>
        <v>#N/A</v>
      </c>
      <c r="X281" s="7" t="e">
        <f t="shared" si="111"/>
        <v>#N/A</v>
      </c>
      <c r="Y281" s="7" t="str">
        <f t="shared" si="112"/>
        <v/>
      </c>
      <c r="Z281" s="11">
        <f t="shared" si="113"/>
        <v>1</v>
      </c>
      <c r="AA281" s="7" t="e">
        <f t="shared" si="114"/>
        <v>#N/A</v>
      </c>
      <c r="AB281" s="7" t="e">
        <f t="shared" si="115"/>
        <v>#N/A</v>
      </c>
      <c r="AC281" s="7" t="e">
        <f t="shared" si="116"/>
        <v>#N/A</v>
      </c>
      <c r="AD281" s="472" t="e">
        <f>VLOOKUP(AF281,'排出係数(2017)'!$A$4:$I$1151,9,FALSE)</f>
        <v>#N/A</v>
      </c>
      <c r="AE281" s="12" t="str">
        <f t="shared" si="117"/>
        <v xml:space="preserve"> </v>
      </c>
      <c r="AF281" s="7" t="e">
        <f t="shared" si="132"/>
        <v>#N/A</v>
      </c>
      <c r="AG281" s="7" t="e">
        <f t="shared" si="118"/>
        <v>#N/A</v>
      </c>
      <c r="AH281" s="472" t="e">
        <f>VLOOKUP(AF281,'排出係数(2017)'!$A$4:$I$1151,6,FALSE)</f>
        <v>#N/A</v>
      </c>
      <c r="AI281" s="7" t="e">
        <f t="shared" si="119"/>
        <v>#N/A</v>
      </c>
      <c r="AJ281" s="7" t="e">
        <f t="shared" si="120"/>
        <v>#N/A</v>
      </c>
      <c r="AK281" s="472" t="e">
        <f>VLOOKUP(AF281,'排出係数(2017)'!$A$4:$I$1151,7,FALSE)</f>
        <v>#N/A</v>
      </c>
      <c r="AL281" s="7" t="e">
        <f t="shared" si="121"/>
        <v>#N/A</v>
      </c>
      <c r="AM281" s="7" t="e">
        <f t="shared" si="122"/>
        <v>#N/A</v>
      </c>
      <c r="AN281" s="7" t="e">
        <f t="shared" si="123"/>
        <v>#N/A</v>
      </c>
      <c r="AO281" s="7">
        <f t="shared" si="124"/>
        <v>0</v>
      </c>
      <c r="AP281" s="7" t="e">
        <f t="shared" si="133"/>
        <v>#N/A</v>
      </c>
      <c r="AQ281" s="7" t="str">
        <f t="shared" si="125"/>
        <v/>
      </c>
      <c r="AR281" s="7" t="str">
        <f t="shared" si="126"/>
        <v/>
      </c>
      <c r="AS281" s="7" t="str">
        <f t="shared" si="127"/>
        <v/>
      </c>
      <c r="AT281" s="97"/>
      <c r="AZ281" s="477" t="s">
        <v>2528</v>
      </c>
      <c r="CF281" s="586" t="str">
        <f t="shared" si="134"/>
        <v/>
      </c>
      <c r="CG281"/>
      <c r="CH281"/>
    </row>
    <row r="282" spans="1:86" s="13" customFormat="1" ht="13.75" customHeight="1">
      <c r="A282" s="137">
        <v>267</v>
      </c>
      <c r="B282" s="138"/>
      <c r="C282" s="139"/>
      <c r="D282" s="140"/>
      <c r="E282" s="139"/>
      <c r="F282" s="139"/>
      <c r="G282" s="191"/>
      <c r="H282" s="139"/>
      <c r="I282" s="141"/>
      <c r="J282" s="142"/>
      <c r="K282" s="139"/>
      <c r="L282" s="147"/>
      <c r="M282" s="148"/>
      <c r="N282" s="583"/>
      <c r="O282" s="229" t="str">
        <f t="shared" si="128"/>
        <v/>
      </c>
      <c r="P282" s="229" t="str">
        <f t="shared" si="129"/>
        <v/>
      </c>
      <c r="Q282" s="230" t="str">
        <f t="shared" si="130"/>
        <v/>
      </c>
      <c r="R282" s="323" t="str">
        <f t="shared" si="131"/>
        <v/>
      </c>
      <c r="S282" s="350"/>
      <c r="T282" s="43"/>
      <c r="U282" s="347" t="str">
        <f t="shared" si="108"/>
        <v/>
      </c>
      <c r="V282" s="7" t="e">
        <f t="shared" si="109"/>
        <v>#N/A</v>
      </c>
      <c r="W282" s="7" t="e">
        <f t="shared" si="110"/>
        <v>#N/A</v>
      </c>
      <c r="X282" s="7" t="e">
        <f t="shared" si="111"/>
        <v>#N/A</v>
      </c>
      <c r="Y282" s="7" t="str">
        <f t="shared" si="112"/>
        <v/>
      </c>
      <c r="Z282" s="11">
        <f t="shared" si="113"/>
        <v>1</v>
      </c>
      <c r="AA282" s="7" t="e">
        <f t="shared" si="114"/>
        <v>#N/A</v>
      </c>
      <c r="AB282" s="7" t="e">
        <f t="shared" si="115"/>
        <v>#N/A</v>
      </c>
      <c r="AC282" s="7" t="e">
        <f t="shared" si="116"/>
        <v>#N/A</v>
      </c>
      <c r="AD282" s="472" t="e">
        <f>VLOOKUP(AF282,'排出係数(2017)'!$A$4:$I$1151,9,FALSE)</f>
        <v>#N/A</v>
      </c>
      <c r="AE282" s="12" t="str">
        <f t="shared" si="117"/>
        <v xml:space="preserve"> </v>
      </c>
      <c r="AF282" s="7" t="e">
        <f t="shared" si="132"/>
        <v>#N/A</v>
      </c>
      <c r="AG282" s="7" t="e">
        <f t="shared" si="118"/>
        <v>#N/A</v>
      </c>
      <c r="AH282" s="472" t="e">
        <f>VLOOKUP(AF282,'排出係数(2017)'!$A$4:$I$1151,6,FALSE)</f>
        <v>#N/A</v>
      </c>
      <c r="AI282" s="7" t="e">
        <f t="shared" si="119"/>
        <v>#N/A</v>
      </c>
      <c r="AJ282" s="7" t="e">
        <f t="shared" si="120"/>
        <v>#N/A</v>
      </c>
      <c r="AK282" s="472" t="e">
        <f>VLOOKUP(AF282,'排出係数(2017)'!$A$4:$I$1151,7,FALSE)</f>
        <v>#N/A</v>
      </c>
      <c r="AL282" s="7" t="e">
        <f t="shared" si="121"/>
        <v>#N/A</v>
      </c>
      <c r="AM282" s="7" t="e">
        <f t="shared" si="122"/>
        <v>#N/A</v>
      </c>
      <c r="AN282" s="7" t="e">
        <f t="shared" si="123"/>
        <v>#N/A</v>
      </c>
      <c r="AO282" s="7">
        <f t="shared" si="124"/>
        <v>0</v>
      </c>
      <c r="AP282" s="7" t="e">
        <f t="shared" si="133"/>
        <v>#N/A</v>
      </c>
      <c r="AQ282" s="7" t="str">
        <f t="shared" si="125"/>
        <v/>
      </c>
      <c r="AR282" s="7" t="str">
        <f t="shared" si="126"/>
        <v/>
      </c>
      <c r="AS282" s="7" t="str">
        <f t="shared" si="127"/>
        <v/>
      </c>
      <c r="AT282" s="97"/>
      <c r="AZ282" s="477" t="s">
        <v>75</v>
      </c>
      <c r="CF282" s="586" t="str">
        <f t="shared" si="134"/>
        <v/>
      </c>
      <c r="CG282"/>
      <c r="CH282"/>
    </row>
    <row r="283" spans="1:86" s="13" customFormat="1" ht="13.75" customHeight="1">
      <c r="A283" s="137">
        <v>268</v>
      </c>
      <c r="B283" s="138"/>
      <c r="C283" s="139"/>
      <c r="D283" s="140"/>
      <c r="E283" s="139"/>
      <c r="F283" s="139"/>
      <c r="G283" s="191"/>
      <c r="H283" s="139"/>
      <c r="I283" s="141"/>
      <c r="J283" s="142"/>
      <c r="K283" s="139"/>
      <c r="L283" s="147"/>
      <c r="M283" s="148"/>
      <c r="N283" s="583"/>
      <c r="O283" s="229" t="str">
        <f t="shared" si="128"/>
        <v/>
      </c>
      <c r="P283" s="229" t="str">
        <f t="shared" si="129"/>
        <v/>
      </c>
      <c r="Q283" s="230" t="str">
        <f t="shared" si="130"/>
        <v/>
      </c>
      <c r="R283" s="323" t="str">
        <f t="shared" si="131"/>
        <v/>
      </c>
      <c r="S283" s="350"/>
      <c r="T283" s="43"/>
      <c r="U283" s="347" t="str">
        <f t="shared" si="108"/>
        <v/>
      </c>
      <c r="V283" s="7" t="e">
        <f t="shared" si="109"/>
        <v>#N/A</v>
      </c>
      <c r="W283" s="7" t="e">
        <f t="shared" si="110"/>
        <v>#N/A</v>
      </c>
      <c r="X283" s="7" t="e">
        <f t="shared" si="111"/>
        <v>#N/A</v>
      </c>
      <c r="Y283" s="7" t="str">
        <f t="shared" si="112"/>
        <v/>
      </c>
      <c r="Z283" s="11">
        <f t="shared" si="113"/>
        <v>1</v>
      </c>
      <c r="AA283" s="7" t="e">
        <f t="shared" si="114"/>
        <v>#N/A</v>
      </c>
      <c r="AB283" s="7" t="e">
        <f t="shared" si="115"/>
        <v>#N/A</v>
      </c>
      <c r="AC283" s="7" t="e">
        <f t="shared" si="116"/>
        <v>#N/A</v>
      </c>
      <c r="AD283" s="472" t="e">
        <f>VLOOKUP(AF283,'排出係数(2017)'!$A$4:$I$1151,9,FALSE)</f>
        <v>#N/A</v>
      </c>
      <c r="AE283" s="12" t="str">
        <f t="shared" si="117"/>
        <v xml:space="preserve"> </v>
      </c>
      <c r="AF283" s="7" t="e">
        <f t="shared" si="132"/>
        <v>#N/A</v>
      </c>
      <c r="AG283" s="7" t="e">
        <f t="shared" si="118"/>
        <v>#N/A</v>
      </c>
      <c r="AH283" s="472" t="e">
        <f>VLOOKUP(AF283,'排出係数(2017)'!$A$4:$I$1151,6,FALSE)</f>
        <v>#N/A</v>
      </c>
      <c r="AI283" s="7" t="e">
        <f t="shared" si="119"/>
        <v>#N/A</v>
      </c>
      <c r="AJ283" s="7" t="e">
        <f t="shared" si="120"/>
        <v>#N/A</v>
      </c>
      <c r="AK283" s="472" t="e">
        <f>VLOOKUP(AF283,'排出係数(2017)'!$A$4:$I$1151,7,FALSE)</f>
        <v>#N/A</v>
      </c>
      <c r="AL283" s="7" t="e">
        <f t="shared" si="121"/>
        <v>#N/A</v>
      </c>
      <c r="AM283" s="7" t="e">
        <f t="shared" si="122"/>
        <v>#N/A</v>
      </c>
      <c r="AN283" s="7" t="e">
        <f t="shared" si="123"/>
        <v>#N/A</v>
      </c>
      <c r="AO283" s="7">
        <f t="shared" si="124"/>
        <v>0</v>
      </c>
      <c r="AP283" s="7" t="e">
        <f t="shared" si="133"/>
        <v>#N/A</v>
      </c>
      <c r="AQ283" s="7" t="str">
        <f t="shared" si="125"/>
        <v/>
      </c>
      <c r="AR283" s="7" t="str">
        <f t="shared" si="126"/>
        <v/>
      </c>
      <c r="AS283" s="7" t="str">
        <f t="shared" si="127"/>
        <v/>
      </c>
      <c r="AT283" s="97"/>
      <c r="AZ283" s="477" t="s">
        <v>1059</v>
      </c>
      <c r="CF283" s="586" t="str">
        <f t="shared" si="134"/>
        <v/>
      </c>
      <c r="CG283"/>
      <c r="CH283"/>
    </row>
    <row r="284" spans="1:86" s="13" customFormat="1" ht="13.75" customHeight="1">
      <c r="A284" s="137">
        <v>269</v>
      </c>
      <c r="B284" s="138"/>
      <c r="C284" s="139"/>
      <c r="D284" s="140"/>
      <c r="E284" s="139"/>
      <c r="F284" s="139"/>
      <c r="G284" s="191"/>
      <c r="H284" s="139"/>
      <c r="I284" s="141"/>
      <c r="J284" s="142"/>
      <c r="K284" s="139"/>
      <c r="L284" s="147"/>
      <c r="M284" s="148"/>
      <c r="N284" s="583"/>
      <c r="O284" s="229" t="str">
        <f t="shared" si="128"/>
        <v/>
      </c>
      <c r="P284" s="229" t="str">
        <f t="shared" si="129"/>
        <v/>
      </c>
      <c r="Q284" s="230" t="str">
        <f t="shared" si="130"/>
        <v/>
      </c>
      <c r="R284" s="323" t="str">
        <f t="shared" si="131"/>
        <v/>
      </c>
      <c r="S284" s="350"/>
      <c r="T284" s="43"/>
      <c r="U284" s="347" t="str">
        <f t="shared" si="108"/>
        <v/>
      </c>
      <c r="V284" s="7" t="e">
        <f t="shared" si="109"/>
        <v>#N/A</v>
      </c>
      <c r="W284" s="7" t="e">
        <f t="shared" si="110"/>
        <v>#N/A</v>
      </c>
      <c r="X284" s="7" t="e">
        <f t="shared" si="111"/>
        <v>#N/A</v>
      </c>
      <c r="Y284" s="7" t="str">
        <f t="shared" si="112"/>
        <v/>
      </c>
      <c r="Z284" s="11">
        <f t="shared" si="113"/>
        <v>1</v>
      </c>
      <c r="AA284" s="7" t="e">
        <f t="shared" si="114"/>
        <v>#N/A</v>
      </c>
      <c r="AB284" s="7" t="e">
        <f t="shared" si="115"/>
        <v>#N/A</v>
      </c>
      <c r="AC284" s="7" t="e">
        <f t="shared" si="116"/>
        <v>#N/A</v>
      </c>
      <c r="AD284" s="472" t="e">
        <f>VLOOKUP(AF284,'排出係数(2017)'!$A$4:$I$1151,9,FALSE)</f>
        <v>#N/A</v>
      </c>
      <c r="AE284" s="12" t="str">
        <f t="shared" si="117"/>
        <v xml:space="preserve"> </v>
      </c>
      <c r="AF284" s="7" t="e">
        <f t="shared" si="132"/>
        <v>#N/A</v>
      </c>
      <c r="AG284" s="7" t="e">
        <f t="shared" si="118"/>
        <v>#N/A</v>
      </c>
      <c r="AH284" s="472" t="e">
        <f>VLOOKUP(AF284,'排出係数(2017)'!$A$4:$I$1151,6,FALSE)</f>
        <v>#N/A</v>
      </c>
      <c r="AI284" s="7" t="e">
        <f t="shared" si="119"/>
        <v>#N/A</v>
      </c>
      <c r="AJ284" s="7" t="e">
        <f t="shared" si="120"/>
        <v>#N/A</v>
      </c>
      <c r="AK284" s="472" t="e">
        <f>VLOOKUP(AF284,'排出係数(2017)'!$A$4:$I$1151,7,FALSE)</f>
        <v>#N/A</v>
      </c>
      <c r="AL284" s="7" t="e">
        <f t="shared" si="121"/>
        <v>#N/A</v>
      </c>
      <c r="AM284" s="7" t="e">
        <f t="shared" si="122"/>
        <v>#N/A</v>
      </c>
      <c r="AN284" s="7" t="e">
        <f t="shared" si="123"/>
        <v>#N/A</v>
      </c>
      <c r="AO284" s="7">
        <f t="shared" si="124"/>
        <v>0</v>
      </c>
      <c r="AP284" s="7" t="e">
        <f t="shared" si="133"/>
        <v>#N/A</v>
      </c>
      <c r="AQ284" s="7" t="str">
        <f t="shared" si="125"/>
        <v/>
      </c>
      <c r="AR284" s="7" t="str">
        <f t="shared" si="126"/>
        <v/>
      </c>
      <c r="AS284" s="7" t="str">
        <f t="shared" si="127"/>
        <v/>
      </c>
      <c r="AT284" s="97"/>
      <c r="AZ284" s="477" t="s">
        <v>76</v>
      </c>
      <c r="CF284" s="586" t="str">
        <f t="shared" si="134"/>
        <v/>
      </c>
      <c r="CG284"/>
      <c r="CH284"/>
    </row>
    <row r="285" spans="1:86" s="13" customFormat="1" ht="13.75" customHeight="1">
      <c r="A285" s="137">
        <v>270</v>
      </c>
      <c r="B285" s="138"/>
      <c r="C285" s="139"/>
      <c r="D285" s="140"/>
      <c r="E285" s="139"/>
      <c r="F285" s="139"/>
      <c r="G285" s="191"/>
      <c r="H285" s="139"/>
      <c r="I285" s="141"/>
      <c r="J285" s="142"/>
      <c r="K285" s="139"/>
      <c r="L285" s="147"/>
      <c r="M285" s="148"/>
      <c r="N285" s="583"/>
      <c r="O285" s="229" t="str">
        <f t="shared" si="128"/>
        <v/>
      </c>
      <c r="P285" s="229" t="str">
        <f t="shared" si="129"/>
        <v/>
      </c>
      <c r="Q285" s="230" t="str">
        <f t="shared" si="130"/>
        <v/>
      </c>
      <c r="R285" s="323" t="str">
        <f t="shared" si="131"/>
        <v/>
      </c>
      <c r="S285" s="350"/>
      <c r="T285" s="43"/>
      <c r="U285" s="347" t="str">
        <f t="shared" si="108"/>
        <v/>
      </c>
      <c r="V285" s="7" t="e">
        <f t="shared" si="109"/>
        <v>#N/A</v>
      </c>
      <c r="W285" s="7" t="e">
        <f t="shared" si="110"/>
        <v>#N/A</v>
      </c>
      <c r="X285" s="7" t="e">
        <f t="shared" si="111"/>
        <v>#N/A</v>
      </c>
      <c r="Y285" s="7" t="str">
        <f t="shared" si="112"/>
        <v/>
      </c>
      <c r="Z285" s="11">
        <f t="shared" si="113"/>
        <v>1</v>
      </c>
      <c r="AA285" s="7" t="e">
        <f t="shared" si="114"/>
        <v>#N/A</v>
      </c>
      <c r="AB285" s="7" t="e">
        <f t="shared" si="115"/>
        <v>#N/A</v>
      </c>
      <c r="AC285" s="7" t="e">
        <f t="shared" si="116"/>
        <v>#N/A</v>
      </c>
      <c r="AD285" s="472" t="e">
        <f>VLOOKUP(AF285,'排出係数(2017)'!$A$4:$I$1151,9,FALSE)</f>
        <v>#N/A</v>
      </c>
      <c r="AE285" s="12" t="str">
        <f t="shared" si="117"/>
        <v xml:space="preserve"> </v>
      </c>
      <c r="AF285" s="7" t="e">
        <f t="shared" si="132"/>
        <v>#N/A</v>
      </c>
      <c r="AG285" s="7" t="e">
        <f t="shared" si="118"/>
        <v>#N/A</v>
      </c>
      <c r="AH285" s="472" t="e">
        <f>VLOOKUP(AF285,'排出係数(2017)'!$A$4:$I$1151,6,FALSE)</f>
        <v>#N/A</v>
      </c>
      <c r="AI285" s="7" t="e">
        <f t="shared" si="119"/>
        <v>#N/A</v>
      </c>
      <c r="AJ285" s="7" t="e">
        <f t="shared" si="120"/>
        <v>#N/A</v>
      </c>
      <c r="AK285" s="472" t="e">
        <f>VLOOKUP(AF285,'排出係数(2017)'!$A$4:$I$1151,7,FALSE)</f>
        <v>#N/A</v>
      </c>
      <c r="AL285" s="7" t="e">
        <f t="shared" si="121"/>
        <v>#N/A</v>
      </c>
      <c r="AM285" s="7" t="e">
        <f t="shared" si="122"/>
        <v>#N/A</v>
      </c>
      <c r="AN285" s="7" t="e">
        <f t="shared" si="123"/>
        <v>#N/A</v>
      </c>
      <c r="AO285" s="7">
        <f t="shared" si="124"/>
        <v>0</v>
      </c>
      <c r="AP285" s="7" t="e">
        <f t="shared" si="133"/>
        <v>#N/A</v>
      </c>
      <c r="AQ285" s="7" t="str">
        <f t="shared" si="125"/>
        <v/>
      </c>
      <c r="AR285" s="7" t="str">
        <f t="shared" si="126"/>
        <v/>
      </c>
      <c r="AS285" s="7" t="str">
        <f t="shared" si="127"/>
        <v/>
      </c>
      <c r="AT285" s="97"/>
      <c r="AZ285" s="477" t="s">
        <v>1051</v>
      </c>
      <c r="CF285" s="586" t="str">
        <f t="shared" si="134"/>
        <v/>
      </c>
      <c r="CG285"/>
      <c r="CH285"/>
    </row>
    <row r="286" spans="1:86" s="13" customFormat="1" ht="13.75" customHeight="1">
      <c r="A286" s="137">
        <v>271</v>
      </c>
      <c r="B286" s="138"/>
      <c r="C286" s="139"/>
      <c r="D286" s="140"/>
      <c r="E286" s="139"/>
      <c r="F286" s="139"/>
      <c r="G286" s="191"/>
      <c r="H286" s="139"/>
      <c r="I286" s="141"/>
      <c r="J286" s="142"/>
      <c r="K286" s="139"/>
      <c r="L286" s="147"/>
      <c r="M286" s="148"/>
      <c r="N286" s="583"/>
      <c r="O286" s="229" t="str">
        <f t="shared" si="128"/>
        <v/>
      </c>
      <c r="P286" s="229" t="str">
        <f t="shared" si="129"/>
        <v/>
      </c>
      <c r="Q286" s="230" t="str">
        <f t="shared" si="130"/>
        <v/>
      </c>
      <c r="R286" s="323" t="str">
        <f t="shared" si="131"/>
        <v/>
      </c>
      <c r="S286" s="350"/>
      <c r="T286" s="43"/>
      <c r="U286" s="347" t="str">
        <f t="shared" si="108"/>
        <v/>
      </c>
      <c r="V286" s="7" t="e">
        <f t="shared" si="109"/>
        <v>#N/A</v>
      </c>
      <c r="W286" s="7" t="e">
        <f t="shared" si="110"/>
        <v>#N/A</v>
      </c>
      <c r="X286" s="7" t="e">
        <f t="shared" si="111"/>
        <v>#N/A</v>
      </c>
      <c r="Y286" s="7" t="str">
        <f t="shared" si="112"/>
        <v/>
      </c>
      <c r="Z286" s="11">
        <f t="shared" si="113"/>
        <v>1</v>
      </c>
      <c r="AA286" s="7" t="e">
        <f t="shared" si="114"/>
        <v>#N/A</v>
      </c>
      <c r="AB286" s="7" t="e">
        <f t="shared" si="115"/>
        <v>#N/A</v>
      </c>
      <c r="AC286" s="7" t="e">
        <f t="shared" si="116"/>
        <v>#N/A</v>
      </c>
      <c r="AD286" s="472" t="e">
        <f>VLOOKUP(AF286,'排出係数(2017)'!$A$4:$I$1151,9,FALSE)</f>
        <v>#N/A</v>
      </c>
      <c r="AE286" s="12" t="str">
        <f t="shared" si="117"/>
        <v xml:space="preserve"> </v>
      </c>
      <c r="AF286" s="7" t="e">
        <f t="shared" si="132"/>
        <v>#N/A</v>
      </c>
      <c r="AG286" s="7" t="e">
        <f t="shared" si="118"/>
        <v>#N/A</v>
      </c>
      <c r="AH286" s="472" t="e">
        <f>VLOOKUP(AF286,'排出係数(2017)'!$A$4:$I$1151,6,FALSE)</f>
        <v>#N/A</v>
      </c>
      <c r="AI286" s="7" t="e">
        <f t="shared" si="119"/>
        <v>#N/A</v>
      </c>
      <c r="AJ286" s="7" t="e">
        <f t="shared" si="120"/>
        <v>#N/A</v>
      </c>
      <c r="AK286" s="472" t="e">
        <f>VLOOKUP(AF286,'排出係数(2017)'!$A$4:$I$1151,7,FALSE)</f>
        <v>#N/A</v>
      </c>
      <c r="AL286" s="7" t="e">
        <f t="shared" si="121"/>
        <v>#N/A</v>
      </c>
      <c r="AM286" s="7" t="e">
        <f t="shared" si="122"/>
        <v>#N/A</v>
      </c>
      <c r="AN286" s="7" t="e">
        <f t="shared" si="123"/>
        <v>#N/A</v>
      </c>
      <c r="AO286" s="7">
        <f t="shared" si="124"/>
        <v>0</v>
      </c>
      <c r="AP286" s="7" t="e">
        <f t="shared" si="133"/>
        <v>#N/A</v>
      </c>
      <c r="AQ286" s="7" t="str">
        <f t="shared" si="125"/>
        <v/>
      </c>
      <c r="AR286" s="7" t="str">
        <f t="shared" si="126"/>
        <v/>
      </c>
      <c r="AS286" s="7" t="str">
        <f t="shared" si="127"/>
        <v/>
      </c>
      <c r="AT286" s="97"/>
      <c r="AZ286" s="477" t="s">
        <v>77</v>
      </c>
      <c r="CF286" s="586" t="str">
        <f t="shared" si="134"/>
        <v/>
      </c>
      <c r="CG286"/>
      <c r="CH286"/>
    </row>
    <row r="287" spans="1:86" s="13" customFormat="1" ht="13.75" customHeight="1">
      <c r="A287" s="137">
        <v>272</v>
      </c>
      <c r="B287" s="138"/>
      <c r="C287" s="139"/>
      <c r="D287" s="140"/>
      <c r="E287" s="139"/>
      <c r="F287" s="139"/>
      <c r="G287" s="191"/>
      <c r="H287" s="139"/>
      <c r="I287" s="141"/>
      <c r="J287" s="142"/>
      <c r="K287" s="139"/>
      <c r="L287" s="147"/>
      <c r="M287" s="148"/>
      <c r="N287" s="583"/>
      <c r="O287" s="229" t="str">
        <f t="shared" si="128"/>
        <v/>
      </c>
      <c r="P287" s="229" t="str">
        <f t="shared" si="129"/>
        <v/>
      </c>
      <c r="Q287" s="230" t="str">
        <f t="shared" si="130"/>
        <v/>
      </c>
      <c r="R287" s="323" t="str">
        <f t="shared" si="131"/>
        <v/>
      </c>
      <c r="S287" s="350"/>
      <c r="T287" s="43"/>
      <c r="U287" s="347" t="str">
        <f t="shared" si="108"/>
        <v/>
      </c>
      <c r="V287" s="7" t="e">
        <f t="shared" si="109"/>
        <v>#N/A</v>
      </c>
      <c r="W287" s="7" t="e">
        <f t="shared" si="110"/>
        <v>#N/A</v>
      </c>
      <c r="X287" s="7" t="e">
        <f t="shared" si="111"/>
        <v>#N/A</v>
      </c>
      <c r="Y287" s="7" t="str">
        <f t="shared" si="112"/>
        <v/>
      </c>
      <c r="Z287" s="11">
        <f t="shared" si="113"/>
        <v>1</v>
      </c>
      <c r="AA287" s="7" t="e">
        <f t="shared" si="114"/>
        <v>#N/A</v>
      </c>
      <c r="AB287" s="7" t="e">
        <f t="shared" si="115"/>
        <v>#N/A</v>
      </c>
      <c r="AC287" s="7" t="e">
        <f t="shared" si="116"/>
        <v>#N/A</v>
      </c>
      <c r="AD287" s="472" t="e">
        <f>VLOOKUP(AF287,'排出係数(2017)'!$A$4:$I$1151,9,FALSE)</f>
        <v>#N/A</v>
      </c>
      <c r="AE287" s="12" t="str">
        <f t="shared" si="117"/>
        <v xml:space="preserve"> </v>
      </c>
      <c r="AF287" s="7" t="e">
        <f t="shared" si="132"/>
        <v>#N/A</v>
      </c>
      <c r="AG287" s="7" t="e">
        <f t="shared" si="118"/>
        <v>#N/A</v>
      </c>
      <c r="AH287" s="472" t="e">
        <f>VLOOKUP(AF287,'排出係数(2017)'!$A$4:$I$1151,6,FALSE)</f>
        <v>#N/A</v>
      </c>
      <c r="AI287" s="7" t="e">
        <f t="shared" si="119"/>
        <v>#N/A</v>
      </c>
      <c r="AJ287" s="7" t="e">
        <f t="shared" si="120"/>
        <v>#N/A</v>
      </c>
      <c r="AK287" s="472" t="e">
        <f>VLOOKUP(AF287,'排出係数(2017)'!$A$4:$I$1151,7,FALSE)</f>
        <v>#N/A</v>
      </c>
      <c r="AL287" s="7" t="e">
        <f t="shared" si="121"/>
        <v>#N/A</v>
      </c>
      <c r="AM287" s="7" t="e">
        <f t="shared" si="122"/>
        <v>#N/A</v>
      </c>
      <c r="AN287" s="7" t="e">
        <f t="shared" si="123"/>
        <v>#N/A</v>
      </c>
      <c r="AO287" s="7">
        <f t="shared" si="124"/>
        <v>0</v>
      </c>
      <c r="AP287" s="7" t="e">
        <f t="shared" si="133"/>
        <v>#N/A</v>
      </c>
      <c r="AQ287" s="7" t="str">
        <f t="shared" si="125"/>
        <v/>
      </c>
      <c r="AR287" s="7" t="str">
        <f t="shared" si="126"/>
        <v/>
      </c>
      <c r="AS287" s="7" t="str">
        <f t="shared" si="127"/>
        <v/>
      </c>
      <c r="AT287" s="97"/>
      <c r="AZ287" s="477" t="s">
        <v>1061</v>
      </c>
      <c r="CF287" s="586" t="str">
        <f t="shared" si="134"/>
        <v/>
      </c>
      <c r="CG287"/>
      <c r="CH287"/>
    </row>
    <row r="288" spans="1:86" s="13" customFormat="1" ht="13.75" customHeight="1">
      <c r="A288" s="137">
        <v>273</v>
      </c>
      <c r="B288" s="138"/>
      <c r="C288" s="139"/>
      <c r="D288" s="140"/>
      <c r="E288" s="139"/>
      <c r="F288" s="139"/>
      <c r="G288" s="191"/>
      <c r="H288" s="139"/>
      <c r="I288" s="141"/>
      <c r="J288" s="142"/>
      <c r="K288" s="139"/>
      <c r="L288" s="147"/>
      <c r="M288" s="148"/>
      <c r="N288" s="583"/>
      <c r="O288" s="229" t="str">
        <f t="shared" si="128"/>
        <v/>
      </c>
      <c r="P288" s="229" t="str">
        <f t="shared" si="129"/>
        <v/>
      </c>
      <c r="Q288" s="230" t="str">
        <f t="shared" si="130"/>
        <v/>
      </c>
      <c r="R288" s="323" t="str">
        <f t="shared" si="131"/>
        <v/>
      </c>
      <c r="S288" s="350"/>
      <c r="T288" s="43"/>
      <c r="U288" s="347" t="str">
        <f t="shared" si="108"/>
        <v/>
      </c>
      <c r="V288" s="7" t="e">
        <f t="shared" si="109"/>
        <v>#N/A</v>
      </c>
      <c r="W288" s="7" t="e">
        <f t="shared" si="110"/>
        <v>#N/A</v>
      </c>
      <c r="X288" s="7" t="e">
        <f t="shared" si="111"/>
        <v>#N/A</v>
      </c>
      <c r="Y288" s="7" t="str">
        <f t="shared" si="112"/>
        <v/>
      </c>
      <c r="Z288" s="11">
        <f t="shared" si="113"/>
        <v>1</v>
      </c>
      <c r="AA288" s="7" t="e">
        <f t="shared" si="114"/>
        <v>#N/A</v>
      </c>
      <c r="AB288" s="7" t="e">
        <f t="shared" si="115"/>
        <v>#N/A</v>
      </c>
      <c r="AC288" s="7" t="e">
        <f t="shared" si="116"/>
        <v>#N/A</v>
      </c>
      <c r="AD288" s="472" t="e">
        <f>VLOOKUP(AF288,'排出係数(2017)'!$A$4:$I$1151,9,FALSE)</f>
        <v>#N/A</v>
      </c>
      <c r="AE288" s="12" t="str">
        <f t="shared" si="117"/>
        <v xml:space="preserve"> </v>
      </c>
      <c r="AF288" s="7" t="e">
        <f t="shared" si="132"/>
        <v>#N/A</v>
      </c>
      <c r="AG288" s="7" t="e">
        <f t="shared" si="118"/>
        <v>#N/A</v>
      </c>
      <c r="AH288" s="472" t="e">
        <f>VLOOKUP(AF288,'排出係数(2017)'!$A$4:$I$1151,6,FALSE)</f>
        <v>#N/A</v>
      </c>
      <c r="AI288" s="7" t="e">
        <f t="shared" si="119"/>
        <v>#N/A</v>
      </c>
      <c r="AJ288" s="7" t="e">
        <f t="shared" si="120"/>
        <v>#N/A</v>
      </c>
      <c r="AK288" s="472" t="e">
        <f>VLOOKUP(AF288,'排出係数(2017)'!$A$4:$I$1151,7,FALSE)</f>
        <v>#N/A</v>
      </c>
      <c r="AL288" s="7" t="e">
        <f t="shared" si="121"/>
        <v>#N/A</v>
      </c>
      <c r="AM288" s="7" t="e">
        <f t="shared" si="122"/>
        <v>#N/A</v>
      </c>
      <c r="AN288" s="7" t="e">
        <f t="shared" si="123"/>
        <v>#N/A</v>
      </c>
      <c r="AO288" s="7">
        <f t="shared" si="124"/>
        <v>0</v>
      </c>
      <c r="AP288" s="7" t="e">
        <f t="shared" si="133"/>
        <v>#N/A</v>
      </c>
      <c r="AQ288" s="7" t="str">
        <f t="shared" si="125"/>
        <v/>
      </c>
      <c r="AR288" s="7" t="str">
        <f t="shared" si="126"/>
        <v/>
      </c>
      <c r="AS288" s="7" t="str">
        <f t="shared" si="127"/>
        <v/>
      </c>
      <c r="AT288" s="97"/>
      <c r="AZ288" s="477" t="s">
        <v>1217</v>
      </c>
      <c r="CF288" s="586" t="str">
        <f t="shared" si="134"/>
        <v/>
      </c>
      <c r="CG288"/>
      <c r="CH288"/>
    </row>
    <row r="289" spans="1:86" s="13" customFormat="1" ht="13.75" customHeight="1">
      <c r="A289" s="137">
        <v>274</v>
      </c>
      <c r="B289" s="138"/>
      <c r="C289" s="139"/>
      <c r="D289" s="140"/>
      <c r="E289" s="139"/>
      <c r="F289" s="139"/>
      <c r="G289" s="191"/>
      <c r="H289" s="139"/>
      <c r="I289" s="141"/>
      <c r="J289" s="142"/>
      <c r="K289" s="139"/>
      <c r="L289" s="147"/>
      <c r="M289" s="148"/>
      <c r="N289" s="583"/>
      <c r="O289" s="229" t="str">
        <f t="shared" si="128"/>
        <v/>
      </c>
      <c r="P289" s="229" t="str">
        <f t="shared" si="129"/>
        <v/>
      </c>
      <c r="Q289" s="230" t="str">
        <f t="shared" si="130"/>
        <v/>
      </c>
      <c r="R289" s="323" t="str">
        <f t="shared" si="131"/>
        <v/>
      </c>
      <c r="S289" s="350"/>
      <c r="T289" s="43"/>
      <c r="U289" s="347" t="str">
        <f t="shared" si="108"/>
        <v/>
      </c>
      <c r="V289" s="7" t="e">
        <f t="shared" si="109"/>
        <v>#N/A</v>
      </c>
      <c r="W289" s="7" t="e">
        <f t="shared" si="110"/>
        <v>#N/A</v>
      </c>
      <c r="X289" s="7" t="e">
        <f t="shared" si="111"/>
        <v>#N/A</v>
      </c>
      <c r="Y289" s="7" t="str">
        <f t="shared" si="112"/>
        <v/>
      </c>
      <c r="Z289" s="11">
        <f t="shared" si="113"/>
        <v>1</v>
      </c>
      <c r="AA289" s="7" t="e">
        <f t="shared" si="114"/>
        <v>#N/A</v>
      </c>
      <c r="AB289" s="7" t="e">
        <f t="shared" si="115"/>
        <v>#N/A</v>
      </c>
      <c r="AC289" s="7" t="e">
        <f t="shared" si="116"/>
        <v>#N/A</v>
      </c>
      <c r="AD289" s="472" t="e">
        <f>VLOOKUP(AF289,'排出係数(2017)'!$A$4:$I$1151,9,FALSE)</f>
        <v>#N/A</v>
      </c>
      <c r="AE289" s="12" t="str">
        <f t="shared" si="117"/>
        <v xml:space="preserve"> </v>
      </c>
      <c r="AF289" s="7" t="e">
        <f t="shared" si="132"/>
        <v>#N/A</v>
      </c>
      <c r="AG289" s="7" t="e">
        <f t="shared" si="118"/>
        <v>#N/A</v>
      </c>
      <c r="AH289" s="472" t="e">
        <f>VLOOKUP(AF289,'排出係数(2017)'!$A$4:$I$1151,6,FALSE)</f>
        <v>#N/A</v>
      </c>
      <c r="AI289" s="7" t="e">
        <f t="shared" si="119"/>
        <v>#N/A</v>
      </c>
      <c r="AJ289" s="7" t="e">
        <f t="shared" si="120"/>
        <v>#N/A</v>
      </c>
      <c r="AK289" s="472" t="e">
        <f>VLOOKUP(AF289,'排出係数(2017)'!$A$4:$I$1151,7,FALSE)</f>
        <v>#N/A</v>
      </c>
      <c r="AL289" s="7" t="e">
        <f t="shared" si="121"/>
        <v>#N/A</v>
      </c>
      <c r="AM289" s="7" t="e">
        <f t="shared" si="122"/>
        <v>#N/A</v>
      </c>
      <c r="AN289" s="7" t="e">
        <f t="shared" si="123"/>
        <v>#N/A</v>
      </c>
      <c r="AO289" s="7">
        <f t="shared" si="124"/>
        <v>0</v>
      </c>
      <c r="AP289" s="7" t="e">
        <f t="shared" si="133"/>
        <v>#N/A</v>
      </c>
      <c r="AQ289" s="7" t="str">
        <f t="shared" si="125"/>
        <v/>
      </c>
      <c r="AR289" s="7" t="str">
        <f t="shared" si="126"/>
        <v/>
      </c>
      <c r="AS289" s="7" t="str">
        <f t="shared" si="127"/>
        <v/>
      </c>
      <c r="AT289" s="97"/>
      <c r="AZ289" s="477" t="s">
        <v>1053</v>
      </c>
      <c r="CF289" s="586" t="str">
        <f t="shared" si="134"/>
        <v/>
      </c>
      <c r="CG289"/>
      <c r="CH289"/>
    </row>
    <row r="290" spans="1:86" s="13" customFormat="1" ht="13.75" customHeight="1">
      <c r="A290" s="137">
        <v>275</v>
      </c>
      <c r="B290" s="138"/>
      <c r="C290" s="139"/>
      <c r="D290" s="140"/>
      <c r="E290" s="139"/>
      <c r="F290" s="139"/>
      <c r="G290" s="191"/>
      <c r="H290" s="139"/>
      <c r="I290" s="141"/>
      <c r="J290" s="142"/>
      <c r="K290" s="139"/>
      <c r="L290" s="147"/>
      <c r="M290" s="148"/>
      <c r="N290" s="583"/>
      <c r="O290" s="229" t="str">
        <f t="shared" si="128"/>
        <v/>
      </c>
      <c r="P290" s="229" t="str">
        <f t="shared" si="129"/>
        <v/>
      </c>
      <c r="Q290" s="230" t="str">
        <f t="shared" si="130"/>
        <v/>
      </c>
      <c r="R290" s="323" t="str">
        <f t="shared" si="131"/>
        <v/>
      </c>
      <c r="S290" s="350"/>
      <c r="T290" s="43"/>
      <c r="U290" s="347" t="str">
        <f t="shared" si="108"/>
        <v/>
      </c>
      <c r="V290" s="7" t="e">
        <f t="shared" si="109"/>
        <v>#N/A</v>
      </c>
      <c r="W290" s="7" t="e">
        <f t="shared" si="110"/>
        <v>#N/A</v>
      </c>
      <c r="X290" s="7" t="e">
        <f t="shared" si="111"/>
        <v>#N/A</v>
      </c>
      <c r="Y290" s="7" t="str">
        <f t="shared" si="112"/>
        <v/>
      </c>
      <c r="Z290" s="11">
        <f t="shared" si="113"/>
        <v>1</v>
      </c>
      <c r="AA290" s="7" t="e">
        <f t="shared" si="114"/>
        <v>#N/A</v>
      </c>
      <c r="AB290" s="7" t="e">
        <f t="shared" si="115"/>
        <v>#N/A</v>
      </c>
      <c r="AC290" s="7" t="e">
        <f t="shared" si="116"/>
        <v>#N/A</v>
      </c>
      <c r="AD290" s="472" t="e">
        <f>VLOOKUP(AF290,'排出係数(2017)'!$A$4:$I$1151,9,FALSE)</f>
        <v>#N/A</v>
      </c>
      <c r="AE290" s="12" t="str">
        <f t="shared" si="117"/>
        <v xml:space="preserve"> </v>
      </c>
      <c r="AF290" s="7" t="e">
        <f t="shared" si="132"/>
        <v>#N/A</v>
      </c>
      <c r="AG290" s="7" t="e">
        <f t="shared" si="118"/>
        <v>#N/A</v>
      </c>
      <c r="AH290" s="472" t="e">
        <f>VLOOKUP(AF290,'排出係数(2017)'!$A$4:$I$1151,6,FALSE)</f>
        <v>#N/A</v>
      </c>
      <c r="AI290" s="7" t="e">
        <f t="shared" si="119"/>
        <v>#N/A</v>
      </c>
      <c r="AJ290" s="7" t="e">
        <f t="shared" si="120"/>
        <v>#N/A</v>
      </c>
      <c r="AK290" s="472" t="e">
        <f>VLOOKUP(AF290,'排出係数(2017)'!$A$4:$I$1151,7,FALSE)</f>
        <v>#N/A</v>
      </c>
      <c r="AL290" s="7" t="e">
        <f t="shared" si="121"/>
        <v>#N/A</v>
      </c>
      <c r="AM290" s="7" t="e">
        <f t="shared" si="122"/>
        <v>#N/A</v>
      </c>
      <c r="AN290" s="7" t="e">
        <f t="shared" si="123"/>
        <v>#N/A</v>
      </c>
      <c r="AO290" s="7">
        <f t="shared" si="124"/>
        <v>0</v>
      </c>
      <c r="AP290" s="7" t="e">
        <f t="shared" si="133"/>
        <v>#N/A</v>
      </c>
      <c r="AQ290" s="7" t="str">
        <f t="shared" si="125"/>
        <v/>
      </c>
      <c r="AR290" s="7" t="str">
        <f t="shared" si="126"/>
        <v/>
      </c>
      <c r="AS290" s="7" t="str">
        <f t="shared" si="127"/>
        <v/>
      </c>
      <c r="AT290" s="97"/>
      <c r="AZ290" s="477" t="s">
        <v>2529</v>
      </c>
      <c r="CF290" s="586" t="str">
        <f t="shared" si="134"/>
        <v/>
      </c>
      <c r="CG290"/>
      <c r="CH290"/>
    </row>
    <row r="291" spans="1:86" s="13" customFormat="1" ht="13.75" customHeight="1">
      <c r="A291" s="137">
        <v>276</v>
      </c>
      <c r="B291" s="138"/>
      <c r="C291" s="139"/>
      <c r="D291" s="140"/>
      <c r="E291" s="139"/>
      <c r="F291" s="139"/>
      <c r="G291" s="191"/>
      <c r="H291" s="139"/>
      <c r="I291" s="141"/>
      <c r="J291" s="142"/>
      <c r="K291" s="139"/>
      <c r="L291" s="147"/>
      <c r="M291" s="148"/>
      <c r="N291" s="583"/>
      <c r="O291" s="229" t="str">
        <f t="shared" si="128"/>
        <v/>
      </c>
      <c r="P291" s="229" t="str">
        <f t="shared" si="129"/>
        <v/>
      </c>
      <c r="Q291" s="230" t="str">
        <f t="shared" si="130"/>
        <v/>
      </c>
      <c r="R291" s="323" t="str">
        <f t="shared" si="131"/>
        <v/>
      </c>
      <c r="S291" s="350"/>
      <c r="T291" s="43"/>
      <c r="U291" s="347" t="str">
        <f t="shared" si="108"/>
        <v/>
      </c>
      <c r="V291" s="7" t="e">
        <f t="shared" si="109"/>
        <v>#N/A</v>
      </c>
      <c r="W291" s="7" t="e">
        <f t="shared" si="110"/>
        <v>#N/A</v>
      </c>
      <c r="X291" s="7" t="e">
        <f t="shared" si="111"/>
        <v>#N/A</v>
      </c>
      <c r="Y291" s="7" t="str">
        <f t="shared" si="112"/>
        <v/>
      </c>
      <c r="Z291" s="11">
        <f t="shared" si="113"/>
        <v>1</v>
      </c>
      <c r="AA291" s="7" t="e">
        <f t="shared" si="114"/>
        <v>#N/A</v>
      </c>
      <c r="AB291" s="7" t="e">
        <f t="shared" si="115"/>
        <v>#N/A</v>
      </c>
      <c r="AC291" s="7" t="e">
        <f t="shared" si="116"/>
        <v>#N/A</v>
      </c>
      <c r="AD291" s="472" t="e">
        <f>VLOOKUP(AF291,'排出係数(2017)'!$A$4:$I$1151,9,FALSE)</f>
        <v>#N/A</v>
      </c>
      <c r="AE291" s="12" t="str">
        <f t="shared" si="117"/>
        <v xml:space="preserve"> </v>
      </c>
      <c r="AF291" s="7" t="e">
        <f t="shared" si="132"/>
        <v>#N/A</v>
      </c>
      <c r="AG291" s="7" t="e">
        <f t="shared" si="118"/>
        <v>#N/A</v>
      </c>
      <c r="AH291" s="472" t="e">
        <f>VLOOKUP(AF291,'排出係数(2017)'!$A$4:$I$1151,6,FALSE)</f>
        <v>#N/A</v>
      </c>
      <c r="AI291" s="7" t="e">
        <f t="shared" si="119"/>
        <v>#N/A</v>
      </c>
      <c r="AJ291" s="7" t="e">
        <f t="shared" si="120"/>
        <v>#N/A</v>
      </c>
      <c r="AK291" s="472" t="e">
        <f>VLOOKUP(AF291,'排出係数(2017)'!$A$4:$I$1151,7,FALSE)</f>
        <v>#N/A</v>
      </c>
      <c r="AL291" s="7" t="e">
        <f t="shared" si="121"/>
        <v>#N/A</v>
      </c>
      <c r="AM291" s="7" t="e">
        <f t="shared" si="122"/>
        <v>#N/A</v>
      </c>
      <c r="AN291" s="7" t="e">
        <f t="shared" si="123"/>
        <v>#N/A</v>
      </c>
      <c r="AO291" s="7">
        <f t="shared" si="124"/>
        <v>0</v>
      </c>
      <c r="AP291" s="7" t="e">
        <f t="shared" si="133"/>
        <v>#N/A</v>
      </c>
      <c r="AQ291" s="7" t="str">
        <f t="shared" si="125"/>
        <v/>
      </c>
      <c r="AR291" s="7" t="str">
        <f t="shared" si="126"/>
        <v/>
      </c>
      <c r="AS291" s="7" t="str">
        <f t="shared" si="127"/>
        <v/>
      </c>
      <c r="AT291" s="97"/>
      <c r="AZ291" s="477" t="s">
        <v>2530</v>
      </c>
      <c r="CF291" s="586" t="str">
        <f t="shared" si="134"/>
        <v/>
      </c>
      <c r="CG291"/>
      <c r="CH291"/>
    </row>
    <row r="292" spans="1:86" s="13" customFormat="1" ht="13.75" customHeight="1">
      <c r="A292" s="137">
        <v>277</v>
      </c>
      <c r="B292" s="138"/>
      <c r="C292" s="139"/>
      <c r="D292" s="140"/>
      <c r="E292" s="139"/>
      <c r="F292" s="139"/>
      <c r="G292" s="191"/>
      <c r="H292" s="139"/>
      <c r="I292" s="141"/>
      <c r="J292" s="142"/>
      <c r="K292" s="139"/>
      <c r="L292" s="147"/>
      <c r="M292" s="148"/>
      <c r="N292" s="583"/>
      <c r="O292" s="229" t="str">
        <f t="shared" si="128"/>
        <v/>
      </c>
      <c r="P292" s="229" t="str">
        <f t="shared" si="129"/>
        <v/>
      </c>
      <c r="Q292" s="230" t="str">
        <f t="shared" si="130"/>
        <v/>
      </c>
      <c r="R292" s="323" t="str">
        <f t="shared" si="131"/>
        <v/>
      </c>
      <c r="S292" s="350"/>
      <c r="T292" s="43"/>
      <c r="U292" s="347" t="str">
        <f t="shared" si="108"/>
        <v/>
      </c>
      <c r="V292" s="7" t="e">
        <f t="shared" si="109"/>
        <v>#N/A</v>
      </c>
      <c r="W292" s="7" t="e">
        <f t="shared" si="110"/>
        <v>#N/A</v>
      </c>
      <c r="X292" s="7" t="e">
        <f t="shared" si="111"/>
        <v>#N/A</v>
      </c>
      <c r="Y292" s="7" t="str">
        <f t="shared" si="112"/>
        <v/>
      </c>
      <c r="Z292" s="11">
        <f t="shared" si="113"/>
        <v>1</v>
      </c>
      <c r="AA292" s="7" t="e">
        <f t="shared" si="114"/>
        <v>#N/A</v>
      </c>
      <c r="AB292" s="7" t="e">
        <f t="shared" si="115"/>
        <v>#N/A</v>
      </c>
      <c r="AC292" s="7" t="e">
        <f t="shared" si="116"/>
        <v>#N/A</v>
      </c>
      <c r="AD292" s="472" t="e">
        <f>VLOOKUP(AF292,'排出係数(2017)'!$A$4:$I$1151,9,FALSE)</f>
        <v>#N/A</v>
      </c>
      <c r="AE292" s="12" t="str">
        <f t="shared" si="117"/>
        <v xml:space="preserve"> </v>
      </c>
      <c r="AF292" s="7" t="e">
        <f t="shared" si="132"/>
        <v>#N/A</v>
      </c>
      <c r="AG292" s="7" t="e">
        <f t="shared" si="118"/>
        <v>#N/A</v>
      </c>
      <c r="AH292" s="472" t="e">
        <f>VLOOKUP(AF292,'排出係数(2017)'!$A$4:$I$1151,6,FALSE)</f>
        <v>#N/A</v>
      </c>
      <c r="AI292" s="7" t="e">
        <f t="shared" si="119"/>
        <v>#N/A</v>
      </c>
      <c r="AJ292" s="7" t="e">
        <f t="shared" si="120"/>
        <v>#N/A</v>
      </c>
      <c r="AK292" s="472" t="e">
        <f>VLOOKUP(AF292,'排出係数(2017)'!$A$4:$I$1151,7,FALSE)</f>
        <v>#N/A</v>
      </c>
      <c r="AL292" s="7" t="e">
        <f t="shared" si="121"/>
        <v>#N/A</v>
      </c>
      <c r="AM292" s="7" t="e">
        <f t="shared" si="122"/>
        <v>#N/A</v>
      </c>
      <c r="AN292" s="7" t="e">
        <f t="shared" si="123"/>
        <v>#N/A</v>
      </c>
      <c r="AO292" s="7">
        <f t="shared" si="124"/>
        <v>0</v>
      </c>
      <c r="AP292" s="7" t="e">
        <f t="shared" si="133"/>
        <v>#N/A</v>
      </c>
      <c r="AQ292" s="7" t="str">
        <f t="shared" si="125"/>
        <v/>
      </c>
      <c r="AR292" s="7" t="str">
        <f t="shared" si="126"/>
        <v/>
      </c>
      <c r="AS292" s="7" t="str">
        <f t="shared" si="127"/>
        <v/>
      </c>
      <c r="AT292" s="97"/>
      <c r="AZ292" s="477" t="s">
        <v>25</v>
      </c>
      <c r="CF292" s="586" t="str">
        <f t="shared" si="134"/>
        <v/>
      </c>
      <c r="CG292"/>
      <c r="CH292"/>
    </row>
    <row r="293" spans="1:86" s="13" customFormat="1" ht="13.75" customHeight="1">
      <c r="A293" s="137">
        <v>278</v>
      </c>
      <c r="B293" s="138"/>
      <c r="C293" s="139"/>
      <c r="D293" s="140"/>
      <c r="E293" s="139"/>
      <c r="F293" s="139"/>
      <c r="G293" s="191"/>
      <c r="H293" s="139"/>
      <c r="I293" s="141"/>
      <c r="J293" s="142"/>
      <c r="K293" s="139"/>
      <c r="L293" s="147"/>
      <c r="M293" s="148"/>
      <c r="N293" s="583"/>
      <c r="O293" s="229" t="str">
        <f t="shared" si="128"/>
        <v/>
      </c>
      <c r="P293" s="229" t="str">
        <f t="shared" si="129"/>
        <v/>
      </c>
      <c r="Q293" s="230" t="str">
        <f t="shared" si="130"/>
        <v/>
      </c>
      <c r="R293" s="323" t="str">
        <f t="shared" si="131"/>
        <v/>
      </c>
      <c r="S293" s="350"/>
      <c r="T293" s="43"/>
      <c r="U293" s="347" t="str">
        <f t="shared" si="108"/>
        <v/>
      </c>
      <c r="V293" s="7" t="e">
        <f t="shared" si="109"/>
        <v>#N/A</v>
      </c>
      <c r="W293" s="7" t="e">
        <f t="shared" si="110"/>
        <v>#N/A</v>
      </c>
      <c r="X293" s="7" t="e">
        <f t="shared" si="111"/>
        <v>#N/A</v>
      </c>
      <c r="Y293" s="7" t="str">
        <f t="shared" si="112"/>
        <v/>
      </c>
      <c r="Z293" s="11">
        <f t="shared" si="113"/>
        <v>1</v>
      </c>
      <c r="AA293" s="7" t="e">
        <f t="shared" si="114"/>
        <v>#N/A</v>
      </c>
      <c r="AB293" s="7" t="e">
        <f t="shared" si="115"/>
        <v>#N/A</v>
      </c>
      <c r="AC293" s="7" t="e">
        <f t="shared" si="116"/>
        <v>#N/A</v>
      </c>
      <c r="AD293" s="472" t="e">
        <f>VLOOKUP(AF293,'排出係数(2017)'!$A$4:$I$1151,9,FALSE)</f>
        <v>#N/A</v>
      </c>
      <c r="AE293" s="12" t="str">
        <f t="shared" si="117"/>
        <v xml:space="preserve"> </v>
      </c>
      <c r="AF293" s="7" t="e">
        <f t="shared" si="132"/>
        <v>#N/A</v>
      </c>
      <c r="AG293" s="7" t="e">
        <f t="shared" si="118"/>
        <v>#N/A</v>
      </c>
      <c r="AH293" s="472" t="e">
        <f>VLOOKUP(AF293,'排出係数(2017)'!$A$4:$I$1151,6,FALSE)</f>
        <v>#N/A</v>
      </c>
      <c r="AI293" s="7" t="e">
        <f t="shared" si="119"/>
        <v>#N/A</v>
      </c>
      <c r="AJ293" s="7" t="e">
        <f t="shared" si="120"/>
        <v>#N/A</v>
      </c>
      <c r="AK293" s="472" t="e">
        <f>VLOOKUP(AF293,'排出係数(2017)'!$A$4:$I$1151,7,FALSE)</f>
        <v>#N/A</v>
      </c>
      <c r="AL293" s="7" t="e">
        <f t="shared" si="121"/>
        <v>#N/A</v>
      </c>
      <c r="AM293" s="7" t="e">
        <f t="shared" si="122"/>
        <v>#N/A</v>
      </c>
      <c r="AN293" s="7" t="e">
        <f t="shared" si="123"/>
        <v>#N/A</v>
      </c>
      <c r="AO293" s="7">
        <f t="shared" si="124"/>
        <v>0</v>
      </c>
      <c r="AP293" s="7" t="e">
        <f t="shared" si="133"/>
        <v>#N/A</v>
      </c>
      <c r="AQ293" s="7" t="str">
        <f t="shared" si="125"/>
        <v/>
      </c>
      <c r="AR293" s="7" t="str">
        <f t="shared" si="126"/>
        <v/>
      </c>
      <c r="AS293" s="7" t="str">
        <f t="shared" si="127"/>
        <v/>
      </c>
      <c r="AT293" s="97"/>
      <c r="AZ293" s="477" t="s">
        <v>1424</v>
      </c>
      <c r="CF293" s="586" t="str">
        <f t="shared" si="134"/>
        <v/>
      </c>
      <c r="CG293"/>
      <c r="CH293"/>
    </row>
    <row r="294" spans="1:86" s="13" customFormat="1" ht="13.75" customHeight="1">
      <c r="A294" s="137">
        <v>279</v>
      </c>
      <c r="B294" s="138"/>
      <c r="C294" s="139"/>
      <c r="D294" s="140"/>
      <c r="E294" s="139"/>
      <c r="F294" s="139"/>
      <c r="G294" s="191"/>
      <c r="H294" s="139"/>
      <c r="I294" s="141"/>
      <c r="J294" s="142"/>
      <c r="K294" s="139"/>
      <c r="L294" s="147"/>
      <c r="M294" s="148"/>
      <c r="N294" s="583"/>
      <c r="O294" s="229" t="str">
        <f t="shared" si="128"/>
        <v/>
      </c>
      <c r="P294" s="229" t="str">
        <f t="shared" si="129"/>
        <v/>
      </c>
      <c r="Q294" s="230" t="str">
        <f t="shared" si="130"/>
        <v/>
      </c>
      <c r="R294" s="323" t="str">
        <f t="shared" si="131"/>
        <v/>
      </c>
      <c r="S294" s="350"/>
      <c r="T294" s="43"/>
      <c r="U294" s="347" t="str">
        <f t="shared" si="108"/>
        <v/>
      </c>
      <c r="V294" s="7" t="e">
        <f t="shared" si="109"/>
        <v>#N/A</v>
      </c>
      <c r="W294" s="7" t="e">
        <f t="shared" si="110"/>
        <v>#N/A</v>
      </c>
      <c r="X294" s="7" t="e">
        <f t="shared" si="111"/>
        <v>#N/A</v>
      </c>
      <c r="Y294" s="7" t="str">
        <f t="shared" si="112"/>
        <v/>
      </c>
      <c r="Z294" s="11">
        <f t="shared" si="113"/>
        <v>1</v>
      </c>
      <c r="AA294" s="7" t="e">
        <f t="shared" si="114"/>
        <v>#N/A</v>
      </c>
      <c r="AB294" s="7" t="e">
        <f t="shared" si="115"/>
        <v>#N/A</v>
      </c>
      <c r="AC294" s="7" t="e">
        <f t="shared" si="116"/>
        <v>#N/A</v>
      </c>
      <c r="AD294" s="472" t="e">
        <f>VLOOKUP(AF294,'排出係数(2017)'!$A$4:$I$1151,9,FALSE)</f>
        <v>#N/A</v>
      </c>
      <c r="AE294" s="12" t="str">
        <f t="shared" si="117"/>
        <v xml:space="preserve"> </v>
      </c>
      <c r="AF294" s="7" t="e">
        <f t="shared" si="132"/>
        <v>#N/A</v>
      </c>
      <c r="AG294" s="7" t="e">
        <f t="shared" si="118"/>
        <v>#N/A</v>
      </c>
      <c r="AH294" s="472" t="e">
        <f>VLOOKUP(AF294,'排出係数(2017)'!$A$4:$I$1151,6,FALSE)</f>
        <v>#N/A</v>
      </c>
      <c r="AI294" s="7" t="e">
        <f t="shared" si="119"/>
        <v>#N/A</v>
      </c>
      <c r="AJ294" s="7" t="e">
        <f t="shared" si="120"/>
        <v>#N/A</v>
      </c>
      <c r="AK294" s="472" t="e">
        <f>VLOOKUP(AF294,'排出係数(2017)'!$A$4:$I$1151,7,FALSE)</f>
        <v>#N/A</v>
      </c>
      <c r="AL294" s="7" t="e">
        <f t="shared" si="121"/>
        <v>#N/A</v>
      </c>
      <c r="AM294" s="7" t="e">
        <f t="shared" si="122"/>
        <v>#N/A</v>
      </c>
      <c r="AN294" s="7" t="e">
        <f t="shared" si="123"/>
        <v>#N/A</v>
      </c>
      <c r="AO294" s="7">
        <f t="shared" si="124"/>
        <v>0</v>
      </c>
      <c r="AP294" s="7" t="e">
        <f t="shared" si="133"/>
        <v>#N/A</v>
      </c>
      <c r="AQ294" s="7" t="str">
        <f t="shared" si="125"/>
        <v/>
      </c>
      <c r="AR294" s="7" t="str">
        <f t="shared" si="126"/>
        <v/>
      </c>
      <c r="AS294" s="7" t="str">
        <f t="shared" si="127"/>
        <v/>
      </c>
      <c r="AT294" s="97"/>
      <c r="AZ294" s="477" t="s">
        <v>275</v>
      </c>
      <c r="CF294" s="586" t="str">
        <f t="shared" si="134"/>
        <v/>
      </c>
      <c r="CG294"/>
      <c r="CH294"/>
    </row>
    <row r="295" spans="1:86" s="13" customFormat="1" ht="13.75" customHeight="1">
      <c r="A295" s="137">
        <v>280</v>
      </c>
      <c r="B295" s="138"/>
      <c r="C295" s="139"/>
      <c r="D295" s="140"/>
      <c r="E295" s="139"/>
      <c r="F295" s="139"/>
      <c r="G295" s="191"/>
      <c r="H295" s="139"/>
      <c r="I295" s="141"/>
      <c r="J295" s="142"/>
      <c r="K295" s="139"/>
      <c r="L295" s="147"/>
      <c r="M295" s="148"/>
      <c r="N295" s="583"/>
      <c r="O295" s="229" t="str">
        <f t="shared" si="128"/>
        <v/>
      </c>
      <c r="P295" s="229" t="str">
        <f t="shared" si="129"/>
        <v/>
      </c>
      <c r="Q295" s="230" t="str">
        <f t="shared" si="130"/>
        <v/>
      </c>
      <c r="R295" s="323" t="str">
        <f t="shared" si="131"/>
        <v/>
      </c>
      <c r="S295" s="350"/>
      <c r="T295" s="43"/>
      <c r="U295" s="347" t="str">
        <f t="shared" si="108"/>
        <v/>
      </c>
      <c r="V295" s="7" t="e">
        <f t="shared" si="109"/>
        <v>#N/A</v>
      </c>
      <c r="W295" s="7" t="e">
        <f t="shared" si="110"/>
        <v>#N/A</v>
      </c>
      <c r="X295" s="7" t="e">
        <f t="shared" si="111"/>
        <v>#N/A</v>
      </c>
      <c r="Y295" s="7" t="str">
        <f t="shared" si="112"/>
        <v/>
      </c>
      <c r="Z295" s="11">
        <f t="shared" si="113"/>
        <v>1</v>
      </c>
      <c r="AA295" s="7" t="e">
        <f t="shared" si="114"/>
        <v>#N/A</v>
      </c>
      <c r="AB295" s="7" t="e">
        <f t="shared" si="115"/>
        <v>#N/A</v>
      </c>
      <c r="AC295" s="7" t="e">
        <f t="shared" si="116"/>
        <v>#N/A</v>
      </c>
      <c r="AD295" s="472" t="e">
        <f>VLOOKUP(AF295,'排出係数(2017)'!$A$4:$I$1151,9,FALSE)</f>
        <v>#N/A</v>
      </c>
      <c r="AE295" s="12" t="str">
        <f t="shared" si="117"/>
        <v xml:space="preserve"> </v>
      </c>
      <c r="AF295" s="7" t="e">
        <f t="shared" si="132"/>
        <v>#N/A</v>
      </c>
      <c r="AG295" s="7" t="e">
        <f t="shared" si="118"/>
        <v>#N/A</v>
      </c>
      <c r="AH295" s="472" t="e">
        <f>VLOOKUP(AF295,'排出係数(2017)'!$A$4:$I$1151,6,FALSE)</f>
        <v>#N/A</v>
      </c>
      <c r="AI295" s="7" t="e">
        <f t="shared" si="119"/>
        <v>#N/A</v>
      </c>
      <c r="AJ295" s="7" t="e">
        <f t="shared" si="120"/>
        <v>#N/A</v>
      </c>
      <c r="AK295" s="472" t="e">
        <f>VLOOKUP(AF295,'排出係数(2017)'!$A$4:$I$1151,7,FALSE)</f>
        <v>#N/A</v>
      </c>
      <c r="AL295" s="7" t="e">
        <f t="shared" si="121"/>
        <v>#N/A</v>
      </c>
      <c r="AM295" s="7" t="e">
        <f t="shared" si="122"/>
        <v>#N/A</v>
      </c>
      <c r="AN295" s="7" t="e">
        <f t="shared" si="123"/>
        <v>#N/A</v>
      </c>
      <c r="AO295" s="7">
        <f t="shared" si="124"/>
        <v>0</v>
      </c>
      <c r="AP295" s="7" t="e">
        <f t="shared" si="133"/>
        <v>#N/A</v>
      </c>
      <c r="AQ295" s="7" t="str">
        <f t="shared" si="125"/>
        <v/>
      </c>
      <c r="AR295" s="7" t="str">
        <f t="shared" si="126"/>
        <v/>
      </c>
      <c r="AS295" s="7" t="str">
        <f t="shared" si="127"/>
        <v/>
      </c>
      <c r="AT295" s="97"/>
      <c r="AZ295" s="477" t="s">
        <v>321</v>
      </c>
      <c r="CF295" s="586" t="str">
        <f t="shared" si="134"/>
        <v/>
      </c>
      <c r="CG295"/>
      <c r="CH295"/>
    </row>
    <row r="296" spans="1:86" s="13" customFormat="1" ht="13.75" customHeight="1">
      <c r="A296" s="137">
        <v>281</v>
      </c>
      <c r="B296" s="138"/>
      <c r="C296" s="139"/>
      <c r="D296" s="140"/>
      <c r="E296" s="139"/>
      <c r="F296" s="139"/>
      <c r="G296" s="191"/>
      <c r="H296" s="139"/>
      <c r="I296" s="141"/>
      <c r="J296" s="142"/>
      <c r="K296" s="139"/>
      <c r="L296" s="147"/>
      <c r="M296" s="148"/>
      <c r="N296" s="583"/>
      <c r="O296" s="229" t="str">
        <f t="shared" si="128"/>
        <v/>
      </c>
      <c r="P296" s="229" t="str">
        <f t="shared" si="129"/>
        <v/>
      </c>
      <c r="Q296" s="230" t="str">
        <f t="shared" si="130"/>
        <v/>
      </c>
      <c r="R296" s="323" t="str">
        <f t="shared" si="131"/>
        <v/>
      </c>
      <c r="S296" s="350"/>
      <c r="T296" s="43"/>
      <c r="U296" s="347" t="str">
        <f t="shared" si="108"/>
        <v/>
      </c>
      <c r="V296" s="7" t="e">
        <f t="shared" si="109"/>
        <v>#N/A</v>
      </c>
      <c r="W296" s="7" t="e">
        <f t="shared" si="110"/>
        <v>#N/A</v>
      </c>
      <c r="X296" s="7" t="e">
        <f t="shared" si="111"/>
        <v>#N/A</v>
      </c>
      <c r="Y296" s="7" t="str">
        <f t="shared" si="112"/>
        <v/>
      </c>
      <c r="Z296" s="11">
        <f t="shared" si="113"/>
        <v>1</v>
      </c>
      <c r="AA296" s="7" t="e">
        <f t="shared" si="114"/>
        <v>#N/A</v>
      </c>
      <c r="AB296" s="7" t="e">
        <f t="shared" si="115"/>
        <v>#N/A</v>
      </c>
      <c r="AC296" s="7" t="e">
        <f t="shared" si="116"/>
        <v>#N/A</v>
      </c>
      <c r="AD296" s="472" t="e">
        <f>VLOOKUP(AF296,'排出係数(2017)'!$A$4:$I$1151,9,FALSE)</f>
        <v>#N/A</v>
      </c>
      <c r="AE296" s="12" t="str">
        <f t="shared" si="117"/>
        <v xml:space="preserve"> </v>
      </c>
      <c r="AF296" s="7" t="e">
        <f t="shared" si="132"/>
        <v>#N/A</v>
      </c>
      <c r="AG296" s="7" t="e">
        <f t="shared" si="118"/>
        <v>#N/A</v>
      </c>
      <c r="AH296" s="472" t="e">
        <f>VLOOKUP(AF296,'排出係数(2017)'!$A$4:$I$1151,6,FALSE)</f>
        <v>#N/A</v>
      </c>
      <c r="AI296" s="7" t="e">
        <f t="shared" si="119"/>
        <v>#N/A</v>
      </c>
      <c r="AJ296" s="7" t="e">
        <f t="shared" si="120"/>
        <v>#N/A</v>
      </c>
      <c r="AK296" s="472" t="e">
        <f>VLOOKUP(AF296,'排出係数(2017)'!$A$4:$I$1151,7,FALSE)</f>
        <v>#N/A</v>
      </c>
      <c r="AL296" s="7" t="e">
        <f t="shared" si="121"/>
        <v>#N/A</v>
      </c>
      <c r="AM296" s="7" t="e">
        <f t="shared" si="122"/>
        <v>#N/A</v>
      </c>
      <c r="AN296" s="7" t="e">
        <f t="shared" si="123"/>
        <v>#N/A</v>
      </c>
      <c r="AO296" s="7">
        <f t="shared" si="124"/>
        <v>0</v>
      </c>
      <c r="AP296" s="7" t="e">
        <f t="shared" si="133"/>
        <v>#N/A</v>
      </c>
      <c r="AQ296" s="7" t="str">
        <f t="shared" si="125"/>
        <v/>
      </c>
      <c r="AR296" s="7" t="str">
        <f t="shared" si="126"/>
        <v/>
      </c>
      <c r="AS296" s="7" t="str">
        <f t="shared" si="127"/>
        <v/>
      </c>
      <c r="AT296" s="97"/>
      <c r="AZ296" s="477" t="s">
        <v>401</v>
      </c>
      <c r="CF296" s="586" t="str">
        <f t="shared" si="134"/>
        <v/>
      </c>
      <c r="CG296"/>
      <c r="CH296"/>
    </row>
    <row r="297" spans="1:86" s="13" customFormat="1" ht="13.75" customHeight="1">
      <c r="A297" s="137">
        <v>282</v>
      </c>
      <c r="B297" s="138"/>
      <c r="C297" s="139"/>
      <c r="D297" s="140"/>
      <c r="E297" s="139"/>
      <c r="F297" s="139"/>
      <c r="G297" s="191"/>
      <c r="H297" s="139"/>
      <c r="I297" s="141"/>
      <c r="J297" s="142"/>
      <c r="K297" s="139"/>
      <c r="L297" s="147"/>
      <c r="M297" s="148"/>
      <c r="N297" s="583"/>
      <c r="O297" s="229" t="str">
        <f t="shared" si="128"/>
        <v/>
      </c>
      <c r="P297" s="229" t="str">
        <f t="shared" si="129"/>
        <v/>
      </c>
      <c r="Q297" s="230" t="str">
        <f t="shared" si="130"/>
        <v/>
      </c>
      <c r="R297" s="323" t="str">
        <f t="shared" si="131"/>
        <v/>
      </c>
      <c r="S297" s="350"/>
      <c r="T297" s="43"/>
      <c r="U297" s="347" t="str">
        <f t="shared" si="108"/>
        <v/>
      </c>
      <c r="V297" s="7" t="e">
        <f t="shared" si="109"/>
        <v>#N/A</v>
      </c>
      <c r="W297" s="7" t="e">
        <f t="shared" si="110"/>
        <v>#N/A</v>
      </c>
      <c r="X297" s="7" t="e">
        <f t="shared" si="111"/>
        <v>#N/A</v>
      </c>
      <c r="Y297" s="7" t="str">
        <f t="shared" si="112"/>
        <v/>
      </c>
      <c r="Z297" s="11">
        <f t="shared" si="113"/>
        <v>1</v>
      </c>
      <c r="AA297" s="7" t="e">
        <f t="shared" si="114"/>
        <v>#N/A</v>
      </c>
      <c r="AB297" s="7" t="e">
        <f t="shared" si="115"/>
        <v>#N/A</v>
      </c>
      <c r="AC297" s="7" t="e">
        <f t="shared" si="116"/>
        <v>#N/A</v>
      </c>
      <c r="AD297" s="472" t="e">
        <f>VLOOKUP(AF297,'排出係数(2017)'!$A$4:$I$1151,9,FALSE)</f>
        <v>#N/A</v>
      </c>
      <c r="AE297" s="12" t="str">
        <f t="shared" si="117"/>
        <v xml:space="preserve"> </v>
      </c>
      <c r="AF297" s="7" t="e">
        <f t="shared" si="132"/>
        <v>#N/A</v>
      </c>
      <c r="AG297" s="7" t="e">
        <f t="shared" si="118"/>
        <v>#N/A</v>
      </c>
      <c r="AH297" s="472" t="e">
        <f>VLOOKUP(AF297,'排出係数(2017)'!$A$4:$I$1151,6,FALSE)</f>
        <v>#N/A</v>
      </c>
      <c r="AI297" s="7" t="e">
        <f t="shared" si="119"/>
        <v>#N/A</v>
      </c>
      <c r="AJ297" s="7" t="e">
        <f t="shared" si="120"/>
        <v>#N/A</v>
      </c>
      <c r="AK297" s="472" t="e">
        <f>VLOOKUP(AF297,'排出係数(2017)'!$A$4:$I$1151,7,FALSE)</f>
        <v>#N/A</v>
      </c>
      <c r="AL297" s="7" t="e">
        <f t="shared" si="121"/>
        <v>#N/A</v>
      </c>
      <c r="AM297" s="7" t="e">
        <f t="shared" si="122"/>
        <v>#N/A</v>
      </c>
      <c r="AN297" s="7" t="e">
        <f t="shared" si="123"/>
        <v>#N/A</v>
      </c>
      <c r="AO297" s="7">
        <f t="shared" si="124"/>
        <v>0</v>
      </c>
      <c r="AP297" s="7" t="e">
        <f t="shared" si="133"/>
        <v>#N/A</v>
      </c>
      <c r="AQ297" s="7" t="str">
        <f t="shared" si="125"/>
        <v/>
      </c>
      <c r="AR297" s="7" t="str">
        <f t="shared" si="126"/>
        <v/>
      </c>
      <c r="AS297" s="7" t="str">
        <f t="shared" si="127"/>
        <v/>
      </c>
      <c r="AT297" s="97"/>
      <c r="AZ297" s="477" t="s">
        <v>1422</v>
      </c>
      <c r="CF297" s="586" t="str">
        <f t="shared" si="134"/>
        <v/>
      </c>
      <c r="CG297"/>
      <c r="CH297"/>
    </row>
    <row r="298" spans="1:86" s="13" customFormat="1" ht="13.75" customHeight="1">
      <c r="A298" s="137">
        <v>283</v>
      </c>
      <c r="B298" s="138"/>
      <c r="C298" s="139"/>
      <c r="D298" s="140"/>
      <c r="E298" s="139"/>
      <c r="F298" s="139"/>
      <c r="G298" s="191"/>
      <c r="H298" s="139"/>
      <c r="I298" s="141"/>
      <c r="J298" s="142"/>
      <c r="K298" s="139"/>
      <c r="L298" s="147"/>
      <c r="M298" s="148"/>
      <c r="N298" s="583"/>
      <c r="O298" s="229" t="str">
        <f t="shared" si="128"/>
        <v/>
      </c>
      <c r="P298" s="229" t="str">
        <f t="shared" si="129"/>
        <v/>
      </c>
      <c r="Q298" s="230" t="str">
        <f t="shared" si="130"/>
        <v/>
      </c>
      <c r="R298" s="323" t="str">
        <f t="shared" si="131"/>
        <v/>
      </c>
      <c r="S298" s="350"/>
      <c r="T298" s="43"/>
      <c r="U298" s="347" t="str">
        <f t="shared" si="108"/>
        <v/>
      </c>
      <c r="V298" s="7" t="e">
        <f t="shared" si="109"/>
        <v>#N/A</v>
      </c>
      <c r="W298" s="7" t="e">
        <f t="shared" si="110"/>
        <v>#N/A</v>
      </c>
      <c r="X298" s="7" t="e">
        <f t="shared" si="111"/>
        <v>#N/A</v>
      </c>
      <c r="Y298" s="7" t="str">
        <f t="shared" si="112"/>
        <v/>
      </c>
      <c r="Z298" s="11">
        <f t="shared" si="113"/>
        <v>1</v>
      </c>
      <c r="AA298" s="7" t="e">
        <f t="shared" si="114"/>
        <v>#N/A</v>
      </c>
      <c r="AB298" s="7" t="e">
        <f t="shared" si="115"/>
        <v>#N/A</v>
      </c>
      <c r="AC298" s="7" t="e">
        <f t="shared" si="116"/>
        <v>#N/A</v>
      </c>
      <c r="AD298" s="472" t="e">
        <f>VLOOKUP(AF298,'排出係数(2017)'!$A$4:$I$1151,9,FALSE)</f>
        <v>#N/A</v>
      </c>
      <c r="AE298" s="12" t="str">
        <f t="shared" si="117"/>
        <v xml:space="preserve"> </v>
      </c>
      <c r="AF298" s="7" t="e">
        <f t="shared" si="132"/>
        <v>#N/A</v>
      </c>
      <c r="AG298" s="7" t="e">
        <f t="shared" si="118"/>
        <v>#N/A</v>
      </c>
      <c r="AH298" s="472" t="e">
        <f>VLOOKUP(AF298,'排出係数(2017)'!$A$4:$I$1151,6,FALSE)</f>
        <v>#N/A</v>
      </c>
      <c r="AI298" s="7" t="e">
        <f t="shared" si="119"/>
        <v>#N/A</v>
      </c>
      <c r="AJ298" s="7" t="e">
        <f t="shared" si="120"/>
        <v>#N/A</v>
      </c>
      <c r="AK298" s="472" t="e">
        <f>VLOOKUP(AF298,'排出係数(2017)'!$A$4:$I$1151,7,FALSE)</f>
        <v>#N/A</v>
      </c>
      <c r="AL298" s="7" t="e">
        <f t="shared" si="121"/>
        <v>#N/A</v>
      </c>
      <c r="AM298" s="7" t="e">
        <f t="shared" si="122"/>
        <v>#N/A</v>
      </c>
      <c r="AN298" s="7" t="e">
        <f t="shared" si="123"/>
        <v>#N/A</v>
      </c>
      <c r="AO298" s="7">
        <f t="shared" si="124"/>
        <v>0</v>
      </c>
      <c r="AP298" s="7" t="e">
        <f t="shared" si="133"/>
        <v>#N/A</v>
      </c>
      <c r="AQ298" s="7" t="str">
        <f t="shared" si="125"/>
        <v/>
      </c>
      <c r="AR298" s="7" t="str">
        <f t="shared" si="126"/>
        <v/>
      </c>
      <c r="AS298" s="7" t="str">
        <f t="shared" si="127"/>
        <v/>
      </c>
      <c r="AT298" s="97"/>
      <c r="AZ298" s="477" t="s">
        <v>273</v>
      </c>
      <c r="CF298" s="586" t="str">
        <f t="shared" si="134"/>
        <v/>
      </c>
      <c r="CG298"/>
      <c r="CH298"/>
    </row>
    <row r="299" spans="1:86" s="13" customFormat="1" ht="13.75" customHeight="1">
      <c r="A299" s="137">
        <v>284</v>
      </c>
      <c r="B299" s="138"/>
      <c r="C299" s="139"/>
      <c r="D299" s="140"/>
      <c r="E299" s="139"/>
      <c r="F299" s="139"/>
      <c r="G299" s="191"/>
      <c r="H299" s="139"/>
      <c r="I299" s="141"/>
      <c r="J299" s="142"/>
      <c r="K299" s="139"/>
      <c r="L299" s="147"/>
      <c r="M299" s="148"/>
      <c r="N299" s="583"/>
      <c r="O299" s="229" t="str">
        <f t="shared" si="128"/>
        <v/>
      </c>
      <c r="P299" s="229" t="str">
        <f t="shared" si="129"/>
        <v/>
      </c>
      <c r="Q299" s="230" t="str">
        <f t="shared" si="130"/>
        <v/>
      </c>
      <c r="R299" s="323" t="str">
        <f t="shared" si="131"/>
        <v/>
      </c>
      <c r="S299" s="350"/>
      <c r="T299" s="43"/>
      <c r="U299" s="347" t="str">
        <f t="shared" si="108"/>
        <v/>
      </c>
      <c r="V299" s="7" t="e">
        <f t="shared" si="109"/>
        <v>#N/A</v>
      </c>
      <c r="W299" s="7" t="e">
        <f t="shared" si="110"/>
        <v>#N/A</v>
      </c>
      <c r="X299" s="7" t="e">
        <f t="shared" si="111"/>
        <v>#N/A</v>
      </c>
      <c r="Y299" s="7" t="str">
        <f t="shared" si="112"/>
        <v/>
      </c>
      <c r="Z299" s="11">
        <f t="shared" si="113"/>
        <v>1</v>
      </c>
      <c r="AA299" s="7" t="e">
        <f t="shared" si="114"/>
        <v>#N/A</v>
      </c>
      <c r="AB299" s="7" t="e">
        <f t="shared" si="115"/>
        <v>#N/A</v>
      </c>
      <c r="AC299" s="7" t="e">
        <f t="shared" si="116"/>
        <v>#N/A</v>
      </c>
      <c r="AD299" s="472" t="e">
        <f>VLOOKUP(AF299,'排出係数(2017)'!$A$4:$I$1151,9,FALSE)</f>
        <v>#N/A</v>
      </c>
      <c r="AE299" s="12" t="str">
        <f t="shared" si="117"/>
        <v xml:space="preserve"> </v>
      </c>
      <c r="AF299" s="7" t="e">
        <f t="shared" si="132"/>
        <v>#N/A</v>
      </c>
      <c r="AG299" s="7" t="e">
        <f t="shared" si="118"/>
        <v>#N/A</v>
      </c>
      <c r="AH299" s="472" t="e">
        <f>VLOOKUP(AF299,'排出係数(2017)'!$A$4:$I$1151,6,FALSE)</f>
        <v>#N/A</v>
      </c>
      <c r="AI299" s="7" t="e">
        <f t="shared" si="119"/>
        <v>#N/A</v>
      </c>
      <c r="AJ299" s="7" t="e">
        <f t="shared" si="120"/>
        <v>#N/A</v>
      </c>
      <c r="AK299" s="472" t="e">
        <f>VLOOKUP(AF299,'排出係数(2017)'!$A$4:$I$1151,7,FALSE)</f>
        <v>#N/A</v>
      </c>
      <c r="AL299" s="7" t="e">
        <f t="shared" si="121"/>
        <v>#N/A</v>
      </c>
      <c r="AM299" s="7" t="e">
        <f t="shared" si="122"/>
        <v>#N/A</v>
      </c>
      <c r="AN299" s="7" t="e">
        <f t="shared" si="123"/>
        <v>#N/A</v>
      </c>
      <c r="AO299" s="7">
        <f t="shared" si="124"/>
        <v>0</v>
      </c>
      <c r="AP299" s="7" t="e">
        <f t="shared" si="133"/>
        <v>#N/A</v>
      </c>
      <c r="AQ299" s="7" t="str">
        <f t="shared" si="125"/>
        <v/>
      </c>
      <c r="AR299" s="7" t="str">
        <f t="shared" si="126"/>
        <v/>
      </c>
      <c r="AS299" s="7" t="str">
        <f t="shared" si="127"/>
        <v/>
      </c>
      <c r="AT299" s="97"/>
      <c r="AZ299" s="477" t="s">
        <v>319</v>
      </c>
      <c r="CF299" s="586" t="str">
        <f t="shared" si="134"/>
        <v/>
      </c>
      <c r="CG299"/>
      <c r="CH299"/>
    </row>
    <row r="300" spans="1:86" s="13" customFormat="1" ht="13.75" customHeight="1">
      <c r="A300" s="137">
        <v>285</v>
      </c>
      <c r="B300" s="138"/>
      <c r="C300" s="139"/>
      <c r="D300" s="140"/>
      <c r="E300" s="139"/>
      <c r="F300" s="139"/>
      <c r="G300" s="191"/>
      <c r="H300" s="139"/>
      <c r="I300" s="141"/>
      <c r="J300" s="142"/>
      <c r="K300" s="139"/>
      <c r="L300" s="147"/>
      <c r="M300" s="148"/>
      <c r="N300" s="583"/>
      <c r="O300" s="229" t="str">
        <f t="shared" si="128"/>
        <v/>
      </c>
      <c r="P300" s="229" t="str">
        <f t="shared" si="129"/>
        <v/>
      </c>
      <c r="Q300" s="230" t="str">
        <f t="shared" si="130"/>
        <v/>
      </c>
      <c r="R300" s="323" t="str">
        <f t="shared" si="131"/>
        <v/>
      </c>
      <c r="S300" s="350"/>
      <c r="T300" s="43"/>
      <c r="U300" s="347" t="str">
        <f t="shared" si="108"/>
        <v/>
      </c>
      <c r="V300" s="7" t="e">
        <f t="shared" si="109"/>
        <v>#N/A</v>
      </c>
      <c r="W300" s="7" t="e">
        <f t="shared" si="110"/>
        <v>#N/A</v>
      </c>
      <c r="X300" s="7" t="e">
        <f t="shared" si="111"/>
        <v>#N/A</v>
      </c>
      <c r="Y300" s="7" t="str">
        <f t="shared" si="112"/>
        <v/>
      </c>
      <c r="Z300" s="11">
        <f t="shared" si="113"/>
        <v>1</v>
      </c>
      <c r="AA300" s="7" t="e">
        <f t="shared" si="114"/>
        <v>#N/A</v>
      </c>
      <c r="AB300" s="7" t="e">
        <f t="shared" si="115"/>
        <v>#N/A</v>
      </c>
      <c r="AC300" s="7" t="e">
        <f t="shared" si="116"/>
        <v>#N/A</v>
      </c>
      <c r="AD300" s="472" t="e">
        <f>VLOOKUP(AF300,'排出係数(2017)'!$A$4:$I$1151,9,FALSE)</f>
        <v>#N/A</v>
      </c>
      <c r="AE300" s="12" t="str">
        <f t="shared" si="117"/>
        <v xml:space="preserve"> </v>
      </c>
      <c r="AF300" s="7" t="e">
        <f t="shared" si="132"/>
        <v>#N/A</v>
      </c>
      <c r="AG300" s="7" t="e">
        <f t="shared" si="118"/>
        <v>#N/A</v>
      </c>
      <c r="AH300" s="472" t="e">
        <f>VLOOKUP(AF300,'排出係数(2017)'!$A$4:$I$1151,6,FALSE)</f>
        <v>#N/A</v>
      </c>
      <c r="AI300" s="7" t="e">
        <f t="shared" si="119"/>
        <v>#N/A</v>
      </c>
      <c r="AJ300" s="7" t="e">
        <f t="shared" si="120"/>
        <v>#N/A</v>
      </c>
      <c r="AK300" s="472" t="e">
        <f>VLOOKUP(AF300,'排出係数(2017)'!$A$4:$I$1151,7,FALSE)</f>
        <v>#N/A</v>
      </c>
      <c r="AL300" s="7" t="e">
        <f t="shared" si="121"/>
        <v>#N/A</v>
      </c>
      <c r="AM300" s="7" t="e">
        <f t="shared" si="122"/>
        <v>#N/A</v>
      </c>
      <c r="AN300" s="7" t="e">
        <f t="shared" si="123"/>
        <v>#N/A</v>
      </c>
      <c r="AO300" s="7">
        <f t="shared" si="124"/>
        <v>0</v>
      </c>
      <c r="AP300" s="7" t="e">
        <f t="shared" si="133"/>
        <v>#N/A</v>
      </c>
      <c r="AQ300" s="7" t="str">
        <f t="shared" si="125"/>
        <v/>
      </c>
      <c r="AR300" s="7" t="str">
        <f t="shared" si="126"/>
        <v/>
      </c>
      <c r="AS300" s="7" t="str">
        <f t="shared" si="127"/>
        <v/>
      </c>
      <c r="AT300" s="97"/>
      <c r="AZ300" s="477" t="s">
        <v>399</v>
      </c>
      <c r="CF300" s="586" t="str">
        <f t="shared" si="134"/>
        <v/>
      </c>
      <c r="CG300"/>
      <c r="CH300"/>
    </row>
    <row r="301" spans="1:86" s="13" customFormat="1" ht="13.75" customHeight="1">
      <c r="A301" s="137">
        <v>286</v>
      </c>
      <c r="B301" s="138"/>
      <c r="C301" s="139"/>
      <c r="D301" s="140"/>
      <c r="E301" s="139"/>
      <c r="F301" s="139"/>
      <c r="G301" s="191"/>
      <c r="H301" s="139"/>
      <c r="I301" s="141"/>
      <c r="J301" s="142"/>
      <c r="K301" s="139"/>
      <c r="L301" s="147"/>
      <c r="M301" s="148"/>
      <c r="N301" s="583"/>
      <c r="O301" s="229" t="str">
        <f t="shared" si="128"/>
        <v/>
      </c>
      <c r="P301" s="229" t="str">
        <f t="shared" si="129"/>
        <v/>
      </c>
      <c r="Q301" s="230" t="str">
        <f t="shared" si="130"/>
        <v/>
      </c>
      <c r="R301" s="323" t="str">
        <f t="shared" si="131"/>
        <v/>
      </c>
      <c r="S301" s="350"/>
      <c r="T301" s="43"/>
      <c r="U301" s="347" t="str">
        <f t="shared" si="108"/>
        <v/>
      </c>
      <c r="V301" s="7" t="e">
        <f t="shared" si="109"/>
        <v>#N/A</v>
      </c>
      <c r="W301" s="7" t="e">
        <f t="shared" si="110"/>
        <v>#N/A</v>
      </c>
      <c r="X301" s="7" t="e">
        <f t="shared" si="111"/>
        <v>#N/A</v>
      </c>
      <c r="Y301" s="7" t="str">
        <f t="shared" si="112"/>
        <v/>
      </c>
      <c r="Z301" s="11">
        <f t="shared" si="113"/>
        <v>1</v>
      </c>
      <c r="AA301" s="7" t="e">
        <f t="shared" si="114"/>
        <v>#N/A</v>
      </c>
      <c r="AB301" s="7" t="e">
        <f t="shared" si="115"/>
        <v>#N/A</v>
      </c>
      <c r="AC301" s="7" t="e">
        <f t="shared" si="116"/>
        <v>#N/A</v>
      </c>
      <c r="AD301" s="472" t="e">
        <f>VLOOKUP(AF301,'排出係数(2017)'!$A$4:$I$1151,9,FALSE)</f>
        <v>#N/A</v>
      </c>
      <c r="AE301" s="12" t="str">
        <f t="shared" si="117"/>
        <v xml:space="preserve"> </v>
      </c>
      <c r="AF301" s="7" t="e">
        <f t="shared" si="132"/>
        <v>#N/A</v>
      </c>
      <c r="AG301" s="7" t="e">
        <f t="shared" si="118"/>
        <v>#N/A</v>
      </c>
      <c r="AH301" s="472" t="e">
        <f>VLOOKUP(AF301,'排出係数(2017)'!$A$4:$I$1151,6,FALSE)</f>
        <v>#N/A</v>
      </c>
      <c r="AI301" s="7" t="e">
        <f t="shared" si="119"/>
        <v>#N/A</v>
      </c>
      <c r="AJ301" s="7" t="e">
        <f t="shared" si="120"/>
        <v>#N/A</v>
      </c>
      <c r="AK301" s="472" t="e">
        <f>VLOOKUP(AF301,'排出係数(2017)'!$A$4:$I$1151,7,FALSE)</f>
        <v>#N/A</v>
      </c>
      <c r="AL301" s="7" t="e">
        <f t="shared" si="121"/>
        <v>#N/A</v>
      </c>
      <c r="AM301" s="7" t="e">
        <f t="shared" si="122"/>
        <v>#N/A</v>
      </c>
      <c r="AN301" s="7" t="e">
        <f t="shared" si="123"/>
        <v>#N/A</v>
      </c>
      <c r="AO301" s="7">
        <f t="shared" si="124"/>
        <v>0</v>
      </c>
      <c r="AP301" s="7" t="e">
        <f t="shared" si="133"/>
        <v>#N/A</v>
      </c>
      <c r="AQ301" s="7" t="str">
        <f t="shared" si="125"/>
        <v/>
      </c>
      <c r="AR301" s="7" t="str">
        <f t="shared" si="126"/>
        <v/>
      </c>
      <c r="AS301" s="7" t="str">
        <f t="shared" si="127"/>
        <v/>
      </c>
      <c r="AT301" s="97"/>
      <c r="AZ301" s="477" t="s">
        <v>1612</v>
      </c>
      <c r="CF301" s="586" t="str">
        <f t="shared" si="134"/>
        <v/>
      </c>
      <c r="CG301"/>
      <c r="CH301"/>
    </row>
    <row r="302" spans="1:86" s="13" customFormat="1" ht="13.75" customHeight="1">
      <c r="A302" s="137">
        <v>287</v>
      </c>
      <c r="B302" s="138"/>
      <c r="C302" s="139"/>
      <c r="D302" s="140"/>
      <c r="E302" s="139"/>
      <c r="F302" s="139"/>
      <c r="G302" s="191"/>
      <c r="H302" s="139"/>
      <c r="I302" s="141"/>
      <c r="J302" s="142"/>
      <c r="K302" s="139"/>
      <c r="L302" s="147"/>
      <c r="M302" s="148"/>
      <c r="N302" s="583"/>
      <c r="O302" s="229" t="str">
        <f t="shared" si="128"/>
        <v/>
      </c>
      <c r="P302" s="229" t="str">
        <f t="shared" si="129"/>
        <v/>
      </c>
      <c r="Q302" s="230" t="str">
        <f t="shared" si="130"/>
        <v/>
      </c>
      <c r="R302" s="323" t="str">
        <f t="shared" si="131"/>
        <v/>
      </c>
      <c r="S302" s="350"/>
      <c r="T302" s="43"/>
      <c r="U302" s="347" t="str">
        <f t="shared" si="108"/>
        <v/>
      </c>
      <c r="V302" s="7" t="e">
        <f t="shared" si="109"/>
        <v>#N/A</v>
      </c>
      <c r="W302" s="7" t="e">
        <f t="shared" si="110"/>
        <v>#N/A</v>
      </c>
      <c r="X302" s="7" t="e">
        <f t="shared" si="111"/>
        <v>#N/A</v>
      </c>
      <c r="Y302" s="7" t="str">
        <f t="shared" si="112"/>
        <v/>
      </c>
      <c r="Z302" s="11">
        <f t="shared" si="113"/>
        <v>1</v>
      </c>
      <c r="AA302" s="7" t="e">
        <f t="shared" si="114"/>
        <v>#N/A</v>
      </c>
      <c r="AB302" s="7" t="e">
        <f t="shared" si="115"/>
        <v>#N/A</v>
      </c>
      <c r="AC302" s="7" t="e">
        <f t="shared" si="116"/>
        <v>#N/A</v>
      </c>
      <c r="AD302" s="472" t="e">
        <f>VLOOKUP(AF302,'排出係数(2017)'!$A$4:$I$1151,9,FALSE)</f>
        <v>#N/A</v>
      </c>
      <c r="AE302" s="12" t="str">
        <f t="shared" si="117"/>
        <v xml:space="preserve"> </v>
      </c>
      <c r="AF302" s="7" t="e">
        <f t="shared" si="132"/>
        <v>#N/A</v>
      </c>
      <c r="AG302" s="7" t="e">
        <f t="shared" si="118"/>
        <v>#N/A</v>
      </c>
      <c r="AH302" s="472" t="e">
        <f>VLOOKUP(AF302,'排出係数(2017)'!$A$4:$I$1151,6,FALSE)</f>
        <v>#N/A</v>
      </c>
      <c r="AI302" s="7" t="e">
        <f t="shared" si="119"/>
        <v>#N/A</v>
      </c>
      <c r="AJ302" s="7" t="e">
        <f t="shared" si="120"/>
        <v>#N/A</v>
      </c>
      <c r="AK302" s="472" t="e">
        <f>VLOOKUP(AF302,'排出係数(2017)'!$A$4:$I$1151,7,FALSE)</f>
        <v>#N/A</v>
      </c>
      <c r="AL302" s="7" t="e">
        <f t="shared" si="121"/>
        <v>#N/A</v>
      </c>
      <c r="AM302" s="7" t="e">
        <f t="shared" si="122"/>
        <v>#N/A</v>
      </c>
      <c r="AN302" s="7" t="e">
        <f t="shared" si="123"/>
        <v>#N/A</v>
      </c>
      <c r="AO302" s="7">
        <f t="shared" si="124"/>
        <v>0</v>
      </c>
      <c r="AP302" s="7" t="e">
        <f t="shared" si="133"/>
        <v>#N/A</v>
      </c>
      <c r="AQ302" s="7" t="str">
        <f t="shared" si="125"/>
        <v/>
      </c>
      <c r="AR302" s="7" t="str">
        <f t="shared" si="126"/>
        <v/>
      </c>
      <c r="AS302" s="7" t="str">
        <f t="shared" si="127"/>
        <v/>
      </c>
      <c r="AT302" s="97"/>
      <c r="AZ302" s="477" t="s">
        <v>631</v>
      </c>
      <c r="CF302" s="586" t="str">
        <f t="shared" si="134"/>
        <v/>
      </c>
      <c r="CG302"/>
      <c r="CH302"/>
    </row>
    <row r="303" spans="1:86" s="13" customFormat="1" ht="13.75" customHeight="1">
      <c r="A303" s="137">
        <v>288</v>
      </c>
      <c r="B303" s="138"/>
      <c r="C303" s="139"/>
      <c r="D303" s="140"/>
      <c r="E303" s="139"/>
      <c r="F303" s="139"/>
      <c r="G303" s="191"/>
      <c r="H303" s="139"/>
      <c r="I303" s="141"/>
      <c r="J303" s="142"/>
      <c r="K303" s="139"/>
      <c r="L303" s="147"/>
      <c r="M303" s="148"/>
      <c r="N303" s="583"/>
      <c r="O303" s="229" t="str">
        <f t="shared" si="128"/>
        <v/>
      </c>
      <c r="P303" s="229" t="str">
        <f t="shared" si="129"/>
        <v/>
      </c>
      <c r="Q303" s="230" t="str">
        <f t="shared" si="130"/>
        <v/>
      </c>
      <c r="R303" s="323" t="str">
        <f t="shared" si="131"/>
        <v/>
      </c>
      <c r="S303" s="350"/>
      <c r="T303" s="43"/>
      <c r="U303" s="347" t="str">
        <f t="shared" si="108"/>
        <v/>
      </c>
      <c r="V303" s="7" t="e">
        <f t="shared" si="109"/>
        <v>#N/A</v>
      </c>
      <c r="W303" s="7" t="e">
        <f t="shared" si="110"/>
        <v>#N/A</v>
      </c>
      <c r="X303" s="7" t="e">
        <f t="shared" si="111"/>
        <v>#N/A</v>
      </c>
      <c r="Y303" s="7" t="str">
        <f t="shared" si="112"/>
        <v/>
      </c>
      <c r="Z303" s="11">
        <f t="shared" si="113"/>
        <v>1</v>
      </c>
      <c r="AA303" s="7" t="e">
        <f t="shared" si="114"/>
        <v>#N/A</v>
      </c>
      <c r="AB303" s="7" t="e">
        <f t="shared" si="115"/>
        <v>#N/A</v>
      </c>
      <c r="AC303" s="7" t="e">
        <f t="shared" si="116"/>
        <v>#N/A</v>
      </c>
      <c r="AD303" s="472" t="e">
        <f>VLOOKUP(AF303,'排出係数(2017)'!$A$4:$I$1151,9,FALSE)</f>
        <v>#N/A</v>
      </c>
      <c r="AE303" s="12" t="str">
        <f t="shared" si="117"/>
        <v xml:space="preserve"> </v>
      </c>
      <c r="AF303" s="7" t="e">
        <f t="shared" si="132"/>
        <v>#N/A</v>
      </c>
      <c r="AG303" s="7" t="e">
        <f t="shared" si="118"/>
        <v>#N/A</v>
      </c>
      <c r="AH303" s="472" t="e">
        <f>VLOOKUP(AF303,'排出係数(2017)'!$A$4:$I$1151,6,FALSE)</f>
        <v>#N/A</v>
      </c>
      <c r="AI303" s="7" t="e">
        <f t="shared" si="119"/>
        <v>#N/A</v>
      </c>
      <c r="AJ303" s="7" t="e">
        <f t="shared" si="120"/>
        <v>#N/A</v>
      </c>
      <c r="AK303" s="472" t="e">
        <f>VLOOKUP(AF303,'排出係数(2017)'!$A$4:$I$1151,7,FALSE)</f>
        <v>#N/A</v>
      </c>
      <c r="AL303" s="7" t="e">
        <f t="shared" si="121"/>
        <v>#N/A</v>
      </c>
      <c r="AM303" s="7" t="e">
        <f t="shared" si="122"/>
        <v>#N/A</v>
      </c>
      <c r="AN303" s="7" t="e">
        <f t="shared" si="123"/>
        <v>#N/A</v>
      </c>
      <c r="AO303" s="7">
        <f t="shared" si="124"/>
        <v>0</v>
      </c>
      <c r="AP303" s="7" t="e">
        <f t="shared" si="133"/>
        <v>#N/A</v>
      </c>
      <c r="AQ303" s="7" t="str">
        <f t="shared" si="125"/>
        <v/>
      </c>
      <c r="AR303" s="7" t="str">
        <f t="shared" si="126"/>
        <v/>
      </c>
      <c r="AS303" s="7" t="str">
        <f t="shared" si="127"/>
        <v/>
      </c>
      <c r="AT303" s="97"/>
      <c r="AZ303" s="477" t="s">
        <v>864</v>
      </c>
      <c r="CF303" s="586" t="str">
        <f t="shared" si="134"/>
        <v/>
      </c>
      <c r="CG303"/>
      <c r="CH303"/>
    </row>
    <row r="304" spans="1:86" s="13" customFormat="1" ht="13.75" customHeight="1">
      <c r="A304" s="137">
        <v>289</v>
      </c>
      <c r="B304" s="138"/>
      <c r="C304" s="139"/>
      <c r="D304" s="140"/>
      <c r="E304" s="139"/>
      <c r="F304" s="139"/>
      <c r="G304" s="191"/>
      <c r="H304" s="139"/>
      <c r="I304" s="141"/>
      <c r="J304" s="142"/>
      <c r="K304" s="139"/>
      <c r="L304" s="147"/>
      <c r="M304" s="148"/>
      <c r="N304" s="583"/>
      <c r="O304" s="229" t="str">
        <f t="shared" si="128"/>
        <v/>
      </c>
      <c r="P304" s="229" t="str">
        <f t="shared" si="129"/>
        <v/>
      </c>
      <c r="Q304" s="230" t="str">
        <f t="shared" si="130"/>
        <v/>
      </c>
      <c r="R304" s="323" t="str">
        <f t="shared" si="131"/>
        <v/>
      </c>
      <c r="S304" s="350"/>
      <c r="T304" s="43"/>
      <c r="U304" s="347" t="str">
        <f t="shared" si="108"/>
        <v/>
      </c>
      <c r="V304" s="7" t="e">
        <f t="shared" si="109"/>
        <v>#N/A</v>
      </c>
      <c r="W304" s="7" t="e">
        <f t="shared" si="110"/>
        <v>#N/A</v>
      </c>
      <c r="X304" s="7" t="e">
        <f t="shared" si="111"/>
        <v>#N/A</v>
      </c>
      <c r="Y304" s="7" t="str">
        <f t="shared" si="112"/>
        <v/>
      </c>
      <c r="Z304" s="11">
        <f t="shared" si="113"/>
        <v>1</v>
      </c>
      <c r="AA304" s="7" t="e">
        <f t="shared" si="114"/>
        <v>#N/A</v>
      </c>
      <c r="AB304" s="7" t="e">
        <f t="shared" si="115"/>
        <v>#N/A</v>
      </c>
      <c r="AC304" s="7" t="e">
        <f t="shared" si="116"/>
        <v>#N/A</v>
      </c>
      <c r="AD304" s="472" t="e">
        <f>VLOOKUP(AF304,'排出係数(2017)'!$A$4:$I$1151,9,FALSE)</f>
        <v>#N/A</v>
      </c>
      <c r="AE304" s="12" t="str">
        <f t="shared" si="117"/>
        <v xml:space="preserve"> </v>
      </c>
      <c r="AF304" s="7" t="e">
        <f t="shared" si="132"/>
        <v>#N/A</v>
      </c>
      <c r="AG304" s="7" t="e">
        <f t="shared" si="118"/>
        <v>#N/A</v>
      </c>
      <c r="AH304" s="472" t="e">
        <f>VLOOKUP(AF304,'排出係数(2017)'!$A$4:$I$1151,6,FALSE)</f>
        <v>#N/A</v>
      </c>
      <c r="AI304" s="7" t="e">
        <f t="shared" si="119"/>
        <v>#N/A</v>
      </c>
      <c r="AJ304" s="7" t="e">
        <f t="shared" si="120"/>
        <v>#N/A</v>
      </c>
      <c r="AK304" s="472" t="e">
        <f>VLOOKUP(AF304,'排出係数(2017)'!$A$4:$I$1151,7,FALSE)</f>
        <v>#N/A</v>
      </c>
      <c r="AL304" s="7" t="e">
        <f t="shared" si="121"/>
        <v>#N/A</v>
      </c>
      <c r="AM304" s="7" t="e">
        <f t="shared" si="122"/>
        <v>#N/A</v>
      </c>
      <c r="AN304" s="7" t="e">
        <f t="shared" si="123"/>
        <v>#N/A</v>
      </c>
      <c r="AO304" s="7">
        <f t="shared" si="124"/>
        <v>0</v>
      </c>
      <c r="AP304" s="7" t="e">
        <f t="shared" si="133"/>
        <v>#N/A</v>
      </c>
      <c r="AQ304" s="7" t="str">
        <f t="shared" si="125"/>
        <v/>
      </c>
      <c r="AR304" s="7" t="str">
        <f t="shared" si="126"/>
        <v/>
      </c>
      <c r="AS304" s="7" t="str">
        <f t="shared" si="127"/>
        <v/>
      </c>
      <c r="AT304" s="97"/>
      <c r="AZ304" s="477" t="s">
        <v>1071</v>
      </c>
      <c r="CF304" s="586" t="str">
        <f t="shared" si="134"/>
        <v/>
      </c>
      <c r="CG304"/>
      <c r="CH304"/>
    </row>
    <row r="305" spans="1:86" s="13" customFormat="1" ht="13.75" customHeight="1">
      <c r="A305" s="137">
        <v>290</v>
      </c>
      <c r="B305" s="138"/>
      <c r="C305" s="139"/>
      <c r="D305" s="140"/>
      <c r="E305" s="139"/>
      <c r="F305" s="139"/>
      <c r="G305" s="191"/>
      <c r="H305" s="139"/>
      <c r="I305" s="141"/>
      <c r="J305" s="142"/>
      <c r="K305" s="139"/>
      <c r="L305" s="147"/>
      <c r="M305" s="148"/>
      <c r="N305" s="583"/>
      <c r="O305" s="229" t="str">
        <f t="shared" si="128"/>
        <v/>
      </c>
      <c r="P305" s="229" t="str">
        <f t="shared" si="129"/>
        <v/>
      </c>
      <c r="Q305" s="230" t="str">
        <f t="shared" si="130"/>
        <v/>
      </c>
      <c r="R305" s="323" t="str">
        <f t="shared" si="131"/>
        <v/>
      </c>
      <c r="S305" s="350"/>
      <c r="T305" s="43"/>
      <c r="U305" s="347" t="str">
        <f t="shared" si="108"/>
        <v/>
      </c>
      <c r="V305" s="7" t="e">
        <f t="shared" si="109"/>
        <v>#N/A</v>
      </c>
      <c r="W305" s="7" t="e">
        <f t="shared" si="110"/>
        <v>#N/A</v>
      </c>
      <c r="X305" s="7" t="e">
        <f t="shared" si="111"/>
        <v>#N/A</v>
      </c>
      <c r="Y305" s="7" t="str">
        <f t="shared" si="112"/>
        <v/>
      </c>
      <c r="Z305" s="11">
        <f t="shared" si="113"/>
        <v>1</v>
      </c>
      <c r="AA305" s="7" t="e">
        <f t="shared" si="114"/>
        <v>#N/A</v>
      </c>
      <c r="AB305" s="7" t="e">
        <f t="shared" si="115"/>
        <v>#N/A</v>
      </c>
      <c r="AC305" s="7" t="e">
        <f t="shared" si="116"/>
        <v>#N/A</v>
      </c>
      <c r="AD305" s="472" t="e">
        <f>VLOOKUP(AF305,'排出係数(2017)'!$A$4:$I$1151,9,FALSE)</f>
        <v>#N/A</v>
      </c>
      <c r="AE305" s="12" t="str">
        <f t="shared" si="117"/>
        <v xml:space="preserve"> </v>
      </c>
      <c r="AF305" s="7" t="e">
        <f t="shared" si="132"/>
        <v>#N/A</v>
      </c>
      <c r="AG305" s="7" t="e">
        <f t="shared" si="118"/>
        <v>#N/A</v>
      </c>
      <c r="AH305" s="472" t="e">
        <f>VLOOKUP(AF305,'排出係数(2017)'!$A$4:$I$1151,6,FALSE)</f>
        <v>#N/A</v>
      </c>
      <c r="AI305" s="7" t="e">
        <f t="shared" si="119"/>
        <v>#N/A</v>
      </c>
      <c r="AJ305" s="7" t="e">
        <f t="shared" si="120"/>
        <v>#N/A</v>
      </c>
      <c r="AK305" s="472" t="e">
        <f>VLOOKUP(AF305,'排出係数(2017)'!$A$4:$I$1151,7,FALSE)</f>
        <v>#N/A</v>
      </c>
      <c r="AL305" s="7" t="e">
        <f t="shared" si="121"/>
        <v>#N/A</v>
      </c>
      <c r="AM305" s="7" t="e">
        <f t="shared" si="122"/>
        <v>#N/A</v>
      </c>
      <c r="AN305" s="7" t="e">
        <f t="shared" si="123"/>
        <v>#N/A</v>
      </c>
      <c r="AO305" s="7">
        <f t="shared" si="124"/>
        <v>0</v>
      </c>
      <c r="AP305" s="7" t="e">
        <f t="shared" si="133"/>
        <v>#N/A</v>
      </c>
      <c r="AQ305" s="7" t="str">
        <f t="shared" si="125"/>
        <v/>
      </c>
      <c r="AR305" s="7" t="str">
        <f t="shared" si="126"/>
        <v/>
      </c>
      <c r="AS305" s="7" t="str">
        <f t="shared" si="127"/>
        <v/>
      </c>
      <c r="AT305" s="97"/>
      <c r="AZ305" s="477" t="s">
        <v>1606</v>
      </c>
      <c r="CF305" s="586" t="str">
        <f t="shared" si="134"/>
        <v/>
      </c>
      <c r="CG305"/>
      <c r="CH305"/>
    </row>
    <row r="306" spans="1:86" s="13" customFormat="1" ht="13.75" customHeight="1">
      <c r="A306" s="137">
        <v>291</v>
      </c>
      <c r="B306" s="138"/>
      <c r="C306" s="139"/>
      <c r="D306" s="140"/>
      <c r="E306" s="139"/>
      <c r="F306" s="139"/>
      <c r="G306" s="191"/>
      <c r="H306" s="139"/>
      <c r="I306" s="141"/>
      <c r="J306" s="142"/>
      <c r="K306" s="139"/>
      <c r="L306" s="147"/>
      <c r="M306" s="148"/>
      <c r="N306" s="583"/>
      <c r="O306" s="229" t="str">
        <f t="shared" si="128"/>
        <v/>
      </c>
      <c r="P306" s="229" t="str">
        <f t="shared" si="129"/>
        <v/>
      </c>
      <c r="Q306" s="230" t="str">
        <f t="shared" si="130"/>
        <v/>
      </c>
      <c r="R306" s="323" t="str">
        <f t="shared" si="131"/>
        <v/>
      </c>
      <c r="S306" s="350"/>
      <c r="T306" s="43"/>
      <c r="U306" s="347" t="str">
        <f t="shared" si="108"/>
        <v/>
      </c>
      <c r="V306" s="7" t="e">
        <f t="shared" si="109"/>
        <v>#N/A</v>
      </c>
      <c r="W306" s="7" t="e">
        <f t="shared" si="110"/>
        <v>#N/A</v>
      </c>
      <c r="X306" s="7" t="e">
        <f t="shared" si="111"/>
        <v>#N/A</v>
      </c>
      <c r="Y306" s="7" t="str">
        <f t="shared" si="112"/>
        <v/>
      </c>
      <c r="Z306" s="11">
        <f t="shared" si="113"/>
        <v>1</v>
      </c>
      <c r="AA306" s="7" t="e">
        <f t="shared" si="114"/>
        <v>#N/A</v>
      </c>
      <c r="AB306" s="7" t="e">
        <f t="shared" si="115"/>
        <v>#N/A</v>
      </c>
      <c r="AC306" s="7" t="e">
        <f t="shared" si="116"/>
        <v>#N/A</v>
      </c>
      <c r="AD306" s="472" t="e">
        <f>VLOOKUP(AF306,'排出係数(2017)'!$A$4:$I$1151,9,FALSE)</f>
        <v>#N/A</v>
      </c>
      <c r="AE306" s="12" t="str">
        <f t="shared" si="117"/>
        <v xml:space="preserve"> </v>
      </c>
      <c r="AF306" s="7" t="e">
        <f t="shared" si="132"/>
        <v>#N/A</v>
      </c>
      <c r="AG306" s="7" t="e">
        <f t="shared" si="118"/>
        <v>#N/A</v>
      </c>
      <c r="AH306" s="472" t="e">
        <f>VLOOKUP(AF306,'排出係数(2017)'!$A$4:$I$1151,6,FALSE)</f>
        <v>#N/A</v>
      </c>
      <c r="AI306" s="7" t="e">
        <f t="shared" si="119"/>
        <v>#N/A</v>
      </c>
      <c r="AJ306" s="7" t="e">
        <f t="shared" si="120"/>
        <v>#N/A</v>
      </c>
      <c r="AK306" s="472" t="e">
        <f>VLOOKUP(AF306,'排出係数(2017)'!$A$4:$I$1151,7,FALSE)</f>
        <v>#N/A</v>
      </c>
      <c r="AL306" s="7" t="e">
        <f t="shared" si="121"/>
        <v>#N/A</v>
      </c>
      <c r="AM306" s="7" t="e">
        <f t="shared" si="122"/>
        <v>#N/A</v>
      </c>
      <c r="AN306" s="7" t="e">
        <f t="shared" si="123"/>
        <v>#N/A</v>
      </c>
      <c r="AO306" s="7">
        <f t="shared" si="124"/>
        <v>0</v>
      </c>
      <c r="AP306" s="7" t="e">
        <f t="shared" si="133"/>
        <v>#N/A</v>
      </c>
      <c r="AQ306" s="7" t="str">
        <f t="shared" si="125"/>
        <v/>
      </c>
      <c r="AR306" s="7" t="str">
        <f t="shared" si="126"/>
        <v/>
      </c>
      <c r="AS306" s="7" t="str">
        <f t="shared" si="127"/>
        <v/>
      </c>
      <c r="AT306" s="97"/>
      <c r="AZ306" s="477" t="s">
        <v>623</v>
      </c>
      <c r="CF306" s="586" t="str">
        <f t="shared" si="134"/>
        <v/>
      </c>
      <c r="CG306"/>
      <c r="CH306"/>
    </row>
    <row r="307" spans="1:86" s="13" customFormat="1" ht="13.75" customHeight="1">
      <c r="A307" s="137">
        <v>292</v>
      </c>
      <c r="B307" s="138"/>
      <c r="C307" s="139"/>
      <c r="D307" s="140"/>
      <c r="E307" s="139"/>
      <c r="F307" s="139"/>
      <c r="G307" s="191"/>
      <c r="H307" s="139"/>
      <c r="I307" s="141"/>
      <c r="J307" s="142"/>
      <c r="K307" s="139"/>
      <c r="L307" s="147"/>
      <c r="M307" s="148"/>
      <c r="N307" s="583"/>
      <c r="O307" s="229" t="str">
        <f t="shared" si="128"/>
        <v/>
      </c>
      <c r="P307" s="229" t="str">
        <f t="shared" si="129"/>
        <v/>
      </c>
      <c r="Q307" s="230" t="str">
        <f t="shared" si="130"/>
        <v/>
      </c>
      <c r="R307" s="323" t="str">
        <f t="shared" si="131"/>
        <v/>
      </c>
      <c r="S307" s="350"/>
      <c r="T307" s="43"/>
      <c r="U307" s="347" t="str">
        <f t="shared" si="108"/>
        <v/>
      </c>
      <c r="V307" s="7" t="e">
        <f t="shared" si="109"/>
        <v>#N/A</v>
      </c>
      <c r="W307" s="7" t="e">
        <f t="shared" si="110"/>
        <v>#N/A</v>
      </c>
      <c r="X307" s="7" t="e">
        <f t="shared" si="111"/>
        <v>#N/A</v>
      </c>
      <c r="Y307" s="7" t="str">
        <f t="shared" si="112"/>
        <v/>
      </c>
      <c r="Z307" s="11">
        <f t="shared" si="113"/>
        <v>1</v>
      </c>
      <c r="AA307" s="7" t="e">
        <f t="shared" si="114"/>
        <v>#N/A</v>
      </c>
      <c r="AB307" s="7" t="e">
        <f t="shared" si="115"/>
        <v>#N/A</v>
      </c>
      <c r="AC307" s="7" t="e">
        <f t="shared" si="116"/>
        <v>#N/A</v>
      </c>
      <c r="AD307" s="472" t="e">
        <f>VLOOKUP(AF307,'排出係数(2017)'!$A$4:$I$1151,9,FALSE)</f>
        <v>#N/A</v>
      </c>
      <c r="AE307" s="12" t="str">
        <f t="shared" si="117"/>
        <v xml:space="preserve"> </v>
      </c>
      <c r="AF307" s="7" t="e">
        <f t="shared" si="132"/>
        <v>#N/A</v>
      </c>
      <c r="AG307" s="7" t="e">
        <f t="shared" si="118"/>
        <v>#N/A</v>
      </c>
      <c r="AH307" s="472" t="e">
        <f>VLOOKUP(AF307,'排出係数(2017)'!$A$4:$I$1151,6,FALSE)</f>
        <v>#N/A</v>
      </c>
      <c r="AI307" s="7" t="e">
        <f t="shared" si="119"/>
        <v>#N/A</v>
      </c>
      <c r="AJ307" s="7" t="e">
        <f t="shared" si="120"/>
        <v>#N/A</v>
      </c>
      <c r="AK307" s="472" t="e">
        <f>VLOOKUP(AF307,'排出係数(2017)'!$A$4:$I$1151,7,FALSE)</f>
        <v>#N/A</v>
      </c>
      <c r="AL307" s="7" t="e">
        <f t="shared" si="121"/>
        <v>#N/A</v>
      </c>
      <c r="AM307" s="7" t="e">
        <f t="shared" si="122"/>
        <v>#N/A</v>
      </c>
      <c r="AN307" s="7" t="e">
        <f t="shared" si="123"/>
        <v>#N/A</v>
      </c>
      <c r="AO307" s="7">
        <f t="shared" si="124"/>
        <v>0</v>
      </c>
      <c r="AP307" s="7" t="e">
        <f t="shared" si="133"/>
        <v>#N/A</v>
      </c>
      <c r="AQ307" s="7" t="str">
        <f t="shared" si="125"/>
        <v/>
      </c>
      <c r="AR307" s="7" t="str">
        <f t="shared" si="126"/>
        <v/>
      </c>
      <c r="AS307" s="7" t="str">
        <f t="shared" si="127"/>
        <v/>
      </c>
      <c r="AT307" s="97"/>
      <c r="AZ307" s="477" t="s">
        <v>856</v>
      </c>
      <c r="CF307" s="586" t="str">
        <f t="shared" si="134"/>
        <v/>
      </c>
      <c r="CG307"/>
      <c r="CH307"/>
    </row>
    <row r="308" spans="1:86" s="13" customFormat="1" ht="13.75" customHeight="1">
      <c r="A308" s="137">
        <v>293</v>
      </c>
      <c r="B308" s="138"/>
      <c r="C308" s="139"/>
      <c r="D308" s="140"/>
      <c r="E308" s="139"/>
      <c r="F308" s="139"/>
      <c r="G308" s="191"/>
      <c r="H308" s="139"/>
      <c r="I308" s="141"/>
      <c r="J308" s="142"/>
      <c r="K308" s="139"/>
      <c r="L308" s="147"/>
      <c r="M308" s="148"/>
      <c r="N308" s="583"/>
      <c r="O308" s="229" t="str">
        <f t="shared" si="128"/>
        <v/>
      </c>
      <c r="P308" s="229" t="str">
        <f t="shared" si="129"/>
        <v/>
      </c>
      <c r="Q308" s="230" t="str">
        <f t="shared" si="130"/>
        <v/>
      </c>
      <c r="R308" s="323" t="str">
        <f t="shared" si="131"/>
        <v/>
      </c>
      <c r="S308" s="350"/>
      <c r="T308" s="43"/>
      <c r="U308" s="347" t="str">
        <f t="shared" si="108"/>
        <v/>
      </c>
      <c r="V308" s="7" t="e">
        <f t="shared" si="109"/>
        <v>#N/A</v>
      </c>
      <c r="W308" s="7" t="e">
        <f t="shared" si="110"/>
        <v>#N/A</v>
      </c>
      <c r="X308" s="7" t="e">
        <f t="shared" si="111"/>
        <v>#N/A</v>
      </c>
      <c r="Y308" s="7" t="str">
        <f t="shared" si="112"/>
        <v/>
      </c>
      <c r="Z308" s="11">
        <f t="shared" si="113"/>
        <v>1</v>
      </c>
      <c r="AA308" s="7" t="e">
        <f t="shared" si="114"/>
        <v>#N/A</v>
      </c>
      <c r="AB308" s="7" t="e">
        <f t="shared" si="115"/>
        <v>#N/A</v>
      </c>
      <c r="AC308" s="7" t="e">
        <f t="shared" si="116"/>
        <v>#N/A</v>
      </c>
      <c r="AD308" s="472" t="e">
        <f>VLOOKUP(AF308,'排出係数(2017)'!$A$4:$I$1151,9,FALSE)</f>
        <v>#N/A</v>
      </c>
      <c r="AE308" s="12" t="str">
        <f t="shared" si="117"/>
        <v xml:space="preserve"> </v>
      </c>
      <c r="AF308" s="7" t="e">
        <f t="shared" si="132"/>
        <v>#N/A</v>
      </c>
      <c r="AG308" s="7" t="e">
        <f t="shared" si="118"/>
        <v>#N/A</v>
      </c>
      <c r="AH308" s="472" t="e">
        <f>VLOOKUP(AF308,'排出係数(2017)'!$A$4:$I$1151,6,FALSE)</f>
        <v>#N/A</v>
      </c>
      <c r="AI308" s="7" t="e">
        <f t="shared" si="119"/>
        <v>#N/A</v>
      </c>
      <c r="AJ308" s="7" t="e">
        <f t="shared" si="120"/>
        <v>#N/A</v>
      </c>
      <c r="AK308" s="472" t="e">
        <f>VLOOKUP(AF308,'排出係数(2017)'!$A$4:$I$1151,7,FALSE)</f>
        <v>#N/A</v>
      </c>
      <c r="AL308" s="7" t="e">
        <f t="shared" si="121"/>
        <v>#N/A</v>
      </c>
      <c r="AM308" s="7" t="e">
        <f t="shared" si="122"/>
        <v>#N/A</v>
      </c>
      <c r="AN308" s="7" t="e">
        <f t="shared" si="123"/>
        <v>#N/A</v>
      </c>
      <c r="AO308" s="7">
        <f t="shared" si="124"/>
        <v>0</v>
      </c>
      <c r="AP308" s="7" t="e">
        <f t="shared" si="133"/>
        <v>#N/A</v>
      </c>
      <c r="AQ308" s="7" t="str">
        <f t="shared" si="125"/>
        <v/>
      </c>
      <c r="AR308" s="7" t="str">
        <f t="shared" si="126"/>
        <v/>
      </c>
      <c r="AS308" s="7" t="str">
        <f t="shared" si="127"/>
        <v/>
      </c>
      <c r="AT308" s="97"/>
      <c r="AZ308" s="477" t="s">
        <v>1063</v>
      </c>
      <c r="CF308" s="586" t="str">
        <f t="shared" si="134"/>
        <v/>
      </c>
      <c r="CG308"/>
      <c r="CH308"/>
    </row>
    <row r="309" spans="1:86" s="13" customFormat="1" ht="13.75" customHeight="1">
      <c r="A309" s="137">
        <v>294</v>
      </c>
      <c r="B309" s="138"/>
      <c r="C309" s="139"/>
      <c r="D309" s="140"/>
      <c r="E309" s="139"/>
      <c r="F309" s="139"/>
      <c r="G309" s="191"/>
      <c r="H309" s="139"/>
      <c r="I309" s="141"/>
      <c r="J309" s="142"/>
      <c r="K309" s="139"/>
      <c r="L309" s="147"/>
      <c r="M309" s="148"/>
      <c r="N309" s="583"/>
      <c r="O309" s="229" t="str">
        <f t="shared" si="128"/>
        <v/>
      </c>
      <c r="P309" s="229" t="str">
        <f t="shared" si="129"/>
        <v/>
      </c>
      <c r="Q309" s="230" t="str">
        <f t="shared" si="130"/>
        <v/>
      </c>
      <c r="R309" s="323" t="str">
        <f t="shared" si="131"/>
        <v/>
      </c>
      <c r="S309" s="350"/>
      <c r="T309" s="43"/>
      <c r="U309" s="347" t="str">
        <f t="shared" si="108"/>
        <v/>
      </c>
      <c r="V309" s="7" t="e">
        <f t="shared" si="109"/>
        <v>#N/A</v>
      </c>
      <c r="W309" s="7" t="e">
        <f t="shared" si="110"/>
        <v>#N/A</v>
      </c>
      <c r="X309" s="7" t="e">
        <f t="shared" si="111"/>
        <v>#N/A</v>
      </c>
      <c r="Y309" s="7" t="str">
        <f t="shared" si="112"/>
        <v/>
      </c>
      <c r="Z309" s="11">
        <f t="shared" si="113"/>
        <v>1</v>
      </c>
      <c r="AA309" s="7" t="e">
        <f t="shared" si="114"/>
        <v>#N/A</v>
      </c>
      <c r="AB309" s="7" t="e">
        <f t="shared" si="115"/>
        <v>#N/A</v>
      </c>
      <c r="AC309" s="7" t="e">
        <f t="shared" si="116"/>
        <v>#N/A</v>
      </c>
      <c r="AD309" s="472" t="e">
        <f>VLOOKUP(AF309,'排出係数(2017)'!$A$4:$I$1151,9,FALSE)</f>
        <v>#N/A</v>
      </c>
      <c r="AE309" s="12" t="str">
        <f t="shared" si="117"/>
        <v xml:space="preserve"> </v>
      </c>
      <c r="AF309" s="7" t="e">
        <f t="shared" si="132"/>
        <v>#N/A</v>
      </c>
      <c r="AG309" s="7" t="e">
        <f t="shared" si="118"/>
        <v>#N/A</v>
      </c>
      <c r="AH309" s="472" t="e">
        <f>VLOOKUP(AF309,'排出係数(2017)'!$A$4:$I$1151,6,FALSE)</f>
        <v>#N/A</v>
      </c>
      <c r="AI309" s="7" t="e">
        <f t="shared" si="119"/>
        <v>#N/A</v>
      </c>
      <c r="AJ309" s="7" t="e">
        <f t="shared" si="120"/>
        <v>#N/A</v>
      </c>
      <c r="AK309" s="472" t="e">
        <f>VLOOKUP(AF309,'排出係数(2017)'!$A$4:$I$1151,7,FALSE)</f>
        <v>#N/A</v>
      </c>
      <c r="AL309" s="7" t="e">
        <f t="shared" si="121"/>
        <v>#N/A</v>
      </c>
      <c r="AM309" s="7" t="e">
        <f t="shared" si="122"/>
        <v>#N/A</v>
      </c>
      <c r="AN309" s="7" t="e">
        <f t="shared" si="123"/>
        <v>#N/A</v>
      </c>
      <c r="AO309" s="7">
        <f t="shared" si="124"/>
        <v>0</v>
      </c>
      <c r="AP309" s="7" t="e">
        <f t="shared" si="133"/>
        <v>#N/A</v>
      </c>
      <c r="AQ309" s="7" t="str">
        <f t="shared" si="125"/>
        <v/>
      </c>
      <c r="AR309" s="7" t="str">
        <f t="shared" si="126"/>
        <v/>
      </c>
      <c r="AS309" s="7" t="str">
        <f t="shared" si="127"/>
        <v/>
      </c>
      <c r="AT309" s="97"/>
      <c r="AZ309" s="477" t="s">
        <v>1682</v>
      </c>
      <c r="CF309" s="586" t="str">
        <f t="shared" si="134"/>
        <v/>
      </c>
      <c r="CG309"/>
      <c r="CH309"/>
    </row>
    <row r="310" spans="1:86" s="13" customFormat="1" ht="13.75" customHeight="1">
      <c r="A310" s="137">
        <v>295</v>
      </c>
      <c r="B310" s="138"/>
      <c r="C310" s="139"/>
      <c r="D310" s="140"/>
      <c r="E310" s="139"/>
      <c r="F310" s="139"/>
      <c r="G310" s="191"/>
      <c r="H310" s="139"/>
      <c r="I310" s="141"/>
      <c r="J310" s="142"/>
      <c r="K310" s="139"/>
      <c r="L310" s="147"/>
      <c r="M310" s="148"/>
      <c r="N310" s="583"/>
      <c r="O310" s="229" t="str">
        <f t="shared" si="128"/>
        <v/>
      </c>
      <c r="P310" s="229" t="str">
        <f t="shared" si="129"/>
        <v/>
      </c>
      <c r="Q310" s="230" t="str">
        <f t="shared" si="130"/>
        <v/>
      </c>
      <c r="R310" s="323" t="str">
        <f t="shared" si="131"/>
        <v/>
      </c>
      <c r="S310" s="350"/>
      <c r="T310" s="43"/>
      <c r="U310" s="347" t="str">
        <f t="shared" si="108"/>
        <v/>
      </c>
      <c r="V310" s="7" t="e">
        <f t="shared" si="109"/>
        <v>#N/A</v>
      </c>
      <c r="W310" s="7" t="e">
        <f t="shared" si="110"/>
        <v>#N/A</v>
      </c>
      <c r="X310" s="7" t="e">
        <f t="shared" si="111"/>
        <v>#N/A</v>
      </c>
      <c r="Y310" s="7" t="str">
        <f t="shared" si="112"/>
        <v/>
      </c>
      <c r="Z310" s="11">
        <f t="shared" si="113"/>
        <v>1</v>
      </c>
      <c r="AA310" s="7" t="e">
        <f t="shared" si="114"/>
        <v>#N/A</v>
      </c>
      <c r="AB310" s="7" t="e">
        <f t="shared" si="115"/>
        <v>#N/A</v>
      </c>
      <c r="AC310" s="7" t="e">
        <f t="shared" si="116"/>
        <v>#N/A</v>
      </c>
      <c r="AD310" s="472" t="e">
        <f>VLOOKUP(AF310,'排出係数(2017)'!$A$4:$I$1151,9,FALSE)</f>
        <v>#N/A</v>
      </c>
      <c r="AE310" s="12" t="str">
        <f t="shared" si="117"/>
        <v xml:space="preserve"> </v>
      </c>
      <c r="AF310" s="7" t="e">
        <f t="shared" si="132"/>
        <v>#N/A</v>
      </c>
      <c r="AG310" s="7" t="e">
        <f t="shared" si="118"/>
        <v>#N/A</v>
      </c>
      <c r="AH310" s="472" t="e">
        <f>VLOOKUP(AF310,'排出係数(2017)'!$A$4:$I$1151,6,FALSE)</f>
        <v>#N/A</v>
      </c>
      <c r="AI310" s="7" t="e">
        <f t="shared" si="119"/>
        <v>#N/A</v>
      </c>
      <c r="AJ310" s="7" t="e">
        <f t="shared" si="120"/>
        <v>#N/A</v>
      </c>
      <c r="AK310" s="472" t="e">
        <f>VLOOKUP(AF310,'排出係数(2017)'!$A$4:$I$1151,7,FALSE)</f>
        <v>#N/A</v>
      </c>
      <c r="AL310" s="7" t="e">
        <f t="shared" si="121"/>
        <v>#N/A</v>
      </c>
      <c r="AM310" s="7" t="e">
        <f t="shared" si="122"/>
        <v>#N/A</v>
      </c>
      <c r="AN310" s="7" t="e">
        <f t="shared" si="123"/>
        <v>#N/A</v>
      </c>
      <c r="AO310" s="7">
        <f t="shared" si="124"/>
        <v>0</v>
      </c>
      <c r="AP310" s="7" t="e">
        <f t="shared" si="133"/>
        <v>#N/A</v>
      </c>
      <c r="AQ310" s="7" t="str">
        <f t="shared" si="125"/>
        <v/>
      </c>
      <c r="AR310" s="7" t="str">
        <f t="shared" si="126"/>
        <v/>
      </c>
      <c r="AS310" s="7" t="str">
        <f t="shared" si="127"/>
        <v/>
      </c>
      <c r="AT310" s="97"/>
      <c r="AZ310" s="477" t="s">
        <v>1151</v>
      </c>
      <c r="CF310" s="586" t="str">
        <f t="shared" si="134"/>
        <v/>
      </c>
      <c r="CG310"/>
      <c r="CH310"/>
    </row>
    <row r="311" spans="1:86" s="13" customFormat="1" ht="13.75" customHeight="1">
      <c r="A311" s="137">
        <v>296</v>
      </c>
      <c r="B311" s="138"/>
      <c r="C311" s="139"/>
      <c r="D311" s="140"/>
      <c r="E311" s="139"/>
      <c r="F311" s="139"/>
      <c r="G311" s="191"/>
      <c r="H311" s="139"/>
      <c r="I311" s="141"/>
      <c r="J311" s="142"/>
      <c r="K311" s="139"/>
      <c r="L311" s="147"/>
      <c r="M311" s="148"/>
      <c r="N311" s="583"/>
      <c r="O311" s="229" t="str">
        <f t="shared" si="128"/>
        <v/>
      </c>
      <c r="P311" s="229" t="str">
        <f t="shared" si="129"/>
        <v/>
      </c>
      <c r="Q311" s="230" t="str">
        <f t="shared" si="130"/>
        <v/>
      </c>
      <c r="R311" s="323" t="str">
        <f t="shared" si="131"/>
        <v/>
      </c>
      <c r="S311" s="350"/>
      <c r="T311" s="43"/>
      <c r="U311" s="347" t="str">
        <f t="shared" si="108"/>
        <v/>
      </c>
      <c r="V311" s="7" t="e">
        <f t="shared" si="109"/>
        <v>#N/A</v>
      </c>
      <c r="W311" s="7" t="e">
        <f t="shared" si="110"/>
        <v>#N/A</v>
      </c>
      <c r="X311" s="7" t="e">
        <f t="shared" si="111"/>
        <v>#N/A</v>
      </c>
      <c r="Y311" s="7" t="str">
        <f t="shared" si="112"/>
        <v/>
      </c>
      <c r="Z311" s="11">
        <f t="shared" si="113"/>
        <v>1</v>
      </c>
      <c r="AA311" s="7" t="e">
        <f t="shared" si="114"/>
        <v>#N/A</v>
      </c>
      <c r="AB311" s="7" t="e">
        <f t="shared" si="115"/>
        <v>#N/A</v>
      </c>
      <c r="AC311" s="7" t="e">
        <f t="shared" si="116"/>
        <v>#N/A</v>
      </c>
      <c r="AD311" s="472" t="e">
        <f>VLOOKUP(AF311,'排出係数(2017)'!$A$4:$I$1151,9,FALSE)</f>
        <v>#N/A</v>
      </c>
      <c r="AE311" s="12" t="str">
        <f t="shared" si="117"/>
        <v xml:space="preserve"> </v>
      </c>
      <c r="AF311" s="7" t="e">
        <f t="shared" si="132"/>
        <v>#N/A</v>
      </c>
      <c r="AG311" s="7" t="e">
        <f t="shared" si="118"/>
        <v>#N/A</v>
      </c>
      <c r="AH311" s="472" t="e">
        <f>VLOOKUP(AF311,'排出係数(2017)'!$A$4:$I$1151,6,FALSE)</f>
        <v>#N/A</v>
      </c>
      <c r="AI311" s="7" t="e">
        <f t="shared" si="119"/>
        <v>#N/A</v>
      </c>
      <c r="AJ311" s="7" t="e">
        <f t="shared" si="120"/>
        <v>#N/A</v>
      </c>
      <c r="AK311" s="472" t="e">
        <f>VLOOKUP(AF311,'排出係数(2017)'!$A$4:$I$1151,7,FALSE)</f>
        <v>#N/A</v>
      </c>
      <c r="AL311" s="7" t="e">
        <f t="shared" si="121"/>
        <v>#N/A</v>
      </c>
      <c r="AM311" s="7" t="e">
        <f t="shared" si="122"/>
        <v>#N/A</v>
      </c>
      <c r="AN311" s="7" t="e">
        <f t="shared" si="123"/>
        <v>#N/A</v>
      </c>
      <c r="AO311" s="7">
        <f t="shared" si="124"/>
        <v>0</v>
      </c>
      <c r="AP311" s="7" t="e">
        <f t="shared" si="133"/>
        <v>#N/A</v>
      </c>
      <c r="AQ311" s="7" t="str">
        <f t="shared" si="125"/>
        <v/>
      </c>
      <c r="AR311" s="7" t="str">
        <f t="shared" si="126"/>
        <v/>
      </c>
      <c r="AS311" s="7" t="str">
        <f t="shared" si="127"/>
        <v/>
      </c>
      <c r="AT311" s="97"/>
      <c r="AZ311" s="477" t="s">
        <v>1184</v>
      </c>
      <c r="CF311" s="586" t="str">
        <f t="shared" si="134"/>
        <v/>
      </c>
      <c r="CG311"/>
      <c r="CH311"/>
    </row>
    <row r="312" spans="1:86" s="13" customFormat="1" ht="13.75" customHeight="1">
      <c r="A312" s="137">
        <v>297</v>
      </c>
      <c r="B312" s="138"/>
      <c r="C312" s="139"/>
      <c r="D312" s="140"/>
      <c r="E312" s="139"/>
      <c r="F312" s="139"/>
      <c r="G312" s="191"/>
      <c r="H312" s="139"/>
      <c r="I312" s="141"/>
      <c r="J312" s="142"/>
      <c r="K312" s="139"/>
      <c r="L312" s="147"/>
      <c r="M312" s="148"/>
      <c r="N312" s="583"/>
      <c r="O312" s="229" t="str">
        <f t="shared" si="128"/>
        <v/>
      </c>
      <c r="P312" s="229" t="str">
        <f t="shared" si="129"/>
        <v/>
      </c>
      <c r="Q312" s="230" t="str">
        <f t="shared" si="130"/>
        <v/>
      </c>
      <c r="R312" s="323" t="str">
        <f t="shared" si="131"/>
        <v/>
      </c>
      <c r="S312" s="350"/>
      <c r="T312" s="43"/>
      <c r="U312" s="347" t="str">
        <f t="shared" si="108"/>
        <v/>
      </c>
      <c r="V312" s="7" t="e">
        <f t="shared" si="109"/>
        <v>#N/A</v>
      </c>
      <c r="W312" s="7" t="e">
        <f t="shared" si="110"/>
        <v>#N/A</v>
      </c>
      <c r="X312" s="7" t="e">
        <f t="shared" si="111"/>
        <v>#N/A</v>
      </c>
      <c r="Y312" s="7" t="str">
        <f t="shared" si="112"/>
        <v/>
      </c>
      <c r="Z312" s="11">
        <f t="shared" si="113"/>
        <v>1</v>
      </c>
      <c r="AA312" s="7" t="e">
        <f t="shared" si="114"/>
        <v>#N/A</v>
      </c>
      <c r="AB312" s="7" t="e">
        <f t="shared" si="115"/>
        <v>#N/A</v>
      </c>
      <c r="AC312" s="7" t="e">
        <f t="shared" si="116"/>
        <v>#N/A</v>
      </c>
      <c r="AD312" s="472" t="e">
        <f>VLOOKUP(AF312,'排出係数(2017)'!$A$4:$I$1151,9,FALSE)</f>
        <v>#N/A</v>
      </c>
      <c r="AE312" s="12" t="str">
        <f t="shared" si="117"/>
        <v xml:space="preserve"> </v>
      </c>
      <c r="AF312" s="7" t="e">
        <f t="shared" si="132"/>
        <v>#N/A</v>
      </c>
      <c r="AG312" s="7" t="e">
        <f t="shared" si="118"/>
        <v>#N/A</v>
      </c>
      <c r="AH312" s="472" t="e">
        <f>VLOOKUP(AF312,'排出係数(2017)'!$A$4:$I$1151,6,FALSE)</f>
        <v>#N/A</v>
      </c>
      <c r="AI312" s="7" t="e">
        <f t="shared" si="119"/>
        <v>#N/A</v>
      </c>
      <c r="AJ312" s="7" t="e">
        <f t="shared" si="120"/>
        <v>#N/A</v>
      </c>
      <c r="AK312" s="472" t="e">
        <f>VLOOKUP(AF312,'排出係数(2017)'!$A$4:$I$1151,7,FALSE)</f>
        <v>#N/A</v>
      </c>
      <c r="AL312" s="7" t="e">
        <f t="shared" si="121"/>
        <v>#N/A</v>
      </c>
      <c r="AM312" s="7" t="e">
        <f t="shared" si="122"/>
        <v>#N/A</v>
      </c>
      <c r="AN312" s="7" t="e">
        <f t="shared" si="123"/>
        <v>#N/A</v>
      </c>
      <c r="AO312" s="7">
        <f t="shared" si="124"/>
        <v>0</v>
      </c>
      <c r="AP312" s="7" t="e">
        <f t="shared" si="133"/>
        <v>#N/A</v>
      </c>
      <c r="AQ312" s="7" t="str">
        <f t="shared" si="125"/>
        <v/>
      </c>
      <c r="AR312" s="7" t="str">
        <f t="shared" si="126"/>
        <v/>
      </c>
      <c r="AS312" s="7" t="str">
        <f t="shared" si="127"/>
        <v/>
      </c>
      <c r="AT312" s="97"/>
      <c r="AZ312" s="477" t="s">
        <v>1245</v>
      </c>
      <c r="CF312" s="586" t="str">
        <f t="shared" si="134"/>
        <v/>
      </c>
      <c r="CG312"/>
      <c r="CH312"/>
    </row>
    <row r="313" spans="1:86" s="13" customFormat="1" ht="13.75" customHeight="1">
      <c r="A313" s="137">
        <v>298</v>
      </c>
      <c r="B313" s="138"/>
      <c r="C313" s="139"/>
      <c r="D313" s="140"/>
      <c r="E313" s="139"/>
      <c r="F313" s="139"/>
      <c r="G313" s="191"/>
      <c r="H313" s="139"/>
      <c r="I313" s="141"/>
      <c r="J313" s="142"/>
      <c r="K313" s="139"/>
      <c r="L313" s="147"/>
      <c r="M313" s="148"/>
      <c r="N313" s="583"/>
      <c r="O313" s="229" t="str">
        <f t="shared" si="128"/>
        <v/>
      </c>
      <c r="P313" s="229" t="str">
        <f t="shared" si="129"/>
        <v/>
      </c>
      <c r="Q313" s="230" t="str">
        <f t="shared" si="130"/>
        <v/>
      </c>
      <c r="R313" s="323" t="str">
        <f t="shared" si="131"/>
        <v/>
      </c>
      <c r="S313" s="350"/>
      <c r="T313" s="43"/>
      <c r="U313" s="347" t="str">
        <f t="shared" si="108"/>
        <v/>
      </c>
      <c r="V313" s="7" t="e">
        <f t="shared" si="109"/>
        <v>#N/A</v>
      </c>
      <c r="W313" s="7" t="e">
        <f t="shared" si="110"/>
        <v>#N/A</v>
      </c>
      <c r="X313" s="7" t="e">
        <f t="shared" si="111"/>
        <v>#N/A</v>
      </c>
      <c r="Y313" s="7" t="str">
        <f t="shared" si="112"/>
        <v/>
      </c>
      <c r="Z313" s="11">
        <f t="shared" si="113"/>
        <v>1</v>
      </c>
      <c r="AA313" s="7" t="e">
        <f t="shared" si="114"/>
        <v>#N/A</v>
      </c>
      <c r="AB313" s="7" t="e">
        <f t="shared" si="115"/>
        <v>#N/A</v>
      </c>
      <c r="AC313" s="7" t="e">
        <f t="shared" si="116"/>
        <v>#N/A</v>
      </c>
      <c r="AD313" s="472" t="e">
        <f>VLOOKUP(AF313,'排出係数(2017)'!$A$4:$I$1151,9,FALSE)</f>
        <v>#N/A</v>
      </c>
      <c r="AE313" s="12" t="str">
        <f t="shared" si="117"/>
        <v xml:space="preserve"> </v>
      </c>
      <c r="AF313" s="7" t="e">
        <f t="shared" si="132"/>
        <v>#N/A</v>
      </c>
      <c r="AG313" s="7" t="e">
        <f t="shared" si="118"/>
        <v>#N/A</v>
      </c>
      <c r="AH313" s="472" t="e">
        <f>VLOOKUP(AF313,'排出係数(2017)'!$A$4:$I$1151,6,FALSE)</f>
        <v>#N/A</v>
      </c>
      <c r="AI313" s="7" t="e">
        <f t="shared" si="119"/>
        <v>#N/A</v>
      </c>
      <c r="AJ313" s="7" t="e">
        <f t="shared" si="120"/>
        <v>#N/A</v>
      </c>
      <c r="AK313" s="472" t="e">
        <f>VLOOKUP(AF313,'排出係数(2017)'!$A$4:$I$1151,7,FALSE)</f>
        <v>#N/A</v>
      </c>
      <c r="AL313" s="7" t="e">
        <f t="shared" si="121"/>
        <v>#N/A</v>
      </c>
      <c r="AM313" s="7" t="e">
        <f t="shared" si="122"/>
        <v>#N/A</v>
      </c>
      <c r="AN313" s="7" t="e">
        <f t="shared" si="123"/>
        <v>#N/A</v>
      </c>
      <c r="AO313" s="7">
        <f t="shared" si="124"/>
        <v>0</v>
      </c>
      <c r="AP313" s="7" t="e">
        <f t="shared" si="133"/>
        <v>#N/A</v>
      </c>
      <c r="AQ313" s="7" t="str">
        <f t="shared" si="125"/>
        <v/>
      </c>
      <c r="AR313" s="7" t="str">
        <f t="shared" si="126"/>
        <v/>
      </c>
      <c r="AS313" s="7" t="str">
        <f t="shared" si="127"/>
        <v/>
      </c>
      <c r="AT313" s="97"/>
      <c r="AZ313" s="477" t="s">
        <v>1680</v>
      </c>
      <c r="CF313" s="586" t="str">
        <f t="shared" si="134"/>
        <v/>
      </c>
      <c r="CG313"/>
      <c r="CH313"/>
    </row>
    <row r="314" spans="1:86" s="13" customFormat="1" ht="13.75" customHeight="1">
      <c r="A314" s="137">
        <v>299</v>
      </c>
      <c r="B314" s="138"/>
      <c r="C314" s="139"/>
      <c r="D314" s="140"/>
      <c r="E314" s="139"/>
      <c r="F314" s="139"/>
      <c r="G314" s="191"/>
      <c r="H314" s="139"/>
      <c r="I314" s="141"/>
      <c r="J314" s="142"/>
      <c r="K314" s="139"/>
      <c r="L314" s="147"/>
      <c r="M314" s="148"/>
      <c r="N314" s="583"/>
      <c r="O314" s="229" t="str">
        <f t="shared" si="128"/>
        <v/>
      </c>
      <c r="P314" s="229" t="str">
        <f t="shared" si="129"/>
        <v/>
      </c>
      <c r="Q314" s="230" t="str">
        <f t="shared" si="130"/>
        <v/>
      </c>
      <c r="R314" s="323" t="str">
        <f t="shared" si="131"/>
        <v/>
      </c>
      <c r="S314" s="350"/>
      <c r="T314" s="43"/>
      <c r="U314" s="347" t="str">
        <f t="shared" si="108"/>
        <v/>
      </c>
      <c r="V314" s="7" t="e">
        <f t="shared" si="109"/>
        <v>#N/A</v>
      </c>
      <c r="W314" s="7" t="e">
        <f t="shared" si="110"/>
        <v>#N/A</v>
      </c>
      <c r="X314" s="7" t="e">
        <f t="shared" si="111"/>
        <v>#N/A</v>
      </c>
      <c r="Y314" s="7" t="str">
        <f t="shared" si="112"/>
        <v/>
      </c>
      <c r="Z314" s="11">
        <f t="shared" si="113"/>
        <v>1</v>
      </c>
      <c r="AA314" s="7" t="e">
        <f t="shared" si="114"/>
        <v>#N/A</v>
      </c>
      <c r="AB314" s="7" t="e">
        <f t="shared" si="115"/>
        <v>#N/A</v>
      </c>
      <c r="AC314" s="7" t="e">
        <f t="shared" si="116"/>
        <v>#N/A</v>
      </c>
      <c r="AD314" s="472" t="e">
        <f>VLOOKUP(AF314,'排出係数(2017)'!$A$4:$I$1151,9,FALSE)</f>
        <v>#N/A</v>
      </c>
      <c r="AE314" s="12" t="str">
        <f t="shared" si="117"/>
        <v xml:space="preserve"> </v>
      </c>
      <c r="AF314" s="7" t="e">
        <f t="shared" si="132"/>
        <v>#N/A</v>
      </c>
      <c r="AG314" s="7" t="e">
        <f t="shared" si="118"/>
        <v>#N/A</v>
      </c>
      <c r="AH314" s="472" t="e">
        <f>VLOOKUP(AF314,'排出係数(2017)'!$A$4:$I$1151,6,FALSE)</f>
        <v>#N/A</v>
      </c>
      <c r="AI314" s="7" t="e">
        <f t="shared" si="119"/>
        <v>#N/A</v>
      </c>
      <c r="AJ314" s="7" t="e">
        <f t="shared" si="120"/>
        <v>#N/A</v>
      </c>
      <c r="AK314" s="472" t="e">
        <f>VLOOKUP(AF314,'排出係数(2017)'!$A$4:$I$1151,7,FALSE)</f>
        <v>#N/A</v>
      </c>
      <c r="AL314" s="7" t="e">
        <f t="shared" si="121"/>
        <v>#N/A</v>
      </c>
      <c r="AM314" s="7" t="e">
        <f t="shared" si="122"/>
        <v>#N/A</v>
      </c>
      <c r="AN314" s="7" t="e">
        <f t="shared" si="123"/>
        <v>#N/A</v>
      </c>
      <c r="AO314" s="7">
        <f t="shared" si="124"/>
        <v>0</v>
      </c>
      <c r="AP314" s="7" t="e">
        <f t="shared" si="133"/>
        <v>#N/A</v>
      </c>
      <c r="AQ314" s="7" t="str">
        <f t="shared" si="125"/>
        <v/>
      </c>
      <c r="AR314" s="7" t="str">
        <f t="shared" si="126"/>
        <v/>
      </c>
      <c r="AS314" s="7" t="str">
        <f t="shared" si="127"/>
        <v/>
      </c>
      <c r="AT314" s="97"/>
      <c r="AZ314" s="477" t="s">
        <v>1149</v>
      </c>
      <c r="CF314" s="586" t="str">
        <f t="shared" si="134"/>
        <v/>
      </c>
      <c r="CG314"/>
      <c r="CH314"/>
    </row>
    <row r="315" spans="1:86" s="13" customFormat="1" ht="13.75" customHeight="1">
      <c r="A315" s="137">
        <v>300</v>
      </c>
      <c r="B315" s="138"/>
      <c r="C315" s="139"/>
      <c r="D315" s="140"/>
      <c r="E315" s="139"/>
      <c r="F315" s="139"/>
      <c r="G315" s="191"/>
      <c r="H315" s="139"/>
      <c r="I315" s="141"/>
      <c r="J315" s="142"/>
      <c r="K315" s="139"/>
      <c r="L315" s="147"/>
      <c r="M315" s="148"/>
      <c r="N315" s="583"/>
      <c r="O315" s="229" t="str">
        <f t="shared" si="128"/>
        <v/>
      </c>
      <c r="P315" s="229" t="str">
        <f t="shared" si="129"/>
        <v/>
      </c>
      <c r="Q315" s="230" t="str">
        <f t="shared" si="130"/>
        <v/>
      </c>
      <c r="R315" s="323" t="str">
        <f t="shared" si="131"/>
        <v/>
      </c>
      <c r="S315" s="350"/>
      <c r="T315" s="43"/>
      <c r="U315" s="347" t="str">
        <f t="shared" si="108"/>
        <v/>
      </c>
      <c r="V315" s="7" t="e">
        <f t="shared" si="109"/>
        <v>#N/A</v>
      </c>
      <c r="W315" s="7" t="e">
        <f t="shared" si="110"/>
        <v>#N/A</v>
      </c>
      <c r="X315" s="7" t="e">
        <f t="shared" si="111"/>
        <v>#N/A</v>
      </c>
      <c r="Y315" s="7" t="str">
        <f t="shared" si="112"/>
        <v/>
      </c>
      <c r="Z315" s="11">
        <f t="shared" si="113"/>
        <v>1</v>
      </c>
      <c r="AA315" s="7" t="e">
        <f t="shared" si="114"/>
        <v>#N/A</v>
      </c>
      <c r="AB315" s="7" t="e">
        <f t="shared" si="115"/>
        <v>#N/A</v>
      </c>
      <c r="AC315" s="7" t="e">
        <f t="shared" si="116"/>
        <v>#N/A</v>
      </c>
      <c r="AD315" s="472" t="e">
        <f>VLOOKUP(AF315,'排出係数(2017)'!$A$4:$I$1151,9,FALSE)</f>
        <v>#N/A</v>
      </c>
      <c r="AE315" s="12" t="str">
        <f t="shared" si="117"/>
        <v xml:space="preserve"> </v>
      </c>
      <c r="AF315" s="7" t="e">
        <f t="shared" si="132"/>
        <v>#N/A</v>
      </c>
      <c r="AG315" s="7" t="e">
        <f t="shared" si="118"/>
        <v>#N/A</v>
      </c>
      <c r="AH315" s="472" t="e">
        <f>VLOOKUP(AF315,'排出係数(2017)'!$A$4:$I$1151,6,FALSE)</f>
        <v>#N/A</v>
      </c>
      <c r="AI315" s="7" t="e">
        <f t="shared" si="119"/>
        <v>#N/A</v>
      </c>
      <c r="AJ315" s="7" t="e">
        <f t="shared" si="120"/>
        <v>#N/A</v>
      </c>
      <c r="AK315" s="472" t="e">
        <f>VLOOKUP(AF315,'排出係数(2017)'!$A$4:$I$1151,7,FALSE)</f>
        <v>#N/A</v>
      </c>
      <c r="AL315" s="7" t="e">
        <f t="shared" si="121"/>
        <v>#N/A</v>
      </c>
      <c r="AM315" s="7" t="e">
        <f t="shared" si="122"/>
        <v>#N/A</v>
      </c>
      <c r="AN315" s="7" t="e">
        <f t="shared" si="123"/>
        <v>#N/A</v>
      </c>
      <c r="AO315" s="7">
        <f t="shared" si="124"/>
        <v>0</v>
      </c>
      <c r="AP315" s="7" t="e">
        <f t="shared" si="133"/>
        <v>#N/A</v>
      </c>
      <c r="AQ315" s="7" t="str">
        <f t="shared" si="125"/>
        <v/>
      </c>
      <c r="AR315" s="7" t="str">
        <f t="shared" si="126"/>
        <v/>
      </c>
      <c r="AS315" s="7" t="str">
        <f t="shared" si="127"/>
        <v/>
      </c>
      <c r="AT315" s="97"/>
      <c r="AZ315" s="477" t="s">
        <v>1182</v>
      </c>
      <c r="CF315" s="586" t="str">
        <f t="shared" si="134"/>
        <v/>
      </c>
      <c r="CG315"/>
      <c r="CH315"/>
    </row>
    <row r="316" spans="1:86" s="13" customFormat="1" ht="13.75" customHeight="1">
      <c r="A316" s="137">
        <v>301</v>
      </c>
      <c r="B316" s="138"/>
      <c r="C316" s="139"/>
      <c r="D316" s="140"/>
      <c r="E316" s="139"/>
      <c r="F316" s="139"/>
      <c r="G316" s="191"/>
      <c r="H316" s="139"/>
      <c r="I316" s="141"/>
      <c r="J316" s="142"/>
      <c r="K316" s="139"/>
      <c r="L316" s="147"/>
      <c r="M316" s="148"/>
      <c r="N316" s="583"/>
      <c r="O316" s="229" t="str">
        <f t="shared" si="128"/>
        <v/>
      </c>
      <c r="P316" s="229" t="str">
        <f t="shared" si="129"/>
        <v/>
      </c>
      <c r="Q316" s="230" t="str">
        <f t="shared" si="130"/>
        <v/>
      </c>
      <c r="R316" s="323" t="str">
        <f t="shared" si="131"/>
        <v/>
      </c>
      <c r="S316" s="350"/>
      <c r="T316" s="43"/>
      <c r="U316" s="347" t="str">
        <f t="shared" si="108"/>
        <v/>
      </c>
      <c r="V316" s="7" t="e">
        <f t="shared" si="109"/>
        <v>#N/A</v>
      </c>
      <c r="W316" s="7" t="e">
        <f t="shared" si="110"/>
        <v>#N/A</v>
      </c>
      <c r="X316" s="7" t="e">
        <f t="shared" si="111"/>
        <v>#N/A</v>
      </c>
      <c r="Y316" s="7" t="str">
        <f t="shared" si="112"/>
        <v/>
      </c>
      <c r="Z316" s="11">
        <f t="shared" si="113"/>
        <v>1</v>
      </c>
      <c r="AA316" s="7" t="e">
        <f t="shared" si="114"/>
        <v>#N/A</v>
      </c>
      <c r="AB316" s="7" t="e">
        <f t="shared" si="115"/>
        <v>#N/A</v>
      </c>
      <c r="AC316" s="7" t="e">
        <f t="shared" si="116"/>
        <v>#N/A</v>
      </c>
      <c r="AD316" s="472" t="e">
        <f>VLOOKUP(AF316,'排出係数(2017)'!$A$4:$I$1151,9,FALSE)</f>
        <v>#N/A</v>
      </c>
      <c r="AE316" s="12" t="str">
        <f t="shared" si="117"/>
        <v xml:space="preserve"> </v>
      </c>
      <c r="AF316" s="7" t="e">
        <f t="shared" si="132"/>
        <v>#N/A</v>
      </c>
      <c r="AG316" s="7" t="e">
        <f t="shared" si="118"/>
        <v>#N/A</v>
      </c>
      <c r="AH316" s="472" t="e">
        <f>VLOOKUP(AF316,'排出係数(2017)'!$A$4:$I$1151,6,FALSE)</f>
        <v>#N/A</v>
      </c>
      <c r="AI316" s="7" t="e">
        <f t="shared" si="119"/>
        <v>#N/A</v>
      </c>
      <c r="AJ316" s="7" t="e">
        <f t="shared" si="120"/>
        <v>#N/A</v>
      </c>
      <c r="AK316" s="472" t="e">
        <f>VLOOKUP(AF316,'排出係数(2017)'!$A$4:$I$1151,7,FALSE)</f>
        <v>#N/A</v>
      </c>
      <c r="AL316" s="7" t="e">
        <f t="shared" si="121"/>
        <v>#N/A</v>
      </c>
      <c r="AM316" s="7" t="e">
        <f t="shared" si="122"/>
        <v>#N/A</v>
      </c>
      <c r="AN316" s="7" t="e">
        <f t="shared" si="123"/>
        <v>#N/A</v>
      </c>
      <c r="AO316" s="7">
        <f t="shared" si="124"/>
        <v>0</v>
      </c>
      <c r="AP316" s="7" t="e">
        <f t="shared" si="133"/>
        <v>#N/A</v>
      </c>
      <c r="AQ316" s="7" t="str">
        <f t="shared" si="125"/>
        <v/>
      </c>
      <c r="AR316" s="7" t="str">
        <f t="shared" si="126"/>
        <v/>
      </c>
      <c r="AS316" s="7" t="str">
        <f t="shared" si="127"/>
        <v/>
      </c>
      <c r="AT316" s="97"/>
      <c r="AZ316" s="477" t="s">
        <v>1243</v>
      </c>
      <c r="CF316" s="586" t="str">
        <f t="shared" si="134"/>
        <v/>
      </c>
      <c r="CG316"/>
      <c r="CH316"/>
    </row>
    <row r="317" spans="1:86" s="13" customFormat="1" ht="13.75" customHeight="1">
      <c r="A317" s="137">
        <v>302</v>
      </c>
      <c r="B317" s="138"/>
      <c r="C317" s="139"/>
      <c r="D317" s="140"/>
      <c r="E317" s="139"/>
      <c r="F317" s="139"/>
      <c r="G317" s="191"/>
      <c r="H317" s="139"/>
      <c r="I317" s="141"/>
      <c r="J317" s="142"/>
      <c r="K317" s="139"/>
      <c r="L317" s="147"/>
      <c r="M317" s="148"/>
      <c r="N317" s="583"/>
      <c r="O317" s="229" t="str">
        <f t="shared" si="128"/>
        <v/>
      </c>
      <c r="P317" s="229" t="str">
        <f t="shared" si="129"/>
        <v/>
      </c>
      <c r="Q317" s="230" t="str">
        <f t="shared" si="130"/>
        <v/>
      </c>
      <c r="R317" s="323" t="str">
        <f t="shared" si="131"/>
        <v/>
      </c>
      <c r="S317" s="350"/>
      <c r="T317" s="43"/>
      <c r="U317" s="347" t="str">
        <f t="shared" si="108"/>
        <v/>
      </c>
      <c r="V317" s="7" t="e">
        <f t="shared" si="109"/>
        <v>#N/A</v>
      </c>
      <c r="W317" s="7" t="e">
        <f t="shared" si="110"/>
        <v>#N/A</v>
      </c>
      <c r="X317" s="7" t="e">
        <f t="shared" si="111"/>
        <v>#N/A</v>
      </c>
      <c r="Y317" s="7" t="str">
        <f t="shared" si="112"/>
        <v/>
      </c>
      <c r="Z317" s="11">
        <f t="shared" si="113"/>
        <v>1</v>
      </c>
      <c r="AA317" s="7" t="e">
        <f t="shared" si="114"/>
        <v>#N/A</v>
      </c>
      <c r="AB317" s="7" t="e">
        <f t="shared" si="115"/>
        <v>#N/A</v>
      </c>
      <c r="AC317" s="7" t="e">
        <f t="shared" si="116"/>
        <v>#N/A</v>
      </c>
      <c r="AD317" s="472" t="e">
        <f>VLOOKUP(AF317,'排出係数(2017)'!$A$4:$I$1151,9,FALSE)</f>
        <v>#N/A</v>
      </c>
      <c r="AE317" s="12" t="str">
        <f t="shared" si="117"/>
        <v xml:space="preserve"> </v>
      </c>
      <c r="AF317" s="7" t="e">
        <f t="shared" si="132"/>
        <v>#N/A</v>
      </c>
      <c r="AG317" s="7" t="e">
        <f t="shared" si="118"/>
        <v>#N/A</v>
      </c>
      <c r="AH317" s="472" t="e">
        <f>VLOOKUP(AF317,'排出係数(2017)'!$A$4:$I$1151,6,FALSE)</f>
        <v>#N/A</v>
      </c>
      <c r="AI317" s="7" t="e">
        <f t="shared" si="119"/>
        <v>#N/A</v>
      </c>
      <c r="AJ317" s="7" t="e">
        <f t="shared" si="120"/>
        <v>#N/A</v>
      </c>
      <c r="AK317" s="472" t="e">
        <f>VLOOKUP(AF317,'排出係数(2017)'!$A$4:$I$1151,7,FALSE)</f>
        <v>#N/A</v>
      </c>
      <c r="AL317" s="7" t="e">
        <f t="shared" si="121"/>
        <v>#N/A</v>
      </c>
      <c r="AM317" s="7" t="e">
        <f t="shared" si="122"/>
        <v>#N/A</v>
      </c>
      <c r="AN317" s="7" t="e">
        <f t="shared" si="123"/>
        <v>#N/A</v>
      </c>
      <c r="AO317" s="7">
        <f t="shared" si="124"/>
        <v>0</v>
      </c>
      <c r="AP317" s="7" t="e">
        <f t="shared" si="133"/>
        <v>#N/A</v>
      </c>
      <c r="AQ317" s="7" t="str">
        <f t="shared" si="125"/>
        <v/>
      </c>
      <c r="AR317" s="7" t="str">
        <f t="shared" si="126"/>
        <v/>
      </c>
      <c r="AS317" s="7" t="str">
        <f t="shared" si="127"/>
        <v/>
      </c>
      <c r="AT317" s="97"/>
      <c r="AZ317" s="477" t="s">
        <v>1710</v>
      </c>
      <c r="CF317" s="586" t="str">
        <f t="shared" si="134"/>
        <v/>
      </c>
      <c r="CG317"/>
      <c r="CH317"/>
    </row>
    <row r="318" spans="1:86" s="13" customFormat="1" ht="13.75" customHeight="1">
      <c r="A318" s="137">
        <v>303</v>
      </c>
      <c r="B318" s="138"/>
      <c r="C318" s="139"/>
      <c r="D318" s="140"/>
      <c r="E318" s="139"/>
      <c r="F318" s="139"/>
      <c r="G318" s="191"/>
      <c r="H318" s="139"/>
      <c r="I318" s="141"/>
      <c r="J318" s="142"/>
      <c r="K318" s="139"/>
      <c r="L318" s="147"/>
      <c r="M318" s="148"/>
      <c r="N318" s="583"/>
      <c r="O318" s="229" t="str">
        <f t="shared" si="128"/>
        <v/>
      </c>
      <c r="P318" s="229" t="str">
        <f t="shared" si="129"/>
        <v/>
      </c>
      <c r="Q318" s="230" t="str">
        <f t="shared" si="130"/>
        <v/>
      </c>
      <c r="R318" s="323" t="str">
        <f t="shared" si="131"/>
        <v/>
      </c>
      <c r="S318" s="350"/>
      <c r="T318" s="43"/>
      <c r="U318" s="347" t="str">
        <f t="shared" si="108"/>
        <v/>
      </c>
      <c r="V318" s="7" t="e">
        <f t="shared" si="109"/>
        <v>#N/A</v>
      </c>
      <c r="W318" s="7" t="e">
        <f t="shared" si="110"/>
        <v>#N/A</v>
      </c>
      <c r="X318" s="7" t="e">
        <f t="shared" si="111"/>
        <v>#N/A</v>
      </c>
      <c r="Y318" s="7" t="str">
        <f t="shared" si="112"/>
        <v/>
      </c>
      <c r="Z318" s="11">
        <f t="shared" si="113"/>
        <v>1</v>
      </c>
      <c r="AA318" s="7" t="e">
        <f t="shared" si="114"/>
        <v>#N/A</v>
      </c>
      <c r="AB318" s="7" t="e">
        <f t="shared" si="115"/>
        <v>#N/A</v>
      </c>
      <c r="AC318" s="7" t="e">
        <f t="shared" si="116"/>
        <v>#N/A</v>
      </c>
      <c r="AD318" s="472" t="e">
        <f>VLOOKUP(AF318,'排出係数(2017)'!$A$4:$I$1151,9,FALSE)</f>
        <v>#N/A</v>
      </c>
      <c r="AE318" s="12" t="str">
        <f t="shared" si="117"/>
        <v xml:space="preserve"> </v>
      </c>
      <c r="AF318" s="7" t="e">
        <f t="shared" si="132"/>
        <v>#N/A</v>
      </c>
      <c r="AG318" s="7" t="e">
        <f t="shared" si="118"/>
        <v>#N/A</v>
      </c>
      <c r="AH318" s="472" t="e">
        <f>VLOOKUP(AF318,'排出係数(2017)'!$A$4:$I$1151,6,FALSE)</f>
        <v>#N/A</v>
      </c>
      <c r="AI318" s="7" t="e">
        <f t="shared" si="119"/>
        <v>#N/A</v>
      </c>
      <c r="AJ318" s="7" t="e">
        <f t="shared" si="120"/>
        <v>#N/A</v>
      </c>
      <c r="AK318" s="472" t="e">
        <f>VLOOKUP(AF318,'排出係数(2017)'!$A$4:$I$1151,7,FALSE)</f>
        <v>#N/A</v>
      </c>
      <c r="AL318" s="7" t="e">
        <f t="shared" si="121"/>
        <v>#N/A</v>
      </c>
      <c r="AM318" s="7" t="e">
        <f t="shared" si="122"/>
        <v>#N/A</v>
      </c>
      <c r="AN318" s="7" t="e">
        <f t="shared" si="123"/>
        <v>#N/A</v>
      </c>
      <c r="AO318" s="7">
        <f t="shared" si="124"/>
        <v>0</v>
      </c>
      <c r="AP318" s="7" t="e">
        <f t="shared" si="133"/>
        <v>#N/A</v>
      </c>
      <c r="AQ318" s="7" t="str">
        <f t="shared" si="125"/>
        <v/>
      </c>
      <c r="AR318" s="7" t="str">
        <f t="shared" si="126"/>
        <v/>
      </c>
      <c r="AS318" s="7" t="str">
        <f t="shared" si="127"/>
        <v/>
      </c>
      <c r="AT318" s="97"/>
      <c r="AZ318" s="477" t="s">
        <v>1286</v>
      </c>
      <c r="CF318" s="586" t="str">
        <f t="shared" si="134"/>
        <v/>
      </c>
      <c r="CG318"/>
      <c r="CH318"/>
    </row>
    <row r="319" spans="1:86" s="13" customFormat="1" ht="13.75" customHeight="1">
      <c r="A319" s="137">
        <v>304</v>
      </c>
      <c r="B319" s="138"/>
      <c r="C319" s="139"/>
      <c r="D319" s="140"/>
      <c r="E319" s="139"/>
      <c r="F319" s="139"/>
      <c r="G319" s="191"/>
      <c r="H319" s="139"/>
      <c r="I319" s="141"/>
      <c r="J319" s="142"/>
      <c r="K319" s="139"/>
      <c r="L319" s="147"/>
      <c r="M319" s="148"/>
      <c r="N319" s="583"/>
      <c r="O319" s="229" t="str">
        <f t="shared" si="128"/>
        <v/>
      </c>
      <c r="P319" s="229" t="str">
        <f t="shared" si="129"/>
        <v/>
      </c>
      <c r="Q319" s="230" t="str">
        <f t="shared" si="130"/>
        <v/>
      </c>
      <c r="R319" s="323" t="str">
        <f t="shared" si="131"/>
        <v/>
      </c>
      <c r="S319" s="350"/>
      <c r="T319" s="43"/>
      <c r="U319" s="347" t="str">
        <f t="shared" si="108"/>
        <v/>
      </c>
      <c r="V319" s="7" t="e">
        <f t="shared" si="109"/>
        <v>#N/A</v>
      </c>
      <c r="W319" s="7" t="e">
        <f t="shared" si="110"/>
        <v>#N/A</v>
      </c>
      <c r="X319" s="7" t="e">
        <f t="shared" si="111"/>
        <v>#N/A</v>
      </c>
      <c r="Y319" s="7" t="str">
        <f t="shared" si="112"/>
        <v/>
      </c>
      <c r="Z319" s="11">
        <f t="shared" si="113"/>
        <v>1</v>
      </c>
      <c r="AA319" s="7" t="e">
        <f t="shared" si="114"/>
        <v>#N/A</v>
      </c>
      <c r="AB319" s="7" t="e">
        <f t="shared" si="115"/>
        <v>#N/A</v>
      </c>
      <c r="AC319" s="7" t="e">
        <f t="shared" si="116"/>
        <v>#N/A</v>
      </c>
      <c r="AD319" s="472" t="e">
        <f>VLOOKUP(AF319,'排出係数(2017)'!$A$4:$I$1151,9,FALSE)</f>
        <v>#N/A</v>
      </c>
      <c r="AE319" s="12" t="str">
        <f t="shared" si="117"/>
        <v xml:space="preserve"> </v>
      </c>
      <c r="AF319" s="7" t="e">
        <f t="shared" si="132"/>
        <v>#N/A</v>
      </c>
      <c r="AG319" s="7" t="e">
        <f t="shared" si="118"/>
        <v>#N/A</v>
      </c>
      <c r="AH319" s="472" t="e">
        <f>VLOOKUP(AF319,'排出係数(2017)'!$A$4:$I$1151,6,FALSE)</f>
        <v>#N/A</v>
      </c>
      <c r="AI319" s="7" t="e">
        <f t="shared" si="119"/>
        <v>#N/A</v>
      </c>
      <c r="AJ319" s="7" t="e">
        <f t="shared" si="120"/>
        <v>#N/A</v>
      </c>
      <c r="AK319" s="472" t="e">
        <f>VLOOKUP(AF319,'排出係数(2017)'!$A$4:$I$1151,7,FALSE)</f>
        <v>#N/A</v>
      </c>
      <c r="AL319" s="7" t="e">
        <f t="shared" si="121"/>
        <v>#N/A</v>
      </c>
      <c r="AM319" s="7" t="e">
        <f t="shared" si="122"/>
        <v>#N/A</v>
      </c>
      <c r="AN319" s="7" t="e">
        <f t="shared" si="123"/>
        <v>#N/A</v>
      </c>
      <c r="AO319" s="7">
        <f t="shared" si="124"/>
        <v>0</v>
      </c>
      <c r="AP319" s="7" t="e">
        <f t="shared" si="133"/>
        <v>#N/A</v>
      </c>
      <c r="AQ319" s="7" t="str">
        <f t="shared" si="125"/>
        <v/>
      </c>
      <c r="AR319" s="7" t="str">
        <f t="shared" si="126"/>
        <v/>
      </c>
      <c r="AS319" s="7" t="str">
        <f t="shared" si="127"/>
        <v/>
      </c>
      <c r="AT319" s="97"/>
      <c r="AZ319" s="477" t="s">
        <v>1317</v>
      </c>
      <c r="CF319" s="586" t="str">
        <f t="shared" si="134"/>
        <v/>
      </c>
      <c r="CG319"/>
      <c r="CH319"/>
    </row>
    <row r="320" spans="1:86" s="13" customFormat="1" ht="13.75" customHeight="1">
      <c r="A320" s="137">
        <v>305</v>
      </c>
      <c r="B320" s="138"/>
      <c r="C320" s="139"/>
      <c r="D320" s="140"/>
      <c r="E320" s="139"/>
      <c r="F320" s="139"/>
      <c r="G320" s="191"/>
      <c r="H320" s="139"/>
      <c r="I320" s="141"/>
      <c r="J320" s="142"/>
      <c r="K320" s="139"/>
      <c r="L320" s="147"/>
      <c r="M320" s="148"/>
      <c r="N320" s="583"/>
      <c r="O320" s="229" t="str">
        <f t="shared" si="128"/>
        <v/>
      </c>
      <c r="P320" s="229" t="str">
        <f t="shared" si="129"/>
        <v/>
      </c>
      <c r="Q320" s="230" t="str">
        <f t="shared" si="130"/>
        <v/>
      </c>
      <c r="R320" s="323" t="str">
        <f t="shared" si="131"/>
        <v/>
      </c>
      <c r="S320" s="350"/>
      <c r="T320" s="43"/>
      <c r="U320" s="347" t="str">
        <f t="shared" si="108"/>
        <v/>
      </c>
      <c r="V320" s="7" t="e">
        <f t="shared" si="109"/>
        <v>#N/A</v>
      </c>
      <c r="W320" s="7" t="e">
        <f t="shared" si="110"/>
        <v>#N/A</v>
      </c>
      <c r="X320" s="7" t="e">
        <f t="shared" si="111"/>
        <v>#N/A</v>
      </c>
      <c r="Y320" s="7" t="str">
        <f t="shared" si="112"/>
        <v/>
      </c>
      <c r="Z320" s="11">
        <f t="shared" si="113"/>
        <v>1</v>
      </c>
      <c r="AA320" s="7" t="e">
        <f t="shared" si="114"/>
        <v>#N/A</v>
      </c>
      <c r="AB320" s="7" t="e">
        <f t="shared" si="115"/>
        <v>#N/A</v>
      </c>
      <c r="AC320" s="7" t="e">
        <f t="shared" si="116"/>
        <v>#N/A</v>
      </c>
      <c r="AD320" s="472" t="e">
        <f>VLOOKUP(AF320,'排出係数(2017)'!$A$4:$I$1151,9,FALSE)</f>
        <v>#N/A</v>
      </c>
      <c r="AE320" s="12" t="str">
        <f t="shared" si="117"/>
        <v xml:space="preserve"> </v>
      </c>
      <c r="AF320" s="7" t="e">
        <f t="shared" si="132"/>
        <v>#N/A</v>
      </c>
      <c r="AG320" s="7" t="e">
        <f t="shared" si="118"/>
        <v>#N/A</v>
      </c>
      <c r="AH320" s="472" t="e">
        <f>VLOOKUP(AF320,'排出係数(2017)'!$A$4:$I$1151,6,FALSE)</f>
        <v>#N/A</v>
      </c>
      <c r="AI320" s="7" t="e">
        <f t="shared" si="119"/>
        <v>#N/A</v>
      </c>
      <c r="AJ320" s="7" t="e">
        <f t="shared" si="120"/>
        <v>#N/A</v>
      </c>
      <c r="AK320" s="472" t="e">
        <f>VLOOKUP(AF320,'排出係数(2017)'!$A$4:$I$1151,7,FALSE)</f>
        <v>#N/A</v>
      </c>
      <c r="AL320" s="7" t="e">
        <f t="shared" si="121"/>
        <v>#N/A</v>
      </c>
      <c r="AM320" s="7" t="e">
        <f t="shared" si="122"/>
        <v>#N/A</v>
      </c>
      <c r="AN320" s="7" t="e">
        <f t="shared" si="123"/>
        <v>#N/A</v>
      </c>
      <c r="AO320" s="7">
        <f t="shared" si="124"/>
        <v>0</v>
      </c>
      <c r="AP320" s="7" t="e">
        <f t="shared" si="133"/>
        <v>#N/A</v>
      </c>
      <c r="AQ320" s="7" t="str">
        <f t="shared" si="125"/>
        <v/>
      </c>
      <c r="AR320" s="7" t="str">
        <f t="shared" si="126"/>
        <v/>
      </c>
      <c r="AS320" s="7" t="str">
        <f t="shared" si="127"/>
        <v/>
      </c>
      <c r="AT320" s="97"/>
      <c r="AZ320" s="477" t="s">
        <v>1367</v>
      </c>
      <c r="CF320" s="586" t="str">
        <f t="shared" si="134"/>
        <v/>
      </c>
      <c r="CG320"/>
      <c r="CH320"/>
    </row>
    <row r="321" spans="1:86" s="13" customFormat="1" ht="13.75" customHeight="1">
      <c r="A321" s="137">
        <v>306</v>
      </c>
      <c r="B321" s="138"/>
      <c r="C321" s="139"/>
      <c r="D321" s="140"/>
      <c r="E321" s="139"/>
      <c r="F321" s="139"/>
      <c r="G321" s="191"/>
      <c r="H321" s="139"/>
      <c r="I321" s="141"/>
      <c r="J321" s="142"/>
      <c r="K321" s="139"/>
      <c r="L321" s="147"/>
      <c r="M321" s="148"/>
      <c r="N321" s="583"/>
      <c r="O321" s="229" t="str">
        <f t="shared" si="128"/>
        <v/>
      </c>
      <c r="P321" s="229" t="str">
        <f t="shared" si="129"/>
        <v/>
      </c>
      <c r="Q321" s="230" t="str">
        <f t="shared" si="130"/>
        <v/>
      </c>
      <c r="R321" s="323" t="str">
        <f t="shared" si="131"/>
        <v/>
      </c>
      <c r="S321" s="350"/>
      <c r="T321" s="43"/>
      <c r="U321" s="347" t="str">
        <f t="shared" si="108"/>
        <v/>
      </c>
      <c r="V321" s="7" t="e">
        <f t="shared" si="109"/>
        <v>#N/A</v>
      </c>
      <c r="W321" s="7" t="e">
        <f t="shared" si="110"/>
        <v>#N/A</v>
      </c>
      <c r="X321" s="7" t="e">
        <f t="shared" si="111"/>
        <v>#N/A</v>
      </c>
      <c r="Y321" s="7" t="str">
        <f t="shared" si="112"/>
        <v/>
      </c>
      <c r="Z321" s="11">
        <f t="shared" si="113"/>
        <v>1</v>
      </c>
      <c r="AA321" s="7" t="e">
        <f t="shared" si="114"/>
        <v>#N/A</v>
      </c>
      <c r="AB321" s="7" t="e">
        <f t="shared" si="115"/>
        <v>#N/A</v>
      </c>
      <c r="AC321" s="7" t="e">
        <f t="shared" si="116"/>
        <v>#N/A</v>
      </c>
      <c r="AD321" s="472" t="e">
        <f>VLOOKUP(AF321,'排出係数(2017)'!$A$4:$I$1151,9,FALSE)</f>
        <v>#N/A</v>
      </c>
      <c r="AE321" s="12" t="str">
        <f t="shared" si="117"/>
        <v xml:space="preserve"> </v>
      </c>
      <c r="AF321" s="7" t="e">
        <f t="shared" si="132"/>
        <v>#N/A</v>
      </c>
      <c r="AG321" s="7" t="e">
        <f t="shared" si="118"/>
        <v>#N/A</v>
      </c>
      <c r="AH321" s="472" t="e">
        <f>VLOOKUP(AF321,'排出係数(2017)'!$A$4:$I$1151,6,FALSE)</f>
        <v>#N/A</v>
      </c>
      <c r="AI321" s="7" t="e">
        <f t="shared" si="119"/>
        <v>#N/A</v>
      </c>
      <c r="AJ321" s="7" t="e">
        <f t="shared" si="120"/>
        <v>#N/A</v>
      </c>
      <c r="AK321" s="472" t="e">
        <f>VLOOKUP(AF321,'排出係数(2017)'!$A$4:$I$1151,7,FALSE)</f>
        <v>#N/A</v>
      </c>
      <c r="AL321" s="7" t="e">
        <f t="shared" si="121"/>
        <v>#N/A</v>
      </c>
      <c r="AM321" s="7" t="e">
        <f t="shared" si="122"/>
        <v>#N/A</v>
      </c>
      <c r="AN321" s="7" t="e">
        <f t="shared" si="123"/>
        <v>#N/A</v>
      </c>
      <c r="AO321" s="7">
        <f t="shared" si="124"/>
        <v>0</v>
      </c>
      <c r="AP321" s="7" t="e">
        <f t="shared" si="133"/>
        <v>#N/A</v>
      </c>
      <c r="AQ321" s="7" t="str">
        <f t="shared" si="125"/>
        <v/>
      </c>
      <c r="AR321" s="7" t="str">
        <f t="shared" si="126"/>
        <v/>
      </c>
      <c r="AS321" s="7" t="str">
        <f t="shared" si="127"/>
        <v/>
      </c>
      <c r="AT321" s="97"/>
      <c r="AZ321" s="477" t="s">
        <v>1708</v>
      </c>
      <c r="CF321" s="586" t="str">
        <f t="shared" si="134"/>
        <v/>
      </c>
      <c r="CG321"/>
      <c r="CH321"/>
    </row>
    <row r="322" spans="1:86" s="13" customFormat="1" ht="13.75" customHeight="1">
      <c r="A322" s="137">
        <v>307</v>
      </c>
      <c r="B322" s="138"/>
      <c r="C322" s="139"/>
      <c r="D322" s="140"/>
      <c r="E322" s="139"/>
      <c r="F322" s="139"/>
      <c r="G322" s="191"/>
      <c r="H322" s="139"/>
      <c r="I322" s="141"/>
      <c r="J322" s="142"/>
      <c r="K322" s="139"/>
      <c r="L322" s="147"/>
      <c r="M322" s="148"/>
      <c r="N322" s="583"/>
      <c r="O322" s="229" t="str">
        <f t="shared" si="128"/>
        <v/>
      </c>
      <c r="P322" s="229" t="str">
        <f t="shared" si="129"/>
        <v/>
      </c>
      <c r="Q322" s="230" t="str">
        <f t="shared" si="130"/>
        <v/>
      </c>
      <c r="R322" s="323" t="str">
        <f t="shared" si="131"/>
        <v/>
      </c>
      <c r="S322" s="350"/>
      <c r="T322" s="43"/>
      <c r="U322" s="347" t="str">
        <f t="shared" si="108"/>
        <v/>
      </c>
      <c r="V322" s="7" t="e">
        <f t="shared" si="109"/>
        <v>#N/A</v>
      </c>
      <c r="W322" s="7" t="e">
        <f t="shared" si="110"/>
        <v>#N/A</v>
      </c>
      <c r="X322" s="7" t="e">
        <f t="shared" si="111"/>
        <v>#N/A</v>
      </c>
      <c r="Y322" s="7" t="str">
        <f t="shared" si="112"/>
        <v/>
      </c>
      <c r="Z322" s="11">
        <f t="shared" si="113"/>
        <v>1</v>
      </c>
      <c r="AA322" s="7" t="e">
        <f t="shared" si="114"/>
        <v>#N/A</v>
      </c>
      <c r="AB322" s="7" t="e">
        <f t="shared" si="115"/>
        <v>#N/A</v>
      </c>
      <c r="AC322" s="7" t="e">
        <f t="shared" si="116"/>
        <v>#N/A</v>
      </c>
      <c r="AD322" s="472" t="e">
        <f>VLOOKUP(AF322,'排出係数(2017)'!$A$4:$I$1151,9,FALSE)</f>
        <v>#N/A</v>
      </c>
      <c r="AE322" s="12" t="str">
        <f t="shared" si="117"/>
        <v xml:space="preserve"> </v>
      </c>
      <c r="AF322" s="7" t="e">
        <f t="shared" si="132"/>
        <v>#N/A</v>
      </c>
      <c r="AG322" s="7" t="e">
        <f t="shared" si="118"/>
        <v>#N/A</v>
      </c>
      <c r="AH322" s="472" t="e">
        <f>VLOOKUP(AF322,'排出係数(2017)'!$A$4:$I$1151,6,FALSE)</f>
        <v>#N/A</v>
      </c>
      <c r="AI322" s="7" t="e">
        <f t="shared" si="119"/>
        <v>#N/A</v>
      </c>
      <c r="AJ322" s="7" t="e">
        <f t="shared" si="120"/>
        <v>#N/A</v>
      </c>
      <c r="AK322" s="472" t="e">
        <f>VLOOKUP(AF322,'排出係数(2017)'!$A$4:$I$1151,7,FALSE)</f>
        <v>#N/A</v>
      </c>
      <c r="AL322" s="7" t="e">
        <f t="shared" si="121"/>
        <v>#N/A</v>
      </c>
      <c r="AM322" s="7" t="e">
        <f t="shared" si="122"/>
        <v>#N/A</v>
      </c>
      <c r="AN322" s="7" t="e">
        <f t="shared" si="123"/>
        <v>#N/A</v>
      </c>
      <c r="AO322" s="7">
        <f t="shared" si="124"/>
        <v>0</v>
      </c>
      <c r="AP322" s="7" t="e">
        <f t="shared" si="133"/>
        <v>#N/A</v>
      </c>
      <c r="AQ322" s="7" t="str">
        <f t="shared" si="125"/>
        <v/>
      </c>
      <c r="AR322" s="7" t="str">
        <f t="shared" si="126"/>
        <v/>
      </c>
      <c r="AS322" s="7" t="str">
        <f t="shared" si="127"/>
        <v/>
      </c>
      <c r="AT322" s="97"/>
      <c r="AZ322" s="477" t="s">
        <v>1284</v>
      </c>
      <c r="CF322" s="586" t="str">
        <f t="shared" si="134"/>
        <v/>
      </c>
      <c r="CG322"/>
      <c r="CH322"/>
    </row>
    <row r="323" spans="1:86" s="13" customFormat="1" ht="13.75" customHeight="1">
      <c r="A323" s="137">
        <v>308</v>
      </c>
      <c r="B323" s="138"/>
      <c r="C323" s="139"/>
      <c r="D323" s="140"/>
      <c r="E323" s="139"/>
      <c r="F323" s="139"/>
      <c r="G323" s="191"/>
      <c r="H323" s="139"/>
      <c r="I323" s="141"/>
      <c r="J323" s="142"/>
      <c r="K323" s="139"/>
      <c r="L323" s="147"/>
      <c r="M323" s="148"/>
      <c r="N323" s="583"/>
      <c r="O323" s="229" t="str">
        <f t="shared" si="128"/>
        <v/>
      </c>
      <c r="P323" s="229" t="str">
        <f t="shared" si="129"/>
        <v/>
      </c>
      <c r="Q323" s="230" t="str">
        <f t="shared" si="130"/>
        <v/>
      </c>
      <c r="R323" s="323" t="str">
        <f t="shared" si="131"/>
        <v/>
      </c>
      <c r="S323" s="350"/>
      <c r="T323" s="43"/>
      <c r="U323" s="347" t="str">
        <f t="shared" si="108"/>
        <v/>
      </c>
      <c r="V323" s="7" t="e">
        <f t="shared" si="109"/>
        <v>#N/A</v>
      </c>
      <c r="W323" s="7" t="e">
        <f t="shared" si="110"/>
        <v>#N/A</v>
      </c>
      <c r="X323" s="7" t="e">
        <f t="shared" si="111"/>
        <v>#N/A</v>
      </c>
      <c r="Y323" s="7" t="str">
        <f t="shared" si="112"/>
        <v/>
      </c>
      <c r="Z323" s="11">
        <f t="shared" si="113"/>
        <v>1</v>
      </c>
      <c r="AA323" s="7" t="e">
        <f t="shared" si="114"/>
        <v>#N/A</v>
      </c>
      <c r="AB323" s="7" t="e">
        <f t="shared" si="115"/>
        <v>#N/A</v>
      </c>
      <c r="AC323" s="7" t="e">
        <f t="shared" si="116"/>
        <v>#N/A</v>
      </c>
      <c r="AD323" s="472" t="e">
        <f>VLOOKUP(AF323,'排出係数(2017)'!$A$4:$I$1151,9,FALSE)</f>
        <v>#N/A</v>
      </c>
      <c r="AE323" s="12" t="str">
        <f t="shared" si="117"/>
        <v xml:space="preserve"> </v>
      </c>
      <c r="AF323" s="7" t="e">
        <f t="shared" si="132"/>
        <v>#N/A</v>
      </c>
      <c r="AG323" s="7" t="e">
        <f t="shared" si="118"/>
        <v>#N/A</v>
      </c>
      <c r="AH323" s="472" t="e">
        <f>VLOOKUP(AF323,'排出係数(2017)'!$A$4:$I$1151,6,FALSE)</f>
        <v>#N/A</v>
      </c>
      <c r="AI323" s="7" t="e">
        <f t="shared" si="119"/>
        <v>#N/A</v>
      </c>
      <c r="AJ323" s="7" t="e">
        <f t="shared" si="120"/>
        <v>#N/A</v>
      </c>
      <c r="AK323" s="472" t="e">
        <f>VLOOKUP(AF323,'排出係数(2017)'!$A$4:$I$1151,7,FALSE)</f>
        <v>#N/A</v>
      </c>
      <c r="AL323" s="7" t="e">
        <f t="shared" si="121"/>
        <v>#N/A</v>
      </c>
      <c r="AM323" s="7" t="e">
        <f t="shared" si="122"/>
        <v>#N/A</v>
      </c>
      <c r="AN323" s="7" t="e">
        <f t="shared" si="123"/>
        <v>#N/A</v>
      </c>
      <c r="AO323" s="7">
        <f t="shared" si="124"/>
        <v>0</v>
      </c>
      <c r="AP323" s="7" t="e">
        <f t="shared" si="133"/>
        <v>#N/A</v>
      </c>
      <c r="AQ323" s="7" t="str">
        <f t="shared" si="125"/>
        <v/>
      </c>
      <c r="AR323" s="7" t="str">
        <f t="shared" si="126"/>
        <v/>
      </c>
      <c r="AS323" s="7" t="str">
        <f t="shared" si="127"/>
        <v/>
      </c>
      <c r="AT323" s="97"/>
      <c r="AZ323" s="477" t="s">
        <v>1315</v>
      </c>
      <c r="CF323" s="586" t="str">
        <f t="shared" si="134"/>
        <v/>
      </c>
      <c r="CG323"/>
      <c r="CH323"/>
    </row>
    <row r="324" spans="1:86" s="13" customFormat="1" ht="13.75" customHeight="1">
      <c r="A324" s="137">
        <v>309</v>
      </c>
      <c r="B324" s="138"/>
      <c r="C324" s="139"/>
      <c r="D324" s="140"/>
      <c r="E324" s="139"/>
      <c r="F324" s="139"/>
      <c r="G324" s="191"/>
      <c r="H324" s="139"/>
      <c r="I324" s="141"/>
      <c r="J324" s="142"/>
      <c r="K324" s="139"/>
      <c r="L324" s="147"/>
      <c r="M324" s="148"/>
      <c r="N324" s="583"/>
      <c r="O324" s="229" t="str">
        <f t="shared" si="128"/>
        <v/>
      </c>
      <c r="P324" s="229" t="str">
        <f t="shared" si="129"/>
        <v/>
      </c>
      <c r="Q324" s="230" t="str">
        <f t="shared" si="130"/>
        <v/>
      </c>
      <c r="R324" s="323" t="str">
        <f t="shared" si="131"/>
        <v/>
      </c>
      <c r="S324" s="350"/>
      <c r="T324" s="43"/>
      <c r="U324" s="347" t="str">
        <f t="shared" si="108"/>
        <v/>
      </c>
      <c r="V324" s="7" t="e">
        <f t="shared" si="109"/>
        <v>#N/A</v>
      </c>
      <c r="W324" s="7" t="e">
        <f t="shared" si="110"/>
        <v>#N/A</v>
      </c>
      <c r="X324" s="7" t="e">
        <f t="shared" si="111"/>
        <v>#N/A</v>
      </c>
      <c r="Y324" s="7" t="str">
        <f t="shared" si="112"/>
        <v/>
      </c>
      <c r="Z324" s="11">
        <f t="shared" si="113"/>
        <v>1</v>
      </c>
      <c r="AA324" s="7" t="e">
        <f t="shared" si="114"/>
        <v>#N/A</v>
      </c>
      <c r="AB324" s="7" t="e">
        <f t="shared" si="115"/>
        <v>#N/A</v>
      </c>
      <c r="AC324" s="7" t="e">
        <f t="shared" si="116"/>
        <v>#N/A</v>
      </c>
      <c r="AD324" s="472" t="e">
        <f>VLOOKUP(AF324,'排出係数(2017)'!$A$4:$I$1151,9,FALSE)</f>
        <v>#N/A</v>
      </c>
      <c r="AE324" s="12" t="str">
        <f t="shared" si="117"/>
        <v xml:space="preserve"> </v>
      </c>
      <c r="AF324" s="7" t="e">
        <f t="shared" si="132"/>
        <v>#N/A</v>
      </c>
      <c r="AG324" s="7" t="e">
        <f t="shared" si="118"/>
        <v>#N/A</v>
      </c>
      <c r="AH324" s="472" t="e">
        <f>VLOOKUP(AF324,'排出係数(2017)'!$A$4:$I$1151,6,FALSE)</f>
        <v>#N/A</v>
      </c>
      <c r="AI324" s="7" t="e">
        <f t="shared" si="119"/>
        <v>#N/A</v>
      </c>
      <c r="AJ324" s="7" t="e">
        <f t="shared" si="120"/>
        <v>#N/A</v>
      </c>
      <c r="AK324" s="472" t="e">
        <f>VLOOKUP(AF324,'排出係数(2017)'!$A$4:$I$1151,7,FALSE)</f>
        <v>#N/A</v>
      </c>
      <c r="AL324" s="7" t="e">
        <f t="shared" si="121"/>
        <v>#N/A</v>
      </c>
      <c r="AM324" s="7" t="e">
        <f t="shared" si="122"/>
        <v>#N/A</v>
      </c>
      <c r="AN324" s="7" t="e">
        <f t="shared" si="123"/>
        <v>#N/A</v>
      </c>
      <c r="AO324" s="7">
        <f t="shared" si="124"/>
        <v>0</v>
      </c>
      <c r="AP324" s="7" t="e">
        <f t="shared" si="133"/>
        <v>#N/A</v>
      </c>
      <c r="AQ324" s="7" t="str">
        <f t="shared" si="125"/>
        <v/>
      </c>
      <c r="AR324" s="7" t="str">
        <f t="shared" si="126"/>
        <v/>
      </c>
      <c r="AS324" s="7" t="str">
        <f t="shared" si="127"/>
        <v/>
      </c>
      <c r="AT324" s="97"/>
      <c r="AZ324" s="477" t="s">
        <v>1365</v>
      </c>
      <c r="CF324" s="586" t="str">
        <f t="shared" si="134"/>
        <v/>
      </c>
      <c r="CG324"/>
      <c r="CH324"/>
    </row>
    <row r="325" spans="1:86" s="13" customFormat="1" ht="13.75" customHeight="1">
      <c r="A325" s="137">
        <v>310</v>
      </c>
      <c r="B325" s="138"/>
      <c r="C325" s="139"/>
      <c r="D325" s="140"/>
      <c r="E325" s="139"/>
      <c r="F325" s="139"/>
      <c r="G325" s="191"/>
      <c r="H325" s="139"/>
      <c r="I325" s="141"/>
      <c r="J325" s="142"/>
      <c r="K325" s="139"/>
      <c r="L325" s="147"/>
      <c r="M325" s="148"/>
      <c r="N325" s="583"/>
      <c r="O325" s="229" t="str">
        <f t="shared" si="128"/>
        <v/>
      </c>
      <c r="P325" s="229" t="str">
        <f t="shared" si="129"/>
        <v/>
      </c>
      <c r="Q325" s="230" t="str">
        <f t="shared" si="130"/>
        <v/>
      </c>
      <c r="R325" s="323" t="str">
        <f t="shared" si="131"/>
        <v/>
      </c>
      <c r="S325" s="350"/>
      <c r="T325" s="43"/>
      <c r="U325" s="347" t="str">
        <f t="shared" si="108"/>
        <v/>
      </c>
      <c r="V325" s="7" t="e">
        <f t="shared" si="109"/>
        <v>#N/A</v>
      </c>
      <c r="W325" s="7" t="e">
        <f t="shared" si="110"/>
        <v>#N/A</v>
      </c>
      <c r="X325" s="7" t="e">
        <f t="shared" si="111"/>
        <v>#N/A</v>
      </c>
      <c r="Y325" s="7" t="str">
        <f t="shared" si="112"/>
        <v/>
      </c>
      <c r="Z325" s="11">
        <f t="shared" si="113"/>
        <v>1</v>
      </c>
      <c r="AA325" s="7" t="e">
        <f t="shared" si="114"/>
        <v>#N/A</v>
      </c>
      <c r="AB325" s="7" t="e">
        <f t="shared" si="115"/>
        <v>#N/A</v>
      </c>
      <c r="AC325" s="7" t="e">
        <f t="shared" si="116"/>
        <v>#N/A</v>
      </c>
      <c r="AD325" s="472" t="e">
        <f>VLOOKUP(AF325,'排出係数(2017)'!$A$4:$I$1151,9,FALSE)</f>
        <v>#N/A</v>
      </c>
      <c r="AE325" s="12" t="str">
        <f t="shared" si="117"/>
        <v xml:space="preserve"> </v>
      </c>
      <c r="AF325" s="7" t="e">
        <f t="shared" si="132"/>
        <v>#N/A</v>
      </c>
      <c r="AG325" s="7" t="e">
        <f t="shared" si="118"/>
        <v>#N/A</v>
      </c>
      <c r="AH325" s="472" t="e">
        <f>VLOOKUP(AF325,'排出係数(2017)'!$A$4:$I$1151,6,FALSE)</f>
        <v>#N/A</v>
      </c>
      <c r="AI325" s="7" t="e">
        <f t="shared" si="119"/>
        <v>#N/A</v>
      </c>
      <c r="AJ325" s="7" t="e">
        <f t="shared" si="120"/>
        <v>#N/A</v>
      </c>
      <c r="AK325" s="472" t="e">
        <f>VLOOKUP(AF325,'排出係数(2017)'!$A$4:$I$1151,7,FALSE)</f>
        <v>#N/A</v>
      </c>
      <c r="AL325" s="7" t="e">
        <f t="shared" si="121"/>
        <v>#N/A</v>
      </c>
      <c r="AM325" s="7" t="e">
        <f t="shared" si="122"/>
        <v>#N/A</v>
      </c>
      <c r="AN325" s="7" t="e">
        <f t="shared" si="123"/>
        <v>#N/A</v>
      </c>
      <c r="AO325" s="7">
        <f t="shared" si="124"/>
        <v>0</v>
      </c>
      <c r="AP325" s="7" t="e">
        <f t="shared" si="133"/>
        <v>#N/A</v>
      </c>
      <c r="AQ325" s="7" t="str">
        <f t="shared" si="125"/>
        <v/>
      </c>
      <c r="AR325" s="7" t="str">
        <f t="shared" si="126"/>
        <v/>
      </c>
      <c r="AS325" s="7" t="str">
        <f t="shared" si="127"/>
        <v/>
      </c>
      <c r="AT325" s="97"/>
      <c r="AZ325" s="477" t="s">
        <v>1073</v>
      </c>
      <c r="CF325" s="586" t="str">
        <f t="shared" si="134"/>
        <v/>
      </c>
      <c r="CG325"/>
      <c r="CH325"/>
    </row>
    <row r="326" spans="1:86" s="13" customFormat="1" ht="13.75" customHeight="1">
      <c r="A326" s="137">
        <v>311</v>
      </c>
      <c r="B326" s="138"/>
      <c r="C326" s="139"/>
      <c r="D326" s="140"/>
      <c r="E326" s="139"/>
      <c r="F326" s="139"/>
      <c r="G326" s="191"/>
      <c r="H326" s="139"/>
      <c r="I326" s="141"/>
      <c r="J326" s="142"/>
      <c r="K326" s="139"/>
      <c r="L326" s="147"/>
      <c r="M326" s="148"/>
      <c r="N326" s="583"/>
      <c r="O326" s="229" t="str">
        <f t="shared" si="128"/>
        <v/>
      </c>
      <c r="P326" s="229" t="str">
        <f t="shared" si="129"/>
        <v/>
      </c>
      <c r="Q326" s="230" t="str">
        <f t="shared" si="130"/>
        <v/>
      </c>
      <c r="R326" s="323" t="str">
        <f t="shared" si="131"/>
        <v/>
      </c>
      <c r="S326" s="350"/>
      <c r="T326" s="43"/>
      <c r="U326" s="347" t="str">
        <f t="shared" si="108"/>
        <v/>
      </c>
      <c r="V326" s="7" t="e">
        <f t="shared" si="109"/>
        <v>#N/A</v>
      </c>
      <c r="W326" s="7" t="e">
        <f t="shared" si="110"/>
        <v>#N/A</v>
      </c>
      <c r="X326" s="7" t="e">
        <f t="shared" si="111"/>
        <v>#N/A</v>
      </c>
      <c r="Y326" s="7" t="str">
        <f t="shared" si="112"/>
        <v/>
      </c>
      <c r="Z326" s="11">
        <f t="shared" si="113"/>
        <v>1</v>
      </c>
      <c r="AA326" s="7" t="e">
        <f t="shared" si="114"/>
        <v>#N/A</v>
      </c>
      <c r="AB326" s="7" t="e">
        <f t="shared" si="115"/>
        <v>#N/A</v>
      </c>
      <c r="AC326" s="7" t="e">
        <f t="shared" si="116"/>
        <v>#N/A</v>
      </c>
      <c r="AD326" s="472" t="e">
        <f>VLOOKUP(AF326,'排出係数(2017)'!$A$4:$I$1151,9,FALSE)</f>
        <v>#N/A</v>
      </c>
      <c r="AE326" s="12" t="str">
        <f t="shared" si="117"/>
        <v xml:space="preserve"> </v>
      </c>
      <c r="AF326" s="7" t="e">
        <f t="shared" si="132"/>
        <v>#N/A</v>
      </c>
      <c r="AG326" s="7" t="e">
        <f t="shared" si="118"/>
        <v>#N/A</v>
      </c>
      <c r="AH326" s="472" t="e">
        <f>VLOOKUP(AF326,'排出係数(2017)'!$A$4:$I$1151,6,FALSE)</f>
        <v>#N/A</v>
      </c>
      <c r="AI326" s="7" t="e">
        <f t="shared" si="119"/>
        <v>#N/A</v>
      </c>
      <c r="AJ326" s="7" t="e">
        <f t="shared" si="120"/>
        <v>#N/A</v>
      </c>
      <c r="AK326" s="472" t="e">
        <f>VLOOKUP(AF326,'排出係数(2017)'!$A$4:$I$1151,7,FALSE)</f>
        <v>#N/A</v>
      </c>
      <c r="AL326" s="7" t="e">
        <f t="shared" si="121"/>
        <v>#N/A</v>
      </c>
      <c r="AM326" s="7" t="e">
        <f t="shared" si="122"/>
        <v>#N/A</v>
      </c>
      <c r="AN326" s="7" t="e">
        <f t="shared" si="123"/>
        <v>#N/A</v>
      </c>
      <c r="AO326" s="7">
        <f t="shared" si="124"/>
        <v>0</v>
      </c>
      <c r="AP326" s="7" t="e">
        <f t="shared" si="133"/>
        <v>#N/A</v>
      </c>
      <c r="AQ326" s="7" t="str">
        <f t="shared" si="125"/>
        <v/>
      </c>
      <c r="AR326" s="7" t="str">
        <f t="shared" si="126"/>
        <v/>
      </c>
      <c r="AS326" s="7" t="str">
        <f t="shared" si="127"/>
        <v/>
      </c>
      <c r="AT326" s="97"/>
      <c r="AZ326" s="477" t="s">
        <v>1065</v>
      </c>
      <c r="CF326" s="586" t="str">
        <f t="shared" si="134"/>
        <v/>
      </c>
      <c r="CG326"/>
      <c r="CH326"/>
    </row>
    <row r="327" spans="1:86" s="13" customFormat="1" ht="13.75" customHeight="1">
      <c r="A327" s="137">
        <v>312</v>
      </c>
      <c r="B327" s="138"/>
      <c r="C327" s="139"/>
      <c r="D327" s="140"/>
      <c r="E327" s="139"/>
      <c r="F327" s="139"/>
      <c r="G327" s="191"/>
      <c r="H327" s="139"/>
      <c r="I327" s="141"/>
      <c r="J327" s="142"/>
      <c r="K327" s="139"/>
      <c r="L327" s="147"/>
      <c r="M327" s="148"/>
      <c r="N327" s="583"/>
      <c r="O327" s="229" t="str">
        <f t="shared" si="128"/>
        <v/>
      </c>
      <c r="P327" s="229" t="str">
        <f t="shared" si="129"/>
        <v/>
      </c>
      <c r="Q327" s="230" t="str">
        <f t="shared" si="130"/>
        <v/>
      </c>
      <c r="R327" s="323" t="str">
        <f t="shared" si="131"/>
        <v/>
      </c>
      <c r="S327" s="350"/>
      <c r="T327" s="43"/>
      <c r="U327" s="347" t="str">
        <f t="shared" si="108"/>
        <v/>
      </c>
      <c r="V327" s="7" t="e">
        <f t="shared" si="109"/>
        <v>#N/A</v>
      </c>
      <c r="W327" s="7" t="e">
        <f t="shared" si="110"/>
        <v>#N/A</v>
      </c>
      <c r="X327" s="7" t="e">
        <f t="shared" si="111"/>
        <v>#N/A</v>
      </c>
      <c r="Y327" s="7" t="str">
        <f t="shared" si="112"/>
        <v/>
      </c>
      <c r="Z327" s="11">
        <f t="shared" si="113"/>
        <v>1</v>
      </c>
      <c r="AA327" s="7" t="e">
        <f t="shared" si="114"/>
        <v>#N/A</v>
      </c>
      <c r="AB327" s="7" t="e">
        <f t="shared" si="115"/>
        <v>#N/A</v>
      </c>
      <c r="AC327" s="7" t="e">
        <f t="shared" si="116"/>
        <v>#N/A</v>
      </c>
      <c r="AD327" s="472" t="e">
        <f>VLOOKUP(AF327,'排出係数(2017)'!$A$4:$I$1151,9,FALSE)</f>
        <v>#N/A</v>
      </c>
      <c r="AE327" s="12" t="str">
        <f t="shared" si="117"/>
        <v xml:space="preserve"> </v>
      </c>
      <c r="AF327" s="7" t="e">
        <f t="shared" si="132"/>
        <v>#N/A</v>
      </c>
      <c r="AG327" s="7" t="e">
        <f t="shared" si="118"/>
        <v>#N/A</v>
      </c>
      <c r="AH327" s="472" t="e">
        <f>VLOOKUP(AF327,'排出係数(2017)'!$A$4:$I$1151,6,FALSE)</f>
        <v>#N/A</v>
      </c>
      <c r="AI327" s="7" t="e">
        <f t="shared" si="119"/>
        <v>#N/A</v>
      </c>
      <c r="AJ327" s="7" t="e">
        <f t="shared" si="120"/>
        <v>#N/A</v>
      </c>
      <c r="AK327" s="472" t="e">
        <f>VLOOKUP(AF327,'排出係数(2017)'!$A$4:$I$1151,7,FALSE)</f>
        <v>#N/A</v>
      </c>
      <c r="AL327" s="7" t="e">
        <f t="shared" si="121"/>
        <v>#N/A</v>
      </c>
      <c r="AM327" s="7" t="e">
        <f t="shared" si="122"/>
        <v>#N/A</v>
      </c>
      <c r="AN327" s="7" t="e">
        <f t="shared" si="123"/>
        <v>#N/A</v>
      </c>
      <c r="AO327" s="7">
        <f t="shared" si="124"/>
        <v>0</v>
      </c>
      <c r="AP327" s="7" t="e">
        <f t="shared" si="133"/>
        <v>#N/A</v>
      </c>
      <c r="AQ327" s="7" t="str">
        <f t="shared" si="125"/>
        <v/>
      </c>
      <c r="AR327" s="7" t="str">
        <f t="shared" si="126"/>
        <v/>
      </c>
      <c r="AS327" s="7" t="str">
        <f t="shared" si="127"/>
        <v/>
      </c>
      <c r="AT327" s="97"/>
      <c r="AZ327" s="477" t="s">
        <v>1426</v>
      </c>
      <c r="CF327" s="586" t="str">
        <f t="shared" si="134"/>
        <v/>
      </c>
      <c r="CG327"/>
      <c r="CH327"/>
    </row>
    <row r="328" spans="1:86" s="13" customFormat="1" ht="13.75" customHeight="1">
      <c r="A328" s="137">
        <v>313</v>
      </c>
      <c r="B328" s="138"/>
      <c r="C328" s="139"/>
      <c r="D328" s="140"/>
      <c r="E328" s="139"/>
      <c r="F328" s="139"/>
      <c r="G328" s="191"/>
      <c r="H328" s="139"/>
      <c r="I328" s="141"/>
      <c r="J328" s="142"/>
      <c r="K328" s="139"/>
      <c r="L328" s="147"/>
      <c r="M328" s="148"/>
      <c r="N328" s="583"/>
      <c r="O328" s="229" t="str">
        <f t="shared" si="128"/>
        <v/>
      </c>
      <c r="P328" s="229" t="str">
        <f t="shared" si="129"/>
        <v/>
      </c>
      <c r="Q328" s="230" t="str">
        <f t="shared" si="130"/>
        <v/>
      </c>
      <c r="R328" s="323" t="str">
        <f t="shared" si="131"/>
        <v/>
      </c>
      <c r="S328" s="350"/>
      <c r="T328" s="43"/>
      <c r="U328" s="347" t="str">
        <f t="shared" si="108"/>
        <v/>
      </c>
      <c r="V328" s="7" t="e">
        <f t="shared" si="109"/>
        <v>#N/A</v>
      </c>
      <c r="W328" s="7" t="e">
        <f t="shared" si="110"/>
        <v>#N/A</v>
      </c>
      <c r="X328" s="7" t="e">
        <f t="shared" si="111"/>
        <v>#N/A</v>
      </c>
      <c r="Y328" s="7" t="str">
        <f t="shared" si="112"/>
        <v/>
      </c>
      <c r="Z328" s="11">
        <f t="shared" si="113"/>
        <v>1</v>
      </c>
      <c r="AA328" s="7" t="e">
        <f t="shared" si="114"/>
        <v>#N/A</v>
      </c>
      <c r="AB328" s="7" t="e">
        <f t="shared" si="115"/>
        <v>#N/A</v>
      </c>
      <c r="AC328" s="7" t="e">
        <f t="shared" si="116"/>
        <v>#N/A</v>
      </c>
      <c r="AD328" s="472" t="e">
        <f>VLOOKUP(AF328,'排出係数(2017)'!$A$4:$I$1151,9,FALSE)</f>
        <v>#N/A</v>
      </c>
      <c r="AE328" s="12" t="str">
        <f t="shared" si="117"/>
        <v xml:space="preserve"> </v>
      </c>
      <c r="AF328" s="7" t="e">
        <f t="shared" si="132"/>
        <v>#N/A</v>
      </c>
      <c r="AG328" s="7" t="e">
        <f t="shared" si="118"/>
        <v>#N/A</v>
      </c>
      <c r="AH328" s="472" t="e">
        <f>VLOOKUP(AF328,'排出係数(2017)'!$A$4:$I$1151,6,FALSE)</f>
        <v>#N/A</v>
      </c>
      <c r="AI328" s="7" t="e">
        <f t="shared" si="119"/>
        <v>#N/A</v>
      </c>
      <c r="AJ328" s="7" t="e">
        <f t="shared" si="120"/>
        <v>#N/A</v>
      </c>
      <c r="AK328" s="472" t="e">
        <f>VLOOKUP(AF328,'排出係数(2017)'!$A$4:$I$1151,7,FALSE)</f>
        <v>#N/A</v>
      </c>
      <c r="AL328" s="7" t="e">
        <f t="shared" si="121"/>
        <v>#N/A</v>
      </c>
      <c r="AM328" s="7" t="e">
        <f t="shared" si="122"/>
        <v>#N/A</v>
      </c>
      <c r="AN328" s="7" t="e">
        <f t="shared" si="123"/>
        <v>#N/A</v>
      </c>
      <c r="AO328" s="7">
        <f t="shared" si="124"/>
        <v>0</v>
      </c>
      <c r="AP328" s="7" t="e">
        <f t="shared" si="133"/>
        <v>#N/A</v>
      </c>
      <c r="AQ328" s="7" t="str">
        <f t="shared" si="125"/>
        <v/>
      </c>
      <c r="AR328" s="7" t="str">
        <f t="shared" si="126"/>
        <v/>
      </c>
      <c r="AS328" s="7" t="str">
        <f t="shared" si="127"/>
        <v/>
      </c>
      <c r="AT328" s="97"/>
      <c r="AZ328" s="477" t="s">
        <v>2531</v>
      </c>
      <c r="CF328" s="586" t="str">
        <f t="shared" si="134"/>
        <v/>
      </c>
      <c r="CG328"/>
      <c r="CH328"/>
    </row>
    <row r="329" spans="1:86" s="13" customFormat="1" ht="13.75" customHeight="1">
      <c r="A329" s="137">
        <v>314</v>
      </c>
      <c r="B329" s="138"/>
      <c r="C329" s="139"/>
      <c r="D329" s="140"/>
      <c r="E329" s="139"/>
      <c r="F329" s="139"/>
      <c r="G329" s="191"/>
      <c r="H329" s="139"/>
      <c r="I329" s="141"/>
      <c r="J329" s="142"/>
      <c r="K329" s="139"/>
      <c r="L329" s="147"/>
      <c r="M329" s="148"/>
      <c r="N329" s="583"/>
      <c r="O329" s="229" t="str">
        <f t="shared" si="128"/>
        <v/>
      </c>
      <c r="P329" s="229" t="str">
        <f t="shared" si="129"/>
        <v/>
      </c>
      <c r="Q329" s="230" t="str">
        <f t="shared" si="130"/>
        <v/>
      </c>
      <c r="R329" s="323" t="str">
        <f t="shared" si="131"/>
        <v/>
      </c>
      <c r="S329" s="350"/>
      <c r="T329" s="43"/>
      <c r="U329" s="347" t="str">
        <f t="shared" si="108"/>
        <v/>
      </c>
      <c r="V329" s="7" t="e">
        <f t="shared" si="109"/>
        <v>#N/A</v>
      </c>
      <c r="W329" s="7" t="e">
        <f t="shared" si="110"/>
        <v>#N/A</v>
      </c>
      <c r="X329" s="7" t="e">
        <f t="shared" si="111"/>
        <v>#N/A</v>
      </c>
      <c r="Y329" s="7" t="str">
        <f t="shared" si="112"/>
        <v/>
      </c>
      <c r="Z329" s="11">
        <f t="shared" si="113"/>
        <v>1</v>
      </c>
      <c r="AA329" s="7" t="e">
        <f t="shared" si="114"/>
        <v>#N/A</v>
      </c>
      <c r="AB329" s="7" t="e">
        <f t="shared" si="115"/>
        <v>#N/A</v>
      </c>
      <c r="AC329" s="7" t="e">
        <f t="shared" si="116"/>
        <v>#N/A</v>
      </c>
      <c r="AD329" s="472" t="e">
        <f>VLOOKUP(AF329,'排出係数(2017)'!$A$4:$I$1151,9,FALSE)</f>
        <v>#N/A</v>
      </c>
      <c r="AE329" s="12" t="str">
        <f t="shared" si="117"/>
        <v xml:space="preserve"> </v>
      </c>
      <c r="AF329" s="7" t="e">
        <f t="shared" si="132"/>
        <v>#N/A</v>
      </c>
      <c r="AG329" s="7" t="e">
        <f t="shared" si="118"/>
        <v>#N/A</v>
      </c>
      <c r="AH329" s="472" t="e">
        <f>VLOOKUP(AF329,'排出係数(2017)'!$A$4:$I$1151,6,FALSE)</f>
        <v>#N/A</v>
      </c>
      <c r="AI329" s="7" t="e">
        <f t="shared" si="119"/>
        <v>#N/A</v>
      </c>
      <c r="AJ329" s="7" t="e">
        <f t="shared" si="120"/>
        <v>#N/A</v>
      </c>
      <c r="AK329" s="472" t="e">
        <f>VLOOKUP(AF329,'排出係数(2017)'!$A$4:$I$1151,7,FALSE)</f>
        <v>#N/A</v>
      </c>
      <c r="AL329" s="7" t="e">
        <f t="shared" si="121"/>
        <v>#N/A</v>
      </c>
      <c r="AM329" s="7" t="e">
        <f t="shared" si="122"/>
        <v>#N/A</v>
      </c>
      <c r="AN329" s="7" t="e">
        <f t="shared" si="123"/>
        <v>#N/A</v>
      </c>
      <c r="AO329" s="7">
        <f t="shared" si="124"/>
        <v>0</v>
      </c>
      <c r="AP329" s="7" t="e">
        <f t="shared" si="133"/>
        <v>#N/A</v>
      </c>
      <c r="AQ329" s="7" t="str">
        <f t="shared" si="125"/>
        <v/>
      </c>
      <c r="AR329" s="7" t="str">
        <f t="shared" si="126"/>
        <v/>
      </c>
      <c r="AS329" s="7" t="str">
        <f t="shared" si="127"/>
        <v/>
      </c>
      <c r="AT329" s="97"/>
      <c r="AZ329" s="477" t="s">
        <v>2532</v>
      </c>
      <c r="CF329" s="586" t="str">
        <f t="shared" si="134"/>
        <v/>
      </c>
      <c r="CG329"/>
      <c r="CH329"/>
    </row>
    <row r="330" spans="1:86" s="13" customFormat="1" ht="13.75" customHeight="1">
      <c r="A330" s="137">
        <v>315</v>
      </c>
      <c r="B330" s="138"/>
      <c r="C330" s="139"/>
      <c r="D330" s="140"/>
      <c r="E330" s="139"/>
      <c r="F330" s="139"/>
      <c r="G330" s="191"/>
      <c r="H330" s="139"/>
      <c r="I330" s="141"/>
      <c r="J330" s="142"/>
      <c r="K330" s="139"/>
      <c r="L330" s="147"/>
      <c r="M330" s="148"/>
      <c r="N330" s="583"/>
      <c r="O330" s="229" t="str">
        <f t="shared" si="128"/>
        <v/>
      </c>
      <c r="P330" s="229" t="str">
        <f t="shared" si="129"/>
        <v/>
      </c>
      <c r="Q330" s="230" t="str">
        <f t="shared" si="130"/>
        <v/>
      </c>
      <c r="R330" s="323" t="str">
        <f t="shared" si="131"/>
        <v/>
      </c>
      <c r="S330" s="350"/>
      <c r="T330" s="43"/>
      <c r="U330" s="347" t="str">
        <f t="shared" si="108"/>
        <v/>
      </c>
      <c r="V330" s="7" t="e">
        <f t="shared" si="109"/>
        <v>#N/A</v>
      </c>
      <c r="W330" s="7" t="e">
        <f t="shared" si="110"/>
        <v>#N/A</v>
      </c>
      <c r="X330" s="7" t="e">
        <f t="shared" si="111"/>
        <v>#N/A</v>
      </c>
      <c r="Y330" s="7" t="str">
        <f t="shared" si="112"/>
        <v/>
      </c>
      <c r="Z330" s="11">
        <f t="shared" si="113"/>
        <v>1</v>
      </c>
      <c r="AA330" s="7" t="e">
        <f t="shared" si="114"/>
        <v>#N/A</v>
      </c>
      <c r="AB330" s="7" t="e">
        <f t="shared" si="115"/>
        <v>#N/A</v>
      </c>
      <c r="AC330" s="7" t="e">
        <f t="shared" si="116"/>
        <v>#N/A</v>
      </c>
      <c r="AD330" s="472" t="e">
        <f>VLOOKUP(AF330,'排出係数(2017)'!$A$4:$I$1151,9,FALSE)</f>
        <v>#N/A</v>
      </c>
      <c r="AE330" s="12" t="str">
        <f t="shared" si="117"/>
        <v xml:space="preserve"> </v>
      </c>
      <c r="AF330" s="7" t="e">
        <f t="shared" si="132"/>
        <v>#N/A</v>
      </c>
      <c r="AG330" s="7" t="e">
        <f t="shared" si="118"/>
        <v>#N/A</v>
      </c>
      <c r="AH330" s="472" t="e">
        <f>VLOOKUP(AF330,'排出係数(2017)'!$A$4:$I$1151,6,FALSE)</f>
        <v>#N/A</v>
      </c>
      <c r="AI330" s="7" t="e">
        <f t="shared" si="119"/>
        <v>#N/A</v>
      </c>
      <c r="AJ330" s="7" t="e">
        <f t="shared" si="120"/>
        <v>#N/A</v>
      </c>
      <c r="AK330" s="472" t="e">
        <f>VLOOKUP(AF330,'排出係数(2017)'!$A$4:$I$1151,7,FALSE)</f>
        <v>#N/A</v>
      </c>
      <c r="AL330" s="7" t="e">
        <f t="shared" si="121"/>
        <v>#N/A</v>
      </c>
      <c r="AM330" s="7" t="e">
        <f t="shared" si="122"/>
        <v>#N/A</v>
      </c>
      <c r="AN330" s="7" t="e">
        <f t="shared" si="123"/>
        <v>#N/A</v>
      </c>
      <c r="AO330" s="7">
        <f t="shared" si="124"/>
        <v>0</v>
      </c>
      <c r="AP330" s="7" t="e">
        <f t="shared" si="133"/>
        <v>#N/A</v>
      </c>
      <c r="AQ330" s="7" t="str">
        <f t="shared" si="125"/>
        <v/>
      </c>
      <c r="AR330" s="7" t="str">
        <f t="shared" si="126"/>
        <v/>
      </c>
      <c r="AS330" s="7" t="str">
        <f t="shared" si="127"/>
        <v/>
      </c>
      <c r="AT330" s="97"/>
      <c r="AZ330" s="477" t="s">
        <v>2533</v>
      </c>
      <c r="CF330" s="586" t="str">
        <f t="shared" si="134"/>
        <v/>
      </c>
      <c r="CG330"/>
      <c r="CH330"/>
    </row>
    <row r="331" spans="1:86" s="13" customFormat="1" ht="13.75" customHeight="1">
      <c r="A331" s="137">
        <v>316</v>
      </c>
      <c r="B331" s="138"/>
      <c r="C331" s="139"/>
      <c r="D331" s="140"/>
      <c r="E331" s="139"/>
      <c r="F331" s="139"/>
      <c r="G331" s="191"/>
      <c r="H331" s="139"/>
      <c r="I331" s="141"/>
      <c r="J331" s="142"/>
      <c r="K331" s="139"/>
      <c r="L331" s="147"/>
      <c r="M331" s="148"/>
      <c r="N331" s="583"/>
      <c r="O331" s="229" t="str">
        <f t="shared" si="128"/>
        <v/>
      </c>
      <c r="P331" s="229" t="str">
        <f t="shared" si="129"/>
        <v/>
      </c>
      <c r="Q331" s="230" t="str">
        <f t="shared" si="130"/>
        <v/>
      </c>
      <c r="R331" s="323" t="str">
        <f t="shared" si="131"/>
        <v/>
      </c>
      <c r="S331" s="350"/>
      <c r="T331" s="43"/>
      <c r="U331" s="347" t="str">
        <f t="shared" si="108"/>
        <v/>
      </c>
      <c r="V331" s="7" t="e">
        <f t="shared" si="109"/>
        <v>#N/A</v>
      </c>
      <c r="W331" s="7" t="e">
        <f t="shared" si="110"/>
        <v>#N/A</v>
      </c>
      <c r="X331" s="7" t="e">
        <f t="shared" si="111"/>
        <v>#N/A</v>
      </c>
      <c r="Y331" s="7" t="str">
        <f t="shared" si="112"/>
        <v/>
      </c>
      <c r="Z331" s="11">
        <f t="shared" si="113"/>
        <v>1</v>
      </c>
      <c r="AA331" s="7" t="e">
        <f t="shared" si="114"/>
        <v>#N/A</v>
      </c>
      <c r="AB331" s="7" t="e">
        <f t="shared" si="115"/>
        <v>#N/A</v>
      </c>
      <c r="AC331" s="7" t="e">
        <f t="shared" si="116"/>
        <v>#N/A</v>
      </c>
      <c r="AD331" s="472" t="e">
        <f>VLOOKUP(AF331,'排出係数(2017)'!$A$4:$I$1151,9,FALSE)</f>
        <v>#N/A</v>
      </c>
      <c r="AE331" s="12" t="str">
        <f t="shared" si="117"/>
        <v xml:space="preserve"> </v>
      </c>
      <c r="AF331" s="7" t="e">
        <f t="shared" si="132"/>
        <v>#N/A</v>
      </c>
      <c r="AG331" s="7" t="e">
        <f t="shared" si="118"/>
        <v>#N/A</v>
      </c>
      <c r="AH331" s="472" t="e">
        <f>VLOOKUP(AF331,'排出係数(2017)'!$A$4:$I$1151,6,FALSE)</f>
        <v>#N/A</v>
      </c>
      <c r="AI331" s="7" t="e">
        <f t="shared" si="119"/>
        <v>#N/A</v>
      </c>
      <c r="AJ331" s="7" t="e">
        <f t="shared" si="120"/>
        <v>#N/A</v>
      </c>
      <c r="AK331" s="472" t="e">
        <f>VLOOKUP(AF331,'排出係数(2017)'!$A$4:$I$1151,7,FALSE)</f>
        <v>#N/A</v>
      </c>
      <c r="AL331" s="7" t="e">
        <f t="shared" si="121"/>
        <v>#N/A</v>
      </c>
      <c r="AM331" s="7" t="e">
        <f t="shared" si="122"/>
        <v>#N/A</v>
      </c>
      <c r="AN331" s="7" t="e">
        <f t="shared" si="123"/>
        <v>#N/A</v>
      </c>
      <c r="AO331" s="7">
        <f t="shared" si="124"/>
        <v>0</v>
      </c>
      <c r="AP331" s="7" t="e">
        <f t="shared" si="133"/>
        <v>#N/A</v>
      </c>
      <c r="AQ331" s="7" t="str">
        <f t="shared" si="125"/>
        <v/>
      </c>
      <c r="AR331" s="7" t="str">
        <f t="shared" si="126"/>
        <v/>
      </c>
      <c r="AS331" s="7" t="str">
        <f t="shared" si="127"/>
        <v/>
      </c>
      <c r="AT331" s="97"/>
      <c r="AZ331" s="477" t="s">
        <v>1618</v>
      </c>
      <c r="CF331" s="586" t="str">
        <f t="shared" si="134"/>
        <v/>
      </c>
      <c r="CG331"/>
      <c r="CH331"/>
    </row>
    <row r="332" spans="1:86" s="13" customFormat="1" ht="13.75" customHeight="1">
      <c r="A332" s="137">
        <v>317</v>
      </c>
      <c r="B332" s="138"/>
      <c r="C332" s="139"/>
      <c r="D332" s="140"/>
      <c r="E332" s="139"/>
      <c r="F332" s="139"/>
      <c r="G332" s="191"/>
      <c r="H332" s="139"/>
      <c r="I332" s="141"/>
      <c r="J332" s="142"/>
      <c r="K332" s="139"/>
      <c r="L332" s="147"/>
      <c r="M332" s="148"/>
      <c r="N332" s="583"/>
      <c r="O332" s="229" t="str">
        <f t="shared" si="128"/>
        <v/>
      </c>
      <c r="P332" s="229" t="str">
        <f t="shared" si="129"/>
        <v/>
      </c>
      <c r="Q332" s="230" t="str">
        <f t="shared" si="130"/>
        <v/>
      </c>
      <c r="R332" s="323" t="str">
        <f t="shared" si="131"/>
        <v/>
      </c>
      <c r="S332" s="350"/>
      <c r="T332" s="43"/>
      <c r="U332" s="347" t="str">
        <f t="shared" si="108"/>
        <v/>
      </c>
      <c r="V332" s="7" t="e">
        <f t="shared" si="109"/>
        <v>#N/A</v>
      </c>
      <c r="W332" s="7" t="e">
        <f t="shared" si="110"/>
        <v>#N/A</v>
      </c>
      <c r="X332" s="7" t="e">
        <f t="shared" si="111"/>
        <v>#N/A</v>
      </c>
      <c r="Y332" s="7" t="str">
        <f t="shared" si="112"/>
        <v/>
      </c>
      <c r="Z332" s="11">
        <f t="shared" si="113"/>
        <v>1</v>
      </c>
      <c r="AA332" s="7" t="e">
        <f t="shared" si="114"/>
        <v>#N/A</v>
      </c>
      <c r="AB332" s="7" t="e">
        <f t="shared" si="115"/>
        <v>#N/A</v>
      </c>
      <c r="AC332" s="7" t="e">
        <f t="shared" si="116"/>
        <v>#N/A</v>
      </c>
      <c r="AD332" s="472" t="e">
        <f>VLOOKUP(AF332,'排出係数(2017)'!$A$4:$I$1151,9,FALSE)</f>
        <v>#N/A</v>
      </c>
      <c r="AE332" s="12" t="str">
        <f t="shared" si="117"/>
        <v xml:space="preserve"> </v>
      </c>
      <c r="AF332" s="7" t="e">
        <f t="shared" si="132"/>
        <v>#N/A</v>
      </c>
      <c r="AG332" s="7" t="e">
        <f t="shared" si="118"/>
        <v>#N/A</v>
      </c>
      <c r="AH332" s="472" t="e">
        <f>VLOOKUP(AF332,'排出係数(2017)'!$A$4:$I$1151,6,FALSE)</f>
        <v>#N/A</v>
      </c>
      <c r="AI332" s="7" t="e">
        <f t="shared" si="119"/>
        <v>#N/A</v>
      </c>
      <c r="AJ332" s="7" t="e">
        <f t="shared" si="120"/>
        <v>#N/A</v>
      </c>
      <c r="AK332" s="472" t="e">
        <f>VLOOKUP(AF332,'排出係数(2017)'!$A$4:$I$1151,7,FALSE)</f>
        <v>#N/A</v>
      </c>
      <c r="AL332" s="7" t="e">
        <f t="shared" si="121"/>
        <v>#N/A</v>
      </c>
      <c r="AM332" s="7" t="e">
        <f t="shared" si="122"/>
        <v>#N/A</v>
      </c>
      <c r="AN332" s="7" t="e">
        <f t="shared" si="123"/>
        <v>#N/A</v>
      </c>
      <c r="AO332" s="7">
        <f t="shared" si="124"/>
        <v>0</v>
      </c>
      <c r="AP332" s="7" t="e">
        <f t="shared" si="133"/>
        <v>#N/A</v>
      </c>
      <c r="AQ332" s="7" t="str">
        <f t="shared" si="125"/>
        <v/>
      </c>
      <c r="AR332" s="7" t="str">
        <f t="shared" si="126"/>
        <v/>
      </c>
      <c r="AS332" s="7" t="str">
        <f t="shared" si="127"/>
        <v/>
      </c>
      <c r="AT332" s="97"/>
      <c r="AZ332" s="477" t="s">
        <v>2534</v>
      </c>
      <c r="CF332" s="586" t="str">
        <f t="shared" si="134"/>
        <v/>
      </c>
      <c r="CG332"/>
      <c r="CH332"/>
    </row>
    <row r="333" spans="1:86" s="13" customFormat="1" ht="13.75" customHeight="1">
      <c r="A333" s="137">
        <v>318</v>
      </c>
      <c r="B333" s="138"/>
      <c r="C333" s="139"/>
      <c r="D333" s="140"/>
      <c r="E333" s="139"/>
      <c r="F333" s="139"/>
      <c r="G333" s="191"/>
      <c r="H333" s="139"/>
      <c r="I333" s="141"/>
      <c r="J333" s="142"/>
      <c r="K333" s="139"/>
      <c r="L333" s="147"/>
      <c r="M333" s="148"/>
      <c r="N333" s="583"/>
      <c r="O333" s="229" t="str">
        <f t="shared" si="128"/>
        <v/>
      </c>
      <c r="P333" s="229" t="str">
        <f t="shared" si="129"/>
        <v/>
      </c>
      <c r="Q333" s="230" t="str">
        <f t="shared" si="130"/>
        <v/>
      </c>
      <c r="R333" s="323" t="str">
        <f t="shared" si="131"/>
        <v/>
      </c>
      <c r="S333" s="350"/>
      <c r="T333" s="43"/>
      <c r="U333" s="347" t="str">
        <f t="shared" si="108"/>
        <v/>
      </c>
      <c r="V333" s="7" t="e">
        <f t="shared" si="109"/>
        <v>#N/A</v>
      </c>
      <c r="W333" s="7" t="e">
        <f t="shared" si="110"/>
        <v>#N/A</v>
      </c>
      <c r="X333" s="7" t="e">
        <f t="shared" si="111"/>
        <v>#N/A</v>
      </c>
      <c r="Y333" s="7" t="str">
        <f t="shared" si="112"/>
        <v/>
      </c>
      <c r="Z333" s="11">
        <f t="shared" si="113"/>
        <v>1</v>
      </c>
      <c r="AA333" s="7" t="e">
        <f t="shared" si="114"/>
        <v>#N/A</v>
      </c>
      <c r="AB333" s="7" t="e">
        <f t="shared" si="115"/>
        <v>#N/A</v>
      </c>
      <c r="AC333" s="7" t="e">
        <f t="shared" si="116"/>
        <v>#N/A</v>
      </c>
      <c r="AD333" s="472" t="e">
        <f>VLOOKUP(AF333,'排出係数(2017)'!$A$4:$I$1151,9,FALSE)</f>
        <v>#N/A</v>
      </c>
      <c r="AE333" s="12" t="str">
        <f t="shared" si="117"/>
        <v xml:space="preserve"> </v>
      </c>
      <c r="AF333" s="7" t="e">
        <f t="shared" si="132"/>
        <v>#N/A</v>
      </c>
      <c r="AG333" s="7" t="e">
        <f t="shared" si="118"/>
        <v>#N/A</v>
      </c>
      <c r="AH333" s="472" t="e">
        <f>VLOOKUP(AF333,'排出係数(2017)'!$A$4:$I$1151,6,FALSE)</f>
        <v>#N/A</v>
      </c>
      <c r="AI333" s="7" t="e">
        <f t="shared" si="119"/>
        <v>#N/A</v>
      </c>
      <c r="AJ333" s="7" t="e">
        <f t="shared" si="120"/>
        <v>#N/A</v>
      </c>
      <c r="AK333" s="472" t="e">
        <f>VLOOKUP(AF333,'排出係数(2017)'!$A$4:$I$1151,7,FALSE)</f>
        <v>#N/A</v>
      </c>
      <c r="AL333" s="7" t="e">
        <f t="shared" si="121"/>
        <v>#N/A</v>
      </c>
      <c r="AM333" s="7" t="e">
        <f t="shared" si="122"/>
        <v>#N/A</v>
      </c>
      <c r="AN333" s="7" t="e">
        <f t="shared" si="123"/>
        <v>#N/A</v>
      </c>
      <c r="AO333" s="7">
        <f t="shared" si="124"/>
        <v>0</v>
      </c>
      <c r="AP333" s="7" t="e">
        <f t="shared" si="133"/>
        <v>#N/A</v>
      </c>
      <c r="AQ333" s="7" t="str">
        <f t="shared" si="125"/>
        <v/>
      </c>
      <c r="AR333" s="7" t="str">
        <f t="shared" si="126"/>
        <v/>
      </c>
      <c r="AS333" s="7" t="str">
        <f t="shared" si="127"/>
        <v/>
      </c>
      <c r="AT333" s="97"/>
      <c r="AZ333" s="477" t="s">
        <v>2535</v>
      </c>
      <c r="CF333" s="586" t="str">
        <f t="shared" si="134"/>
        <v/>
      </c>
      <c r="CG333"/>
      <c r="CH333"/>
    </row>
    <row r="334" spans="1:86" s="13" customFormat="1" ht="13.75" customHeight="1">
      <c r="A334" s="137">
        <v>319</v>
      </c>
      <c r="B334" s="138"/>
      <c r="C334" s="139"/>
      <c r="D334" s="140"/>
      <c r="E334" s="139"/>
      <c r="F334" s="139"/>
      <c r="G334" s="191"/>
      <c r="H334" s="139"/>
      <c r="I334" s="141"/>
      <c r="J334" s="142"/>
      <c r="K334" s="139"/>
      <c r="L334" s="147"/>
      <c r="M334" s="148"/>
      <c r="N334" s="583"/>
      <c r="O334" s="229" t="str">
        <f t="shared" si="128"/>
        <v/>
      </c>
      <c r="P334" s="229" t="str">
        <f t="shared" si="129"/>
        <v/>
      </c>
      <c r="Q334" s="230" t="str">
        <f t="shared" si="130"/>
        <v/>
      </c>
      <c r="R334" s="323" t="str">
        <f t="shared" si="131"/>
        <v/>
      </c>
      <c r="S334" s="350"/>
      <c r="T334" s="43"/>
      <c r="U334" s="347" t="str">
        <f t="shared" si="108"/>
        <v/>
      </c>
      <c r="V334" s="7" t="e">
        <f t="shared" si="109"/>
        <v>#N/A</v>
      </c>
      <c r="W334" s="7" t="e">
        <f t="shared" si="110"/>
        <v>#N/A</v>
      </c>
      <c r="X334" s="7" t="e">
        <f t="shared" si="111"/>
        <v>#N/A</v>
      </c>
      <c r="Y334" s="7" t="str">
        <f t="shared" si="112"/>
        <v/>
      </c>
      <c r="Z334" s="11">
        <f t="shared" si="113"/>
        <v>1</v>
      </c>
      <c r="AA334" s="7" t="e">
        <f t="shared" si="114"/>
        <v>#N/A</v>
      </c>
      <c r="AB334" s="7" t="e">
        <f t="shared" si="115"/>
        <v>#N/A</v>
      </c>
      <c r="AC334" s="7" t="e">
        <f t="shared" si="116"/>
        <v>#N/A</v>
      </c>
      <c r="AD334" s="472" t="e">
        <f>VLOOKUP(AF334,'排出係数(2017)'!$A$4:$I$1151,9,FALSE)</f>
        <v>#N/A</v>
      </c>
      <c r="AE334" s="12" t="str">
        <f t="shared" si="117"/>
        <v xml:space="preserve"> </v>
      </c>
      <c r="AF334" s="7" t="e">
        <f t="shared" si="132"/>
        <v>#N/A</v>
      </c>
      <c r="AG334" s="7" t="e">
        <f t="shared" si="118"/>
        <v>#N/A</v>
      </c>
      <c r="AH334" s="472" t="e">
        <f>VLOOKUP(AF334,'排出係数(2017)'!$A$4:$I$1151,6,FALSE)</f>
        <v>#N/A</v>
      </c>
      <c r="AI334" s="7" t="e">
        <f t="shared" si="119"/>
        <v>#N/A</v>
      </c>
      <c r="AJ334" s="7" t="e">
        <f t="shared" si="120"/>
        <v>#N/A</v>
      </c>
      <c r="AK334" s="472" t="e">
        <f>VLOOKUP(AF334,'排出係数(2017)'!$A$4:$I$1151,7,FALSE)</f>
        <v>#N/A</v>
      </c>
      <c r="AL334" s="7" t="e">
        <f t="shared" si="121"/>
        <v>#N/A</v>
      </c>
      <c r="AM334" s="7" t="e">
        <f t="shared" si="122"/>
        <v>#N/A</v>
      </c>
      <c r="AN334" s="7" t="e">
        <f t="shared" si="123"/>
        <v>#N/A</v>
      </c>
      <c r="AO334" s="7">
        <f t="shared" si="124"/>
        <v>0</v>
      </c>
      <c r="AP334" s="7" t="e">
        <f t="shared" si="133"/>
        <v>#N/A</v>
      </c>
      <c r="AQ334" s="7" t="str">
        <f t="shared" si="125"/>
        <v/>
      </c>
      <c r="AR334" s="7" t="str">
        <f t="shared" si="126"/>
        <v/>
      </c>
      <c r="AS334" s="7" t="str">
        <f t="shared" si="127"/>
        <v/>
      </c>
      <c r="AT334" s="97"/>
      <c r="AZ334" s="477" t="s">
        <v>2536</v>
      </c>
      <c r="CF334" s="586" t="str">
        <f t="shared" si="134"/>
        <v/>
      </c>
      <c r="CG334"/>
      <c r="CH334"/>
    </row>
    <row r="335" spans="1:86" s="13" customFormat="1" ht="13.75" customHeight="1">
      <c r="A335" s="137">
        <v>320</v>
      </c>
      <c r="B335" s="138"/>
      <c r="C335" s="139"/>
      <c r="D335" s="140"/>
      <c r="E335" s="139"/>
      <c r="F335" s="139"/>
      <c r="G335" s="191"/>
      <c r="H335" s="139"/>
      <c r="I335" s="141"/>
      <c r="J335" s="142"/>
      <c r="K335" s="139"/>
      <c r="L335" s="147"/>
      <c r="M335" s="148"/>
      <c r="N335" s="583"/>
      <c r="O335" s="229" t="str">
        <f t="shared" si="128"/>
        <v/>
      </c>
      <c r="P335" s="229" t="str">
        <f t="shared" si="129"/>
        <v/>
      </c>
      <c r="Q335" s="230" t="str">
        <f t="shared" si="130"/>
        <v/>
      </c>
      <c r="R335" s="323" t="str">
        <f t="shared" si="131"/>
        <v/>
      </c>
      <c r="S335" s="350"/>
      <c r="T335" s="43"/>
      <c r="U335" s="347" t="str">
        <f t="shared" si="108"/>
        <v/>
      </c>
      <c r="V335" s="7" t="e">
        <f t="shared" si="109"/>
        <v>#N/A</v>
      </c>
      <c r="W335" s="7" t="e">
        <f t="shared" si="110"/>
        <v>#N/A</v>
      </c>
      <c r="X335" s="7" t="e">
        <f t="shared" si="111"/>
        <v>#N/A</v>
      </c>
      <c r="Y335" s="7" t="str">
        <f t="shared" si="112"/>
        <v/>
      </c>
      <c r="Z335" s="11">
        <f t="shared" si="113"/>
        <v>1</v>
      </c>
      <c r="AA335" s="7" t="e">
        <f t="shared" si="114"/>
        <v>#N/A</v>
      </c>
      <c r="AB335" s="7" t="e">
        <f t="shared" si="115"/>
        <v>#N/A</v>
      </c>
      <c r="AC335" s="7" t="e">
        <f t="shared" si="116"/>
        <v>#N/A</v>
      </c>
      <c r="AD335" s="472" t="e">
        <f>VLOOKUP(AF335,'排出係数(2017)'!$A$4:$I$1151,9,FALSE)</f>
        <v>#N/A</v>
      </c>
      <c r="AE335" s="12" t="str">
        <f t="shared" si="117"/>
        <v xml:space="preserve"> </v>
      </c>
      <c r="AF335" s="7" t="e">
        <f t="shared" si="132"/>
        <v>#N/A</v>
      </c>
      <c r="AG335" s="7" t="e">
        <f t="shared" si="118"/>
        <v>#N/A</v>
      </c>
      <c r="AH335" s="472" t="e">
        <f>VLOOKUP(AF335,'排出係数(2017)'!$A$4:$I$1151,6,FALSE)</f>
        <v>#N/A</v>
      </c>
      <c r="AI335" s="7" t="e">
        <f t="shared" si="119"/>
        <v>#N/A</v>
      </c>
      <c r="AJ335" s="7" t="e">
        <f t="shared" si="120"/>
        <v>#N/A</v>
      </c>
      <c r="AK335" s="472" t="e">
        <f>VLOOKUP(AF335,'排出係数(2017)'!$A$4:$I$1151,7,FALSE)</f>
        <v>#N/A</v>
      </c>
      <c r="AL335" s="7" t="e">
        <f t="shared" si="121"/>
        <v>#N/A</v>
      </c>
      <c r="AM335" s="7" t="e">
        <f t="shared" si="122"/>
        <v>#N/A</v>
      </c>
      <c r="AN335" s="7" t="e">
        <f t="shared" si="123"/>
        <v>#N/A</v>
      </c>
      <c r="AO335" s="7">
        <f t="shared" si="124"/>
        <v>0</v>
      </c>
      <c r="AP335" s="7" t="e">
        <f t="shared" si="133"/>
        <v>#N/A</v>
      </c>
      <c r="AQ335" s="7" t="str">
        <f t="shared" si="125"/>
        <v/>
      </c>
      <c r="AR335" s="7" t="str">
        <f t="shared" si="126"/>
        <v/>
      </c>
      <c r="AS335" s="7" t="str">
        <f t="shared" si="127"/>
        <v/>
      </c>
      <c r="AT335" s="97"/>
      <c r="AZ335" s="477" t="s">
        <v>1075</v>
      </c>
      <c r="CF335" s="586" t="str">
        <f t="shared" si="134"/>
        <v/>
      </c>
      <c r="CG335"/>
      <c r="CH335"/>
    </row>
    <row r="336" spans="1:86" s="13" customFormat="1" ht="13.75" customHeight="1">
      <c r="A336" s="137">
        <v>321</v>
      </c>
      <c r="B336" s="138"/>
      <c r="C336" s="139"/>
      <c r="D336" s="140"/>
      <c r="E336" s="139"/>
      <c r="F336" s="139"/>
      <c r="G336" s="191"/>
      <c r="H336" s="139"/>
      <c r="I336" s="141"/>
      <c r="J336" s="142"/>
      <c r="K336" s="139"/>
      <c r="L336" s="147"/>
      <c r="M336" s="148"/>
      <c r="N336" s="583"/>
      <c r="O336" s="229" t="str">
        <f t="shared" si="128"/>
        <v/>
      </c>
      <c r="P336" s="229" t="str">
        <f t="shared" si="129"/>
        <v/>
      </c>
      <c r="Q336" s="230" t="str">
        <f t="shared" si="130"/>
        <v/>
      </c>
      <c r="R336" s="323" t="str">
        <f t="shared" si="131"/>
        <v/>
      </c>
      <c r="S336" s="350"/>
      <c r="T336" s="43"/>
      <c r="U336" s="347" t="str">
        <f t="shared" ref="U336:U399" si="135">IF(ISBLANK(H336)=TRUE,"",IF(OR(ISBLANK(B336)=TRUE),1,""))</f>
        <v/>
      </c>
      <c r="V336" s="7" t="e">
        <f t="shared" ref="V336:V399" si="136">VLOOKUP(H336,$AU$17:$AX$23,2,FALSE)</f>
        <v>#N/A</v>
      </c>
      <c r="W336" s="7" t="e">
        <f t="shared" ref="W336:W399" si="137">VLOOKUP(H336,$AU$17:$AX$23,3,FALSE)</f>
        <v>#N/A</v>
      </c>
      <c r="X336" s="7" t="e">
        <f t="shared" ref="X336:X399" si="138">VLOOKUP(H336,$AU$17:$AX$23,4,FALSE)</f>
        <v>#N/A</v>
      </c>
      <c r="Y336" s="7" t="str">
        <f t="shared" ref="Y336:Y399" si="139">IF(ISERROR(SEARCH("-",I336,1))=TRUE,ASC(UPPER(I336)),ASC(UPPER(LEFT(I336,SEARCH("-",I336,1)-1))))</f>
        <v/>
      </c>
      <c r="Z336" s="11">
        <f t="shared" ref="Z336:Z399" si="140">IF(J336&gt;3500,J336/1000,1)</f>
        <v>1</v>
      </c>
      <c r="AA336" s="7" t="e">
        <f t="shared" ref="AA336:AA399" si="141">IF(X336=9,0,IF(J336&lt;=1700,1,IF(J336&lt;=2500,2,IF(J336&lt;=3500,3,4))))</f>
        <v>#N/A</v>
      </c>
      <c r="AB336" s="7" t="e">
        <f t="shared" ref="AB336:AB399" si="142">IF(X336=5,0,IF(X336=9,0,IF(J336&lt;=1700,1,IF(J336&lt;=2500,2,IF(J336&lt;=3500,3,4)))))</f>
        <v>#N/A</v>
      </c>
      <c r="AC336" s="7" t="e">
        <f t="shared" ref="AC336:AC399" si="143">VLOOKUP(K336,$BC$17:$BD$25,2,FALSE)</f>
        <v>#N/A</v>
      </c>
      <c r="AD336" s="472" t="e">
        <f>VLOOKUP(AF336,'排出係数(2017)'!$A$4:$I$1151,9,FALSE)</f>
        <v>#N/A</v>
      </c>
      <c r="AE336" s="12" t="str">
        <f t="shared" ref="AE336:AE399" si="144">IF(OR(ISBLANK(K336)=TRUE,ISBLANK(B336)=TRUE)," ",CONCATENATE(B336,X336,AA336))</f>
        <v xml:space="preserve"> </v>
      </c>
      <c r="AF336" s="7" t="e">
        <f t="shared" si="132"/>
        <v>#N/A</v>
      </c>
      <c r="AG336" s="7" t="e">
        <f t="shared" ref="AG336:AG399" si="145">IF(AND(L336="あり",AC336="軽"),AI336,AH336)</f>
        <v>#N/A</v>
      </c>
      <c r="AH336" s="472" t="e">
        <f>VLOOKUP(AF336,'排出係数(2017)'!$A$4:$I$1151,6,FALSE)</f>
        <v>#N/A</v>
      </c>
      <c r="AI336" s="7" t="e">
        <f t="shared" ref="AI336:AI399" si="146">VLOOKUP(AB336,$BQ$17:$BU$21,2,FALSE)</f>
        <v>#N/A</v>
      </c>
      <c r="AJ336" s="7" t="e">
        <f t="shared" ref="AJ336:AJ399" si="147">IF(AND(L336="あり",M336="なし",AC336="軽"),AL336,IF(AND(L336="あり",M336="あり(H17なし)",AC336="軽"),AL336,IF(AND(L336="あり",M336="",AC336="軽"),AL336,IF(AND(L336="なし",M336="あり(H17なし)",AC336="軽"),AM336,IF(AND(L336="",M336="あり(H17なし)",AC336="軽"),AM336,IF(AND(M336="あり(H17あり)",AC336="軽"),AN336,AK336))))))</f>
        <v>#N/A</v>
      </c>
      <c r="AK336" s="472" t="e">
        <f>VLOOKUP(AF336,'排出係数(2017)'!$A$4:$I$1151,7,FALSE)</f>
        <v>#N/A</v>
      </c>
      <c r="AL336" s="7" t="e">
        <f t="shared" ref="AL336:AL399" si="148">VLOOKUP(AB336,$BQ$17:$BU$21,3,FALSE)</f>
        <v>#N/A</v>
      </c>
      <c r="AM336" s="7" t="e">
        <f t="shared" ref="AM336:AM399" si="149">VLOOKUP(AB336,$BQ$17:$BU$21,4,FALSE)</f>
        <v>#N/A</v>
      </c>
      <c r="AN336" s="7" t="e">
        <f t="shared" ref="AN336:AN399" si="150">VLOOKUP(AB336,$BQ$17:$BU$21,5,FALSE)</f>
        <v>#N/A</v>
      </c>
      <c r="AO336" s="7">
        <f t="shared" ref="AO336:AO399" si="151">IF(AND(L336="なし",M336="なし"),0,IF(AND(L336="",M336=""),0,IF(AND(L336="",M336="なし"),0,IF(AND(L336="なし",M336=""),0,1))))</f>
        <v>0</v>
      </c>
      <c r="AP336" s="7" t="e">
        <f t="shared" si="133"/>
        <v>#N/A</v>
      </c>
      <c r="AQ336" s="7" t="str">
        <f t="shared" ref="AQ336:AQ399" si="152">IF(H336="","",VLOOKUP(H336,$AU$17:$AY$25,5,FALSE))</f>
        <v/>
      </c>
      <c r="AR336" s="7" t="str">
        <f t="shared" ref="AR336:AR399" si="153">IF(D336="","",VLOOKUP(CONCATENATE("A",LEFT(D336)),$BN$17:$BO$26,2,FALSE))</f>
        <v/>
      </c>
      <c r="AS336" s="7" t="str">
        <f t="shared" ref="AS336:AS399" si="154">IF(AQ336=AR336,"",1)</f>
        <v/>
      </c>
      <c r="AT336" s="97"/>
      <c r="AZ336" s="477" t="s">
        <v>1067</v>
      </c>
      <c r="CF336" s="586" t="str">
        <f t="shared" si="134"/>
        <v/>
      </c>
      <c r="CG336"/>
      <c r="CH336"/>
    </row>
    <row r="337" spans="1:86" s="13" customFormat="1" ht="13.75" customHeight="1">
      <c r="A337" s="137">
        <v>322</v>
      </c>
      <c r="B337" s="138"/>
      <c r="C337" s="139"/>
      <c r="D337" s="140"/>
      <c r="E337" s="139"/>
      <c r="F337" s="139"/>
      <c r="G337" s="191"/>
      <c r="H337" s="139"/>
      <c r="I337" s="141"/>
      <c r="J337" s="142"/>
      <c r="K337" s="139"/>
      <c r="L337" s="147"/>
      <c r="M337" s="148"/>
      <c r="N337" s="583"/>
      <c r="O337" s="229" t="str">
        <f t="shared" ref="O337:O400" si="155">IF(ISBLANK(K337)=TRUE,"",IF(ISNUMBER(AG337)=TRUE,AG337,"0"))</f>
        <v/>
      </c>
      <c r="P337" s="229" t="str">
        <f t="shared" ref="P337:P400" si="156">IF(ISBLANK($K337)=TRUE,"",IF(ISNUMBER(AJ337)=TRUE,AJ337,"0"))</f>
        <v/>
      </c>
      <c r="Q337" s="230" t="str">
        <f t="shared" ref="Q337:Q400" si="157">IF(O337="","",IF(ISERROR(O337*N337*Z337),"0",IF(ISBLANK(O337)=TRUE,"0",IF(ISBLANK(N337)=TRUE,"0",IF(AS337=1,"0",O337*N337*Z337/1000)))))</f>
        <v/>
      </c>
      <c r="R337" s="323" t="str">
        <f t="shared" ref="R337:R400" si="158">IF(P337="","",IF(ISERROR(P337*N337*Z337),"0",IF(ISBLANK(P337)=TRUE,"0",IF(ISBLANK(N337)=TRUE,"0",IF(AS337=1,"0",P337*N337*Z337/1000)))))</f>
        <v/>
      </c>
      <c r="S337" s="350"/>
      <c r="T337" s="43"/>
      <c r="U337" s="347" t="str">
        <f t="shared" si="135"/>
        <v/>
      </c>
      <c r="V337" s="7" t="e">
        <f t="shared" si="136"/>
        <v>#N/A</v>
      </c>
      <c r="W337" s="7" t="e">
        <f t="shared" si="137"/>
        <v>#N/A</v>
      </c>
      <c r="X337" s="7" t="e">
        <f t="shared" si="138"/>
        <v>#N/A</v>
      </c>
      <c r="Y337" s="7" t="str">
        <f t="shared" si="139"/>
        <v/>
      </c>
      <c r="Z337" s="11">
        <f t="shared" si="140"/>
        <v>1</v>
      </c>
      <c r="AA337" s="7" t="e">
        <f t="shared" si="141"/>
        <v>#N/A</v>
      </c>
      <c r="AB337" s="7" t="e">
        <f t="shared" si="142"/>
        <v>#N/A</v>
      </c>
      <c r="AC337" s="7" t="e">
        <f t="shared" si="143"/>
        <v>#N/A</v>
      </c>
      <c r="AD337" s="472" t="e">
        <f>VLOOKUP(AF337,'排出係数(2017)'!$A$4:$I$1151,9,FALSE)</f>
        <v>#N/A</v>
      </c>
      <c r="AE337" s="12" t="str">
        <f t="shared" si="144"/>
        <v xml:space="preserve"> </v>
      </c>
      <c r="AF337" s="7" t="e">
        <f t="shared" ref="AF337:AF400" si="159">CONCATENATE(V337,AB337,AC337,Y337)</f>
        <v>#N/A</v>
      </c>
      <c r="AG337" s="7" t="e">
        <f t="shared" si="145"/>
        <v>#N/A</v>
      </c>
      <c r="AH337" s="472" t="e">
        <f>VLOOKUP(AF337,'排出係数(2017)'!$A$4:$I$1151,6,FALSE)</f>
        <v>#N/A</v>
      </c>
      <c r="AI337" s="7" t="e">
        <f t="shared" si="146"/>
        <v>#N/A</v>
      </c>
      <c r="AJ337" s="7" t="e">
        <f t="shared" si="147"/>
        <v>#N/A</v>
      </c>
      <c r="AK337" s="472" t="e">
        <f>VLOOKUP(AF337,'排出係数(2017)'!$A$4:$I$1151,7,FALSE)</f>
        <v>#N/A</v>
      </c>
      <c r="AL337" s="7" t="e">
        <f t="shared" si="148"/>
        <v>#N/A</v>
      </c>
      <c r="AM337" s="7" t="e">
        <f t="shared" si="149"/>
        <v>#N/A</v>
      </c>
      <c r="AN337" s="7" t="e">
        <f t="shared" si="150"/>
        <v>#N/A</v>
      </c>
      <c r="AO337" s="7">
        <f t="shared" si="151"/>
        <v>0</v>
      </c>
      <c r="AP337" s="7" t="e">
        <f t="shared" ref="AP337:AP400" si="160">VLOOKUP(AF337,排出係数表,8,FALSE)</f>
        <v>#N/A</v>
      </c>
      <c r="AQ337" s="7" t="str">
        <f t="shared" si="152"/>
        <v/>
      </c>
      <c r="AR337" s="7" t="str">
        <f t="shared" si="153"/>
        <v/>
      </c>
      <c r="AS337" s="7" t="str">
        <f t="shared" si="154"/>
        <v/>
      </c>
      <c r="AT337" s="97"/>
      <c r="AZ337" s="477" t="s">
        <v>1077</v>
      </c>
      <c r="CF337" s="586" t="str">
        <f t="shared" ref="CF337:CF400" si="161">IF(COUNTA(B337:F337,H337:K337)&gt;0,IF(OR(ISNUMBER(AH337)=FALSE,ISNUMBER(AK337)=FALSE,COUNTA(B337:F337,H337:K337)&lt;9),"×","〇"),"")</f>
        <v/>
      </c>
      <c r="CG337"/>
      <c r="CH337"/>
    </row>
    <row r="338" spans="1:86" s="13" customFormat="1" ht="13.75" customHeight="1">
      <c r="A338" s="137">
        <v>323</v>
      </c>
      <c r="B338" s="138"/>
      <c r="C338" s="139"/>
      <c r="D338" s="140"/>
      <c r="E338" s="139"/>
      <c r="F338" s="139"/>
      <c r="G338" s="191"/>
      <c r="H338" s="139"/>
      <c r="I338" s="141"/>
      <c r="J338" s="142"/>
      <c r="K338" s="139"/>
      <c r="L338" s="147"/>
      <c r="M338" s="148"/>
      <c r="N338" s="583"/>
      <c r="O338" s="229" t="str">
        <f t="shared" si="155"/>
        <v/>
      </c>
      <c r="P338" s="229" t="str">
        <f t="shared" si="156"/>
        <v/>
      </c>
      <c r="Q338" s="230" t="str">
        <f t="shared" si="157"/>
        <v/>
      </c>
      <c r="R338" s="323" t="str">
        <f t="shared" si="158"/>
        <v/>
      </c>
      <c r="S338" s="350"/>
      <c r="T338" s="43"/>
      <c r="U338" s="347" t="str">
        <f t="shared" si="135"/>
        <v/>
      </c>
      <c r="V338" s="7" t="e">
        <f t="shared" si="136"/>
        <v>#N/A</v>
      </c>
      <c r="W338" s="7" t="e">
        <f t="shared" si="137"/>
        <v>#N/A</v>
      </c>
      <c r="X338" s="7" t="e">
        <f t="shared" si="138"/>
        <v>#N/A</v>
      </c>
      <c r="Y338" s="7" t="str">
        <f t="shared" si="139"/>
        <v/>
      </c>
      <c r="Z338" s="11">
        <f t="shared" si="140"/>
        <v>1</v>
      </c>
      <c r="AA338" s="7" t="e">
        <f t="shared" si="141"/>
        <v>#N/A</v>
      </c>
      <c r="AB338" s="7" t="e">
        <f t="shared" si="142"/>
        <v>#N/A</v>
      </c>
      <c r="AC338" s="7" t="e">
        <f t="shared" si="143"/>
        <v>#N/A</v>
      </c>
      <c r="AD338" s="472" t="e">
        <f>VLOOKUP(AF338,'排出係数(2017)'!$A$4:$I$1151,9,FALSE)</f>
        <v>#N/A</v>
      </c>
      <c r="AE338" s="12" t="str">
        <f t="shared" si="144"/>
        <v xml:space="preserve"> </v>
      </c>
      <c r="AF338" s="7" t="e">
        <f t="shared" si="159"/>
        <v>#N/A</v>
      </c>
      <c r="AG338" s="7" t="e">
        <f t="shared" si="145"/>
        <v>#N/A</v>
      </c>
      <c r="AH338" s="472" t="e">
        <f>VLOOKUP(AF338,'排出係数(2017)'!$A$4:$I$1151,6,FALSE)</f>
        <v>#N/A</v>
      </c>
      <c r="AI338" s="7" t="e">
        <f t="shared" si="146"/>
        <v>#N/A</v>
      </c>
      <c r="AJ338" s="7" t="e">
        <f t="shared" si="147"/>
        <v>#N/A</v>
      </c>
      <c r="AK338" s="472" t="e">
        <f>VLOOKUP(AF338,'排出係数(2017)'!$A$4:$I$1151,7,FALSE)</f>
        <v>#N/A</v>
      </c>
      <c r="AL338" s="7" t="e">
        <f t="shared" si="148"/>
        <v>#N/A</v>
      </c>
      <c r="AM338" s="7" t="e">
        <f t="shared" si="149"/>
        <v>#N/A</v>
      </c>
      <c r="AN338" s="7" t="e">
        <f t="shared" si="150"/>
        <v>#N/A</v>
      </c>
      <c r="AO338" s="7">
        <f t="shared" si="151"/>
        <v>0</v>
      </c>
      <c r="AP338" s="7" t="e">
        <f t="shared" si="160"/>
        <v>#N/A</v>
      </c>
      <c r="AQ338" s="7" t="str">
        <f t="shared" si="152"/>
        <v/>
      </c>
      <c r="AR338" s="7" t="str">
        <f t="shared" si="153"/>
        <v/>
      </c>
      <c r="AS338" s="7" t="str">
        <f t="shared" si="154"/>
        <v/>
      </c>
      <c r="AT338" s="97"/>
      <c r="AZ338" s="477" t="s">
        <v>1069</v>
      </c>
      <c r="CF338" s="586" t="str">
        <f t="shared" si="161"/>
        <v/>
      </c>
      <c r="CG338"/>
      <c r="CH338"/>
    </row>
    <row r="339" spans="1:86" s="13" customFormat="1" ht="13.75" customHeight="1">
      <c r="A339" s="137">
        <v>324</v>
      </c>
      <c r="B339" s="138"/>
      <c r="C339" s="139"/>
      <c r="D339" s="140"/>
      <c r="E339" s="139"/>
      <c r="F339" s="139"/>
      <c r="G339" s="191"/>
      <c r="H339" s="139"/>
      <c r="I339" s="141"/>
      <c r="J339" s="142"/>
      <c r="K339" s="139"/>
      <c r="L339" s="147"/>
      <c r="M339" s="148"/>
      <c r="N339" s="583"/>
      <c r="O339" s="229" t="str">
        <f t="shared" si="155"/>
        <v/>
      </c>
      <c r="P339" s="229" t="str">
        <f t="shared" si="156"/>
        <v/>
      </c>
      <c r="Q339" s="230" t="str">
        <f t="shared" si="157"/>
        <v/>
      </c>
      <c r="R339" s="323" t="str">
        <f t="shared" si="158"/>
        <v/>
      </c>
      <c r="S339" s="350"/>
      <c r="T339" s="43"/>
      <c r="U339" s="347" t="str">
        <f t="shared" si="135"/>
        <v/>
      </c>
      <c r="V339" s="7" t="e">
        <f t="shared" si="136"/>
        <v>#N/A</v>
      </c>
      <c r="W339" s="7" t="e">
        <f t="shared" si="137"/>
        <v>#N/A</v>
      </c>
      <c r="X339" s="7" t="e">
        <f t="shared" si="138"/>
        <v>#N/A</v>
      </c>
      <c r="Y339" s="7" t="str">
        <f t="shared" si="139"/>
        <v/>
      </c>
      <c r="Z339" s="11">
        <f t="shared" si="140"/>
        <v>1</v>
      </c>
      <c r="AA339" s="7" t="e">
        <f t="shared" si="141"/>
        <v>#N/A</v>
      </c>
      <c r="AB339" s="7" t="e">
        <f t="shared" si="142"/>
        <v>#N/A</v>
      </c>
      <c r="AC339" s="7" t="e">
        <f t="shared" si="143"/>
        <v>#N/A</v>
      </c>
      <c r="AD339" s="472" t="e">
        <f>VLOOKUP(AF339,'排出係数(2017)'!$A$4:$I$1151,9,FALSE)</f>
        <v>#N/A</v>
      </c>
      <c r="AE339" s="12" t="str">
        <f t="shared" si="144"/>
        <v xml:space="preserve"> </v>
      </c>
      <c r="AF339" s="7" t="e">
        <f t="shared" si="159"/>
        <v>#N/A</v>
      </c>
      <c r="AG339" s="7" t="e">
        <f t="shared" si="145"/>
        <v>#N/A</v>
      </c>
      <c r="AH339" s="472" t="e">
        <f>VLOOKUP(AF339,'排出係数(2017)'!$A$4:$I$1151,6,FALSE)</f>
        <v>#N/A</v>
      </c>
      <c r="AI339" s="7" t="e">
        <f t="shared" si="146"/>
        <v>#N/A</v>
      </c>
      <c r="AJ339" s="7" t="e">
        <f t="shared" si="147"/>
        <v>#N/A</v>
      </c>
      <c r="AK339" s="472" t="e">
        <f>VLOOKUP(AF339,'排出係数(2017)'!$A$4:$I$1151,7,FALSE)</f>
        <v>#N/A</v>
      </c>
      <c r="AL339" s="7" t="e">
        <f t="shared" si="148"/>
        <v>#N/A</v>
      </c>
      <c r="AM339" s="7" t="e">
        <f t="shared" si="149"/>
        <v>#N/A</v>
      </c>
      <c r="AN339" s="7" t="e">
        <f t="shared" si="150"/>
        <v>#N/A</v>
      </c>
      <c r="AO339" s="7">
        <f t="shared" si="151"/>
        <v>0</v>
      </c>
      <c r="AP339" s="7" t="e">
        <f t="shared" si="160"/>
        <v>#N/A</v>
      </c>
      <c r="AQ339" s="7" t="str">
        <f t="shared" si="152"/>
        <v/>
      </c>
      <c r="AR339" s="7" t="str">
        <f t="shared" si="153"/>
        <v/>
      </c>
      <c r="AS339" s="7" t="str">
        <f t="shared" si="154"/>
        <v/>
      </c>
      <c r="AT339" s="97"/>
      <c r="AZ339" s="477" t="s">
        <v>136</v>
      </c>
      <c r="CF339" s="586" t="str">
        <f t="shared" si="161"/>
        <v/>
      </c>
      <c r="CG339"/>
      <c r="CH339"/>
    </row>
    <row r="340" spans="1:86" s="13" customFormat="1" ht="13.75" customHeight="1">
      <c r="A340" s="137">
        <v>325</v>
      </c>
      <c r="B340" s="138"/>
      <c r="C340" s="139"/>
      <c r="D340" s="140"/>
      <c r="E340" s="139"/>
      <c r="F340" s="139"/>
      <c r="G340" s="191"/>
      <c r="H340" s="139"/>
      <c r="I340" s="141"/>
      <c r="J340" s="142"/>
      <c r="K340" s="139"/>
      <c r="L340" s="147"/>
      <c r="M340" s="148"/>
      <c r="N340" s="583"/>
      <c r="O340" s="229" t="str">
        <f t="shared" si="155"/>
        <v/>
      </c>
      <c r="P340" s="229" t="str">
        <f t="shared" si="156"/>
        <v/>
      </c>
      <c r="Q340" s="230" t="str">
        <f t="shared" si="157"/>
        <v/>
      </c>
      <c r="R340" s="323" t="str">
        <f t="shared" si="158"/>
        <v/>
      </c>
      <c r="S340" s="350"/>
      <c r="T340" s="43"/>
      <c r="U340" s="347" t="str">
        <f t="shared" si="135"/>
        <v/>
      </c>
      <c r="V340" s="7" t="e">
        <f t="shared" si="136"/>
        <v>#N/A</v>
      </c>
      <c r="W340" s="7" t="e">
        <f t="shared" si="137"/>
        <v>#N/A</v>
      </c>
      <c r="X340" s="7" t="e">
        <f t="shared" si="138"/>
        <v>#N/A</v>
      </c>
      <c r="Y340" s="7" t="str">
        <f t="shared" si="139"/>
        <v/>
      </c>
      <c r="Z340" s="11">
        <f t="shared" si="140"/>
        <v>1</v>
      </c>
      <c r="AA340" s="7" t="e">
        <f t="shared" si="141"/>
        <v>#N/A</v>
      </c>
      <c r="AB340" s="7" t="e">
        <f t="shared" si="142"/>
        <v>#N/A</v>
      </c>
      <c r="AC340" s="7" t="e">
        <f t="shared" si="143"/>
        <v>#N/A</v>
      </c>
      <c r="AD340" s="472" t="e">
        <f>VLOOKUP(AF340,'排出係数(2017)'!$A$4:$I$1151,9,FALSE)</f>
        <v>#N/A</v>
      </c>
      <c r="AE340" s="12" t="str">
        <f t="shared" si="144"/>
        <v xml:space="preserve"> </v>
      </c>
      <c r="AF340" s="7" t="e">
        <f t="shared" si="159"/>
        <v>#N/A</v>
      </c>
      <c r="AG340" s="7" t="e">
        <f t="shared" si="145"/>
        <v>#N/A</v>
      </c>
      <c r="AH340" s="472" t="e">
        <f>VLOOKUP(AF340,'排出係数(2017)'!$A$4:$I$1151,6,FALSE)</f>
        <v>#N/A</v>
      </c>
      <c r="AI340" s="7" t="e">
        <f t="shared" si="146"/>
        <v>#N/A</v>
      </c>
      <c r="AJ340" s="7" t="e">
        <f t="shared" si="147"/>
        <v>#N/A</v>
      </c>
      <c r="AK340" s="472" t="e">
        <f>VLOOKUP(AF340,'排出係数(2017)'!$A$4:$I$1151,7,FALSE)</f>
        <v>#N/A</v>
      </c>
      <c r="AL340" s="7" t="e">
        <f t="shared" si="148"/>
        <v>#N/A</v>
      </c>
      <c r="AM340" s="7" t="e">
        <f t="shared" si="149"/>
        <v>#N/A</v>
      </c>
      <c r="AN340" s="7" t="e">
        <f t="shared" si="150"/>
        <v>#N/A</v>
      </c>
      <c r="AO340" s="7">
        <f t="shared" si="151"/>
        <v>0</v>
      </c>
      <c r="AP340" s="7" t="e">
        <f t="shared" si="160"/>
        <v>#N/A</v>
      </c>
      <c r="AQ340" s="7" t="str">
        <f t="shared" si="152"/>
        <v/>
      </c>
      <c r="AR340" s="7" t="str">
        <f t="shared" si="153"/>
        <v/>
      </c>
      <c r="AS340" s="7" t="str">
        <f t="shared" si="154"/>
        <v/>
      </c>
      <c r="AT340" s="97"/>
      <c r="AZ340" s="477" t="s">
        <v>391</v>
      </c>
      <c r="CF340" s="586" t="str">
        <f t="shared" si="161"/>
        <v/>
      </c>
      <c r="CG340"/>
      <c r="CH340"/>
    </row>
    <row r="341" spans="1:86" s="13" customFormat="1" ht="13.75" customHeight="1">
      <c r="A341" s="137">
        <v>326</v>
      </c>
      <c r="B341" s="138"/>
      <c r="C341" s="139"/>
      <c r="D341" s="140"/>
      <c r="E341" s="139"/>
      <c r="F341" s="139"/>
      <c r="G341" s="191"/>
      <c r="H341" s="139"/>
      <c r="I341" s="141"/>
      <c r="J341" s="142"/>
      <c r="K341" s="139"/>
      <c r="L341" s="147"/>
      <c r="M341" s="148"/>
      <c r="N341" s="583"/>
      <c r="O341" s="229" t="str">
        <f t="shared" si="155"/>
        <v/>
      </c>
      <c r="P341" s="229" t="str">
        <f t="shared" si="156"/>
        <v/>
      </c>
      <c r="Q341" s="230" t="str">
        <f t="shared" si="157"/>
        <v/>
      </c>
      <c r="R341" s="323" t="str">
        <f t="shared" si="158"/>
        <v/>
      </c>
      <c r="S341" s="350"/>
      <c r="T341" s="43"/>
      <c r="U341" s="347" t="str">
        <f t="shared" si="135"/>
        <v/>
      </c>
      <c r="V341" s="7" t="e">
        <f t="shared" si="136"/>
        <v>#N/A</v>
      </c>
      <c r="W341" s="7" t="e">
        <f t="shared" si="137"/>
        <v>#N/A</v>
      </c>
      <c r="X341" s="7" t="e">
        <f t="shared" si="138"/>
        <v>#N/A</v>
      </c>
      <c r="Y341" s="7" t="str">
        <f t="shared" si="139"/>
        <v/>
      </c>
      <c r="Z341" s="11">
        <f t="shared" si="140"/>
        <v>1</v>
      </c>
      <c r="AA341" s="7" t="e">
        <f t="shared" si="141"/>
        <v>#N/A</v>
      </c>
      <c r="AB341" s="7" t="e">
        <f t="shared" si="142"/>
        <v>#N/A</v>
      </c>
      <c r="AC341" s="7" t="e">
        <f t="shared" si="143"/>
        <v>#N/A</v>
      </c>
      <c r="AD341" s="472" t="e">
        <f>VLOOKUP(AF341,'排出係数(2017)'!$A$4:$I$1151,9,FALSE)</f>
        <v>#N/A</v>
      </c>
      <c r="AE341" s="12" t="str">
        <f t="shared" si="144"/>
        <v xml:space="preserve"> </v>
      </c>
      <c r="AF341" s="7" t="e">
        <f t="shared" si="159"/>
        <v>#N/A</v>
      </c>
      <c r="AG341" s="7" t="e">
        <f t="shared" si="145"/>
        <v>#N/A</v>
      </c>
      <c r="AH341" s="472" t="e">
        <f>VLOOKUP(AF341,'排出係数(2017)'!$A$4:$I$1151,6,FALSE)</f>
        <v>#N/A</v>
      </c>
      <c r="AI341" s="7" t="e">
        <f t="shared" si="146"/>
        <v>#N/A</v>
      </c>
      <c r="AJ341" s="7" t="e">
        <f t="shared" si="147"/>
        <v>#N/A</v>
      </c>
      <c r="AK341" s="472" t="e">
        <f>VLOOKUP(AF341,'排出係数(2017)'!$A$4:$I$1151,7,FALSE)</f>
        <v>#N/A</v>
      </c>
      <c r="AL341" s="7" t="e">
        <f t="shared" si="148"/>
        <v>#N/A</v>
      </c>
      <c r="AM341" s="7" t="e">
        <f t="shared" si="149"/>
        <v>#N/A</v>
      </c>
      <c r="AN341" s="7" t="e">
        <f t="shared" si="150"/>
        <v>#N/A</v>
      </c>
      <c r="AO341" s="7">
        <f t="shared" si="151"/>
        <v>0</v>
      </c>
      <c r="AP341" s="7" t="e">
        <f t="shared" si="160"/>
        <v>#N/A</v>
      </c>
      <c r="AQ341" s="7" t="str">
        <f t="shared" si="152"/>
        <v/>
      </c>
      <c r="AR341" s="7" t="str">
        <f t="shared" si="153"/>
        <v/>
      </c>
      <c r="AS341" s="7" t="str">
        <f t="shared" si="154"/>
        <v/>
      </c>
      <c r="AT341" s="97"/>
      <c r="AZ341" s="477" t="s">
        <v>393</v>
      </c>
      <c r="CF341" s="586" t="str">
        <f t="shared" si="161"/>
        <v/>
      </c>
      <c r="CG341"/>
      <c r="CH341"/>
    </row>
    <row r="342" spans="1:86" s="13" customFormat="1" ht="13.75" customHeight="1">
      <c r="A342" s="137">
        <v>327</v>
      </c>
      <c r="B342" s="138"/>
      <c r="C342" s="139"/>
      <c r="D342" s="140"/>
      <c r="E342" s="139"/>
      <c r="F342" s="139"/>
      <c r="G342" s="191"/>
      <c r="H342" s="139"/>
      <c r="I342" s="141"/>
      <c r="J342" s="142"/>
      <c r="K342" s="139"/>
      <c r="L342" s="147"/>
      <c r="M342" s="148"/>
      <c r="N342" s="583"/>
      <c r="O342" s="229" t="str">
        <f t="shared" si="155"/>
        <v/>
      </c>
      <c r="P342" s="229" t="str">
        <f t="shared" si="156"/>
        <v/>
      </c>
      <c r="Q342" s="230" t="str">
        <f t="shared" si="157"/>
        <v/>
      </c>
      <c r="R342" s="323" t="str">
        <f t="shared" si="158"/>
        <v/>
      </c>
      <c r="S342" s="350"/>
      <c r="T342" s="43"/>
      <c r="U342" s="347" t="str">
        <f t="shared" si="135"/>
        <v/>
      </c>
      <c r="V342" s="7" t="e">
        <f t="shared" si="136"/>
        <v>#N/A</v>
      </c>
      <c r="W342" s="7" t="e">
        <f t="shared" si="137"/>
        <v>#N/A</v>
      </c>
      <c r="X342" s="7" t="e">
        <f t="shared" si="138"/>
        <v>#N/A</v>
      </c>
      <c r="Y342" s="7" t="str">
        <f t="shared" si="139"/>
        <v/>
      </c>
      <c r="Z342" s="11">
        <f t="shared" si="140"/>
        <v>1</v>
      </c>
      <c r="AA342" s="7" t="e">
        <f t="shared" si="141"/>
        <v>#N/A</v>
      </c>
      <c r="AB342" s="7" t="e">
        <f t="shared" si="142"/>
        <v>#N/A</v>
      </c>
      <c r="AC342" s="7" t="e">
        <f t="shared" si="143"/>
        <v>#N/A</v>
      </c>
      <c r="AD342" s="472" t="e">
        <f>VLOOKUP(AF342,'排出係数(2017)'!$A$4:$I$1151,9,FALSE)</f>
        <v>#N/A</v>
      </c>
      <c r="AE342" s="12" t="str">
        <f t="shared" si="144"/>
        <v xml:space="preserve"> </v>
      </c>
      <c r="AF342" s="7" t="e">
        <f t="shared" si="159"/>
        <v>#N/A</v>
      </c>
      <c r="AG342" s="7" t="e">
        <f t="shared" si="145"/>
        <v>#N/A</v>
      </c>
      <c r="AH342" s="472" t="e">
        <f>VLOOKUP(AF342,'排出係数(2017)'!$A$4:$I$1151,6,FALSE)</f>
        <v>#N/A</v>
      </c>
      <c r="AI342" s="7" t="e">
        <f t="shared" si="146"/>
        <v>#N/A</v>
      </c>
      <c r="AJ342" s="7" t="e">
        <f t="shared" si="147"/>
        <v>#N/A</v>
      </c>
      <c r="AK342" s="472" t="e">
        <f>VLOOKUP(AF342,'排出係数(2017)'!$A$4:$I$1151,7,FALSE)</f>
        <v>#N/A</v>
      </c>
      <c r="AL342" s="7" t="e">
        <f t="shared" si="148"/>
        <v>#N/A</v>
      </c>
      <c r="AM342" s="7" t="e">
        <f t="shared" si="149"/>
        <v>#N/A</v>
      </c>
      <c r="AN342" s="7" t="e">
        <f t="shared" si="150"/>
        <v>#N/A</v>
      </c>
      <c r="AO342" s="7">
        <f t="shared" si="151"/>
        <v>0</v>
      </c>
      <c r="AP342" s="7" t="e">
        <f t="shared" si="160"/>
        <v>#N/A</v>
      </c>
      <c r="AQ342" s="7" t="str">
        <f t="shared" si="152"/>
        <v/>
      </c>
      <c r="AR342" s="7" t="str">
        <f t="shared" si="153"/>
        <v/>
      </c>
      <c r="AS342" s="7" t="str">
        <f t="shared" si="154"/>
        <v/>
      </c>
      <c r="AT342" s="97"/>
      <c r="AZ342" s="477" t="s">
        <v>1031</v>
      </c>
      <c r="CF342" s="586" t="str">
        <f t="shared" si="161"/>
        <v/>
      </c>
      <c r="CG342"/>
      <c r="CH342"/>
    </row>
    <row r="343" spans="1:86" s="13" customFormat="1" ht="13.75" customHeight="1">
      <c r="A343" s="137">
        <v>328</v>
      </c>
      <c r="B343" s="138"/>
      <c r="C343" s="139"/>
      <c r="D343" s="140"/>
      <c r="E343" s="139"/>
      <c r="F343" s="139"/>
      <c r="G343" s="191"/>
      <c r="H343" s="139"/>
      <c r="I343" s="141"/>
      <c r="J343" s="142"/>
      <c r="K343" s="139"/>
      <c r="L343" s="147"/>
      <c r="M343" s="148"/>
      <c r="N343" s="583"/>
      <c r="O343" s="229" t="str">
        <f t="shared" si="155"/>
        <v/>
      </c>
      <c r="P343" s="229" t="str">
        <f t="shared" si="156"/>
        <v/>
      </c>
      <c r="Q343" s="230" t="str">
        <f t="shared" si="157"/>
        <v/>
      </c>
      <c r="R343" s="323" t="str">
        <f t="shared" si="158"/>
        <v/>
      </c>
      <c r="S343" s="350"/>
      <c r="T343" s="43"/>
      <c r="U343" s="347" t="str">
        <f t="shared" si="135"/>
        <v/>
      </c>
      <c r="V343" s="7" t="e">
        <f t="shared" si="136"/>
        <v>#N/A</v>
      </c>
      <c r="W343" s="7" t="e">
        <f t="shared" si="137"/>
        <v>#N/A</v>
      </c>
      <c r="X343" s="7" t="e">
        <f t="shared" si="138"/>
        <v>#N/A</v>
      </c>
      <c r="Y343" s="7" t="str">
        <f t="shared" si="139"/>
        <v/>
      </c>
      <c r="Z343" s="11">
        <f t="shared" si="140"/>
        <v>1</v>
      </c>
      <c r="AA343" s="7" t="e">
        <f t="shared" si="141"/>
        <v>#N/A</v>
      </c>
      <c r="AB343" s="7" t="e">
        <f t="shared" si="142"/>
        <v>#N/A</v>
      </c>
      <c r="AC343" s="7" t="e">
        <f t="shared" si="143"/>
        <v>#N/A</v>
      </c>
      <c r="AD343" s="472" t="e">
        <f>VLOOKUP(AF343,'排出係数(2017)'!$A$4:$I$1151,9,FALSE)</f>
        <v>#N/A</v>
      </c>
      <c r="AE343" s="12" t="str">
        <f t="shared" si="144"/>
        <v xml:space="preserve"> </v>
      </c>
      <c r="AF343" s="7" t="e">
        <f t="shared" si="159"/>
        <v>#N/A</v>
      </c>
      <c r="AG343" s="7" t="e">
        <f t="shared" si="145"/>
        <v>#N/A</v>
      </c>
      <c r="AH343" s="472" t="e">
        <f>VLOOKUP(AF343,'排出係数(2017)'!$A$4:$I$1151,6,FALSE)</f>
        <v>#N/A</v>
      </c>
      <c r="AI343" s="7" t="e">
        <f t="shared" si="146"/>
        <v>#N/A</v>
      </c>
      <c r="AJ343" s="7" t="e">
        <f t="shared" si="147"/>
        <v>#N/A</v>
      </c>
      <c r="AK343" s="472" t="e">
        <f>VLOOKUP(AF343,'排出係数(2017)'!$A$4:$I$1151,7,FALSE)</f>
        <v>#N/A</v>
      </c>
      <c r="AL343" s="7" t="e">
        <f t="shared" si="148"/>
        <v>#N/A</v>
      </c>
      <c r="AM343" s="7" t="e">
        <f t="shared" si="149"/>
        <v>#N/A</v>
      </c>
      <c r="AN343" s="7" t="e">
        <f t="shared" si="150"/>
        <v>#N/A</v>
      </c>
      <c r="AO343" s="7">
        <f t="shared" si="151"/>
        <v>0</v>
      </c>
      <c r="AP343" s="7" t="e">
        <f t="shared" si="160"/>
        <v>#N/A</v>
      </c>
      <c r="AQ343" s="7" t="str">
        <f t="shared" si="152"/>
        <v/>
      </c>
      <c r="AR343" s="7" t="str">
        <f t="shared" si="153"/>
        <v/>
      </c>
      <c r="AS343" s="7" t="str">
        <f t="shared" si="154"/>
        <v/>
      </c>
      <c r="AT343" s="97"/>
      <c r="AZ343" s="477" t="s">
        <v>1035</v>
      </c>
      <c r="CF343" s="586" t="str">
        <f t="shared" si="161"/>
        <v/>
      </c>
      <c r="CG343"/>
      <c r="CH343"/>
    </row>
    <row r="344" spans="1:86" s="13" customFormat="1" ht="13.75" customHeight="1">
      <c r="A344" s="137">
        <v>329</v>
      </c>
      <c r="B344" s="138"/>
      <c r="C344" s="139"/>
      <c r="D344" s="140"/>
      <c r="E344" s="139"/>
      <c r="F344" s="139"/>
      <c r="G344" s="191"/>
      <c r="H344" s="139"/>
      <c r="I344" s="141"/>
      <c r="J344" s="142"/>
      <c r="K344" s="139"/>
      <c r="L344" s="147"/>
      <c r="M344" s="148"/>
      <c r="N344" s="583"/>
      <c r="O344" s="229" t="str">
        <f t="shared" si="155"/>
        <v/>
      </c>
      <c r="P344" s="229" t="str">
        <f t="shared" si="156"/>
        <v/>
      </c>
      <c r="Q344" s="230" t="str">
        <f t="shared" si="157"/>
        <v/>
      </c>
      <c r="R344" s="323" t="str">
        <f t="shared" si="158"/>
        <v/>
      </c>
      <c r="S344" s="350"/>
      <c r="T344" s="43"/>
      <c r="U344" s="347" t="str">
        <f t="shared" si="135"/>
        <v/>
      </c>
      <c r="V344" s="7" t="e">
        <f t="shared" si="136"/>
        <v>#N/A</v>
      </c>
      <c r="W344" s="7" t="e">
        <f t="shared" si="137"/>
        <v>#N/A</v>
      </c>
      <c r="X344" s="7" t="e">
        <f t="shared" si="138"/>
        <v>#N/A</v>
      </c>
      <c r="Y344" s="7" t="str">
        <f t="shared" si="139"/>
        <v/>
      </c>
      <c r="Z344" s="11">
        <f t="shared" si="140"/>
        <v>1</v>
      </c>
      <c r="AA344" s="7" t="e">
        <f t="shared" si="141"/>
        <v>#N/A</v>
      </c>
      <c r="AB344" s="7" t="e">
        <f t="shared" si="142"/>
        <v>#N/A</v>
      </c>
      <c r="AC344" s="7" t="e">
        <f t="shared" si="143"/>
        <v>#N/A</v>
      </c>
      <c r="AD344" s="472" t="e">
        <f>VLOOKUP(AF344,'排出係数(2017)'!$A$4:$I$1151,9,FALSE)</f>
        <v>#N/A</v>
      </c>
      <c r="AE344" s="12" t="str">
        <f t="shared" si="144"/>
        <v xml:space="preserve"> </v>
      </c>
      <c r="AF344" s="7" t="e">
        <f t="shared" si="159"/>
        <v>#N/A</v>
      </c>
      <c r="AG344" s="7" t="e">
        <f t="shared" si="145"/>
        <v>#N/A</v>
      </c>
      <c r="AH344" s="472" t="e">
        <f>VLOOKUP(AF344,'排出係数(2017)'!$A$4:$I$1151,6,FALSE)</f>
        <v>#N/A</v>
      </c>
      <c r="AI344" s="7" t="e">
        <f t="shared" si="146"/>
        <v>#N/A</v>
      </c>
      <c r="AJ344" s="7" t="e">
        <f t="shared" si="147"/>
        <v>#N/A</v>
      </c>
      <c r="AK344" s="472" t="e">
        <f>VLOOKUP(AF344,'排出係数(2017)'!$A$4:$I$1151,7,FALSE)</f>
        <v>#N/A</v>
      </c>
      <c r="AL344" s="7" t="e">
        <f t="shared" si="148"/>
        <v>#N/A</v>
      </c>
      <c r="AM344" s="7" t="e">
        <f t="shared" si="149"/>
        <v>#N/A</v>
      </c>
      <c r="AN344" s="7" t="e">
        <f t="shared" si="150"/>
        <v>#N/A</v>
      </c>
      <c r="AO344" s="7">
        <f t="shared" si="151"/>
        <v>0</v>
      </c>
      <c r="AP344" s="7" t="e">
        <f t="shared" si="160"/>
        <v>#N/A</v>
      </c>
      <c r="AQ344" s="7" t="str">
        <f t="shared" si="152"/>
        <v/>
      </c>
      <c r="AR344" s="7" t="str">
        <f t="shared" si="153"/>
        <v/>
      </c>
      <c r="AS344" s="7" t="str">
        <f t="shared" si="154"/>
        <v/>
      </c>
      <c r="AT344" s="97"/>
      <c r="AZ344" s="477" t="s">
        <v>1231</v>
      </c>
      <c r="CF344" s="586" t="str">
        <f t="shared" si="161"/>
        <v/>
      </c>
      <c r="CG344"/>
      <c r="CH344"/>
    </row>
    <row r="345" spans="1:86" s="13" customFormat="1" ht="13.75" customHeight="1">
      <c r="A345" s="137">
        <v>330</v>
      </c>
      <c r="B345" s="138"/>
      <c r="C345" s="139"/>
      <c r="D345" s="140"/>
      <c r="E345" s="139"/>
      <c r="F345" s="139"/>
      <c r="G345" s="191"/>
      <c r="H345" s="139"/>
      <c r="I345" s="141"/>
      <c r="J345" s="142"/>
      <c r="K345" s="139"/>
      <c r="L345" s="147"/>
      <c r="M345" s="148"/>
      <c r="N345" s="583"/>
      <c r="O345" s="229" t="str">
        <f t="shared" si="155"/>
        <v/>
      </c>
      <c r="P345" s="229" t="str">
        <f t="shared" si="156"/>
        <v/>
      </c>
      <c r="Q345" s="230" t="str">
        <f t="shared" si="157"/>
        <v/>
      </c>
      <c r="R345" s="323" t="str">
        <f t="shared" si="158"/>
        <v/>
      </c>
      <c r="S345" s="350"/>
      <c r="T345" s="43"/>
      <c r="U345" s="347" t="str">
        <f t="shared" si="135"/>
        <v/>
      </c>
      <c r="V345" s="7" t="e">
        <f t="shared" si="136"/>
        <v>#N/A</v>
      </c>
      <c r="W345" s="7" t="e">
        <f t="shared" si="137"/>
        <v>#N/A</v>
      </c>
      <c r="X345" s="7" t="e">
        <f t="shared" si="138"/>
        <v>#N/A</v>
      </c>
      <c r="Y345" s="7" t="str">
        <f t="shared" si="139"/>
        <v/>
      </c>
      <c r="Z345" s="11">
        <f t="shared" si="140"/>
        <v>1</v>
      </c>
      <c r="AA345" s="7" t="e">
        <f t="shared" si="141"/>
        <v>#N/A</v>
      </c>
      <c r="AB345" s="7" t="e">
        <f t="shared" si="142"/>
        <v>#N/A</v>
      </c>
      <c r="AC345" s="7" t="e">
        <f t="shared" si="143"/>
        <v>#N/A</v>
      </c>
      <c r="AD345" s="472" t="e">
        <f>VLOOKUP(AF345,'排出係数(2017)'!$A$4:$I$1151,9,FALSE)</f>
        <v>#N/A</v>
      </c>
      <c r="AE345" s="12" t="str">
        <f t="shared" si="144"/>
        <v xml:space="preserve"> </v>
      </c>
      <c r="AF345" s="7" t="e">
        <f t="shared" si="159"/>
        <v>#N/A</v>
      </c>
      <c r="AG345" s="7" t="e">
        <f t="shared" si="145"/>
        <v>#N/A</v>
      </c>
      <c r="AH345" s="472" t="e">
        <f>VLOOKUP(AF345,'排出係数(2017)'!$A$4:$I$1151,6,FALSE)</f>
        <v>#N/A</v>
      </c>
      <c r="AI345" s="7" t="e">
        <f t="shared" si="146"/>
        <v>#N/A</v>
      </c>
      <c r="AJ345" s="7" t="e">
        <f t="shared" si="147"/>
        <v>#N/A</v>
      </c>
      <c r="AK345" s="472" t="e">
        <f>VLOOKUP(AF345,'排出係数(2017)'!$A$4:$I$1151,7,FALSE)</f>
        <v>#N/A</v>
      </c>
      <c r="AL345" s="7" t="e">
        <f t="shared" si="148"/>
        <v>#N/A</v>
      </c>
      <c r="AM345" s="7" t="e">
        <f t="shared" si="149"/>
        <v>#N/A</v>
      </c>
      <c r="AN345" s="7" t="e">
        <f t="shared" si="150"/>
        <v>#N/A</v>
      </c>
      <c r="AO345" s="7">
        <f t="shared" si="151"/>
        <v>0</v>
      </c>
      <c r="AP345" s="7" t="e">
        <f t="shared" si="160"/>
        <v>#N/A</v>
      </c>
      <c r="AQ345" s="7" t="str">
        <f t="shared" si="152"/>
        <v/>
      </c>
      <c r="AR345" s="7" t="str">
        <f t="shared" si="153"/>
        <v/>
      </c>
      <c r="AS345" s="7" t="str">
        <f t="shared" si="154"/>
        <v/>
      </c>
      <c r="AT345" s="97"/>
      <c r="AZ345" s="477" t="s">
        <v>1233</v>
      </c>
      <c r="CF345" s="586" t="str">
        <f t="shared" si="161"/>
        <v/>
      </c>
      <c r="CG345"/>
      <c r="CH345"/>
    </row>
    <row r="346" spans="1:86" s="13" customFormat="1" ht="13.75" customHeight="1">
      <c r="A346" s="137">
        <v>331</v>
      </c>
      <c r="B346" s="138"/>
      <c r="C346" s="139"/>
      <c r="D346" s="140"/>
      <c r="E346" s="139"/>
      <c r="F346" s="139"/>
      <c r="G346" s="191"/>
      <c r="H346" s="139"/>
      <c r="I346" s="141"/>
      <c r="J346" s="142"/>
      <c r="K346" s="139"/>
      <c r="L346" s="147"/>
      <c r="M346" s="148"/>
      <c r="N346" s="583"/>
      <c r="O346" s="229" t="str">
        <f t="shared" si="155"/>
        <v/>
      </c>
      <c r="P346" s="229" t="str">
        <f t="shared" si="156"/>
        <v/>
      </c>
      <c r="Q346" s="230" t="str">
        <f t="shared" si="157"/>
        <v/>
      </c>
      <c r="R346" s="323" t="str">
        <f t="shared" si="158"/>
        <v/>
      </c>
      <c r="S346" s="350"/>
      <c r="T346" s="43"/>
      <c r="U346" s="347" t="str">
        <f t="shared" si="135"/>
        <v/>
      </c>
      <c r="V346" s="7" t="e">
        <f t="shared" si="136"/>
        <v>#N/A</v>
      </c>
      <c r="W346" s="7" t="e">
        <f t="shared" si="137"/>
        <v>#N/A</v>
      </c>
      <c r="X346" s="7" t="e">
        <f t="shared" si="138"/>
        <v>#N/A</v>
      </c>
      <c r="Y346" s="7" t="str">
        <f t="shared" si="139"/>
        <v/>
      </c>
      <c r="Z346" s="11">
        <f t="shared" si="140"/>
        <v>1</v>
      </c>
      <c r="AA346" s="7" t="e">
        <f t="shared" si="141"/>
        <v>#N/A</v>
      </c>
      <c r="AB346" s="7" t="e">
        <f t="shared" si="142"/>
        <v>#N/A</v>
      </c>
      <c r="AC346" s="7" t="e">
        <f t="shared" si="143"/>
        <v>#N/A</v>
      </c>
      <c r="AD346" s="472" t="e">
        <f>VLOOKUP(AF346,'排出係数(2017)'!$A$4:$I$1151,9,FALSE)</f>
        <v>#N/A</v>
      </c>
      <c r="AE346" s="12" t="str">
        <f t="shared" si="144"/>
        <v xml:space="preserve"> </v>
      </c>
      <c r="AF346" s="7" t="e">
        <f t="shared" si="159"/>
        <v>#N/A</v>
      </c>
      <c r="AG346" s="7" t="e">
        <f t="shared" si="145"/>
        <v>#N/A</v>
      </c>
      <c r="AH346" s="472" t="e">
        <f>VLOOKUP(AF346,'排出係数(2017)'!$A$4:$I$1151,6,FALSE)</f>
        <v>#N/A</v>
      </c>
      <c r="AI346" s="7" t="e">
        <f t="shared" si="146"/>
        <v>#N/A</v>
      </c>
      <c r="AJ346" s="7" t="e">
        <f t="shared" si="147"/>
        <v>#N/A</v>
      </c>
      <c r="AK346" s="472" t="e">
        <f>VLOOKUP(AF346,'排出係数(2017)'!$A$4:$I$1151,7,FALSE)</f>
        <v>#N/A</v>
      </c>
      <c r="AL346" s="7" t="e">
        <f t="shared" si="148"/>
        <v>#N/A</v>
      </c>
      <c r="AM346" s="7" t="e">
        <f t="shared" si="149"/>
        <v>#N/A</v>
      </c>
      <c r="AN346" s="7" t="e">
        <f t="shared" si="150"/>
        <v>#N/A</v>
      </c>
      <c r="AO346" s="7">
        <f t="shared" si="151"/>
        <v>0</v>
      </c>
      <c r="AP346" s="7" t="e">
        <f t="shared" si="160"/>
        <v>#N/A</v>
      </c>
      <c r="AQ346" s="7" t="str">
        <f t="shared" si="152"/>
        <v/>
      </c>
      <c r="AR346" s="7" t="str">
        <f t="shared" si="153"/>
        <v/>
      </c>
      <c r="AS346" s="7" t="str">
        <f t="shared" si="154"/>
        <v/>
      </c>
      <c r="AT346" s="97"/>
      <c r="AZ346" s="477" t="s">
        <v>1033</v>
      </c>
      <c r="CF346" s="586" t="str">
        <f t="shared" si="161"/>
        <v/>
      </c>
      <c r="CG346"/>
      <c r="CH346"/>
    </row>
    <row r="347" spans="1:86" s="13" customFormat="1" ht="13.75" customHeight="1">
      <c r="A347" s="137">
        <v>332</v>
      </c>
      <c r="B347" s="138"/>
      <c r="C347" s="139"/>
      <c r="D347" s="140"/>
      <c r="E347" s="139"/>
      <c r="F347" s="139"/>
      <c r="G347" s="191"/>
      <c r="H347" s="139"/>
      <c r="I347" s="141"/>
      <c r="J347" s="142"/>
      <c r="K347" s="139"/>
      <c r="L347" s="147"/>
      <c r="M347" s="148"/>
      <c r="N347" s="583"/>
      <c r="O347" s="229" t="str">
        <f t="shared" si="155"/>
        <v/>
      </c>
      <c r="P347" s="229" t="str">
        <f t="shared" si="156"/>
        <v/>
      </c>
      <c r="Q347" s="230" t="str">
        <f t="shared" si="157"/>
        <v/>
      </c>
      <c r="R347" s="323" t="str">
        <f t="shared" si="158"/>
        <v/>
      </c>
      <c r="S347" s="350"/>
      <c r="T347" s="43"/>
      <c r="U347" s="347" t="str">
        <f t="shared" si="135"/>
        <v/>
      </c>
      <c r="V347" s="7" t="e">
        <f t="shared" si="136"/>
        <v>#N/A</v>
      </c>
      <c r="W347" s="7" t="e">
        <f t="shared" si="137"/>
        <v>#N/A</v>
      </c>
      <c r="X347" s="7" t="e">
        <f t="shared" si="138"/>
        <v>#N/A</v>
      </c>
      <c r="Y347" s="7" t="str">
        <f t="shared" si="139"/>
        <v/>
      </c>
      <c r="Z347" s="11">
        <f t="shared" si="140"/>
        <v>1</v>
      </c>
      <c r="AA347" s="7" t="e">
        <f t="shared" si="141"/>
        <v>#N/A</v>
      </c>
      <c r="AB347" s="7" t="e">
        <f t="shared" si="142"/>
        <v>#N/A</v>
      </c>
      <c r="AC347" s="7" t="e">
        <f t="shared" si="143"/>
        <v>#N/A</v>
      </c>
      <c r="AD347" s="472" t="e">
        <f>VLOOKUP(AF347,'排出係数(2017)'!$A$4:$I$1151,9,FALSE)</f>
        <v>#N/A</v>
      </c>
      <c r="AE347" s="12" t="str">
        <f t="shared" si="144"/>
        <v xml:space="preserve"> </v>
      </c>
      <c r="AF347" s="7" t="e">
        <f t="shared" si="159"/>
        <v>#N/A</v>
      </c>
      <c r="AG347" s="7" t="e">
        <f t="shared" si="145"/>
        <v>#N/A</v>
      </c>
      <c r="AH347" s="472" t="e">
        <f>VLOOKUP(AF347,'排出係数(2017)'!$A$4:$I$1151,6,FALSE)</f>
        <v>#N/A</v>
      </c>
      <c r="AI347" s="7" t="e">
        <f t="shared" si="146"/>
        <v>#N/A</v>
      </c>
      <c r="AJ347" s="7" t="e">
        <f t="shared" si="147"/>
        <v>#N/A</v>
      </c>
      <c r="AK347" s="472" t="e">
        <f>VLOOKUP(AF347,'排出係数(2017)'!$A$4:$I$1151,7,FALSE)</f>
        <v>#N/A</v>
      </c>
      <c r="AL347" s="7" t="e">
        <f t="shared" si="148"/>
        <v>#N/A</v>
      </c>
      <c r="AM347" s="7" t="e">
        <f t="shared" si="149"/>
        <v>#N/A</v>
      </c>
      <c r="AN347" s="7" t="e">
        <f t="shared" si="150"/>
        <v>#N/A</v>
      </c>
      <c r="AO347" s="7">
        <f t="shared" si="151"/>
        <v>0</v>
      </c>
      <c r="AP347" s="7" t="e">
        <f t="shared" si="160"/>
        <v>#N/A</v>
      </c>
      <c r="AQ347" s="7" t="str">
        <f t="shared" si="152"/>
        <v/>
      </c>
      <c r="AR347" s="7" t="str">
        <f t="shared" si="153"/>
        <v/>
      </c>
      <c r="AS347" s="7" t="str">
        <f t="shared" si="154"/>
        <v/>
      </c>
      <c r="AT347" s="97"/>
      <c r="AZ347" s="477" t="s">
        <v>1037</v>
      </c>
      <c r="CF347" s="586" t="str">
        <f t="shared" si="161"/>
        <v/>
      </c>
      <c r="CG347"/>
      <c r="CH347"/>
    </row>
    <row r="348" spans="1:86" s="13" customFormat="1" ht="13.75" customHeight="1">
      <c r="A348" s="137">
        <v>333</v>
      </c>
      <c r="B348" s="138"/>
      <c r="C348" s="139"/>
      <c r="D348" s="140"/>
      <c r="E348" s="139"/>
      <c r="F348" s="139"/>
      <c r="G348" s="191"/>
      <c r="H348" s="139"/>
      <c r="I348" s="141"/>
      <c r="J348" s="142"/>
      <c r="K348" s="139"/>
      <c r="L348" s="147"/>
      <c r="M348" s="148"/>
      <c r="N348" s="583"/>
      <c r="O348" s="229" t="str">
        <f t="shared" si="155"/>
        <v/>
      </c>
      <c r="P348" s="229" t="str">
        <f t="shared" si="156"/>
        <v/>
      </c>
      <c r="Q348" s="230" t="str">
        <f t="shared" si="157"/>
        <v/>
      </c>
      <c r="R348" s="323" t="str">
        <f t="shared" si="158"/>
        <v/>
      </c>
      <c r="S348" s="350"/>
      <c r="T348" s="43"/>
      <c r="U348" s="347" t="str">
        <f t="shared" si="135"/>
        <v/>
      </c>
      <c r="V348" s="7" t="e">
        <f t="shared" si="136"/>
        <v>#N/A</v>
      </c>
      <c r="W348" s="7" t="e">
        <f t="shared" si="137"/>
        <v>#N/A</v>
      </c>
      <c r="X348" s="7" t="e">
        <f t="shared" si="138"/>
        <v>#N/A</v>
      </c>
      <c r="Y348" s="7" t="str">
        <f t="shared" si="139"/>
        <v/>
      </c>
      <c r="Z348" s="11">
        <f t="shared" si="140"/>
        <v>1</v>
      </c>
      <c r="AA348" s="7" t="e">
        <f t="shared" si="141"/>
        <v>#N/A</v>
      </c>
      <c r="AB348" s="7" t="e">
        <f t="shared" si="142"/>
        <v>#N/A</v>
      </c>
      <c r="AC348" s="7" t="e">
        <f t="shared" si="143"/>
        <v>#N/A</v>
      </c>
      <c r="AD348" s="472" t="e">
        <f>VLOOKUP(AF348,'排出係数(2017)'!$A$4:$I$1151,9,FALSE)</f>
        <v>#N/A</v>
      </c>
      <c r="AE348" s="12" t="str">
        <f t="shared" si="144"/>
        <v xml:space="preserve"> </v>
      </c>
      <c r="AF348" s="7" t="e">
        <f t="shared" si="159"/>
        <v>#N/A</v>
      </c>
      <c r="AG348" s="7" t="e">
        <f t="shared" si="145"/>
        <v>#N/A</v>
      </c>
      <c r="AH348" s="472" t="e">
        <f>VLOOKUP(AF348,'排出係数(2017)'!$A$4:$I$1151,6,FALSE)</f>
        <v>#N/A</v>
      </c>
      <c r="AI348" s="7" t="e">
        <f t="shared" si="146"/>
        <v>#N/A</v>
      </c>
      <c r="AJ348" s="7" t="e">
        <f t="shared" si="147"/>
        <v>#N/A</v>
      </c>
      <c r="AK348" s="472" t="e">
        <f>VLOOKUP(AF348,'排出係数(2017)'!$A$4:$I$1151,7,FALSE)</f>
        <v>#N/A</v>
      </c>
      <c r="AL348" s="7" t="e">
        <f t="shared" si="148"/>
        <v>#N/A</v>
      </c>
      <c r="AM348" s="7" t="e">
        <f t="shared" si="149"/>
        <v>#N/A</v>
      </c>
      <c r="AN348" s="7" t="e">
        <f t="shared" si="150"/>
        <v>#N/A</v>
      </c>
      <c r="AO348" s="7">
        <f t="shared" si="151"/>
        <v>0</v>
      </c>
      <c r="AP348" s="7" t="e">
        <f t="shared" si="160"/>
        <v>#N/A</v>
      </c>
      <c r="AQ348" s="7" t="str">
        <f t="shared" si="152"/>
        <v/>
      </c>
      <c r="AR348" s="7" t="str">
        <f t="shared" si="153"/>
        <v/>
      </c>
      <c r="AS348" s="7" t="str">
        <f t="shared" si="154"/>
        <v/>
      </c>
      <c r="AT348" s="97"/>
      <c r="AZ348" s="477" t="s">
        <v>2537</v>
      </c>
      <c r="CF348" s="586" t="str">
        <f t="shared" si="161"/>
        <v/>
      </c>
      <c r="CG348"/>
      <c r="CH348"/>
    </row>
    <row r="349" spans="1:86" s="13" customFormat="1" ht="13.75" customHeight="1">
      <c r="A349" s="137">
        <v>334</v>
      </c>
      <c r="B349" s="138"/>
      <c r="C349" s="139"/>
      <c r="D349" s="140"/>
      <c r="E349" s="139"/>
      <c r="F349" s="139"/>
      <c r="G349" s="191"/>
      <c r="H349" s="139"/>
      <c r="I349" s="141"/>
      <c r="J349" s="142"/>
      <c r="K349" s="139"/>
      <c r="L349" s="147"/>
      <c r="M349" s="148"/>
      <c r="N349" s="583"/>
      <c r="O349" s="229" t="str">
        <f t="shared" si="155"/>
        <v/>
      </c>
      <c r="P349" s="229" t="str">
        <f t="shared" si="156"/>
        <v/>
      </c>
      <c r="Q349" s="230" t="str">
        <f t="shared" si="157"/>
        <v/>
      </c>
      <c r="R349" s="323" t="str">
        <f t="shared" si="158"/>
        <v/>
      </c>
      <c r="S349" s="350"/>
      <c r="T349" s="43"/>
      <c r="U349" s="347" t="str">
        <f t="shared" si="135"/>
        <v/>
      </c>
      <c r="V349" s="7" t="e">
        <f t="shared" si="136"/>
        <v>#N/A</v>
      </c>
      <c r="W349" s="7" t="e">
        <f t="shared" si="137"/>
        <v>#N/A</v>
      </c>
      <c r="X349" s="7" t="e">
        <f t="shared" si="138"/>
        <v>#N/A</v>
      </c>
      <c r="Y349" s="7" t="str">
        <f t="shared" si="139"/>
        <v/>
      </c>
      <c r="Z349" s="11">
        <f t="shared" si="140"/>
        <v>1</v>
      </c>
      <c r="AA349" s="7" t="e">
        <f t="shared" si="141"/>
        <v>#N/A</v>
      </c>
      <c r="AB349" s="7" t="e">
        <f t="shared" si="142"/>
        <v>#N/A</v>
      </c>
      <c r="AC349" s="7" t="e">
        <f t="shared" si="143"/>
        <v>#N/A</v>
      </c>
      <c r="AD349" s="472" t="e">
        <f>VLOOKUP(AF349,'排出係数(2017)'!$A$4:$I$1151,9,FALSE)</f>
        <v>#N/A</v>
      </c>
      <c r="AE349" s="12" t="str">
        <f t="shared" si="144"/>
        <v xml:space="preserve"> </v>
      </c>
      <c r="AF349" s="7" t="e">
        <f t="shared" si="159"/>
        <v>#N/A</v>
      </c>
      <c r="AG349" s="7" t="e">
        <f t="shared" si="145"/>
        <v>#N/A</v>
      </c>
      <c r="AH349" s="472" t="e">
        <f>VLOOKUP(AF349,'排出係数(2017)'!$A$4:$I$1151,6,FALSE)</f>
        <v>#N/A</v>
      </c>
      <c r="AI349" s="7" t="e">
        <f t="shared" si="146"/>
        <v>#N/A</v>
      </c>
      <c r="AJ349" s="7" t="e">
        <f t="shared" si="147"/>
        <v>#N/A</v>
      </c>
      <c r="AK349" s="472" t="e">
        <f>VLOOKUP(AF349,'排出係数(2017)'!$A$4:$I$1151,7,FALSE)</f>
        <v>#N/A</v>
      </c>
      <c r="AL349" s="7" t="e">
        <f t="shared" si="148"/>
        <v>#N/A</v>
      </c>
      <c r="AM349" s="7" t="e">
        <f t="shared" si="149"/>
        <v>#N/A</v>
      </c>
      <c r="AN349" s="7" t="e">
        <f t="shared" si="150"/>
        <v>#N/A</v>
      </c>
      <c r="AO349" s="7">
        <f t="shared" si="151"/>
        <v>0</v>
      </c>
      <c r="AP349" s="7" t="e">
        <f t="shared" si="160"/>
        <v>#N/A</v>
      </c>
      <c r="AQ349" s="7" t="str">
        <f t="shared" si="152"/>
        <v/>
      </c>
      <c r="AR349" s="7" t="str">
        <f t="shared" si="153"/>
        <v/>
      </c>
      <c r="AS349" s="7" t="str">
        <f t="shared" si="154"/>
        <v/>
      </c>
      <c r="AT349" s="97"/>
      <c r="AZ349" s="477" t="s">
        <v>2538</v>
      </c>
      <c r="CF349" s="586" t="str">
        <f t="shared" si="161"/>
        <v/>
      </c>
      <c r="CG349"/>
      <c r="CH349"/>
    </row>
    <row r="350" spans="1:86" s="13" customFormat="1" ht="13.75" customHeight="1">
      <c r="A350" s="137">
        <v>335</v>
      </c>
      <c r="B350" s="138"/>
      <c r="C350" s="139"/>
      <c r="D350" s="140"/>
      <c r="E350" s="139"/>
      <c r="F350" s="139"/>
      <c r="G350" s="191"/>
      <c r="H350" s="139"/>
      <c r="I350" s="141"/>
      <c r="J350" s="142"/>
      <c r="K350" s="139"/>
      <c r="L350" s="147"/>
      <c r="M350" s="148"/>
      <c r="N350" s="583"/>
      <c r="O350" s="229" t="str">
        <f t="shared" si="155"/>
        <v/>
      </c>
      <c r="P350" s="229" t="str">
        <f t="shared" si="156"/>
        <v/>
      </c>
      <c r="Q350" s="230" t="str">
        <f t="shared" si="157"/>
        <v/>
      </c>
      <c r="R350" s="323" t="str">
        <f t="shared" si="158"/>
        <v/>
      </c>
      <c r="S350" s="350"/>
      <c r="T350" s="43"/>
      <c r="U350" s="347" t="str">
        <f t="shared" si="135"/>
        <v/>
      </c>
      <c r="V350" s="7" t="e">
        <f t="shared" si="136"/>
        <v>#N/A</v>
      </c>
      <c r="W350" s="7" t="e">
        <f t="shared" si="137"/>
        <v>#N/A</v>
      </c>
      <c r="X350" s="7" t="e">
        <f t="shared" si="138"/>
        <v>#N/A</v>
      </c>
      <c r="Y350" s="7" t="str">
        <f t="shared" si="139"/>
        <v/>
      </c>
      <c r="Z350" s="11">
        <f t="shared" si="140"/>
        <v>1</v>
      </c>
      <c r="AA350" s="7" t="e">
        <f t="shared" si="141"/>
        <v>#N/A</v>
      </c>
      <c r="AB350" s="7" t="e">
        <f t="shared" si="142"/>
        <v>#N/A</v>
      </c>
      <c r="AC350" s="7" t="e">
        <f t="shared" si="143"/>
        <v>#N/A</v>
      </c>
      <c r="AD350" s="472" t="e">
        <f>VLOOKUP(AF350,'排出係数(2017)'!$A$4:$I$1151,9,FALSE)</f>
        <v>#N/A</v>
      </c>
      <c r="AE350" s="12" t="str">
        <f t="shared" si="144"/>
        <v xml:space="preserve"> </v>
      </c>
      <c r="AF350" s="7" t="e">
        <f t="shared" si="159"/>
        <v>#N/A</v>
      </c>
      <c r="AG350" s="7" t="e">
        <f t="shared" si="145"/>
        <v>#N/A</v>
      </c>
      <c r="AH350" s="472" t="e">
        <f>VLOOKUP(AF350,'排出係数(2017)'!$A$4:$I$1151,6,FALSE)</f>
        <v>#N/A</v>
      </c>
      <c r="AI350" s="7" t="e">
        <f t="shared" si="146"/>
        <v>#N/A</v>
      </c>
      <c r="AJ350" s="7" t="e">
        <f t="shared" si="147"/>
        <v>#N/A</v>
      </c>
      <c r="AK350" s="472" t="e">
        <f>VLOOKUP(AF350,'排出係数(2017)'!$A$4:$I$1151,7,FALSE)</f>
        <v>#N/A</v>
      </c>
      <c r="AL350" s="7" t="e">
        <f t="shared" si="148"/>
        <v>#N/A</v>
      </c>
      <c r="AM350" s="7" t="e">
        <f t="shared" si="149"/>
        <v>#N/A</v>
      </c>
      <c r="AN350" s="7" t="e">
        <f t="shared" si="150"/>
        <v>#N/A</v>
      </c>
      <c r="AO350" s="7">
        <f t="shared" si="151"/>
        <v>0</v>
      </c>
      <c r="AP350" s="7" t="e">
        <f t="shared" si="160"/>
        <v>#N/A</v>
      </c>
      <c r="AQ350" s="7" t="str">
        <f t="shared" si="152"/>
        <v/>
      </c>
      <c r="AR350" s="7" t="str">
        <f t="shared" si="153"/>
        <v/>
      </c>
      <c r="AS350" s="7" t="str">
        <f t="shared" si="154"/>
        <v/>
      </c>
      <c r="AT350" s="97"/>
      <c r="AZ350" s="477" t="s">
        <v>137</v>
      </c>
      <c r="CF350" s="586" t="str">
        <f t="shared" si="161"/>
        <v/>
      </c>
      <c r="CG350"/>
      <c r="CH350"/>
    </row>
    <row r="351" spans="1:86" s="13" customFormat="1" ht="13.75" customHeight="1">
      <c r="A351" s="137">
        <v>336</v>
      </c>
      <c r="B351" s="138"/>
      <c r="C351" s="139"/>
      <c r="D351" s="140"/>
      <c r="E351" s="139"/>
      <c r="F351" s="139"/>
      <c r="G351" s="191"/>
      <c r="H351" s="139"/>
      <c r="I351" s="141"/>
      <c r="J351" s="142"/>
      <c r="K351" s="139"/>
      <c r="L351" s="147"/>
      <c r="M351" s="148"/>
      <c r="N351" s="583"/>
      <c r="O351" s="229" t="str">
        <f t="shared" si="155"/>
        <v/>
      </c>
      <c r="P351" s="229" t="str">
        <f t="shared" si="156"/>
        <v/>
      </c>
      <c r="Q351" s="230" t="str">
        <f t="shared" si="157"/>
        <v/>
      </c>
      <c r="R351" s="323" t="str">
        <f t="shared" si="158"/>
        <v/>
      </c>
      <c r="S351" s="350"/>
      <c r="T351" s="43"/>
      <c r="U351" s="347" t="str">
        <f t="shared" si="135"/>
        <v/>
      </c>
      <c r="V351" s="7" t="e">
        <f t="shared" si="136"/>
        <v>#N/A</v>
      </c>
      <c r="W351" s="7" t="e">
        <f t="shared" si="137"/>
        <v>#N/A</v>
      </c>
      <c r="X351" s="7" t="e">
        <f t="shared" si="138"/>
        <v>#N/A</v>
      </c>
      <c r="Y351" s="7" t="str">
        <f t="shared" si="139"/>
        <v/>
      </c>
      <c r="Z351" s="11">
        <f t="shared" si="140"/>
        <v>1</v>
      </c>
      <c r="AA351" s="7" t="e">
        <f t="shared" si="141"/>
        <v>#N/A</v>
      </c>
      <c r="AB351" s="7" t="e">
        <f t="shared" si="142"/>
        <v>#N/A</v>
      </c>
      <c r="AC351" s="7" t="e">
        <f t="shared" si="143"/>
        <v>#N/A</v>
      </c>
      <c r="AD351" s="472" t="e">
        <f>VLOOKUP(AF351,'排出係数(2017)'!$A$4:$I$1151,9,FALSE)</f>
        <v>#N/A</v>
      </c>
      <c r="AE351" s="12" t="str">
        <f t="shared" si="144"/>
        <v xml:space="preserve"> </v>
      </c>
      <c r="AF351" s="7" t="e">
        <f t="shared" si="159"/>
        <v>#N/A</v>
      </c>
      <c r="AG351" s="7" t="e">
        <f t="shared" si="145"/>
        <v>#N/A</v>
      </c>
      <c r="AH351" s="472" t="e">
        <f>VLOOKUP(AF351,'排出係数(2017)'!$A$4:$I$1151,6,FALSE)</f>
        <v>#N/A</v>
      </c>
      <c r="AI351" s="7" t="e">
        <f t="shared" si="146"/>
        <v>#N/A</v>
      </c>
      <c r="AJ351" s="7" t="e">
        <f t="shared" si="147"/>
        <v>#N/A</v>
      </c>
      <c r="AK351" s="472" t="e">
        <f>VLOOKUP(AF351,'排出係数(2017)'!$A$4:$I$1151,7,FALSE)</f>
        <v>#N/A</v>
      </c>
      <c r="AL351" s="7" t="e">
        <f t="shared" si="148"/>
        <v>#N/A</v>
      </c>
      <c r="AM351" s="7" t="e">
        <f t="shared" si="149"/>
        <v>#N/A</v>
      </c>
      <c r="AN351" s="7" t="e">
        <f t="shared" si="150"/>
        <v>#N/A</v>
      </c>
      <c r="AO351" s="7">
        <f t="shared" si="151"/>
        <v>0</v>
      </c>
      <c r="AP351" s="7" t="e">
        <f t="shared" si="160"/>
        <v>#N/A</v>
      </c>
      <c r="AQ351" s="7" t="str">
        <f t="shared" si="152"/>
        <v/>
      </c>
      <c r="AR351" s="7" t="str">
        <f t="shared" si="153"/>
        <v/>
      </c>
      <c r="AS351" s="7" t="str">
        <f t="shared" si="154"/>
        <v/>
      </c>
      <c r="AT351" s="97"/>
      <c r="AZ351" s="477" t="s">
        <v>138</v>
      </c>
      <c r="CF351" s="586" t="str">
        <f t="shared" si="161"/>
        <v/>
      </c>
      <c r="CG351"/>
      <c r="CH351"/>
    </row>
    <row r="352" spans="1:86" s="13" customFormat="1" ht="13.75" customHeight="1">
      <c r="A352" s="137">
        <v>337</v>
      </c>
      <c r="B352" s="138"/>
      <c r="C352" s="139"/>
      <c r="D352" s="140"/>
      <c r="E352" s="139"/>
      <c r="F352" s="139"/>
      <c r="G352" s="191"/>
      <c r="H352" s="139"/>
      <c r="I352" s="141"/>
      <c r="J352" s="142"/>
      <c r="K352" s="139"/>
      <c r="L352" s="147"/>
      <c r="M352" s="148"/>
      <c r="N352" s="583"/>
      <c r="O352" s="229" t="str">
        <f t="shared" si="155"/>
        <v/>
      </c>
      <c r="P352" s="229" t="str">
        <f t="shared" si="156"/>
        <v/>
      </c>
      <c r="Q352" s="230" t="str">
        <f t="shared" si="157"/>
        <v/>
      </c>
      <c r="R352" s="323" t="str">
        <f t="shared" si="158"/>
        <v/>
      </c>
      <c r="S352" s="350"/>
      <c r="T352" s="43"/>
      <c r="U352" s="347" t="str">
        <f t="shared" si="135"/>
        <v/>
      </c>
      <c r="V352" s="7" t="e">
        <f t="shared" si="136"/>
        <v>#N/A</v>
      </c>
      <c r="W352" s="7" t="e">
        <f t="shared" si="137"/>
        <v>#N/A</v>
      </c>
      <c r="X352" s="7" t="e">
        <f t="shared" si="138"/>
        <v>#N/A</v>
      </c>
      <c r="Y352" s="7" t="str">
        <f t="shared" si="139"/>
        <v/>
      </c>
      <c r="Z352" s="11">
        <f t="shared" si="140"/>
        <v>1</v>
      </c>
      <c r="AA352" s="7" t="e">
        <f t="shared" si="141"/>
        <v>#N/A</v>
      </c>
      <c r="AB352" s="7" t="e">
        <f t="shared" si="142"/>
        <v>#N/A</v>
      </c>
      <c r="AC352" s="7" t="e">
        <f t="shared" si="143"/>
        <v>#N/A</v>
      </c>
      <c r="AD352" s="472" t="e">
        <f>VLOOKUP(AF352,'排出係数(2017)'!$A$4:$I$1151,9,FALSE)</f>
        <v>#N/A</v>
      </c>
      <c r="AE352" s="12" t="str">
        <f t="shared" si="144"/>
        <v xml:space="preserve"> </v>
      </c>
      <c r="AF352" s="7" t="e">
        <f t="shared" si="159"/>
        <v>#N/A</v>
      </c>
      <c r="AG352" s="7" t="e">
        <f t="shared" si="145"/>
        <v>#N/A</v>
      </c>
      <c r="AH352" s="472" t="e">
        <f>VLOOKUP(AF352,'排出係数(2017)'!$A$4:$I$1151,6,FALSE)</f>
        <v>#N/A</v>
      </c>
      <c r="AI352" s="7" t="e">
        <f t="shared" si="146"/>
        <v>#N/A</v>
      </c>
      <c r="AJ352" s="7" t="e">
        <f t="shared" si="147"/>
        <v>#N/A</v>
      </c>
      <c r="AK352" s="472" t="e">
        <f>VLOOKUP(AF352,'排出係数(2017)'!$A$4:$I$1151,7,FALSE)</f>
        <v>#N/A</v>
      </c>
      <c r="AL352" s="7" t="e">
        <f t="shared" si="148"/>
        <v>#N/A</v>
      </c>
      <c r="AM352" s="7" t="e">
        <f t="shared" si="149"/>
        <v>#N/A</v>
      </c>
      <c r="AN352" s="7" t="e">
        <f t="shared" si="150"/>
        <v>#N/A</v>
      </c>
      <c r="AO352" s="7">
        <f t="shared" si="151"/>
        <v>0</v>
      </c>
      <c r="AP352" s="7" t="e">
        <f t="shared" si="160"/>
        <v>#N/A</v>
      </c>
      <c r="AQ352" s="7" t="str">
        <f t="shared" si="152"/>
        <v/>
      </c>
      <c r="AR352" s="7" t="str">
        <f t="shared" si="153"/>
        <v/>
      </c>
      <c r="AS352" s="7" t="str">
        <f t="shared" si="154"/>
        <v/>
      </c>
      <c r="AT352" s="97"/>
      <c r="AZ352" s="477" t="s">
        <v>139</v>
      </c>
      <c r="CF352" s="586" t="str">
        <f t="shared" si="161"/>
        <v/>
      </c>
      <c r="CG352"/>
      <c r="CH352"/>
    </row>
    <row r="353" spans="1:86" s="13" customFormat="1" ht="13.75" customHeight="1">
      <c r="A353" s="137">
        <v>338</v>
      </c>
      <c r="B353" s="138"/>
      <c r="C353" s="139"/>
      <c r="D353" s="140"/>
      <c r="E353" s="139"/>
      <c r="F353" s="139"/>
      <c r="G353" s="191"/>
      <c r="H353" s="139"/>
      <c r="I353" s="141"/>
      <c r="J353" s="142"/>
      <c r="K353" s="139"/>
      <c r="L353" s="147"/>
      <c r="M353" s="148"/>
      <c r="N353" s="583"/>
      <c r="O353" s="229" t="str">
        <f t="shared" si="155"/>
        <v/>
      </c>
      <c r="P353" s="229" t="str">
        <f t="shared" si="156"/>
        <v/>
      </c>
      <c r="Q353" s="230" t="str">
        <f t="shared" si="157"/>
        <v/>
      </c>
      <c r="R353" s="323" t="str">
        <f t="shared" si="158"/>
        <v/>
      </c>
      <c r="S353" s="350"/>
      <c r="T353" s="43"/>
      <c r="U353" s="347" t="str">
        <f t="shared" si="135"/>
        <v/>
      </c>
      <c r="V353" s="7" t="e">
        <f t="shared" si="136"/>
        <v>#N/A</v>
      </c>
      <c r="W353" s="7" t="e">
        <f t="shared" si="137"/>
        <v>#N/A</v>
      </c>
      <c r="X353" s="7" t="e">
        <f t="shared" si="138"/>
        <v>#N/A</v>
      </c>
      <c r="Y353" s="7" t="str">
        <f t="shared" si="139"/>
        <v/>
      </c>
      <c r="Z353" s="11">
        <f t="shared" si="140"/>
        <v>1</v>
      </c>
      <c r="AA353" s="7" t="e">
        <f t="shared" si="141"/>
        <v>#N/A</v>
      </c>
      <c r="AB353" s="7" t="e">
        <f t="shared" si="142"/>
        <v>#N/A</v>
      </c>
      <c r="AC353" s="7" t="e">
        <f t="shared" si="143"/>
        <v>#N/A</v>
      </c>
      <c r="AD353" s="472" t="e">
        <f>VLOOKUP(AF353,'排出係数(2017)'!$A$4:$I$1151,9,FALSE)</f>
        <v>#N/A</v>
      </c>
      <c r="AE353" s="12" t="str">
        <f t="shared" si="144"/>
        <v xml:space="preserve"> </v>
      </c>
      <c r="AF353" s="7" t="e">
        <f t="shared" si="159"/>
        <v>#N/A</v>
      </c>
      <c r="AG353" s="7" t="e">
        <f t="shared" si="145"/>
        <v>#N/A</v>
      </c>
      <c r="AH353" s="472" t="e">
        <f>VLOOKUP(AF353,'排出係数(2017)'!$A$4:$I$1151,6,FALSE)</f>
        <v>#N/A</v>
      </c>
      <c r="AI353" s="7" t="e">
        <f t="shared" si="146"/>
        <v>#N/A</v>
      </c>
      <c r="AJ353" s="7" t="e">
        <f t="shared" si="147"/>
        <v>#N/A</v>
      </c>
      <c r="AK353" s="472" t="e">
        <f>VLOOKUP(AF353,'排出係数(2017)'!$A$4:$I$1151,7,FALSE)</f>
        <v>#N/A</v>
      </c>
      <c r="AL353" s="7" t="e">
        <f t="shared" si="148"/>
        <v>#N/A</v>
      </c>
      <c r="AM353" s="7" t="e">
        <f t="shared" si="149"/>
        <v>#N/A</v>
      </c>
      <c r="AN353" s="7" t="e">
        <f t="shared" si="150"/>
        <v>#N/A</v>
      </c>
      <c r="AO353" s="7">
        <f t="shared" si="151"/>
        <v>0</v>
      </c>
      <c r="AP353" s="7" t="e">
        <f t="shared" si="160"/>
        <v>#N/A</v>
      </c>
      <c r="AQ353" s="7" t="str">
        <f t="shared" si="152"/>
        <v/>
      </c>
      <c r="AR353" s="7" t="str">
        <f t="shared" si="153"/>
        <v/>
      </c>
      <c r="AS353" s="7" t="str">
        <f t="shared" si="154"/>
        <v/>
      </c>
      <c r="AT353" s="97"/>
      <c r="AZ353" s="477" t="s">
        <v>140</v>
      </c>
      <c r="CF353" s="586" t="str">
        <f t="shared" si="161"/>
        <v/>
      </c>
      <c r="CG353"/>
      <c r="CH353"/>
    </row>
    <row r="354" spans="1:86" s="13" customFormat="1" ht="13.75" customHeight="1">
      <c r="A354" s="137">
        <v>339</v>
      </c>
      <c r="B354" s="138"/>
      <c r="C354" s="139"/>
      <c r="D354" s="140"/>
      <c r="E354" s="139"/>
      <c r="F354" s="139"/>
      <c r="G354" s="191"/>
      <c r="H354" s="139"/>
      <c r="I354" s="141"/>
      <c r="J354" s="142"/>
      <c r="K354" s="139"/>
      <c r="L354" s="147"/>
      <c r="M354" s="148"/>
      <c r="N354" s="583"/>
      <c r="O354" s="229" t="str">
        <f t="shared" si="155"/>
        <v/>
      </c>
      <c r="P354" s="229" t="str">
        <f t="shared" si="156"/>
        <v/>
      </c>
      <c r="Q354" s="230" t="str">
        <f t="shared" si="157"/>
        <v/>
      </c>
      <c r="R354" s="323" t="str">
        <f t="shared" si="158"/>
        <v/>
      </c>
      <c r="S354" s="350"/>
      <c r="T354" s="43"/>
      <c r="U354" s="347" t="str">
        <f t="shared" si="135"/>
        <v/>
      </c>
      <c r="V354" s="7" t="e">
        <f t="shared" si="136"/>
        <v>#N/A</v>
      </c>
      <c r="W354" s="7" t="e">
        <f t="shared" si="137"/>
        <v>#N/A</v>
      </c>
      <c r="X354" s="7" t="e">
        <f t="shared" si="138"/>
        <v>#N/A</v>
      </c>
      <c r="Y354" s="7" t="str">
        <f t="shared" si="139"/>
        <v/>
      </c>
      <c r="Z354" s="11">
        <f t="shared" si="140"/>
        <v>1</v>
      </c>
      <c r="AA354" s="7" t="e">
        <f t="shared" si="141"/>
        <v>#N/A</v>
      </c>
      <c r="AB354" s="7" t="e">
        <f t="shared" si="142"/>
        <v>#N/A</v>
      </c>
      <c r="AC354" s="7" t="e">
        <f t="shared" si="143"/>
        <v>#N/A</v>
      </c>
      <c r="AD354" s="472" t="e">
        <f>VLOOKUP(AF354,'排出係数(2017)'!$A$4:$I$1151,9,FALSE)</f>
        <v>#N/A</v>
      </c>
      <c r="AE354" s="12" t="str">
        <f t="shared" si="144"/>
        <v xml:space="preserve"> </v>
      </c>
      <c r="AF354" s="7" t="e">
        <f t="shared" si="159"/>
        <v>#N/A</v>
      </c>
      <c r="AG354" s="7" t="e">
        <f t="shared" si="145"/>
        <v>#N/A</v>
      </c>
      <c r="AH354" s="472" t="e">
        <f>VLOOKUP(AF354,'排出係数(2017)'!$A$4:$I$1151,6,FALSE)</f>
        <v>#N/A</v>
      </c>
      <c r="AI354" s="7" t="e">
        <f t="shared" si="146"/>
        <v>#N/A</v>
      </c>
      <c r="AJ354" s="7" t="e">
        <f t="shared" si="147"/>
        <v>#N/A</v>
      </c>
      <c r="AK354" s="472" t="e">
        <f>VLOOKUP(AF354,'排出係数(2017)'!$A$4:$I$1151,7,FALSE)</f>
        <v>#N/A</v>
      </c>
      <c r="AL354" s="7" t="e">
        <f t="shared" si="148"/>
        <v>#N/A</v>
      </c>
      <c r="AM354" s="7" t="e">
        <f t="shared" si="149"/>
        <v>#N/A</v>
      </c>
      <c r="AN354" s="7" t="e">
        <f t="shared" si="150"/>
        <v>#N/A</v>
      </c>
      <c r="AO354" s="7">
        <f t="shared" si="151"/>
        <v>0</v>
      </c>
      <c r="AP354" s="7" t="e">
        <f t="shared" si="160"/>
        <v>#N/A</v>
      </c>
      <c r="AQ354" s="7" t="str">
        <f t="shared" si="152"/>
        <v/>
      </c>
      <c r="AR354" s="7" t="str">
        <f t="shared" si="153"/>
        <v/>
      </c>
      <c r="AS354" s="7" t="str">
        <f t="shared" si="154"/>
        <v/>
      </c>
      <c r="AT354" s="97"/>
      <c r="AZ354" s="477" t="s">
        <v>1039</v>
      </c>
      <c r="CF354" s="586" t="str">
        <f t="shared" si="161"/>
        <v/>
      </c>
      <c r="CG354"/>
      <c r="CH354"/>
    </row>
    <row r="355" spans="1:86" s="13" customFormat="1" ht="13.75" customHeight="1">
      <c r="A355" s="137">
        <v>340</v>
      </c>
      <c r="B355" s="138"/>
      <c r="C355" s="139"/>
      <c r="D355" s="140"/>
      <c r="E355" s="139"/>
      <c r="F355" s="139"/>
      <c r="G355" s="191"/>
      <c r="H355" s="139"/>
      <c r="I355" s="141"/>
      <c r="J355" s="142"/>
      <c r="K355" s="139"/>
      <c r="L355" s="147"/>
      <c r="M355" s="148"/>
      <c r="N355" s="583"/>
      <c r="O355" s="229" t="str">
        <f t="shared" si="155"/>
        <v/>
      </c>
      <c r="P355" s="229" t="str">
        <f t="shared" si="156"/>
        <v/>
      </c>
      <c r="Q355" s="230" t="str">
        <f t="shared" si="157"/>
        <v/>
      </c>
      <c r="R355" s="323" t="str">
        <f t="shared" si="158"/>
        <v/>
      </c>
      <c r="S355" s="350"/>
      <c r="T355" s="43"/>
      <c r="U355" s="347" t="str">
        <f t="shared" si="135"/>
        <v/>
      </c>
      <c r="V355" s="7" t="e">
        <f t="shared" si="136"/>
        <v>#N/A</v>
      </c>
      <c r="W355" s="7" t="e">
        <f t="shared" si="137"/>
        <v>#N/A</v>
      </c>
      <c r="X355" s="7" t="e">
        <f t="shared" si="138"/>
        <v>#N/A</v>
      </c>
      <c r="Y355" s="7" t="str">
        <f t="shared" si="139"/>
        <v/>
      </c>
      <c r="Z355" s="11">
        <f t="shared" si="140"/>
        <v>1</v>
      </c>
      <c r="AA355" s="7" t="e">
        <f t="shared" si="141"/>
        <v>#N/A</v>
      </c>
      <c r="AB355" s="7" t="e">
        <f t="shared" si="142"/>
        <v>#N/A</v>
      </c>
      <c r="AC355" s="7" t="e">
        <f t="shared" si="143"/>
        <v>#N/A</v>
      </c>
      <c r="AD355" s="472" t="e">
        <f>VLOOKUP(AF355,'排出係数(2017)'!$A$4:$I$1151,9,FALSE)</f>
        <v>#N/A</v>
      </c>
      <c r="AE355" s="12" t="str">
        <f t="shared" si="144"/>
        <v xml:space="preserve"> </v>
      </c>
      <c r="AF355" s="7" t="e">
        <f t="shared" si="159"/>
        <v>#N/A</v>
      </c>
      <c r="AG355" s="7" t="e">
        <f t="shared" si="145"/>
        <v>#N/A</v>
      </c>
      <c r="AH355" s="472" t="e">
        <f>VLOOKUP(AF355,'排出係数(2017)'!$A$4:$I$1151,6,FALSE)</f>
        <v>#N/A</v>
      </c>
      <c r="AI355" s="7" t="e">
        <f t="shared" si="146"/>
        <v>#N/A</v>
      </c>
      <c r="AJ355" s="7" t="e">
        <f t="shared" si="147"/>
        <v>#N/A</v>
      </c>
      <c r="AK355" s="472" t="e">
        <f>VLOOKUP(AF355,'排出係数(2017)'!$A$4:$I$1151,7,FALSE)</f>
        <v>#N/A</v>
      </c>
      <c r="AL355" s="7" t="e">
        <f t="shared" si="148"/>
        <v>#N/A</v>
      </c>
      <c r="AM355" s="7" t="e">
        <f t="shared" si="149"/>
        <v>#N/A</v>
      </c>
      <c r="AN355" s="7" t="e">
        <f t="shared" si="150"/>
        <v>#N/A</v>
      </c>
      <c r="AO355" s="7">
        <f t="shared" si="151"/>
        <v>0</v>
      </c>
      <c r="AP355" s="7" t="e">
        <f t="shared" si="160"/>
        <v>#N/A</v>
      </c>
      <c r="AQ355" s="7" t="str">
        <f t="shared" si="152"/>
        <v/>
      </c>
      <c r="AR355" s="7" t="str">
        <f t="shared" si="153"/>
        <v/>
      </c>
      <c r="AS355" s="7" t="str">
        <f t="shared" si="154"/>
        <v/>
      </c>
      <c r="AT355" s="97"/>
      <c r="AZ355" s="477" t="s">
        <v>141</v>
      </c>
      <c r="CF355" s="586" t="str">
        <f t="shared" si="161"/>
        <v/>
      </c>
      <c r="CG355"/>
      <c r="CH355"/>
    </row>
    <row r="356" spans="1:86" s="13" customFormat="1" ht="13.75" customHeight="1">
      <c r="A356" s="137">
        <v>341</v>
      </c>
      <c r="B356" s="138"/>
      <c r="C356" s="139"/>
      <c r="D356" s="140"/>
      <c r="E356" s="139"/>
      <c r="F356" s="139"/>
      <c r="G356" s="191"/>
      <c r="H356" s="139"/>
      <c r="I356" s="141"/>
      <c r="J356" s="142"/>
      <c r="K356" s="139"/>
      <c r="L356" s="147"/>
      <c r="M356" s="148"/>
      <c r="N356" s="583"/>
      <c r="O356" s="229" t="str">
        <f t="shared" si="155"/>
        <v/>
      </c>
      <c r="P356" s="229" t="str">
        <f t="shared" si="156"/>
        <v/>
      </c>
      <c r="Q356" s="230" t="str">
        <f t="shared" si="157"/>
        <v/>
      </c>
      <c r="R356" s="323" t="str">
        <f t="shared" si="158"/>
        <v/>
      </c>
      <c r="S356" s="350"/>
      <c r="T356" s="43"/>
      <c r="U356" s="347" t="str">
        <f t="shared" si="135"/>
        <v/>
      </c>
      <c r="V356" s="7" t="e">
        <f t="shared" si="136"/>
        <v>#N/A</v>
      </c>
      <c r="W356" s="7" t="e">
        <f t="shared" si="137"/>
        <v>#N/A</v>
      </c>
      <c r="X356" s="7" t="e">
        <f t="shared" si="138"/>
        <v>#N/A</v>
      </c>
      <c r="Y356" s="7" t="str">
        <f t="shared" si="139"/>
        <v/>
      </c>
      <c r="Z356" s="11">
        <f t="shared" si="140"/>
        <v>1</v>
      </c>
      <c r="AA356" s="7" t="e">
        <f t="shared" si="141"/>
        <v>#N/A</v>
      </c>
      <c r="AB356" s="7" t="e">
        <f t="shared" si="142"/>
        <v>#N/A</v>
      </c>
      <c r="AC356" s="7" t="e">
        <f t="shared" si="143"/>
        <v>#N/A</v>
      </c>
      <c r="AD356" s="472" t="e">
        <f>VLOOKUP(AF356,'排出係数(2017)'!$A$4:$I$1151,9,FALSE)</f>
        <v>#N/A</v>
      </c>
      <c r="AE356" s="12" t="str">
        <f t="shared" si="144"/>
        <v xml:space="preserve"> </v>
      </c>
      <c r="AF356" s="7" t="e">
        <f t="shared" si="159"/>
        <v>#N/A</v>
      </c>
      <c r="AG356" s="7" t="e">
        <f t="shared" si="145"/>
        <v>#N/A</v>
      </c>
      <c r="AH356" s="472" t="e">
        <f>VLOOKUP(AF356,'排出係数(2017)'!$A$4:$I$1151,6,FALSE)</f>
        <v>#N/A</v>
      </c>
      <c r="AI356" s="7" t="e">
        <f t="shared" si="146"/>
        <v>#N/A</v>
      </c>
      <c r="AJ356" s="7" t="e">
        <f t="shared" si="147"/>
        <v>#N/A</v>
      </c>
      <c r="AK356" s="472" t="e">
        <f>VLOOKUP(AF356,'排出係数(2017)'!$A$4:$I$1151,7,FALSE)</f>
        <v>#N/A</v>
      </c>
      <c r="AL356" s="7" t="e">
        <f t="shared" si="148"/>
        <v>#N/A</v>
      </c>
      <c r="AM356" s="7" t="e">
        <f t="shared" si="149"/>
        <v>#N/A</v>
      </c>
      <c r="AN356" s="7" t="e">
        <f t="shared" si="150"/>
        <v>#N/A</v>
      </c>
      <c r="AO356" s="7">
        <f t="shared" si="151"/>
        <v>0</v>
      </c>
      <c r="AP356" s="7" t="e">
        <f t="shared" si="160"/>
        <v>#N/A</v>
      </c>
      <c r="AQ356" s="7" t="str">
        <f t="shared" si="152"/>
        <v/>
      </c>
      <c r="AR356" s="7" t="str">
        <f t="shared" si="153"/>
        <v/>
      </c>
      <c r="AS356" s="7" t="str">
        <f t="shared" si="154"/>
        <v/>
      </c>
      <c r="AT356" s="97"/>
      <c r="AZ356" s="477" t="s">
        <v>1043</v>
      </c>
      <c r="CF356" s="586" t="str">
        <f t="shared" si="161"/>
        <v/>
      </c>
      <c r="CG356"/>
      <c r="CH356"/>
    </row>
    <row r="357" spans="1:86" s="13" customFormat="1" ht="13.75" customHeight="1">
      <c r="A357" s="137">
        <v>342</v>
      </c>
      <c r="B357" s="138"/>
      <c r="C357" s="139"/>
      <c r="D357" s="140"/>
      <c r="E357" s="139"/>
      <c r="F357" s="139"/>
      <c r="G357" s="191"/>
      <c r="H357" s="139"/>
      <c r="I357" s="141"/>
      <c r="J357" s="142"/>
      <c r="K357" s="139"/>
      <c r="L357" s="147"/>
      <c r="M357" s="148"/>
      <c r="N357" s="583"/>
      <c r="O357" s="229" t="str">
        <f t="shared" si="155"/>
        <v/>
      </c>
      <c r="P357" s="229" t="str">
        <f t="shared" si="156"/>
        <v/>
      </c>
      <c r="Q357" s="230" t="str">
        <f t="shared" si="157"/>
        <v/>
      </c>
      <c r="R357" s="323" t="str">
        <f t="shared" si="158"/>
        <v/>
      </c>
      <c r="S357" s="350"/>
      <c r="T357" s="43"/>
      <c r="U357" s="347" t="str">
        <f t="shared" si="135"/>
        <v/>
      </c>
      <c r="V357" s="7" t="e">
        <f t="shared" si="136"/>
        <v>#N/A</v>
      </c>
      <c r="W357" s="7" t="e">
        <f t="shared" si="137"/>
        <v>#N/A</v>
      </c>
      <c r="X357" s="7" t="e">
        <f t="shared" si="138"/>
        <v>#N/A</v>
      </c>
      <c r="Y357" s="7" t="str">
        <f t="shared" si="139"/>
        <v/>
      </c>
      <c r="Z357" s="11">
        <f t="shared" si="140"/>
        <v>1</v>
      </c>
      <c r="AA357" s="7" t="e">
        <f t="shared" si="141"/>
        <v>#N/A</v>
      </c>
      <c r="AB357" s="7" t="e">
        <f t="shared" si="142"/>
        <v>#N/A</v>
      </c>
      <c r="AC357" s="7" t="e">
        <f t="shared" si="143"/>
        <v>#N/A</v>
      </c>
      <c r="AD357" s="472" t="e">
        <f>VLOOKUP(AF357,'排出係数(2017)'!$A$4:$I$1151,9,FALSE)</f>
        <v>#N/A</v>
      </c>
      <c r="AE357" s="12" t="str">
        <f t="shared" si="144"/>
        <v xml:space="preserve"> </v>
      </c>
      <c r="AF357" s="7" t="e">
        <f t="shared" si="159"/>
        <v>#N/A</v>
      </c>
      <c r="AG357" s="7" t="e">
        <f t="shared" si="145"/>
        <v>#N/A</v>
      </c>
      <c r="AH357" s="472" t="e">
        <f>VLOOKUP(AF357,'排出係数(2017)'!$A$4:$I$1151,6,FALSE)</f>
        <v>#N/A</v>
      </c>
      <c r="AI357" s="7" t="e">
        <f t="shared" si="146"/>
        <v>#N/A</v>
      </c>
      <c r="AJ357" s="7" t="e">
        <f t="shared" si="147"/>
        <v>#N/A</v>
      </c>
      <c r="AK357" s="472" t="e">
        <f>VLOOKUP(AF357,'排出係数(2017)'!$A$4:$I$1151,7,FALSE)</f>
        <v>#N/A</v>
      </c>
      <c r="AL357" s="7" t="e">
        <f t="shared" si="148"/>
        <v>#N/A</v>
      </c>
      <c r="AM357" s="7" t="e">
        <f t="shared" si="149"/>
        <v>#N/A</v>
      </c>
      <c r="AN357" s="7" t="e">
        <f t="shared" si="150"/>
        <v>#N/A</v>
      </c>
      <c r="AO357" s="7">
        <f t="shared" si="151"/>
        <v>0</v>
      </c>
      <c r="AP357" s="7" t="e">
        <f t="shared" si="160"/>
        <v>#N/A</v>
      </c>
      <c r="AQ357" s="7" t="str">
        <f t="shared" si="152"/>
        <v/>
      </c>
      <c r="AR357" s="7" t="str">
        <f t="shared" si="153"/>
        <v/>
      </c>
      <c r="AS357" s="7" t="str">
        <f t="shared" si="154"/>
        <v/>
      </c>
      <c r="AT357" s="97"/>
      <c r="AZ357" s="477" t="s">
        <v>142</v>
      </c>
      <c r="CF357" s="586" t="str">
        <f t="shared" si="161"/>
        <v/>
      </c>
      <c r="CG357"/>
      <c r="CH357"/>
    </row>
    <row r="358" spans="1:86" s="13" customFormat="1" ht="13.75" customHeight="1">
      <c r="A358" s="137">
        <v>343</v>
      </c>
      <c r="B358" s="138"/>
      <c r="C358" s="139"/>
      <c r="D358" s="140"/>
      <c r="E358" s="139"/>
      <c r="F358" s="139"/>
      <c r="G358" s="191"/>
      <c r="H358" s="139"/>
      <c r="I358" s="141"/>
      <c r="J358" s="142"/>
      <c r="K358" s="139"/>
      <c r="L358" s="147"/>
      <c r="M358" s="148"/>
      <c r="N358" s="583"/>
      <c r="O358" s="229" t="str">
        <f t="shared" si="155"/>
        <v/>
      </c>
      <c r="P358" s="229" t="str">
        <f t="shared" si="156"/>
        <v/>
      </c>
      <c r="Q358" s="230" t="str">
        <f t="shared" si="157"/>
        <v/>
      </c>
      <c r="R358" s="323" t="str">
        <f t="shared" si="158"/>
        <v/>
      </c>
      <c r="S358" s="350"/>
      <c r="T358" s="43"/>
      <c r="U358" s="347" t="str">
        <f t="shared" si="135"/>
        <v/>
      </c>
      <c r="V358" s="7" t="e">
        <f t="shared" si="136"/>
        <v>#N/A</v>
      </c>
      <c r="W358" s="7" t="e">
        <f t="shared" si="137"/>
        <v>#N/A</v>
      </c>
      <c r="X358" s="7" t="e">
        <f t="shared" si="138"/>
        <v>#N/A</v>
      </c>
      <c r="Y358" s="7" t="str">
        <f t="shared" si="139"/>
        <v/>
      </c>
      <c r="Z358" s="11">
        <f t="shared" si="140"/>
        <v>1</v>
      </c>
      <c r="AA358" s="7" t="e">
        <f t="shared" si="141"/>
        <v>#N/A</v>
      </c>
      <c r="AB358" s="7" t="e">
        <f t="shared" si="142"/>
        <v>#N/A</v>
      </c>
      <c r="AC358" s="7" t="e">
        <f t="shared" si="143"/>
        <v>#N/A</v>
      </c>
      <c r="AD358" s="472" t="e">
        <f>VLOOKUP(AF358,'排出係数(2017)'!$A$4:$I$1151,9,FALSE)</f>
        <v>#N/A</v>
      </c>
      <c r="AE358" s="12" t="str">
        <f t="shared" si="144"/>
        <v xml:space="preserve"> </v>
      </c>
      <c r="AF358" s="7" t="e">
        <f t="shared" si="159"/>
        <v>#N/A</v>
      </c>
      <c r="AG358" s="7" t="e">
        <f t="shared" si="145"/>
        <v>#N/A</v>
      </c>
      <c r="AH358" s="472" t="e">
        <f>VLOOKUP(AF358,'排出係数(2017)'!$A$4:$I$1151,6,FALSE)</f>
        <v>#N/A</v>
      </c>
      <c r="AI358" s="7" t="e">
        <f t="shared" si="146"/>
        <v>#N/A</v>
      </c>
      <c r="AJ358" s="7" t="e">
        <f t="shared" si="147"/>
        <v>#N/A</v>
      </c>
      <c r="AK358" s="472" t="e">
        <f>VLOOKUP(AF358,'排出係数(2017)'!$A$4:$I$1151,7,FALSE)</f>
        <v>#N/A</v>
      </c>
      <c r="AL358" s="7" t="e">
        <f t="shared" si="148"/>
        <v>#N/A</v>
      </c>
      <c r="AM358" s="7" t="e">
        <f t="shared" si="149"/>
        <v>#N/A</v>
      </c>
      <c r="AN358" s="7" t="e">
        <f t="shared" si="150"/>
        <v>#N/A</v>
      </c>
      <c r="AO358" s="7">
        <f t="shared" si="151"/>
        <v>0</v>
      </c>
      <c r="AP358" s="7" t="e">
        <f t="shared" si="160"/>
        <v>#N/A</v>
      </c>
      <c r="AQ358" s="7" t="str">
        <f t="shared" si="152"/>
        <v/>
      </c>
      <c r="AR358" s="7" t="str">
        <f t="shared" si="153"/>
        <v/>
      </c>
      <c r="AS358" s="7" t="str">
        <f t="shared" si="154"/>
        <v/>
      </c>
      <c r="AT358" s="97"/>
      <c r="AZ358" s="477" t="s">
        <v>1235</v>
      </c>
      <c r="CF358" s="586" t="str">
        <f t="shared" si="161"/>
        <v/>
      </c>
      <c r="CG358"/>
      <c r="CH358"/>
    </row>
    <row r="359" spans="1:86" s="13" customFormat="1" ht="13.75" customHeight="1">
      <c r="A359" s="137">
        <v>344</v>
      </c>
      <c r="B359" s="138"/>
      <c r="C359" s="139"/>
      <c r="D359" s="140"/>
      <c r="E359" s="139"/>
      <c r="F359" s="139"/>
      <c r="G359" s="191"/>
      <c r="H359" s="139"/>
      <c r="I359" s="141"/>
      <c r="J359" s="142"/>
      <c r="K359" s="139"/>
      <c r="L359" s="147"/>
      <c r="M359" s="148"/>
      <c r="N359" s="583"/>
      <c r="O359" s="229" t="str">
        <f t="shared" si="155"/>
        <v/>
      </c>
      <c r="P359" s="229" t="str">
        <f t="shared" si="156"/>
        <v/>
      </c>
      <c r="Q359" s="230" t="str">
        <f t="shared" si="157"/>
        <v/>
      </c>
      <c r="R359" s="323" t="str">
        <f t="shared" si="158"/>
        <v/>
      </c>
      <c r="S359" s="350"/>
      <c r="T359" s="43"/>
      <c r="U359" s="347" t="str">
        <f t="shared" si="135"/>
        <v/>
      </c>
      <c r="V359" s="7" t="e">
        <f t="shared" si="136"/>
        <v>#N/A</v>
      </c>
      <c r="W359" s="7" t="e">
        <f t="shared" si="137"/>
        <v>#N/A</v>
      </c>
      <c r="X359" s="7" t="e">
        <f t="shared" si="138"/>
        <v>#N/A</v>
      </c>
      <c r="Y359" s="7" t="str">
        <f t="shared" si="139"/>
        <v/>
      </c>
      <c r="Z359" s="11">
        <f t="shared" si="140"/>
        <v>1</v>
      </c>
      <c r="AA359" s="7" t="e">
        <f t="shared" si="141"/>
        <v>#N/A</v>
      </c>
      <c r="AB359" s="7" t="e">
        <f t="shared" si="142"/>
        <v>#N/A</v>
      </c>
      <c r="AC359" s="7" t="e">
        <f t="shared" si="143"/>
        <v>#N/A</v>
      </c>
      <c r="AD359" s="472" t="e">
        <f>VLOOKUP(AF359,'排出係数(2017)'!$A$4:$I$1151,9,FALSE)</f>
        <v>#N/A</v>
      </c>
      <c r="AE359" s="12" t="str">
        <f t="shared" si="144"/>
        <v xml:space="preserve"> </v>
      </c>
      <c r="AF359" s="7" t="e">
        <f t="shared" si="159"/>
        <v>#N/A</v>
      </c>
      <c r="AG359" s="7" t="e">
        <f t="shared" si="145"/>
        <v>#N/A</v>
      </c>
      <c r="AH359" s="472" t="e">
        <f>VLOOKUP(AF359,'排出係数(2017)'!$A$4:$I$1151,6,FALSE)</f>
        <v>#N/A</v>
      </c>
      <c r="AI359" s="7" t="e">
        <f t="shared" si="146"/>
        <v>#N/A</v>
      </c>
      <c r="AJ359" s="7" t="e">
        <f t="shared" si="147"/>
        <v>#N/A</v>
      </c>
      <c r="AK359" s="472" t="e">
        <f>VLOOKUP(AF359,'排出係数(2017)'!$A$4:$I$1151,7,FALSE)</f>
        <v>#N/A</v>
      </c>
      <c r="AL359" s="7" t="e">
        <f t="shared" si="148"/>
        <v>#N/A</v>
      </c>
      <c r="AM359" s="7" t="e">
        <f t="shared" si="149"/>
        <v>#N/A</v>
      </c>
      <c r="AN359" s="7" t="e">
        <f t="shared" si="150"/>
        <v>#N/A</v>
      </c>
      <c r="AO359" s="7">
        <f t="shared" si="151"/>
        <v>0</v>
      </c>
      <c r="AP359" s="7" t="e">
        <f t="shared" si="160"/>
        <v>#N/A</v>
      </c>
      <c r="AQ359" s="7" t="str">
        <f t="shared" si="152"/>
        <v/>
      </c>
      <c r="AR359" s="7" t="str">
        <f t="shared" si="153"/>
        <v/>
      </c>
      <c r="AS359" s="7" t="str">
        <f t="shared" si="154"/>
        <v/>
      </c>
      <c r="AT359" s="97"/>
      <c r="AZ359" s="477" t="s">
        <v>143</v>
      </c>
      <c r="CF359" s="586" t="str">
        <f t="shared" si="161"/>
        <v/>
      </c>
      <c r="CG359"/>
      <c r="CH359"/>
    </row>
    <row r="360" spans="1:86" s="13" customFormat="1" ht="13.75" customHeight="1">
      <c r="A360" s="137">
        <v>345</v>
      </c>
      <c r="B360" s="138"/>
      <c r="C360" s="139"/>
      <c r="D360" s="140"/>
      <c r="E360" s="139"/>
      <c r="F360" s="139"/>
      <c r="G360" s="191"/>
      <c r="H360" s="139"/>
      <c r="I360" s="141"/>
      <c r="J360" s="142"/>
      <c r="K360" s="139"/>
      <c r="L360" s="147"/>
      <c r="M360" s="148"/>
      <c r="N360" s="583"/>
      <c r="O360" s="229" t="str">
        <f t="shared" si="155"/>
        <v/>
      </c>
      <c r="P360" s="229" t="str">
        <f t="shared" si="156"/>
        <v/>
      </c>
      <c r="Q360" s="230" t="str">
        <f t="shared" si="157"/>
        <v/>
      </c>
      <c r="R360" s="323" t="str">
        <f t="shared" si="158"/>
        <v/>
      </c>
      <c r="S360" s="350"/>
      <c r="T360" s="43"/>
      <c r="U360" s="347" t="str">
        <f t="shared" si="135"/>
        <v/>
      </c>
      <c r="V360" s="7" t="e">
        <f t="shared" si="136"/>
        <v>#N/A</v>
      </c>
      <c r="W360" s="7" t="e">
        <f t="shared" si="137"/>
        <v>#N/A</v>
      </c>
      <c r="X360" s="7" t="e">
        <f t="shared" si="138"/>
        <v>#N/A</v>
      </c>
      <c r="Y360" s="7" t="str">
        <f t="shared" si="139"/>
        <v/>
      </c>
      <c r="Z360" s="11">
        <f t="shared" si="140"/>
        <v>1</v>
      </c>
      <c r="AA360" s="7" t="e">
        <f t="shared" si="141"/>
        <v>#N/A</v>
      </c>
      <c r="AB360" s="7" t="e">
        <f t="shared" si="142"/>
        <v>#N/A</v>
      </c>
      <c r="AC360" s="7" t="e">
        <f t="shared" si="143"/>
        <v>#N/A</v>
      </c>
      <c r="AD360" s="472" t="e">
        <f>VLOOKUP(AF360,'排出係数(2017)'!$A$4:$I$1151,9,FALSE)</f>
        <v>#N/A</v>
      </c>
      <c r="AE360" s="12" t="str">
        <f t="shared" si="144"/>
        <v xml:space="preserve"> </v>
      </c>
      <c r="AF360" s="7" t="e">
        <f t="shared" si="159"/>
        <v>#N/A</v>
      </c>
      <c r="AG360" s="7" t="e">
        <f t="shared" si="145"/>
        <v>#N/A</v>
      </c>
      <c r="AH360" s="472" t="e">
        <f>VLOOKUP(AF360,'排出係数(2017)'!$A$4:$I$1151,6,FALSE)</f>
        <v>#N/A</v>
      </c>
      <c r="AI360" s="7" t="e">
        <f t="shared" si="146"/>
        <v>#N/A</v>
      </c>
      <c r="AJ360" s="7" t="e">
        <f t="shared" si="147"/>
        <v>#N/A</v>
      </c>
      <c r="AK360" s="472" t="e">
        <f>VLOOKUP(AF360,'排出係数(2017)'!$A$4:$I$1151,7,FALSE)</f>
        <v>#N/A</v>
      </c>
      <c r="AL360" s="7" t="e">
        <f t="shared" si="148"/>
        <v>#N/A</v>
      </c>
      <c r="AM360" s="7" t="e">
        <f t="shared" si="149"/>
        <v>#N/A</v>
      </c>
      <c r="AN360" s="7" t="e">
        <f t="shared" si="150"/>
        <v>#N/A</v>
      </c>
      <c r="AO360" s="7">
        <f t="shared" si="151"/>
        <v>0</v>
      </c>
      <c r="AP360" s="7" t="e">
        <f t="shared" si="160"/>
        <v>#N/A</v>
      </c>
      <c r="AQ360" s="7" t="str">
        <f t="shared" si="152"/>
        <v/>
      </c>
      <c r="AR360" s="7" t="str">
        <f t="shared" si="153"/>
        <v/>
      </c>
      <c r="AS360" s="7" t="str">
        <f t="shared" si="154"/>
        <v/>
      </c>
      <c r="AT360" s="97"/>
      <c r="AZ360" s="477" t="s">
        <v>1237</v>
      </c>
      <c r="CF360" s="586" t="str">
        <f t="shared" si="161"/>
        <v/>
      </c>
      <c r="CG360"/>
      <c r="CH360"/>
    </row>
    <row r="361" spans="1:86" s="13" customFormat="1" ht="13.75" customHeight="1">
      <c r="A361" s="137">
        <v>346</v>
      </c>
      <c r="B361" s="138"/>
      <c r="C361" s="139"/>
      <c r="D361" s="140"/>
      <c r="E361" s="139"/>
      <c r="F361" s="139"/>
      <c r="G361" s="191"/>
      <c r="H361" s="139"/>
      <c r="I361" s="141"/>
      <c r="J361" s="142"/>
      <c r="K361" s="139"/>
      <c r="L361" s="147"/>
      <c r="M361" s="148"/>
      <c r="N361" s="583"/>
      <c r="O361" s="229" t="str">
        <f t="shared" si="155"/>
        <v/>
      </c>
      <c r="P361" s="229" t="str">
        <f t="shared" si="156"/>
        <v/>
      </c>
      <c r="Q361" s="230" t="str">
        <f t="shared" si="157"/>
        <v/>
      </c>
      <c r="R361" s="323" t="str">
        <f t="shared" si="158"/>
        <v/>
      </c>
      <c r="S361" s="350"/>
      <c r="T361" s="43"/>
      <c r="U361" s="347" t="str">
        <f t="shared" si="135"/>
        <v/>
      </c>
      <c r="V361" s="7" t="e">
        <f t="shared" si="136"/>
        <v>#N/A</v>
      </c>
      <c r="W361" s="7" t="e">
        <f t="shared" si="137"/>
        <v>#N/A</v>
      </c>
      <c r="X361" s="7" t="e">
        <f t="shared" si="138"/>
        <v>#N/A</v>
      </c>
      <c r="Y361" s="7" t="str">
        <f t="shared" si="139"/>
        <v/>
      </c>
      <c r="Z361" s="11">
        <f t="shared" si="140"/>
        <v>1</v>
      </c>
      <c r="AA361" s="7" t="e">
        <f t="shared" si="141"/>
        <v>#N/A</v>
      </c>
      <c r="AB361" s="7" t="e">
        <f t="shared" si="142"/>
        <v>#N/A</v>
      </c>
      <c r="AC361" s="7" t="e">
        <f t="shared" si="143"/>
        <v>#N/A</v>
      </c>
      <c r="AD361" s="472" t="e">
        <f>VLOOKUP(AF361,'排出係数(2017)'!$A$4:$I$1151,9,FALSE)</f>
        <v>#N/A</v>
      </c>
      <c r="AE361" s="12" t="str">
        <f t="shared" si="144"/>
        <v xml:space="preserve"> </v>
      </c>
      <c r="AF361" s="7" t="e">
        <f t="shared" si="159"/>
        <v>#N/A</v>
      </c>
      <c r="AG361" s="7" t="e">
        <f t="shared" si="145"/>
        <v>#N/A</v>
      </c>
      <c r="AH361" s="472" t="e">
        <f>VLOOKUP(AF361,'排出係数(2017)'!$A$4:$I$1151,6,FALSE)</f>
        <v>#N/A</v>
      </c>
      <c r="AI361" s="7" t="e">
        <f t="shared" si="146"/>
        <v>#N/A</v>
      </c>
      <c r="AJ361" s="7" t="e">
        <f t="shared" si="147"/>
        <v>#N/A</v>
      </c>
      <c r="AK361" s="472" t="e">
        <f>VLOOKUP(AF361,'排出係数(2017)'!$A$4:$I$1151,7,FALSE)</f>
        <v>#N/A</v>
      </c>
      <c r="AL361" s="7" t="e">
        <f t="shared" si="148"/>
        <v>#N/A</v>
      </c>
      <c r="AM361" s="7" t="e">
        <f t="shared" si="149"/>
        <v>#N/A</v>
      </c>
      <c r="AN361" s="7" t="e">
        <f t="shared" si="150"/>
        <v>#N/A</v>
      </c>
      <c r="AO361" s="7">
        <f t="shared" si="151"/>
        <v>0</v>
      </c>
      <c r="AP361" s="7" t="e">
        <f t="shared" si="160"/>
        <v>#N/A</v>
      </c>
      <c r="AQ361" s="7" t="str">
        <f t="shared" si="152"/>
        <v/>
      </c>
      <c r="AR361" s="7" t="str">
        <f t="shared" si="153"/>
        <v/>
      </c>
      <c r="AS361" s="7" t="str">
        <f t="shared" si="154"/>
        <v/>
      </c>
      <c r="AT361" s="97"/>
      <c r="AZ361" s="477" t="s">
        <v>144</v>
      </c>
      <c r="CF361" s="586" t="str">
        <f t="shared" si="161"/>
        <v/>
      </c>
      <c r="CG361"/>
      <c r="CH361"/>
    </row>
    <row r="362" spans="1:86" s="13" customFormat="1" ht="13.75" customHeight="1">
      <c r="A362" s="137">
        <v>347</v>
      </c>
      <c r="B362" s="138"/>
      <c r="C362" s="139"/>
      <c r="D362" s="140"/>
      <c r="E362" s="139"/>
      <c r="F362" s="139"/>
      <c r="G362" s="191"/>
      <c r="H362" s="139"/>
      <c r="I362" s="141"/>
      <c r="J362" s="142"/>
      <c r="K362" s="139"/>
      <c r="L362" s="147"/>
      <c r="M362" s="148"/>
      <c r="N362" s="583"/>
      <c r="O362" s="229" t="str">
        <f t="shared" si="155"/>
        <v/>
      </c>
      <c r="P362" s="229" t="str">
        <f t="shared" si="156"/>
        <v/>
      </c>
      <c r="Q362" s="230" t="str">
        <f t="shared" si="157"/>
        <v/>
      </c>
      <c r="R362" s="323" t="str">
        <f t="shared" si="158"/>
        <v/>
      </c>
      <c r="S362" s="350"/>
      <c r="T362" s="43"/>
      <c r="U362" s="347" t="str">
        <f t="shared" si="135"/>
        <v/>
      </c>
      <c r="V362" s="7" t="e">
        <f t="shared" si="136"/>
        <v>#N/A</v>
      </c>
      <c r="W362" s="7" t="e">
        <f t="shared" si="137"/>
        <v>#N/A</v>
      </c>
      <c r="X362" s="7" t="e">
        <f t="shared" si="138"/>
        <v>#N/A</v>
      </c>
      <c r="Y362" s="7" t="str">
        <f t="shared" si="139"/>
        <v/>
      </c>
      <c r="Z362" s="11">
        <f t="shared" si="140"/>
        <v>1</v>
      </c>
      <c r="AA362" s="7" t="e">
        <f t="shared" si="141"/>
        <v>#N/A</v>
      </c>
      <c r="AB362" s="7" t="e">
        <f t="shared" si="142"/>
        <v>#N/A</v>
      </c>
      <c r="AC362" s="7" t="e">
        <f t="shared" si="143"/>
        <v>#N/A</v>
      </c>
      <c r="AD362" s="472" t="e">
        <f>VLOOKUP(AF362,'排出係数(2017)'!$A$4:$I$1151,9,FALSE)</f>
        <v>#N/A</v>
      </c>
      <c r="AE362" s="12" t="str">
        <f t="shared" si="144"/>
        <v xml:space="preserve"> </v>
      </c>
      <c r="AF362" s="7" t="e">
        <f t="shared" si="159"/>
        <v>#N/A</v>
      </c>
      <c r="AG362" s="7" t="e">
        <f t="shared" si="145"/>
        <v>#N/A</v>
      </c>
      <c r="AH362" s="472" t="e">
        <f>VLOOKUP(AF362,'排出係数(2017)'!$A$4:$I$1151,6,FALSE)</f>
        <v>#N/A</v>
      </c>
      <c r="AI362" s="7" t="e">
        <f t="shared" si="146"/>
        <v>#N/A</v>
      </c>
      <c r="AJ362" s="7" t="e">
        <f t="shared" si="147"/>
        <v>#N/A</v>
      </c>
      <c r="AK362" s="472" t="e">
        <f>VLOOKUP(AF362,'排出係数(2017)'!$A$4:$I$1151,7,FALSE)</f>
        <v>#N/A</v>
      </c>
      <c r="AL362" s="7" t="e">
        <f t="shared" si="148"/>
        <v>#N/A</v>
      </c>
      <c r="AM362" s="7" t="e">
        <f t="shared" si="149"/>
        <v>#N/A</v>
      </c>
      <c r="AN362" s="7" t="e">
        <f t="shared" si="150"/>
        <v>#N/A</v>
      </c>
      <c r="AO362" s="7">
        <f t="shared" si="151"/>
        <v>0</v>
      </c>
      <c r="AP362" s="7" t="e">
        <f t="shared" si="160"/>
        <v>#N/A</v>
      </c>
      <c r="AQ362" s="7" t="str">
        <f t="shared" si="152"/>
        <v/>
      </c>
      <c r="AR362" s="7" t="str">
        <f t="shared" si="153"/>
        <v/>
      </c>
      <c r="AS362" s="7" t="str">
        <f t="shared" si="154"/>
        <v/>
      </c>
      <c r="AT362" s="97"/>
      <c r="AZ362" s="477" t="s">
        <v>145</v>
      </c>
      <c r="CF362" s="586" t="str">
        <f t="shared" si="161"/>
        <v/>
      </c>
      <c r="CG362"/>
      <c r="CH362"/>
    </row>
    <row r="363" spans="1:86" s="13" customFormat="1" ht="13.75" customHeight="1">
      <c r="A363" s="137">
        <v>348</v>
      </c>
      <c r="B363" s="138"/>
      <c r="C363" s="139"/>
      <c r="D363" s="140"/>
      <c r="E363" s="139"/>
      <c r="F363" s="139"/>
      <c r="G363" s="191"/>
      <c r="H363" s="139"/>
      <c r="I363" s="141"/>
      <c r="J363" s="142"/>
      <c r="K363" s="139"/>
      <c r="L363" s="147"/>
      <c r="M363" s="148"/>
      <c r="N363" s="583"/>
      <c r="O363" s="229" t="str">
        <f t="shared" si="155"/>
        <v/>
      </c>
      <c r="P363" s="229" t="str">
        <f t="shared" si="156"/>
        <v/>
      </c>
      <c r="Q363" s="230" t="str">
        <f t="shared" si="157"/>
        <v/>
      </c>
      <c r="R363" s="323" t="str">
        <f t="shared" si="158"/>
        <v/>
      </c>
      <c r="S363" s="350"/>
      <c r="T363" s="43"/>
      <c r="U363" s="347" t="str">
        <f t="shared" si="135"/>
        <v/>
      </c>
      <c r="V363" s="7" t="e">
        <f t="shared" si="136"/>
        <v>#N/A</v>
      </c>
      <c r="W363" s="7" t="e">
        <f t="shared" si="137"/>
        <v>#N/A</v>
      </c>
      <c r="X363" s="7" t="e">
        <f t="shared" si="138"/>
        <v>#N/A</v>
      </c>
      <c r="Y363" s="7" t="str">
        <f t="shared" si="139"/>
        <v/>
      </c>
      <c r="Z363" s="11">
        <f t="shared" si="140"/>
        <v>1</v>
      </c>
      <c r="AA363" s="7" t="e">
        <f t="shared" si="141"/>
        <v>#N/A</v>
      </c>
      <c r="AB363" s="7" t="e">
        <f t="shared" si="142"/>
        <v>#N/A</v>
      </c>
      <c r="AC363" s="7" t="e">
        <f t="shared" si="143"/>
        <v>#N/A</v>
      </c>
      <c r="AD363" s="472" t="e">
        <f>VLOOKUP(AF363,'排出係数(2017)'!$A$4:$I$1151,9,FALSE)</f>
        <v>#N/A</v>
      </c>
      <c r="AE363" s="12" t="str">
        <f t="shared" si="144"/>
        <v xml:space="preserve"> </v>
      </c>
      <c r="AF363" s="7" t="e">
        <f t="shared" si="159"/>
        <v>#N/A</v>
      </c>
      <c r="AG363" s="7" t="e">
        <f t="shared" si="145"/>
        <v>#N/A</v>
      </c>
      <c r="AH363" s="472" t="e">
        <f>VLOOKUP(AF363,'排出係数(2017)'!$A$4:$I$1151,6,FALSE)</f>
        <v>#N/A</v>
      </c>
      <c r="AI363" s="7" t="e">
        <f t="shared" si="146"/>
        <v>#N/A</v>
      </c>
      <c r="AJ363" s="7" t="e">
        <f t="shared" si="147"/>
        <v>#N/A</v>
      </c>
      <c r="AK363" s="472" t="e">
        <f>VLOOKUP(AF363,'排出係数(2017)'!$A$4:$I$1151,7,FALSE)</f>
        <v>#N/A</v>
      </c>
      <c r="AL363" s="7" t="e">
        <f t="shared" si="148"/>
        <v>#N/A</v>
      </c>
      <c r="AM363" s="7" t="e">
        <f t="shared" si="149"/>
        <v>#N/A</v>
      </c>
      <c r="AN363" s="7" t="e">
        <f t="shared" si="150"/>
        <v>#N/A</v>
      </c>
      <c r="AO363" s="7">
        <f t="shared" si="151"/>
        <v>0</v>
      </c>
      <c r="AP363" s="7" t="e">
        <f t="shared" si="160"/>
        <v>#N/A</v>
      </c>
      <c r="AQ363" s="7" t="str">
        <f t="shared" si="152"/>
        <v/>
      </c>
      <c r="AR363" s="7" t="str">
        <f t="shared" si="153"/>
        <v/>
      </c>
      <c r="AS363" s="7" t="str">
        <f t="shared" si="154"/>
        <v/>
      </c>
      <c r="AT363" s="97"/>
      <c r="AZ363" s="477" t="s">
        <v>146</v>
      </c>
      <c r="CF363" s="586" t="str">
        <f t="shared" si="161"/>
        <v/>
      </c>
      <c r="CG363"/>
      <c r="CH363"/>
    </row>
    <row r="364" spans="1:86" s="13" customFormat="1" ht="13.75" customHeight="1">
      <c r="A364" s="137">
        <v>349</v>
      </c>
      <c r="B364" s="138"/>
      <c r="C364" s="139"/>
      <c r="D364" s="140"/>
      <c r="E364" s="139"/>
      <c r="F364" s="139"/>
      <c r="G364" s="191"/>
      <c r="H364" s="139"/>
      <c r="I364" s="141"/>
      <c r="J364" s="142"/>
      <c r="K364" s="139"/>
      <c r="L364" s="147"/>
      <c r="M364" s="148"/>
      <c r="N364" s="583"/>
      <c r="O364" s="229" t="str">
        <f t="shared" si="155"/>
        <v/>
      </c>
      <c r="P364" s="229" t="str">
        <f t="shared" si="156"/>
        <v/>
      </c>
      <c r="Q364" s="230" t="str">
        <f t="shared" si="157"/>
        <v/>
      </c>
      <c r="R364" s="323" t="str">
        <f t="shared" si="158"/>
        <v/>
      </c>
      <c r="S364" s="350"/>
      <c r="T364" s="43"/>
      <c r="U364" s="347" t="str">
        <f t="shared" si="135"/>
        <v/>
      </c>
      <c r="V364" s="7" t="e">
        <f t="shared" si="136"/>
        <v>#N/A</v>
      </c>
      <c r="W364" s="7" t="e">
        <f t="shared" si="137"/>
        <v>#N/A</v>
      </c>
      <c r="X364" s="7" t="e">
        <f t="shared" si="138"/>
        <v>#N/A</v>
      </c>
      <c r="Y364" s="7" t="str">
        <f t="shared" si="139"/>
        <v/>
      </c>
      <c r="Z364" s="11">
        <f t="shared" si="140"/>
        <v>1</v>
      </c>
      <c r="AA364" s="7" t="e">
        <f t="shared" si="141"/>
        <v>#N/A</v>
      </c>
      <c r="AB364" s="7" t="e">
        <f t="shared" si="142"/>
        <v>#N/A</v>
      </c>
      <c r="AC364" s="7" t="e">
        <f t="shared" si="143"/>
        <v>#N/A</v>
      </c>
      <c r="AD364" s="472" t="e">
        <f>VLOOKUP(AF364,'排出係数(2017)'!$A$4:$I$1151,9,FALSE)</f>
        <v>#N/A</v>
      </c>
      <c r="AE364" s="12" t="str">
        <f t="shared" si="144"/>
        <v xml:space="preserve"> </v>
      </c>
      <c r="AF364" s="7" t="e">
        <f t="shared" si="159"/>
        <v>#N/A</v>
      </c>
      <c r="AG364" s="7" t="e">
        <f t="shared" si="145"/>
        <v>#N/A</v>
      </c>
      <c r="AH364" s="472" t="e">
        <f>VLOOKUP(AF364,'排出係数(2017)'!$A$4:$I$1151,6,FALSE)</f>
        <v>#N/A</v>
      </c>
      <c r="AI364" s="7" t="e">
        <f t="shared" si="146"/>
        <v>#N/A</v>
      </c>
      <c r="AJ364" s="7" t="e">
        <f t="shared" si="147"/>
        <v>#N/A</v>
      </c>
      <c r="AK364" s="472" t="e">
        <f>VLOOKUP(AF364,'排出係数(2017)'!$A$4:$I$1151,7,FALSE)</f>
        <v>#N/A</v>
      </c>
      <c r="AL364" s="7" t="e">
        <f t="shared" si="148"/>
        <v>#N/A</v>
      </c>
      <c r="AM364" s="7" t="e">
        <f t="shared" si="149"/>
        <v>#N/A</v>
      </c>
      <c r="AN364" s="7" t="e">
        <f t="shared" si="150"/>
        <v>#N/A</v>
      </c>
      <c r="AO364" s="7">
        <f t="shared" si="151"/>
        <v>0</v>
      </c>
      <c r="AP364" s="7" t="e">
        <f t="shared" si="160"/>
        <v>#N/A</v>
      </c>
      <c r="AQ364" s="7" t="str">
        <f t="shared" si="152"/>
        <v/>
      </c>
      <c r="AR364" s="7" t="str">
        <f t="shared" si="153"/>
        <v/>
      </c>
      <c r="AS364" s="7" t="str">
        <f t="shared" si="154"/>
        <v/>
      </c>
      <c r="AT364" s="97"/>
      <c r="AZ364" s="477" t="s">
        <v>1041</v>
      </c>
      <c r="CF364" s="586" t="str">
        <f t="shared" si="161"/>
        <v/>
      </c>
      <c r="CG364"/>
      <c r="CH364"/>
    </row>
    <row r="365" spans="1:86" s="13" customFormat="1" ht="13.75" customHeight="1">
      <c r="A365" s="137">
        <v>350</v>
      </c>
      <c r="B365" s="138"/>
      <c r="C365" s="139"/>
      <c r="D365" s="140"/>
      <c r="E365" s="139"/>
      <c r="F365" s="139"/>
      <c r="G365" s="191"/>
      <c r="H365" s="139"/>
      <c r="I365" s="141"/>
      <c r="J365" s="142"/>
      <c r="K365" s="139"/>
      <c r="L365" s="147"/>
      <c r="M365" s="148"/>
      <c r="N365" s="583"/>
      <c r="O365" s="229" t="str">
        <f t="shared" si="155"/>
        <v/>
      </c>
      <c r="P365" s="229" t="str">
        <f t="shared" si="156"/>
        <v/>
      </c>
      <c r="Q365" s="230" t="str">
        <f t="shared" si="157"/>
        <v/>
      </c>
      <c r="R365" s="323" t="str">
        <f t="shared" si="158"/>
        <v/>
      </c>
      <c r="S365" s="350"/>
      <c r="T365" s="43"/>
      <c r="U365" s="347" t="str">
        <f t="shared" si="135"/>
        <v/>
      </c>
      <c r="V365" s="7" t="e">
        <f t="shared" si="136"/>
        <v>#N/A</v>
      </c>
      <c r="W365" s="7" t="e">
        <f t="shared" si="137"/>
        <v>#N/A</v>
      </c>
      <c r="X365" s="7" t="e">
        <f t="shared" si="138"/>
        <v>#N/A</v>
      </c>
      <c r="Y365" s="7" t="str">
        <f t="shared" si="139"/>
        <v/>
      </c>
      <c r="Z365" s="11">
        <f t="shared" si="140"/>
        <v>1</v>
      </c>
      <c r="AA365" s="7" t="e">
        <f t="shared" si="141"/>
        <v>#N/A</v>
      </c>
      <c r="AB365" s="7" t="e">
        <f t="shared" si="142"/>
        <v>#N/A</v>
      </c>
      <c r="AC365" s="7" t="e">
        <f t="shared" si="143"/>
        <v>#N/A</v>
      </c>
      <c r="AD365" s="472" t="e">
        <f>VLOOKUP(AF365,'排出係数(2017)'!$A$4:$I$1151,9,FALSE)</f>
        <v>#N/A</v>
      </c>
      <c r="AE365" s="12" t="str">
        <f t="shared" si="144"/>
        <v xml:space="preserve"> </v>
      </c>
      <c r="AF365" s="7" t="e">
        <f t="shared" si="159"/>
        <v>#N/A</v>
      </c>
      <c r="AG365" s="7" t="e">
        <f t="shared" si="145"/>
        <v>#N/A</v>
      </c>
      <c r="AH365" s="472" t="e">
        <f>VLOOKUP(AF365,'排出係数(2017)'!$A$4:$I$1151,6,FALSE)</f>
        <v>#N/A</v>
      </c>
      <c r="AI365" s="7" t="e">
        <f t="shared" si="146"/>
        <v>#N/A</v>
      </c>
      <c r="AJ365" s="7" t="e">
        <f t="shared" si="147"/>
        <v>#N/A</v>
      </c>
      <c r="AK365" s="472" t="e">
        <f>VLOOKUP(AF365,'排出係数(2017)'!$A$4:$I$1151,7,FALSE)</f>
        <v>#N/A</v>
      </c>
      <c r="AL365" s="7" t="e">
        <f t="shared" si="148"/>
        <v>#N/A</v>
      </c>
      <c r="AM365" s="7" t="e">
        <f t="shared" si="149"/>
        <v>#N/A</v>
      </c>
      <c r="AN365" s="7" t="e">
        <f t="shared" si="150"/>
        <v>#N/A</v>
      </c>
      <c r="AO365" s="7">
        <f t="shared" si="151"/>
        <v>0</v>
      </c>
      <c r="AP365" s="7" t="e">
        <f t="shared" si="160"/>
        <v>#N/A</v>
      </c>
      <c r="AQ365" s="7" t="str">
        <f t="shared" si="152"/>
        <v/>
      </c>
      <c r="AR365" s="7" t="str">
        <f t="shared" si="153"/>
        <v/>
      </c>
      <c r="AS365" s="7" t="str">
        <f t="shared" si="154"/>
        <v/>
      </c>
      <c r="AT365" s="97"/>
      <c r="AZ365" s="477" t="s">
        <v>147</v>
      </c>
      <c r="CF365" s="586" t="str">
        <f t="shared" si="161"/>
        <v/>
      </c>
      <c r="CG365"/>
      <c r="CH365"/>
    </row>
    <row r="366" spans="1:86" s="13" customFormat="1" ht="13.75" customHeight="1">
      <c r="A366" s="137">
        <v>351</v>
      </c>
      <c r="B366" s="138"/>
      <c r="C366" s="139"/>
      <c r="D366" s="140"/>
      <c r="E366" s="139"/>
      <c r="F366" s="139"/>
      <c r="G366" s="191"/>
      <c r="H366" s="139"/>
      <c r="I366" s="141"/>
      <c r="J366" s="142"/>
      <c r="K366" s="139"/>
      <c r="L366" s="147"/>
      <c r="M366" s="148"/>
      <c r="N366" s="583"/>
      <c r="O366" s="229" t="str">
        <f t="shared" si="155"/>
        <v/>
      </c>
      <c r="P366" s="229" t="str">
        <f t="shared" si="156"/>
        <v/>
      </c>
      <c r="Q366" s="230" t="str">
        <f t="shared" si="157"/>
        <v/>
      </c>
      <c r="R366" s="323" t="str">
        <f t="shared" si="158"/>
        <v/>
      </c>
      <c r="S366" s="350"/>
      <c r="T366" s="43"/>
      <c r="U366" s="347" t="str">
        <f t="shared" si="135"/>
        <v/>
      </c>
      <c r="V366" s="7" t="e">
        <f t="shared" si="136"/>
        <v>#N/A</v>
      </c>
      <c r="W366" s="7" t="e">
        <f t="shared" si="137"/>
        <v>#N/A</v>
      </c>
      <c r="X366" s="7" t="e">
        <f t="shared" si="138"/>
        <v>#N/A</v>
      </c>
      <c r="Y366" s="7" t="str">
        <f t="shared" si="139"/>
        <v/>
      </c>
      <c r="Z366" s="11">
        <f t="shared" si="140"/>
        <v>1</v>
      </c>
      <c r="AA366" s="7" t="e">
        <f t="shared" si="141"/>
        <v>#N/A</v>
      </c>
      <c r="AB366" s="7" t="e">
        <f t="shared" si="142"/>
        <v>#N/A</v>
      </c>
      <c r="AC366" s="7" t="e">
        <f t="shared" si="143"/>
        <v>#N/A</v>
      </c>
      <c r="AD366" s="472" t="e">
        <f>VLOOKUP(AF366,'排出係数(2017)'!$A$4:$I$1151,9,FALSE)</f>
        <v>#N/A</v>
      </c>
      <c r="AE366" s="12" t="str">
        <f t="shared" si="144"/>
        <v xml:space="preserve"> </v>
      </c>
      <c r="AF366" s="7" t="e">
        <f t="shared" si="159"/>
        <v>#N/A</v>
      </c>
      <c r="AG366" s="7" t="e">
        <f t="shared" si="145"/>
        <v>#N/A</v>
      </c>
      <c r="AH366" s="472" t="e">
        <f>VLOOKUP(AF366,'排出係数(2017)'!$A$4:$I$1151,6,FALSE)</f>
        <v>#N/A</v>
      </c>
      <c r="AI366" s="7" t="e">
        <f t="shared" si="146"/>
        <v>#N/A</v>
      </c>
      <c r="AJ366" s="7" t="e">
        <f t="shared" si="147"/>
        <v>#N/A</v>
      </c>
      <c r="AK366" s="472" t="e">
        <f>VLOOKUP(AF366,'排出係数(2017)'!$A$4:$I$1151,7,FALSE)</f>
        <v>#N/A</v>
      </c>
      <c r="AL366" s="7" t="e">
        <f t="shared" si="148"/>
        <v>#N/A</v>
      </c>
      <c r="AM366" s="7" t="e">
        <f t="shared" si="149"/>
        <v>#N/A</v>
      </c>
      <c r="AN366" s="7" t="e">
        <f t="shared" si="150"/>
        <v>#N/A</v>
      </c>
      <c r="AO366" s="7">
        <f t="shared" si="151"/>
        <v>0</v>
      </c>
      <c r="AP366" s="7" t="e">
        <f t="shared" si="160"/>
        <v>#N/A</v>
      </c>
      <c r="AQ366" s="7" t="str">
        <f t="shared" si="152"/>
        <v/>
      </c>
      <c r="AR366" s="7" t="str">
        <f t="shared" si="153"/>
        <v/>
      </c>
      <c r="AS366" s="7" t="str">
        <f t="shared" si="154"/>
        <v/>
      </c>
      <c r="AT366" s="97"/>
      <c r="AZ366" s="477" t="s">
        <v>1045</v>
      </c>
      <c r="CF366" s="586" t="str">
        <f t="shared" si="161"/>
        <v/>
      </c>
      <c r="CG366"/>
      <c r="CH366"/>
    </row>
    <row r="367" spans="1:86" s="13" customFormat="1" ht="13.75" customHeight="1">
      <c r="A367" s="137">
        <v>352</v>
      </c>
      <c r="B367" s="138"/>
      <c r="C367" s="139"/>
      <c r="D367" s="140"/>
      <c r="E367" s="139"/>
      <c r="F367" s="139"/>
      <c r="G367" s="191"/>
      <c r="H367" s="139"/>
      <c r="I367" s="141"/>
      <c r="J367" s="142"/>
      <c r="K367" s="139"/>
      <c r="L367" s="147"/>
      <c r="M367" s="148"/>
      <c r="N367" s="583"/>
      <c r="O367" s="229" t="str">
        <f t="shared" si="155"/>
        <v/>
      </c>
      <c r="P367" s="229" t="str">
        <f t="shared" si="156"/>
        <v/>
      </c>
      <c r="Q367" s="230" t="str">
        <f t="shared" si="157"/>
        <v/>
      </c>
      <c r="R367" s="323" t="str">
        <f t="shared" si="158"/>
        <v/>
      </c>
      <c r="S367" s="350"/>
      <c r="T367" s="43"/>
      <c r="U367" s="347" t="str">
        <f t="shared" si="135"/>
        <v/>
      </c>
      <c r="V367" s="7" t="e">
        <f t="shared" si="136"/>
        <v>#N/A</v>
      </c>
      <c r="W367" s="7" t="e">
        <f t="shared" si="137"/>
        <v>#N/A</v>
      </c>
      <c r="X367" s="7" t="e">
        <f t="shared" si="138"/>
        <v>#N/A</v>
      </c>
      <c r="Y367" s="7" t="str">
        <f t="shared" si="139"/>
        <v/>
      </c>
      <c r="Z367" s="11">
        <f t="shared" si="140"/>
        <v>1</v>
      </c>
      <c r="AA367" s="7" t="e">
        <f t="shared" si="141"/>
        <v>#N/A</v>
      </c>
      <c r="AB367" s="7" t="e">
        <f t="shared" si="142"/>
        <v>#N/A</v>
      </c>
      <c r="AC367" s="7" t="e">
        <f t="shared" si="143"/>
        <v>#N/A</v>
      </c>
      <c r="AD367" s="472" t="e">
        <f>VLOOKUP(AF367,'排出係数(2017)'!$A$4:$I$1151,9,FALSE)</f>
        <v>#N/A</v>
      </c>
      <c r="AE367" s="12" t="str">
        <f t="shared" si="144"/>
        <v xml:space="preserve"> </v>
      </c>
      <c r="AF367" s="7" t="e">
        <f t="shared" si="159"/>
        <v>#N/A</v>
      </c>
      <c r="AG367" s="7" t="e">
        <f t="shared" si="145"/>
        <v>#N/A</v>
      </c>
      <c r="AH367" s="472" t="e">
        <f>VLOOKUP(AF367,'排出係数(2017)'!$A$4:$I$1151,6,FALSE)</f>
        <v>#N/A</v>
      </c>
      <c r="AI367" s="7" t="e">
        <f t="shared" si="146"/>
        <v>#N/A</v>
      </c>
      <c r="AJ367" s="7" t="e">
        <f t="shared" si="147"/>
        <v>#N/A</v>
      </c>
      <c r="AK367" s="472" t="e">
        <f>VLOOKUP(AF367,'排出係数(2017)'!$A$4:$I$1151,7,FALSE)</f>
        <v>#N/A</v>
      </c>
      <c r="AL367" s="7" t="e">
        <f t="shared" si="148"/>
        <v>#N/A</v>
      </c>
      <c r="AM367" s="7" t="e">
        <f t="shared" si="149"/>
        <v>#N/A</v>
      </c>
      <c r="AN367" s="7" t="e">
        <f t="shared" si="150"/>
        <v>#N/A</v>
      </c>
      <c r="AO367" s="7">
        <f t="shared" si="151"/>
        <v>0</v>
      </c>
      <c r="AP367" s="7" t="e">
        <f t="shared" si="160"/>
        <v>#N/A</v>
      </c>
      <c r="AQ367" s="7" t="str">
        <f t="shared" si="152"/>
        <v/>
      </c>
      <c r="AR367" s="7" t="str">
        <f t="shared" si="153"/>
        <v/>
      </c>
      <c r="AS367" s="7" t="str">
        <f t="shared" si="154"/>
        <v/>
      </c>
      <c r="AT367" s="97"/>
      <c r="AZ367" s="477" t="s">
        <v>148</v>
      </c>
      <c r="CF367" s="586" t="str">
        <f t="shared" si="161"/>
        <v/>
      </c>
      <c r="CG367"/>
      <c r="CH367"/>
    </row>
    <row r="368" spans="1:86" s="13" customFormat="1" ht="13.75" customHeight="1">
      <c r="A368" s="137">
        <v>353</v>
      </c>
      <c r="B368" s="138"/>
      <c r="C368" s="139"/>
      <c r="D368" s="140"/>
      <c r="E368" s="139"/>
      <c r="F368" s="139"/>
      <c r="G368" s="191"/>
      <c r="H368" s="139"/>
      <c r="I368" s="141"/>
      <c r="J368" s="142"/>
      <c r="K368" s="139"/>
      <c r="L368" s="147"/>
      <c r="M368" s="148"/>
      <c r="N368" s="583"/>
      <c r="O368" s="229" t="str">
        <f t="shared" si="155"/>
        <v/>
      </c>
      <c r="P368" s="229" t="str">
        <f t="shared" si="156"/>
        <v/>
      </c>
      <c r="Q368" s="230" t="str">
        <f t="shared" si="157"/>
        <v/>
      </c>
      <c r="R368" s="323" t="str">
        <f t="shared" si="158"/>
        <v/>
      </c>
      <c r="S368" s="350"/>
      <c r="T368" s="43"/>
      <c r="U368" s="347" t="str">
        <f t="shared" si="135"/>
        <v/>
      </c>
      <c r="V368" s="7" t="e">
        <f t="shared" si="136"/>
        <v>#N/A</v>
      </c>
      <c r="W368" s="7" t="e">
        <f t="shared" si="137"/>
        <v>#N/A</v>
      </c>
      <c r="X368" s="7" t="e">
        <f t="shared" si="138"/>
        <v>#N/A</v>
      </c>
      <c r="Y368" s="7" t="str">
        <f t="shared" si="139"/>
        <v/>
      </c>
      <c r="Z368" s="11">
        <f t="shared" si="140"/>
        <v>1</v>
      </c>
      <c r="AA368" s="7" t="e">
        <f t="shared" si="141"/>
        <v>#N/A</v>
      </c>
      <c r="AB368" s="7" t="e">
        <f t="shared" si="142"/>
        <v>#N/A</v>
      </c>
      <c r="AC368" s="7" t="e">
        <f t="shared" si="143"/>
        <v>#N/A</v>
      </c>
      <c r="AD368" s="472" t="e">
        <f>VLOOKUP(AF368,'排出係数(2017)'!$A$4:$I$1151,9,FALSE)</f>
        <v>#N/A</v>
      </c>
      <c r="AE368" s="12" t="str">
        <f t="shared" si="144"/>
        <v xml:space="preserve"> </v>
      </c>
      <c r="AF368" s="7" t="e">
        <f t="shared" si="159"/>
        <v>#N/A</v>
      </c>
      <c r="AG368" s="7" t="e">
        <f t="shared" si="145"/>
        <v>#N/A</v>
      </c>
      <c r="AH368" s="472" t="e">
        <f>VLOOKUP(AF368,'排出係数(2017)'!$A$4:$I$1151,6,FALSE)</f>
        <v>#N/A</v>
      </c>
      <c r="AI368" s="7" t="e">
        <f t="shared" si="146"/>
        <v>#N/A</v>
      </c>
      <c r="AJ368" s="7" t="e">
        <f t="shared" si="147"/>
        <v>#N/A</v>
      </c>
      <c r="AK368" s="472" t="e">
        <f>VLOOKUP(AF368,'排出係数(2017)'!$A$4:$I$1151,7,FALSE)</f>
        <v>#N/A</v>
      </c>
      <c r="AL368" s="7" t="e">
        <f t="shared" si="148"/>
        <v>#N/A</v>
      </c>
      <c r="AM368" s="7" t="e">
        <f t="shared" si="149"/>
        <v>#N/A</v>
      </c>
      <c r="AN368" s="7" t="e">
        <f t="shared" si="150"/>
        <v>#N/A</v>
      </c>
      <c r="AO368" s="7">
        <f t="shared" si="151"/>
        <v>0</v>
      </c>
      <c r="AP368" s="7" t="e">
        <f t="shared" si="160"/>
        <v>#N/A</v>
      </c>
      <c r="AQ368" s="7" t="str">
        <f t="shared" si="152"/>
        <v/>
      </c>
      <c r="AR368" s="7" t="str">
        <f t="shared" si="153"/>
        <v/>
      </c>
      <c r="AS368" s="7" t="str">
        <f t="shared" si="154"/>
        <v/>
      </c>
      <c r="AT368" s="97"/>
      <c r="AZ368" s="477" t="s">
        <v>2539</v>
      </c>
      <c r="CF368" s="586" t="str">
        <f t="shared" si="161"/>
        <v/>
      </c>
      <c r="CG368"/>
      <c r="CH368"/>
    </row>
    <row r="369" spans="1:86" s="13" customFormat="1" ht="13.75" customHeight="1">
      <c r="A369" s="137">
        <v>354</v>
      </c>
      <c r="B369" s="138"/>
      <c r="C369" s="139"/>
      <c r="D369" s="140"/>
      <c r="E369" s="139"/>
      <c r="F369" s="139"/>
      <c r="G369" s="191"/>
      <c r="H369" s="139"/>
      <c r="I369" s="141"/>
      <c r="J369" s="142"/>
      <c r="K369" s="139"/>
      <c r="L369" s="147"/>
      <c r="M369" s="148"/>
      <c r="N369" s="583"/>
      <c r="O369" s="229" t="str">
        <f t="shared" si="155"/>
        <v/>
      </c>
      <c r="P369" s="229" t="str">
        <f t="shared" si="156"/>
        <v/>
      </c>
      <c r="Q369" s="230" t="str">
        <f t="shared" si="157"/>
        <v/>
      </c>
      <c r="R369" s="323" t="str">
        <f t="shared" si="158"/>
        <v/>
      </c>
      <c r="S369" s="350"/>
      <c r="T369" s="43"/>
      <c r="U369" s="347" t="str">
        <f t="shared" si="135"/>
        <v/>
      </c>
      <c r="V369" s="7" t="e">
        <f t="shared" si="136"/>
        <v>#N/A</v>
      </c>
      <c r="W369" s="7" t="e">
        <f t="shared" si="137"/>
        <v>#N/A</v>
      </c>
      <c r="X369" s="7" t="e">
        <f t="shared" si="138"/>
        <v>#N/A</v>
      </c>
      <c r="Y369" s="7" t="str">
        <f t="shared" si="139"/>
        <v/>
      </c>
      <c r="Z369" s="11">
        <f t="shared" si="140"/>
        <v>1</v>
      </c>
      <c r="AA369" s="7" t="e">
        <f t="shared" si="141"/>
        <v>#N/A</v>
      </c>
      <c r="AB369" s="7" t="e">
        <f t="shared" si="142"/>
        <v>#N/A</v>
      </c>
      <c r="AC369" s="7" t="e">
        <f t="shared" si="143"/>
        <v>#N/A</v>
      </c>
      <c r="AD369" s="472" t="e">
        <f>VLOOKUP(AF369,'排出係数(2017)'!$A$4:$I$1151,9,FALSE)</f>
        <v>#N/A</v>
      </c>
      <c r="AE369" s="12" t="str">
        <f t="shared" si="144"/>
        <v xml:space="preserve"> </v>
      </c>
      <c r="AF369" s="7" t="e">
        <f t="shared" si="159"/>
        <v>#N/A</v>
      </c>
      <c r="AG369" s="7" t="e">
        <f t="shared" si="145"/>
        <v>#N/A</v>
      </c>
      <c r="AH369" s="472" t="e">
        <f>VLOOKUP(AF369,'排出係数(2017)'!$A$4:$I$1151,6,FALSE)</f>
        <v>#N/A</v>
      </c>
      <c r="AI369" s="7" t="e">
        <f t="shared" si="146"/>
        <v>#N/A</v>
      </c>
      <c r="AJ369" s="7" t="e">
        <f t="shared" si="147"/>
        <v>#N/A</v>
      </c>
      <c r="AK369" s="472" t="e">
        <f>VLOOKUP(AF369,'排出係数(2017)'!$A$4:$I$1151,7,FALSE)</f>
        <v>#N/A</v>
      </c>
      <c r="AL369" s="7" t="e">
        <f t="shared" si="148"/>
        <v>#N/A</v>
      </c>
      <c r="AM369" s="7" t="e">
        <f t="shared" si="149"/>
        <v>#N/A</v>
      </c>
      <c r="AN369" s="7" t="e">
        <f t="shared" si="150"/>
        <v>#N/A</v>
      </c>
      <c r="AO369" s="7">
        <f t="shared" si="151"/>
        <v>0</v>
      </c>
      <c r="AP369" s="7" t="e">
        <f t="shared" si="160"/>
        <v>#N/A</v>
      </c>
      <c r="AQ369" s="7" t="str">
        <f t="shared" si="152"/>
        <v/>
      </c>
      <c r="AR369" s="7" t="str">
        <f t="shared" si="153"/>
        <v/>
      </c>
      <c r="AS369" s="7" t="str">
        <f t="shared" si="154"/>
        <v/>
      </c>
      <c r="AT369" s="97"/>
      <c r="AZ369" s="477" t="s">
        <v>149</v>
      </c>
      <c r="CF369" s="586" t="str">
        <f t="shared" si="161"/>
        <v/>
      </c>
      <c r="CG369"/>
      <c r="CH369"/>
    </row>
    <row r="370" spans="1:86" s="13" customFormat="1" ht="13.75" customHeight="1">
      <c r="A370" s="137">
        <v>355</v>
      </c>
      <c r="B370" s="138"/>
      <c r="C370" s="139"/>
      <c r="D370" s="140"/>
      <c r="E370" s="139"/>
      <c r="F370" s="139"/>
      <c r="G370" s="191"/>
      <c r="H370" s="139"/>
      <c r="I370" s="141"/>
      <c r="J370" s="142"/>
      <c r="K370" s="139"/>
      <c r="L370" s="147"/>
      <c r="M370" s="148"/>
      <c r="N370" s="583"/>
      <c r="O370" s="229" t="str">
        <f t="shared" si="155"/>
        <v/>
      </c>
      <c r="P370" s="229" t="str">
        <f t="shared" si="156"/>
        <v/>
      </c>
      <c r="Q370" s="230" t="str">
        <f t="shared" si="157"/>
        <v/>
      </c>
      <c r="R370" s="323" t="str">
        <f t="shared" si="158"/>
        <v/>
      </c>
      <c r="S370" s="350"/>
      <c r="T370" s="43"/>
      <c r="U370" s="347" t="str">
        <f t="shared" si="135"/>
        <v/>
      </c>
      <c r="V370" s="7" t="e">
        <f t="shared" si="136"/>
        <v>#N/A</v>
      </c>
      <c r="W370" s="7" t="e">
        <f t="shared" si="137"/>
        <v>#N/A</v>
      </c>
      <c r="X370" s="7" t="e">
        <f t="shared" si="138"/>
        <v>#N/A</v>
      </c>
      <c r="Y370" s="7" t="str">
        <f t="shared" si="139"/>
        <v/>
      </c>
      <c r="Z370" s="11">
        <f t="shared" si="140"/>
        <v>1</v>
      </c>
      <c r="AA370" s="7" t="e">
        <f t="shared" si="141"/>
        <v>#N/A</v>
      </c>
      <c r="AB370" s="7" t="e">
        <f t="shared" si="142"/>
        <v>#N/A</v>
      </c>
      <c r="AC370" s="7" t="e">
        <f t="shared" si="143"/>
        <v>#N/A</v>
      </c>
      <c r="AD370" s="472" t="e">
        <f>VLOOKUP(AF370,'排出係数(2017)'!$A$4:$I$1151,9,FALSE)</f>
        <v>#N/A</v>
      </c>
      <c r="AE370" s="12" t="str">
        <f t="shared" si="144"/>
        <v xml:space="preserve"> </v>
      </c>
      <c r="AF370" s="7" t="e">
        <f t="shared" si="159"/>
        <v>#N/A</v>
      </c>
      <c r="AG370" s="7" t="e">
        <f t="shared" si="145"/>
        <v>#N/A</v>
      </c>
      <c r="AH370" s="472" t="e">
        <f>VLOOKUP(AF370,'排出係数(2017)'!$A$4:$I$1151,6,FALSE)</f>
        <v>#N/A</v>
      </c>
      <c r="AI370" s="7" t="e">
        <f t="shared" si="146"/>
        <v>#N/A</v>
      </c>
      <c r="AJ370" s="7" t="e">
        <f t="shared" si="147"/>
        <v>#N/A</v>
      </c>
      <c r="AK370" s="472" t="e">
        <f>VLOOKUP(AF370,'排出係数(2017)'!$A$4:$I$1151,7,FALSE)</f>
        <v>#N/A</v>
      </c>
      <c r="AL370" s="7" t="e">
        <f t="shared" si="148"/>
        <v>#N/A</v>
      </c>
      <c r="AM370" s="7" t="e">
        <f t="shared" si="149"/>
        <v>#N/A</v>
      </c>
      <c r="AN370" s="7" t="e">
        <f t="shared" si="150"/>
        <v>#N/A</v>
      </c>
      <c r="AO370" s="7">
        <f t="shared" si="151"/>
        <v>0</v>
      </c>
      <c r="AP370" s="7" t="e">
        <f t="shared" si="160"/>
        <v>#N/A</v>
      </c>
      <c r="AQ370" s="7" t="str">
        <f t="shared" si="152"/>
        <v/>
      </c>
      <c r="AR370" s="7" t="str">
        <f t="shared" si="153"/>
        <v/>
      </c>
      <c r="AS370" s="7" t="str">
        <f t="shared" si="154"/>
        <v/>
      </c>
      <c r="AT370" s="97"/>
      <c r="AZ370" s="477" t="s">
        <v>2540</v>
      </c>
      <c r="CF370" s="586" t="str">
        <f t="shared" si="161"/>
        <v/>
      </c>
      <c r="CG370"/>
      <c r="CH370"/>
    </row>
    <row r="371" spans="1:86" s="13" customFormat="1" ht="13.75" customHeight="1">
      <c r="A371" s="137">
        <v>356</v>
      </c>
      <c r="B371" s="138"/>
      <c r="C371" s="139"/>
      <c r="D371" s="140"/>
      <c r="E371" s="139"/>
      <c r="F371" s="139"/>
      <c r="G371" s="191"/>
      <c r="H371" s="139"/>
      <c r="I371" s="141"/>
      <c r="J371" s="142"/>
      <c r="K371" s="139"/>
      <c r="L371" s="147"/>
      <c r="M371" s="148"/>
      <c r="N371" s="583"/>
      <c r="O371" s="229" t="str">
        <f t="shared" si="155"/>
        <v/>
      </c>
      <c r="P371" s="229" t="str">
        <f t="shared" si="156"/>
        <v/>
      </c>
      <c r="Q371" s="230" t="str">
        <f t="shared" si="157"/>
        <v/>
      </c>
      <c r="R371" s="323" t="str">
        <f t="shared" si="158"/>
        <v/>
      </c>
      <c r="S371" s="350"/>
      <c r="T371" s="43"/>
      <c r="U371" s="347" t="str">
        <f t="shared" si="135"/>
        <v/>
      </c>
      <c r="V371" s="7" t="e">
        <f t="shared" si="136"/>
        <v>#N/A</v>
      </c>
      <c r="W371" s="7" t="e">
        <f t="shared" si="137"/>
        <v>#N/A</v>
      </c>
      <c r="X371" s="7" t="e">
        <f t="shared" si="138"/>
        <v>#N/A</v>
      </c>
      <c r="Y371" s="7" t="str">
        <f t="shared" si="139"/>
        <v/>
      </c>
      <c r="Z371" s="11">
        <f t="shared" si="140"/>
        <v>1</v>
      </c>
      <c r="AA371" s="7" t="e">
        <f t="shared" si="141"/>
        <v>#N/A</v>
      </c>
      <c r="AB371" s="7" t="e">
        <f t="shared" si="142"/>
        <v>#N/A</v>
      </c>
      <c r="AC371" s="7" t="e">
        <f t="shared" si="143"/>
        <v>#N/A</v>
      </c>
      <c r="AD371" s="472" t="e">
        <f>VLOOKUP(AF371,'排出係数(2017)'!$A$4:$I$1151,9,FALSE)</f>
        <v>#N/A</v>
      </c>
      <c r="AE371" s="12" t="str">
        <f t="shared" si="144"/>
        <v xml:space="preserve"> </v>
      </c>
      <c r="AF371" s="7" t="e">
        <f t="shared" si="159"/>
        <v>#N/A</v>
      </c>
      <c r="AG371" s="7" t="e">
        <f t="shared" si="145"/>
        <v>#N/A</v>
      </c>
      <c r="AH371" s="472" t="e">
        <f>VLOOKUP(AF371,'排出係数(2017)'!$A$4:$I$1151,6,FALSE)</f>
        <v>#N/A</v>
      </c>
      <c r="AI371" s="7" t="e">
        <f t="shared" si="146"/>
        <v>#N/A</v>
      </c>
      <c r="AJ371" s="7" t="e">
        <f t="shared" si="147"/>
        <v>#N/A</v>
      </c>
      <c r="AK371" s="472" t="e">
        <f>VLOOKUP(AF371,'排出係数(2017)'!$A$4:$I$1151,7,FALSE)</f>
        <v>#N/A</v>
      </c>
      <c r="AL371" s="7" t="e">
        <f t="shared" si="148"/>
        <v>#N/A</v>
      </c>
      <c r="AM371" s="7" t="e">
        <f t="shared" si="149"/>
        <v>#N/A</v>
      </c>
      <c r="AN371" s="7" t="e">
        <f t="shared" si="150"/>
        <v>#N/A</v>
      </c>
      <c r="AO371" s="7">
        <f t="shared" si="151"/>
        <v>0</v>
      </c>
      <c r="AP371" s="7" t="e">
        <f t="shared" si="160"/>
        <v>#N/A</v>
      </c>
      <c r="AQ371" s="7" t="str">
        <f t="shared" si="152"/>
        <v/>
      </c>
      <c r="AR371" s="7" t="str">
        <f t="shared" si="153"/>
        <v/>
      </c>
      <c r="AS371" s="7" t="str">
        <f t="shared" si="154"/>
        <v/>
      </c>
      <c r="AT371" s="97"/>
      <c r="AZ371" s="477" t="s">
        <v>150</v>
      </c>
      <c r="CF371" s="586" t="str">
        <f t="shared" si="161"/>
        <v/>
      </c>
      <c r="CG371"/>
      <c r="CH371"/>
    </row>
    <row r="372" spans="1:86" s="13" customFormat="1" ht="13.75" customHeight="1">
      <c r="A372" s="137">
        <v>357</v>
      </c>
      <c r="B372" s="138"/>
      <c r="C372" s="139"/>
      <c r="D372" s="140"/>
      <c r="E372" s="139"/>
      <c r="F372" s="139"/>
      <c r="G372" s="191"/>
      <c r="H372" s="139"/>
      <c r="I372" s="141"/>
      <c r="J372" s="142"/>
      <c r="K372" s="139"/>
      <c r="L372" s="147"/>
      <c r="M372" s="148"/>
      <c r="N372" s="583"/>
      <c r="O372" s="229" t="str">
        <f t="shared" si="155"/>
        <v/>
      </c>
      <c r="P372" s="229" t="str">
        <f t="shared" si="156"/>
        <v/>
      </c>
      <c r="Q372" s="230" t="str">
        <f t="shared" si="157"/>
        <v/>
      </c>
      <c r="R372" s="323" t="str">
        <f t="shared" si="158"/>
        <v/>
      </c>
      <c r="S372" s="350"/>
      <c r="T372" s="43"/>
      <c r="U372" s="347" t="str">
        <f t="shared" si="135"/>
        <v/>
      </c>
      <c r="V372" s="7" t="e">
        <f t="shared" si="136"/>
        <v>#N/A</v>
      </c>
      <c r="W372" s="7" t="e">
        <f t="shared" si="137"/>
        <v>#N/A</v>
      </c>
      <c r="X372" s="7" t="e">
        <f t="shared" si="138"/>
        <v>#N/A</v>
      </c>
      <c r="Y372" s="7" t="str">
        <f t="shared" si="139"/>
        <v/>
      </c>
      <c r="Z372" s="11">
        <f t="shared" si="140"/>
        <v>1</v>
      </c>
      <c r="AA372" s="7" t="e">
        <f t="shared" si="141"/>
        <v>#N/A</v>
      </c>
      <c r="AB372" s="7" t="e">
        <f t="shared" si="142"/>
        <v>#N/A</v>
      </c>
      <c r="AC372" s="7" t="e">
        <f t="shared" si="143"/>
        <v>#N/A</v>
      </c>
      <c r="AD372" s="472" t="e">
        <f>VLOOKUP(AF372,'排出係数(2017)'!$A$4:$I$1151,9,FALSE)</f>
        <v>#N/A</v>
      </c>
      <c r="AE372" s="12" t="str">
        <f t="shared" si="144"/>
        <v xml:space="preserve"> </v>
      </c>
      <c r="AF372" s="7" t="e">
        <f t="shared" si="159"/>
        <v>#N/A</v>
      </c>
      <c r="AG372" s="7" t="e">
        <f t="shared" si="145"/>
        <v>#N/A</v>
      </c>
      <c r="AH372" s="472" t="e">
        <f>VLOOKUP(AF372,'排出係数(2017)'!$A$4:$I$1151,6,FALSE)</f>
        <v>#N/A</v>
      </c>
      <c r="AI372" s="7" t="e">
        <f t="shared" si="146"/>
        <v>#N/A</v>
      </c>
      <c r="AJ372" s="7" t="e">
        <f t="shared" si="147"/>
        <v>#N/A</v>
      </c>
      <c r="AK372" s="472" t="e">
        <f>VLOOKUP(AF372,'排出係数(2017)'!$A$4:$I$1151,7,FALSE)</f>
        <v>#N/A</v>
      </c>
      <c r="AL372" s="7" t="e">
        <f t="shared" si="148"/>
        <v>#N/A</v>
      </c>
      <c r="AM372" s="7" t="e">
        <f t="shared" si="149"/>
        <v>#N/A</v>
      </c>
      <c r="AN372" s="7" t="e">
        <f t="shared" si="150"/>
        <v>#N/A</v>
      </c>
      <c r="AO372" s="7">
        <f t="shared" si="151"/>
        <v>0</v>
      </c>
      <c r="AP372" s="7" t="e">
        <f t="shared" si="160"/>
        <v>#N/A</v>
      </c>
      <c r="AQ372" s="7" t="str">
        <f t="shared" si="152"/>
        <v/>
      </c>
      <c r="AR372" s="7" t="str">
        <f t="shared" si="153"/>
        <v/>
      </c>
      <c r="AS372" s="7" t="str">
        <f t="shared" si="154"/>
        <v/>
      </c>
      <c r="AT372" s="97"/>
      <c r="AZ372" s="477" t="s">
        <v>151</v>
      </c>
      <c r="CF372" s="586" t="str">
        <f t="shared" si="161"/>
        <v/>
      </c>
      <c r="CG372"/>
      <c r="CH372"/>
    </row>
    <row r="373" spans="1:86" s="13" customFormat="1" ht="13.75" customHeight="1">
      <c r="A373" s="137">
        <v>358</v>
      </c>
      <c r="B373" s="138"/>
      <c r="C373" s="139"/>
      <c r="D373" s="140"/>
      <c r="E373" s="139"/>
      <c r="F373" s="139"/>
      <c r="G373" s="191"/>
      <c r="H373" s="139"/>
      <c r="I373" s="141"/>
      <c r="J373" s="142"/>
      <c r="K373" s="139"/>
      <c r="L373" s="147"/>
      <c r="M373" s="148"/>
      <c r="N373" s="583"/>
      <c r="O373" s="229" t="str">
        <f t="shared" si="155"/>
        <v/>
      </c>
      <c r="P373" s="229" t="str">
        <f t="shared" si="156"/>
        <v/>
      </c>
      <c r="Q373" s="230" t="str">
        <f t="shared" si="157"/>
        <v/>
      </c>
      <c r="R373" s="323" t="str">
        <f t="shared" si="158"/>
        <v/>
      </c>
      <c r="S373" s="350"/>
      <c r="T373" s="43"/>
      <c r="U373" s="347" t="str">
        <f t="shared" si="135"/>
        <v/>
      </c>
      <c r="V373" s="7" t="e">
        <f t="shared" si="136"/>
        <v>#N/A</v>
      </c>
      <c r="W373" s="7" t="e">
        <f t="shared" si="137"/>
        <v>#N/A</v>
      </c>
      <c r="X373" s="7" t="e">
        <f t="shared" si="138"/>
        <v>#N/A</v>
      </c>
      <c r="Y373" s="7" t="str">
        <f t="shared" si="139"/>
        <v/>
      </c>
      <c r="Z373" s="11">
        <f t="shared" si="140"/>
        <v>1</v>
      </c>
      <c r="AA373" s="7" t="e">
        <f t="shared" si="141"/>
        <v>#N/A</v>
      </c>
      <c r="AB373" s="7" t="e">
        <f t="shared" si="142"/>
        <v>#N/A</v>
      </c>
      <c r="AC373" s="7" t="e">
        <f t="shared" si="143"/>
        <v>#N/A</v>
      </c>
      <c r="AD373" s="472" t="e">
        <f>VLOOKUP(AF373,'排出係数(2017)'!$A$4:$I$1151,9,FALSE)</f>
        <v>#N/A</v>
      </c>
      <c r="AE373" s="12" t="str">
        <f t="shared" si="144"/>
        <v xml:space="preserve"> </v>
      </c>
      <c r="AF373" s="7" t="e">
        <f t="shared" si="159"/>
        <v>#N/A</v>
      </c>
      <c r="AG373" s="7" t="e">
        <f t="shared" si="145"/>
        <v>#N/A</v>
      </c>
      <c r="AH373" s="472" t="e">
        <f>VLOOKUP(AF373,'排出係数(2017)'!$A$4:$I$1151,6,FALSE)</f>
        <v>#N/A</v>
      </c>
      <c r="AI373" s="7" t="e">
        <f t="shared" si="146"/>
        <v>#N/A</v>
      </c>
      <c r="AJ373" s="7" t="e">
        <f t="shared" si="147"/>
        <v>#N/A</v>
      </c>
      <c r="AK373" s="472" t="e">
        <f>VLOOKUP(AF373,'排出係数(2017)'!$A$4:$I$1151,7,FALSE)</f>
        <v>#N/A</v>
      </c>
      <c r="AL373" s="7" t="e">
        <f t="shared" si="148"/>
        <v>#N/A</v>
      </c>
      <c r="AM373" s="7" t="e">
        <f t="shared" si="149"/>
        <v>#N/A</v>
      </c>
      <c r="AN373" s="7" t="e">
        <f t="shared" si="150"/>
        <v>#N/A</v>
      </c>
      <c r="AO373" s="7">
        <f t="shared" si="151"/>
        <v>0</v>
      </c>
      <c r="AP373" s="7" t="e">
        <f t="shared" si="160"/>
        <v>#N/A</v>
      </c>
      <c r="AQ373" s="7" t="str">
        <f t="shared" si="152"/>
        <v/>
      </c>
      <c r="AR373" s="7" t="str">
        <f t="shared" si="153"/>
        <v/>
      </c>
      <c r="AS373" s="7" t="str">
        <f t="shared" si="154"/>
        <v/>
      </c>
      <c r="AT373" s="97"/>
      <c r="AZ373" s="477" t="s">
        <v>152</v>
      </c>
      <c r="CF373" s="586" t="str">
        <f t="shared" si="161"/>
        <v/>
      </c>
      <c r="CG373"/>
      <c r="CH373"/>
    </row>
    <row r="374" spans="1:86" s="13" customFormat="1" ht="13.75" customHeight="1">
      <c r="A374" s="137">
        <v>359</v>
      </c>
      <c r="B374" s="138"/>
      <c r="C374" s="139"/>
      <c r="D374" s="140"/>
      <c r="E374" s="139"/>
      <c r="F374" s="139"/>
      <c r="G374" s="191"/>
      <c r="H374" s="139"/>
      <c r="I374" s="141"/>
      <c r="J374" s="142"/>
      <c r="K374" s="139"/>
      <c r="L374" s="147"/>
      <c r="M374" s="148"/>
      <c r="N374" s="583"/>
      <c r="O374" s="229" t="str">
        <f t="shared" si="155"/>
        <v/>
      </c>
      <c r="P374" s="229" t="str">
        <f t="shared" si="156"/>
        <v/>
      </c>
      <c r="Q374" s="230" t="str">
        <f t="shared" si="157"/>
        <v/>
      </c>
      <c r="R374" s="323" t="str">
        <f t="shared" si="158"/>
        <v/>
      </c>
      <c r="S374" s="350"/>
      <c r="T374" s="43"/>
      <c r="U374" s="347" t="str">
        <f t="shared" si="135"/>
        <v/>
      </c>
      <c r="V374" s="7" t="e">
        <f t="shared" si="136"/>
        <v>#N/A</v>
      </c>
      <c r="W374" s="7" t="e">
        <f t="shared" si="137"/>
        <v>#N/A</v>
      </c>
      <c r="X374" s="7" t="e">
        <f t="shared" si="138"/>
        <v>#N/A</v>
      </c>
      <c r="Y374" s="7" t="str">
        <f t="shared" si="139"/>
        <v/>
      </c>
      <c r="Z374" s="11">
        <f t="shared" si="140"/>
        <v>1</v>
      </c>
      <c r="AA374" s="7" t="e">
        <f t="shared" si="141"/>
        <v>#N/A</v>
      </c>
      <c r="AB374" s="7" t="e">
        <f t="shared" si="142"/>
        <v>#N/A</v>
      </c>
      <c r="AC374" s="7" t="e">
        <f t="shared" si="143"/>
        <v>#N/A</v>
      </c>
      <c r="AD374" s="472" t="e">
        <f>VLOOKUP(AF374,'排出係数(2017)'!$A$4:$I$1151,9,FALSE)</f>
        <v>#N/A</v>
      </c>
      <c r="AE374" s="12" t="str">
        <f t="shared" si="144"/>
        <v xml:space="preserve"> </v>
      </c>
      <c r="AF374" s="7" t="e">
        <f t="shared" si="159"/>
        <v>#N/A</v>
      </c>
      <c r="AG374" s="7" t="e">
        <f t="shared" si="145"/>
        <v>#N/A</v>
      </c>
      <c r="AH374" s="472" t="e">
        <f>VLOOKUP(AF374,'排出係数(2017)'!$A$4:$I$1151,6,FALSE)</f>
        <v>#N/A</v>
      </c>
      <c r="AI374" s="7" t="e">
        <f t="shared" si="146"/>
        <v>#N/A</v>
      </c>
      <c r="AJ374" s="7" t="e">
        <f t="shared" si="147"/>
        <v>#N/A</v>
      </c>
      <c r="AK374" s="472" t="e">
        <f>VLOOKUP(AF374,'排出係数(2017)'!$A$4:$I$1151,7,FALSE)</f>
        <v>#N/A</v>
      </c>
      <c r="AL374" s="7" t="e">
        <f t="shared" si="148"/>
        <v>#N/A</v>
      </c>
      <c r="AM374" s="7" t="e">
        <f t="shared" si="149"/>
        <v>#N/A</v>
      </c>
      <c r="AN374" s="7" t="e">
        <f t="shared" si="150"/>
        <v>#N/A</v>
      </c>
      <c r="AO374" s="7">
        <f t="shared" si="151"/>
        <v>0</v>
      </c>
      <c r="AP374" s="7" t="e">
        <f t="shared" si="160"/>
        <v>#N/A</v>
      </c>
      <c r="AQ374" s="7" t="str">
        <f t="shared" si="152"/>
        <v/>
      </c>
      <c r="AR374" s="7" t="str">
        <f t="shared" si="153"/>
        <v/>
      </c>
      <c r="AS374" s="7" t="str">
        <f t="shared" si="154"/>
        <v/>
      </c>
      <c r="AT374" s="97"/>
      <c r="AZ374" s="477" t="s">
        <v>153</v>
      </c>
      <c r="CF374" s="586" t="str">
        <f t="shared" si="161"/>
        <v/>
      </c>
      <c r="CG374"/>
      <c r="CH374"/>
    </row>
    <row r="375" spans="1:86" s="13" customFormat="1" ht="13.75" customHeight="1">
      <c r="A375" s="137">
        <v>360</v>
      </c>
      <c r="B375" s="138"/>
      <c r="C375" s="139"/>
      <c r="D375" s="140"/>
      <c r="E375" s="139"/>
      <c r="F375" s="139"/>
      <c r="G375" s="191"/>
      <c r="H375" s="139"/>
      <c r="I375" s="141"/>
      <c r="J375" s="142"/>
      <c r="K375" s="139"/>
      <c r="L375" s="147"/>
      <c r="M375" s="148"/>
      <c r="N375" s="583"/>
      <c r="O375" s="229" t="str">
        <f t="shared" si="155"/>
        <v/>
      </c>
      <c r="P375" s="229" t="str">
        <f t="shared" si="156"/>
        <v/>
      </c>
      <c r="Q375" s="230" t="str">
        <f t="shared" si="157"/>
        <v/>
      </c>
      <c r="R375" s="323" t="str">
        <f t="shared" si="158"/>
        <v/>
      </c>
      <c r="S375" s="350"/>
      <c r="T375" s="43"/>
      <c r="U375" s="347" t="str">
        <f t="shared" si="135"/>
        <v/>
      </c>
      <c r="V375" s="7" t="e">
        <f t="shared" si="136"/>
        <v>#N/A</v>
      </c>
      <c r="W375" s="7" t="e">
        <f t="shared" si="137"/>
        <v>#N/A</v>
      </c>
      <c r="X375" s="7" t="e">
        <f t="shared" si="138"/>
        <v>#N/A</v>
      </c>
      <c r="Y375" s="7" t="str">
        <f t="shared" si="139"/>
        <v/>
      </c>
      <c r="Z375" s="11">
        <f t="shared" si="140"/>
        <v>1</v>
      </c>
      <c r="AA375" s="7" t="e">
        <f t="shared" si="141"/>
        <v>#N/A</v>
      </c>
      <c r="AB375" s="7" t="e">
        <f t="shared" si="142"/>
        <v>#N/A</v>
      </c>
      <c r="AC375" s="7" t="e">
        <f t="shared" si="143"/>
        <v>#N/A</v>
      </c>
      <c r="AD375" s="472" t="e">
        <f>VLOOKUP(AF375,'排出係数(2017)'!$A$4:$I$1151,9,FALSE)</f>
        <v>#N/A</v>
      </c>
      <c r="AE375" s="12" t="str">
        <f t="shared" si="144"/>
        <v xml:space="preserve"> </v>
      </c>
      <c r="AF375" s="7" t="e">
        <f t="shared" si="159"/>
        <v>#N/A</v>
      </c>
      <c r="AG375" s="7" t="e">
        <f t="shared" si="145"/>
        <v>#N/A</v>
      </c>
      <c r="AH375" s="472" t="e">
        <f>VLOOKUP(AF375,'排出係数(2017)'!$A$4:$I$1151,6,FALSE)</f>
        <v>#N/A</v>
      </c>
      <c r="AI375" s="7" t="e">
        <f t="shared" si="146"/>
        <v>#N/A</v>
      </c>
      <c r="AJ375" s="7" t="e">
        <f t="shared" si="147"/>
        <v>#N/A</v>
      </c>
      <c r="AK375" s="472" t="e">
        <f>VLOOKUP(AF375,'排出係数(2017)'!$A$4:$I$1151,7,FALSE)</f>
        <v>#N/A</v>
      </c>
      <c r="AL375" s="7" t="e">
        <f t="shared" si="148"/>
        <v>#N/A</v>
      </c>
      <c r="AM375" s="7" t="e">
        <f t="shared" si="149"/>
        <v>#N/A</v>
      </c>
      <c r="AN375" s="7" t="e">
        <f t="shared" si="150"/>
        <v>#N/A</v>
      </c>
      <c r="AO375" s="7">
        <f t="shared" si="151"/>
        <v>0</v>
      </c>
      <c r="AP375" s="7" t="e">
        <f t="shared" si="160"/>
        <v>#N/A</v>
      </c>
      <c r="AQ375" s="7" t="str">
        <f t="shared" si="152"/>
        <v/>
      </c>
      <c r="AR375" s="7" t="str">
        <f t="shared" si="153"/>
        <v/>
      </c>
      <c r="AS375" s="7" t="str">
        <f t="shared" si="154"/>
        <v/>
      </c>
      <c r="AT375" s="97"/>
      <c r="AZ375" s="477" t="s">
        <v>31</v>
      </c>
      <c r="CF375" s="586" t="str">
        <f t="shared" si="161"/>
        <v/>
      </c>
      <c r="CG375"/>
      <c r="CH375"/>
    </row>
    <row r="376" spans="1:86" s="13" customFormat="1" ht="13.75" customHeight="1">
      <c r="A376" s="137">
        <v>361</v>
      </c>
      <c r="B376" s="138"/>
      <c r="C376" s="139"/>
      <c r="D376" s="140"/>
      <c r="E376" s="139"/>
      <c r="F376" s="139"/>
      <c r="G376" s="191"/>
      <c r="H376" s="139"/>
      <c r="I376" s="141"/>
      <c r="J376" s="142"/>
      <c r="K376" s="139"/>
      <c r="L376" s="147"/>
      <c r="M376" s="148"/>
      <c r="N376" s="583"/>
      <c r="O376" s="229" t="str">
        <f t="shared" si="155"/>
        <v/>
      </c>
      <c r="P376" s="229" t="str">
        <f t="shared" si="156"/>
        <v/>
      </c>
      <c r="Q376" s="230" t="str">
        <f t="shared" si="157"/>
        <v/>
      </c>
      <c r="R376" s="323" t="str">
        <f t="shared" si="158"/>
        <v/>
      </c>
      <c r="S376" s="350"/>
      <c r="T376" s="43"/>
      <c r="U376" s="347" t="str">
        <f t="shared" si="135"/>
        <v/>
      </c>
      <c r="V376" s="7" t="e">
        <f t="shared" si="136"/>
        <v>#N/A</v>
      </c>
      <c r="W376" s="7" t="e">
        <f t="shared" si="137"/>
        <v>#N/A</v>
      </c>
      <c r="X376" s="7" t="e">
        <f t="shared" si="138"/>
        <v>#N/A</v>
      </c>
      <c r="Y376" s="7" t="str">
        <f t="shared" si="139"/>
        <v/>
      </c>
      <c r="Z376" s="11">
        <f t="shared" si="140"/>
        <v>1</v>
      </c>
      <c r="AA376" s="7" t="e">
        <f t="shared" si="141"/>
        <v>#N/A</v>
      </c>
      <c r="AB376" s="7" t="e">
        <f t="shared" si="142"/>
        <v>#N/A</v>
      </c>
      <c r="AC376" s="7" t="e">
        <f t="shared" si="143"/>
        <v>#N/A</v>
      </c>
      <c r="AD376" s="472" t="e">
        <f>VLOOKUP(AF376,'排出係数(2017)'!$A$4:$I$1151,9,FALSE)</f>
        <v>#N/A</v>
      </c>
      <c r="AE376" s="12" t="str">
        <f t="shared" si="144"/>
        <v xml:space="preserve"> </v>
      </c>
      <c r="AF376" s="7" t="e">
        <f t="shared" si="159"/>
        <v>#N/A</v>
      </c>
      <c r="AG376" s="7" t="e">
        <f t="shared" si="145"/>
        <v>#N/A</v>
      </c>
      <c r="AH376" s="472" t="e">
        <f>VLOOKUP(AF376,'排出係数(2017)'!$A$4:$I$1151,6,FALSE)</f>
        <v>#N/A</v>
      </c>
      <c r="AI376" s="7" t="e">
        <f t="shared" si="146"/>
        <v>#N/A</v>
      </c>
      <c r="AJ376" s="7" t="e">
        <f t="shared" si="147"/>
        <v>#N/A</v>
      </c>
      <c r="AK376" s="472" t="e">
        <f>VLOOKUP(AF376,'排出係数(2017)'!$A$4:$I$1151,7,FALSE)</f>
        <v>#N/A</v>
      </c>
      <c r="AL376" s="7" t="e">
        <f t="shared" si="148"/>
        <v>#N/A</v>
      </c>
      <c r="AM376" s="7" t="e">
        <f t="shared" si="149"/>
        <v>#N/A</v>
      </c>
      <c r="AN376" s="7" t="e">
        <f t="shared" si="150"/>
        <v>#N/A</v>
      </c>
      <c r="AO376" s="7">
        <f t="shared" si="151"/>
        <v>0</v>
      </c>
      <c r="AP376" s="7" t="e">
        <f t="shared" si="160"/>
        <v>#N/A</v>
      </c>
      <c r="AQ376" s="7" t="str">
        <f t="shared" si="152"/>
        <v/>
      </c>
      <c r="AR376" s="7" t="str">
        <f t="shared" si="153"/>
        <v/>
      </c>
      <c r="AS376" s="7" t="str">
        <f t="shared" si="154"/>
        <v/>
      </c>
      <c r="AT376" s="97"/>
      <c r="AZ376" s="477" t="s">
        <v>1436</v>
      </c>
      <c r="CF376" s="586" t="str">
        <f t="shared" si="161"/>
        <v/>
      </c>
      <c r="CG376"/>
      <c r="CH376"/>
    </row>
    <row r="377" spans="1:86" s="13" customFormat="1" ht="13.75" customHeight="1">
      <c r="A377" s="137">
        <v>362</v>
      </c>
      <c r="B377" s="138"/>
      <c r="C377" s="139"/>
      <c r="D377" s="140"/>
      <c r="E377" s="139"/>
      <c r="F377" s="139"/>
      <c r="G377" s="191"/>
      <c r="H377" s="139"/>
      <c r="I377" s="141"/>
      <c r="J377" s="142"/>
      <c r="K377" s="139"/>
      <c r="L377" s="147"/>
      <c r="M377" s="148"/>
      <c r="N377" s="583"/>
      <c r="O377" s="229" t="str">
        <f t="shared" si="155"/>
        <v/>
      </c>
      <c r="P377" s="229" t="str">
        <f t="shared" si="156"/>
        <v/>
      </c>
      <c r="Q377" s="230" t="str">
        <f t="shared" si="157"/>
        <v/>
      </c>
      <c r="R377" s="323" t="str">
        <f t="shared" si="158"/>
        <v/>
      </c>
      <c r="S377" s="350"/>
      <c r="T377" s="43"/>
      <c r="U377" s="347" t="str">
        <f t="shared" si="135"/>
        <v/>
      </c>
      <c r="V377" s="7" t="e">
        <f t="shared" si="136"/>
        <v>#N/A</v>
      </c>
      <c r="W377" s="7" t="e">
        <f t="shared" si="137"/>
        <v>#N/A</v>
      </c>
      <c r="X377" s="7" t="e">
        <f t="shared" si="138"/>
        <v>#N/A</v>
      </c>
      <c r="Y377" s="7" t="str">
        <f t="shared" si="139"/>
        <v/>
      </c>
      <c r="Z377" s="11">
        <f t="shared" si="140"/>
        <v>1</v>
      </c>
      <c r="AA377" s="7" t="e">
        <f t="shared" si="141"/>
        <v>#N/A</v>
      </c>
      <c r="AB377" s="7" t="e">
        <f t="shared" si="142"/>
        <v>#N/A</v>
      </c>
      <c r="AC377" s="7" t="e">
        <f t="shared" si="143"/>
        <v>#N/A</v>
      </c>
      <c r="AD377" s="472" t="e">
        <f>VLOOKUP(AF377,'排出係数(2017)'!$A$4:$I$1151,9,FALSE)</f>
        <v>#N/A</v>
      </c>
      <c r="AE377" s="12" t="str">
        <f t="shared" si="144"/>
        <v xml:space="preserve"> </v>
      </c>
      <c r="AF377" s="7" t="e">
        <f t="shared" si="159"/>
        <v>#N/A</v>
      </c>
      <c r="AG377" s="7" t="e">
        <f t="shared" si="145"/>
        <v>#N/A</v>
      </c>
      <c r="AH377" s="472" t="e">
        <f>VLOOKUP(AF377,'排出係数(2017)'!$A$4:$I$1151,6,FALSE)</f>
        <v>#N/A</v>
      </c>
      <c r="AI377" s="7" t="e">
        <f t="shared" si="146"/>
        <v>#N/A</v>
      </c>
      <c r="AJ377" s="7" t="e">
        <f t="shared" si="147"/>
        <v>#N/A</v>
      </c>
      <c r="AK377" s="472" t="e">
        <f>VLOOKUP(AF377,'排出係数(2017)'!$A$4:$I$1151,7,FALSE)</f>
        <v>#N/A</v>
      </c>
      <c r="AL377" s="7" t="e">
        <f t="shared" si="148"/>
        <v>#N/A</v>
      </c>
      <c r="AM377" s="7" t="e">
        <f t="shared" si="149"/>
        <v>#N/A</v>
      </c>
      <c r="AN377" s="7" t="e">
        <f t="shared" si="150"/>
        <v>#N/A</v>
      </c>
      <c r="AO377" s="7">
        <f t="shared" si="151"/>
        <v>0</v>
      </c>
      <c r="AP377" s="7" t="e">
        <f t="shared" si="160"/>
        <v>#N/A</v>
      </c>
      <c r="AQ377" s="7" t="str">
        <f t="shared" si="152"/>
        <v/>
      </c>
      <c r="AR377" s="7" t="str">
        <f t="shared" si="153"/>
        <v/>
      </c>
      <c r="AS377" s="7" t="str">
        <f t="shared" si="154"/>
        <v/>
      </c>
      <c r="AT377" s="97"/>
      <c r="AZ377" s="477" t="s">
        <v>283</v>
      </c>
      <c r="CF377" s="586" t="str">
        <f t="shared" si="161"/>
        <v/>
      </c>
      <c r="CG377"/>
      <c r="CH377"/>
    </row>
    <row r="378" spans="1:86" s="13" customFormat="1" ht="13.75" customHeight="1">
      <c r="A378" s="137">
        <v>363</v>
      </c>
      <c r="B378" s="138"/>
      <c r="C378" s="139"/>
      <c r="D378" s="140"/>
      <c r="E378" s="139"/>
      <c r="F378" s="139"/>
      <c r="G378" s="191"/>
      <c r="H378" s="139"/>
      <c r="I378" s="141"/>
      <c r="J378" s="142"/>
      <c r="K378" s="139"/>
      <c r="L378" s="147"/>
      <c r="M378" s="148"/>
      <c r="N378" s="583"/>
      <c r="O378" s="229" t="str">
        <f t="shared" si="155"/>
        <v/>
      </c>
      <c r="P378" s="229" t="str">
        <f t="shared" si="156"/>
        <v/>
      </c>
      <c r="Q378" s="230" t="str">
        <f t="shared" si="157"/>
        <v/>
      </c>
      <c r="R378" s="323" t="str">
        <f t="shared" si="158"/>
        <v/>
      </c>
      <c r="S378" s="350"/>
      <c r="T378" s="43"/>
      <c r="U378" s="347" t="str">
        <f t="shared" si="135"/>
        <v/>
      </c>
      <c r="V378" s="7" t="e">
        <f t="shared" si="136"/>
        <v>#N/A</v>
      </c>
      <c r="W378" s="7" t="e">
        <f t="shared" si="137"/>
        <v>#N/A</v>
      </c>
      <c r="X378" s="7" t="e">
        <f t="shared" si="138"/>
        <v>#N/A</v>
      </c>
      <c r="Y378" s="7" t="str">
        <f t="shared" si="139"/>
        <v/>
      </c>
      <c r="Z378" s="11">
        <f t="shared" si="140"/>
        <v>1</v>
      </c>
      <c r="AA378" s="7" t="e">
        <f t="shared" si="141"/>
        <v>#N/A</v>
      </c>
      <c r="AB378" s="7" t="e">
        <f t="shared" si="142"/>
        <v>#N/A</v>
      </c>
      <c r="AC378" s="7" t="e">
        <f t="shared" si="143"/>
        <v>#N/A</v>
      </c>
      <c r="AD378" s="472" t="e">
        <f>VLOOKUP(AF378,'排出係数(2017)'!$A$4:$I$1151,9,FALSE)</f>
        <v>#N/A</v>
      </c>
      <c r="AE378" s="12" t="str">
        <f t="shared" si="144"/>
        <v xml:space="preserve"> </v>
      </c>
      <c r="AF378" s="7" t="e">
        <f t="shared" si="159"/>
        <v>#N/A</v>
      </c>
      <c r="AG378" s="7" t="e">
        <f t="shared" si="145"/>
        <v>#N/A</v>
      </c>
      <c r="AH378" s="472" t="e">
        <f>VLOOKUP(AF378,'排出係数(2017)'!$A$4:$I$1151,6,FALSE)</f>
        <v>#N/A</v>
      </c>
      <c r="AI378" s="7" t="e">
        <f t="shared" si="146"/>
        <v>#N/A</v>
      </c>
      <c r="AJ378" s="7" t="e">
        <f t="shared" si="147"/>
        <v>#N/A</v>
      </c>
      <c r="AK378" s="472" t="e">
        <f>VLOOKUP(AF378,'排出係数(2017)'!$A$4:$I$1151,7,FALSE)</f>
        <v>#N/A</v>
      </c>
      <c r="AL378" s="7" t="e">
        <f t="shared" si="148"/>
        <v>#N/A</v>
      </c>
      <c r="AM378" s="7" t="e">
        <f t="shared" si="149"/>
        <v>#N/A</v>
      </c>
      <c r="AN378" s="7" t="e">
        <f t="shared" si="150"/>
        <v>#N/A</v>
      </c>
      <c r="AO378" s="7">
        <f t="shared" si="151"/>
        <v>0</v>
      </c>
      <c r="AP378" s="7" t="e">
        <f t="shared" si="160"/>
        <v>#N/A</v>
      </c>
      <c r="AQ378" s="7" t="str">
        <f t="shared" si="152"/>
        <v/>
      </c>
      <c r="AR378" s="7" t="str">
        <f t="shared" si="153"/>
        <v/>
      </c>
      <c r="AS378" s="7" t="str">
        <f t="shared" si="154"/>
        <v/>
      </c>
      <c r="AT378" s="97"/>
      <c r="AZ378" s="477" t="s">
        <v>329</v>
      </c>
      <c r="CF378" s="586" t="str">
        <f t="shared" si="161"/>
        <v/>
      </c>
      <c r="CG378"/>
      <c r="CH378"/>
    </row>
    <row r="379" spans="1:86" s="13" customFormat="1" ht="13.75" customHeight="1">
      <c r="A379" s="137">
        <v>364</v>
      </c>
      <c r="B379" s="138"/>
      <c r="C379" s="139"/>
      <c r="D379" s="140"/>
      <c r="E379" s="139"/>
      <c r="F379" s="139"/>
      <c r="G379" s="191"/>
      <c r="H379" s="139"/>
      <c r="I379" s="141"/>
      <c r="J379" s="142"/>
      <c r="K379" s="139"/>
      <c r="L379" s="147"/>
      <c r="M379" s="148"/>
      <c r="N379" s="583"/>
      <c r="O379" s="229" t="str">
        <f t="shared" si="155"/>
        <v/>
      </c>
      <c r="P379" s="229" t="str">
        <f t="shared" si="156"/>
        <v/>
      </c>
      <c r="Q379" s="230" t="str">
        <f t="shared" si="157"/>
        <v/>
      </c>
      <c r="R379" s="323" t="str">
        <f t="shared" si="158"/>
        <v/>
      </c>
      <c r="S379" s="350"/>
      <c r="T379" s="43"/>
      <c r="U379" s="347" t="str">
        <f t="shared" si="135"/>
        <v/>
      </c>
      <c r="V379" s="7" t="e">
        <f t="shared" si="136"/>
        <v>#N/A</v>
      </c>
      <c r="W379" s="7" t="e">
        <f t="shared" si="137"/>
        <v>#N/A</v>
      </c>
      <c r="X379" s="7" t="e">
        <f t="shared" si="138"/>
        <v>#N/A</v>
      </c>
      <c r="Y379" s="7" t="str">
        <f t="shared" si="139"/>
        <v/>
      </c>
      <c r="Z379" s="11">
        <f t="shared" si="140"/>
        <v>1</v>
      </c>
      <c r="AA379" s="7" t="e">
        <f t="shared" si="141"/>
        <v>#N/A</v>
      </c>
      <c r="AB379" s="7" t="e">
        <f t="shared" si="142"/>
        <v>#N/A</v>
      </c>
      <c r="AC379" s="7" t="e">
        <f t="shared" si="143"/>
        <v>#N/A</v>
      </c>
      <c r="AD379" s="472" t="e">
        <f>VLOOKUP(AF379,'排出係数(2017)'!$A$4:$I$1151,9,FALSE)</f>
        <v>#N/A</v>
      </c>
      <c r="AE379" s="12" t="str">
        <f t="shared" si="144"/>
        <v xml:space="preserve"> </v>
      </c>
      <c r="AF379" s="7" t="e">
        <f t="shared" si="159"/>
        <v>#N/A</v>
      </c>
      <c r="AG379" s="7" t="e">
        <f t="shared" si="145"/>
        <v>#N/A</v>
      </c>
      <c r="AH379" s="472" t="e">
        <f>VLOOKUP(AF379,'排出係数(2017)'!$A$4:$I$1151,6,FALSE)</f>
        <v>#N/A</v>
      </c>
      <c r="AI379" s="7" t="e">
        <f t="shared" si="146"/>
        <v>#N/A</v>
      </c>
      <c r="AJ379" s="7" t="e">
        <f t="shared" si="147"/>
        <v>#N/A</v>
      </c>
      <c r="AK379" s="472" t="e">
        <f>VLOOKUP(AF379,'排出係数(2017)'!$A$4:$I$1151,7,FALSE)</f>
        <v>#N/A</v>
      </c>
      <c r="AL379" s="7" t="e">
        <f t="shared" si="148"/>
        <v>#N/A</v>
      </c>
      <c r="AM379" s="7" t="e">
        <f t="shared" si="149"/>
        <v>#N/A</v>
      </c>
      <c r="AN379" s="7" t="e">
        <f t="shared" si="150"/>
        <v>#N/A</v>
      </c>
      <c r="AO379" s="7">
        <f t="shared" si="151"/>
        <v>0</v>
      </c>
      <c r="AP379" s="7" t="e">
        <f t="shared" si="160"/>
        <v>#N/A</v>
      </c>
      <c r="AQ379" s="7" t="str">
        <f t="shared" si="152"/>
        <v/>
      </c>
      <c r="AR379" s="7" t="str">
        <f t="shared" si="153"/>
        <v/>
      </c>
      <c r="AS379" s="7" t="str">
        <f t="shared" si="154"/>
        <v/>
      </c>
      <c r="AT379" s="97"/>
      <c r="AZ379" s="477" t="s">
        <v>409</v>
      </c>
      <c r="CF379" s="586" t="str">
        <f t="shared" si="161"/>
        <v/>
      </c>
      <c r="CG379"/>
      <c r="CH379"/>
    </row>
    <row r="380" spans="1:86" s="13" customFormat="1" ht="13.75" customHeight="1">
      <c r="A380" s="137">
        <v>365</v>
      </c>
      <c r="B380" s="138"/>
      <c r="C380" s="139"/>
      <c r="D380" s="140"/>
      <c r="E380" s="139"/>
      <c r="F380" s="139"/>
      <c r="G380" s="191"/>
      <c r="H380" s="139"/>
      <c r="I380" s="141"/>
      <c r="J380" s="142"/>
      <c r="K380" s="139"/>
      <c r="L380" s="147"/>
      <c r="M380" s="148"/>
      <c r="N380" s="583"/>
      <c r="O380" s="229" t="str">
        <f t="shared" si="155"/>
        <v/>
      </c>
      <c r="P380" s="229" t="str">
        <f t="shared" si="156"/>
        <v/>
      </c>
      <c r="Q380" s="230" t="str">
        <f t="shared" si="157"/>
        <v/>
      </c>
      <c r="R380" s="323" t="str">
        <f t="shared" si="158"/>
        <v/>
      </c>
      <c r="S380" s="350"/>
      <c r="T380" s="43"/>
      <c r="U380" s="347" t="str">
        <f t="shared" si="135"/>
        <v/>
      </c>
      <c r="V380" s="7" t="e">
        <f t="shared" si="136"/>
        <v>#N/A</v>
      </c>
      <c r="W380" s="7" t="e">
        <f t="shared" si="137"/>
        <v>#N/A</v>
      </c>
      <c r="X380" s="7" t="e">
        <f t="shared" si="138"/>
        <v>#N/A</v>
      </c>
      <c r="Y380" s="7" t="str">
        <f t="shared" si="139"/>
        <v/>
      </c>
      <c r="Z380" s="11">
        <f t="shared" si="140"/>
        <v>1</v>
      </c>
      <c r="AA380" s="7" t="e">
        <f t="shared" si="141"/>
        <v>#N/A</v>
      </c>
      <c r="AB380" s="7" t="e">
        <f t="shared" si="142"/>
        <v>#N/A</v>
      </c>
      <c r="AC380" s="7" t="e">
        <f t="shared" si="143"/>
        <v>#N/A</v>
      </c>
      <c r="AD380" s="472" t="e">
        <f>VLOOKUP(AF380,'排出係数(2017)'!$A$4:$I$1151,9,FALSE)</f>
        <v>#N/A</v>
      </c>
      <c r="AE380" s="12" t="str">
        <f t="shared" si="144"/>
        <v xml:space="preserve"> </v>
      </c>
      <c r="AF380" s="7" t="e">
        <f t="shared" si="159"/>
        <v>#N/A</v>
      </c>
      <c r="AG380" s="7" t="e">
        <f t="shared" si="145"/>
        <v>#N/A</v>
      </c>
      <c r="AH380" s="472" t="e">
        <f>VLOOKUP(AF380,'排出係数(2017)'!$A$4:$I$1151,6,FALSE)</f>
        <v>#N/A</v>
      </c>
      <c r="AI380" s="7" t="e">
        <f t="shared" si="146"/>
        <v>#N/A</v>
      </c>
      <c r="AJ380" s="7" t="e">
        <f t="shared" si="147"/>
        <v>#N/A</v>
      </c>
      <c r="AK380" s="472" t="e">
        <f>VLOOKUP(AF380,'排出係数(2017)'!$A$4:$I$1151,7,FALSE)</f>
        <v>#N/A</v>
      </c>
      <c r="AL380" s="7" t="e">
        <f t="shared" si="148"/>
        <v>#N/A</v>
      </c>
      <c r="AM380" s="7" t="e">
        <f t="shared" si="149"/>
        <v>#N/A</v>
      </c>
      <c r="AN380" s="7" t="e">
        <f t="shared" si="150"/>
        <v>#N/A</v>
      </c>
      <c r="AO380" s="7">
        <f t="shared" si="151"/>
        <v>0</v>
      </c>
      <c r="AP380" s="7" t="e">
        <f t="shared" si="160"/>
        <v>#N/A</v>
      </c>
      <c r="AQ380" s="7" t="str">
        <f t="shared" si="152"/>
        <v/>
      </c>
      <c r="AR380" s="7" t="str">
        <f t="shared" si="153"/>
        <v/>
      </c>
      <c r="AS380" s="7" t="str">
        <f t="shared" si="154"/>
        <v/>
      </c>
      <c r="AT380" s="97"/>
      <c r="AZ380" s="477" t="s">
        <v>1434</v>
      </c>
      <c r="CF380" s="586" t="str">
        <f t="shared" si="161"/>
        <v/>
      </c>
      <c r="CG380"/>
      <c r="CH380"/>
    </row>
    <row r="381" spans="1:86" s="13" customFormat="1" ht="13.75" customHeight="1">
      <c r="A381" s="137">
        <v>366</v>
      </c>
      <c r="B381" s="138"/>
      <c r="C381" s="139"/>
      <c r="D381" s="140"/>
      <c r="E381" s="139"/>
      <c r="F381" s="139"/>
      <c r="G381" s="191"/>
      <c r="H381" s="139"/>
      <c r="I381" s="141"/>
      <c r="J381" s="142"/>
      <c r="K381" s="139"/>
      <c r="L381" s="147"/>
      <c r="M381" s="148"/>
      <c r="N381" s="583"/>
      <c r="O381" s="229" t="str">
        <f t="shared" si="155"/>
        <v/>
      </c>
      <c r="P381" s="229" t="str">
        <f t="shared" si="156"/>
        <v/>
      </c>
      <c r="Q381" s="230" t="str">
        <f t="shared" si="157"/>
        <v/>
      </c>
      <c r="R381" s="323" t="str">
        <f t="shared" si="158"/>
        <v/>
      </c>
      <c r="S381" s="350"/>
      <c r="T381" s="43"/>
      <c r="U381" s="347" t="str">
        <f t="shared" si="135"/>
        <v/>
      </c>
      <c r="V381" s="7" t="e">
        <f t="shared" si="136"/>
        <v>#N/A</v>
      </c>
      <c r="W381" s="7" t="e">
        <f t="shared" si="137"/>
        <v>#N/A</v>
      </c>
      <c r="X381" s="7" t="e">
        <f t="shared" si="138"/>
        <v>#N/A</v>
      </c>
      <c r="Y381" s="7" t="str">
        <f t="shared" si="139"/>
        <v/>
      </c>
      <c r="Z381" s="11">
        <f t="shared" si="140"/>
        <v>1</v>
      </c>
      <c r="AA381" s="7" t="e">
        <f t="shared" si="141"/>
        <v>#N/A</v>
      </c>
      <c r="AB381" s="7" t="e">
        <f t="shared" si="142"/>
        <v>#N/A</v>
      </c>
      <c r="AC381" s="7" t="e">
        <f t="shared" si="143"/>
        <v>#N/A</v>
      </c>
      <c r="AD381" s="472" t="e">
        <f>VLOOKUP(AF381,'排出係数(2017)'!$A$4:$I$1151,9,FALSE)</f>
        <v>#N/A</v>
      </c>
      <c r="AE381" s="12" t="str">
        <f t="shared" si="144"/>
        <v xml:space="preserve"> </v>
      </c>
      <c r="AF381" s="7" t="e">
        <f t="shared" si="159"/>
        <v>#N/A</v>
      </c>
      <c r="AG381" s="7" t="e">
        <f t="shared" si="145"/>
        <v>#N/A</v>
      </c>
      <c r="AH381" s="472" t="e">
        <f>VLOOKUP(AF381,'排出係数(2017)'!$A$4:$I$1151,6,FALSE)</f>
        <v>#N/A</v>
      </c>
      <c r="AI381" s="7" t="e">
        <f t="shared" si="146"/>
        <v>#N/A</v>
      </c>
      <c r="AJ381" s="7" t="e">
        <f t="shared" si="147"/>
        <v>#N/A</v>
      </c>
      <c r="AK381" s="472" t="e">
        <f>VLOOKUP(AF381,'排出係数(2017)'!$A$4:$I$1151,7,FALSE)</f>
        <v>#N/A</v>
      </c>
      <c r="AL381" s="7" t="e">
        <f t="shared" si="148"/>
        <v>#N/A</v>
      </c>
      <c r="AM381" s="7" t="e">
        <f t="shared" si="149"/>
        <v>#N/A</v>
      </c>
      <c r="AN381" s="7" t="e">
        <f t="shared" si="150"/>
        <v>#N/A</v>
      </c>
      <c r="AO381" s="7">
        <f t="shared" si="151"/>
        <v>0</v>
      </c>
      <c r="AP381" s="7" t="e">
        <f t="shared" si="160"/>
        <v>#N/A</v>
      </c>
      <c r="AQ381" s="7" t="str">
        <f t="shared" si="152"/>
        <v/>
      </c>
      <c r="AR381" s="7" t="str">
        <f t="shared" si="153"/>
        <v/>
      </c>
      <c r="AS381" s="7" t="str">
        <f t="shared" si="154"/>
        <v/>
      </c>
      <c r="AT381" s="97"/>
      <c r="AZ381" s="477" t="s">
        <v>281</v>
      </c>
      <c r="CF381" s="586" t="str">
        <f t="shared" si="161"/>
        <v/>
      </c>
      <c r="CG381"/>
      <c r="CH381"/>
    </row>
    <row r="382" spans="1:86" s="13" customFormat="1" ht="13.75" customHeight="1">
      <c r="A382" s="137">
        <v>367</v>
      </c>
      <c r="B382" s="138"/>
      <c r="C382" s="139"/>
      <c r="D382" s="140"/>
      <c r="E382" s="139"/>
      <c r="F382" s="139"/>
      <c r="G382" s="191"/>
      <c r="H382" s="139"/>
      <c r="I382" s="141"/>
      <c r="J382" s="142"/>
      <c r="K382" s="139"/>
      <c r="L382" s="147"/>
      <c r="M382" s="148"/>
      <c r="N382" s="583"/>
      <c r="O382" s="229" t="str">
        <f t="shared" si="155"/>
        <v/>
      </c>
      <c r="P382" s="229" t="str">
        <f t="shared" si="156"/>
        <v/>
      </c>
      <c r="Q382" s="230" t="str">
        <f t="shared" si="157"/>
        <v/>
      </c>
      <c r="R382" s="323" t="str">
        <f t="shared" si="158"/>
        <v/>
      </c>
      <c r="S382" s="350"/>
      <c r="T382" s="43"/>
      <c r="U382" s="347" t="str">
        <f t="shared" si="135"/>
        <v/>
      </c>
      <c r="V382" s="7" t="e">
        <f t="shared" si="136"/>
        <v>#N/A</v>
      </c>
      <c r="W382" s="7" t="e">
        <f t="shared" si="137"/>
        <v>#N/A</v>
      </c>
      <c r="X382" s="7" t="e">
        <f t="shared" si="138"/>
        <v>#N/A</v>
      </c>
      <c r="Y382" s="7" t="str">
        <f t="shared" si="139"/>
        <v/>
      </c>
      <c r="Z382" s="11">
        <f t="shared" si="140"/>
        <v>1</v>
      </c>
      <c r="AA382" s="7" t="e">
        <f t="shared" si="141"/>
        <v>#N/A</v>
      </c>
      <c r="AB382" s="7" t="e">
        <f t="shared" si="142"/>
        <v>#N/A</v>
      </c>
      <c r="AC382" s="7" t="e">
        <f t="shared" si="143"/>
        <v>#N/A</v>
      </c>
      <c r="AD382" s="472" t="e">
        <f>VLOOKUP(AF382,'排出係数(2017)'!$A$4:$I$1151,9,FALSE)</f>
        <v>#N/A</v>
      </c>
      <c r="AE382" s="12" t="str">
        <f t="shared" si="144"/>
        <v xml:space="preserve"> </v>
      </c>
      <c r="AF382" s="7" t="e">
        <f t="shared" si="159"/>
        <v>#N/A</v>
      </c>
      <c r="AG382" s="7" t="e">
        <f t="shared" si="145"/>
        <v>#N/A</v>
      </c>
      <c r="AH382" s="472" t="e">
        <f>VLOOKUP(AF382,'排出係数(2017)'!$A$4:$I$1151,6,FALSE)</f>
        <v>#N/A</v>
      </c>
      <c r="AI382" s="7" t="e">
        <f t="shared" si="146"/>
        <v>#N/A</v>
      </c>
      <c r="AJ382" s="7" t="e">
        <f t="shared" si="147"/>
        <v>#N/A</v>
      </c>
      <c r="AK382" s="472" t="e">
        <f>VLOOKUP(AF382,'排出係数(2017)'!$A$4:$I$1151,7,FALSE)</f>
        <v>#N/A</v>
      </c>
      <c r="AL382" s="7" t="e">
        <f t="shared" si="148"/>
        <v>#N/A</v>
      </c>
      <c r="AM382" s="7" t="e">
        <f t="shared" si="149"/>
        <v>#N/A</v>
      </c>
      <c r="AN382" s="7" t="e">
        <f t="shared" si="150"/>
        <v>#N/A</v>
      </c>
      <c r="AO382" s="7">
        <f t="shared" si="151"/>
        <v>0</v>
      </c>
      <c r="AP382" s="7" t="e">
        <f t="shared" si="160"/>
        <v>#N/A</v>
      </c>
      <c r="AQ382" s="7" t="str">
        <f t="shared" si="152"/>
        <v/>
      </c>
      <c r="AR382" s="7" t="str">
        <f t="shared" si="153"/>
        <v/>
      </c>
      <c r="AS382" s="7" t="str">
        <f t="shared" si="154"/>
        <v/>
      </c>
      <c r="AT382" s="97"/>
      <c r="AZ382" s="477" t="s">
        <v>327</v>
      </c>
      <c r="CF382" s="586" t="str">
        <f t="shared" si="161"/>
        <v/>
      </c>
      <c r="CG382"/>
      <c r="CH382"/>
    </row>
    <row r="383" spans="1:86" s="13" customFormat="1" ht="13.75" customHeight="1">
      <c r="A383" s="137">
        <v>368</v>
      </c>
      <c r="B383" s="138"/>
      <c r="C383" s="139"/>
      <c r="D383" s="140"/>
      <c r="E383" s="139"/>
      <c r="F383" s="139"/>
      <c r="G383" s="191"/>
      <c r="H383" s="139"/>
      <c r="I383" s="141"/>
      <c r="J383" s="142"/>
      <c r="K383" s="139"/>
      <c r="L383" s="147"/>
      <c r="M383" s="148"/>
      <c r="N383" s="583"/>
      <c r="O383" s="229" t="str">
        <f t="shared" si="155"/>
        <v/>
      </c>
      <c r="P383" s="229" t="str">
        <f t="shared" si="156"/>
        <v/>
      </c>
      <c r="Q383" s="230" t="str">
        <f t="shared" si="157"/>
        <v/>
      </c>
      <c r="R383" s="323" t="str">
        <f t="shared" si="158"/>
        <v/>
      </c>
      <c r="S383" s="350"/>
      <c r="T383" s="43"/>
      <c r="U383" s="347" t="str">
        <f t="shared" si="135"/>
        <v/>
      </c>
      <c r="V383" s="7" t="e">
        <f t="shared" si="136"/>
        <v>#N/A</v>
      </c>
      <c r="W383" s="7" t="e">
        <f t="shared" si="137"/>
        <v>#N/A</v>
      </c>
      <c r="X383" s="7" t="e">
        <f t="shared" si="138"/>
        <v>#N/A</v>
      </c>
      <c r="Y383" s="7" t="str">
        <f t="shared" si="139"/>
        <v/>
      </c>
      <c r="Z383" s="11">
        <f t="shared" si="140"/>
        <v>1</v>
      </c>
      <c r="AA383" s="7" t="e">
        <f t="shared" si="141"/>
        <v>#N/A</v>
      </c>
      <c r="AB383" s="7" t="e">
        <f t="shared" si="142"/>
        <v>#N/A</v>
      </c>
      <c r="AC383" s="7" t="e">
        <f t="shared" si="143"/>
        <v>#N/A</v>
      </c>
      <c r="AD383" s="472" t="e">
        <f>VLOOKUP(AF383,'排出係数(2017)'!$A$4:$I$1151,9,FALSE)</f>
        <v>#N/A</v>
      </c>
      <c r="AE383" s="12" t="str">
        <f t="shared" si="144"/>
        <v xml:space="preserve"> </v>
      </c>
      <c r="AF383" s="7" t="e">
        <f t="shared" si="159"/>
        <v>#N/A</v>
      </c>
      <c r="AG383" s="7" t="e">
        <f t="shared" si="145"/>
        <v>#N/A</v>
      </c>
      <c r="AH383" s="472" t="e">
        <f>VLOOKUP(AF383,'排出係数(2017)'!$A$4:$I$1151,6,FALSE)</f>
        <v>#N/A</v>
      </c>
      <c r="AI383" s="7" t="e">
        <f t="shared" si="146"/>
        <v>#N/A</v>
      </c>
      <c r="AJ383" s="7" t="e">
        <f t="shared" si="147"/>
        <v>#N/A</v>
      </c>
      <c r="AK383" s="472" t="e">
        <f>VLOOKUP(AF383,'排出係数(2017)'!$A$4:$I$1151,7,FALSE)</f>
        <v>#N/A</v>
      </c>
      <c r="AL383" s="7" t="e">
        <f t="shared" si="148"/>
        <v>#N/A</v>
      </c>
      <c r="AM383" s="7" t="e">
        <f t="shared" si="149"/>
        <v>#N/A</v>
      </c>
      <c r="AN383" s="7" t="e">
        <f t="shared" si="150"/>
        <v>#N/A</v>
      </c>
      <c r="AO383" s="7">
        <f t="shared" si="151"/>
        <v>0</v>
      </c>
      <c r="AP383" s="7" t="e">
        <f t="shared" si="160"/>
        <v>#N/A</v>
      </c>
      <c r="AQ383" s="7" t="str">
        <f t="shared" si="152"/>
        <v/>
      </c>
      <c r="AR383" s="7" t="str">
        <f t="shared" si="153"/>
        <v/>
      </c>
      <c r="AS383" s="7" t="str">
        <f t="shared" si="154"/>
        <v/>
      </c>
      <c r="AT383" s="97"/>
      <c r="AZ383" s="477" t="s">
        <v>407</v>
      </c>
      <c r="CF383" s="586" t="str">
        <f t="shared" si="161"/>
        <v/>
      </c>
      <c r="CG383"/>
      <c r="CH383"/>
    </row>
    <row r="384" spans="1:86" s="13" customFormat="1" ht="13.75" customHeight="1">
      <c r="A384" s="137">
        <v>369</v>
      </c>
      <c r="B384" s="138"/>
      <c r="C384" s="139"/>
      <c r="D384" s="140"/>
      <c r="E384" s="139"/>
      <c r="F384" s="139"/>
      <c r="G384" s="191"/>
      <c r="H384" s="139"/>
      <c r="I384" s="141"/>
      <c r="J384" s="142"/>
      <c r="K384" s="139"/>
      <c r="L384" s="147"/>
      <c r="M384" s="148"/>
      <c r="N384" s="583"/>
      <c r="O384" s="229" t="str">
        <f t="shared" si="155"/>
        <v/>
      </c>
      <c r="P384" s="229" t="str">
        <f t="shared" si="156"/>
        <v/>
      </c>
      <c r="Q384" s="230" t="str">
        <f t="shared" si="157"/>
        <v/>
      </c>
      <c r="R384" s="323" t="str">
        <f t="shared" si="158"/>
        <v/>
      </c>
      <c r="S384" s="350"/>
      <c r="T384" s="43"/>
      <c r="U384" s="347" t="str">
        <f t="shared" si="135"/>
        <v/>
      </c>
      <c r="V384" s="7" t="e">
        <f t="shared" si="136"/>
        <v>#N/A</v>
      </c>
      <c r="W384" s="7" t="e">
        <f t="shared" si="137"/>
        <v>#N/A</v>
      </c>
      <c r="X384" s="7" t="e">
        <f t="shared" si="138"/>
        <v>#N/A</v>
      </c>
      <c r="Y384" s="7" t="str">
        <f t="shared" si="139"/>
        <v/>
      </c>
      <c r="Z384" s="11">
        <f t="shared" si="140"/>
        <v>1</v>
      </c>
      <c r="AA384" s="7" t="e">
        <f t="shared" si="141"/>
        <v>#N/A</v>
      </c>
      <c r="AB384" s="7" t="e">
        <f t="shared" si="142"/>
        <v>#N/A</v>
      </c>
      <c r="AC384" s="7" t="e">
        <f t="shared" si="143"/>
        <v>#N/A</v>
      </c>
      <c r="AD384" s="472" t="e">
        <f>VLOOKUP(AF384,'排出係数(2017)'!$A$4:$I$1151,9,FALSE)</f>
        <v>#N/A</v>
      </c>
      <c r="AE384" s="12" t="str">
        <f t="shared" si="144"/>
        <v xml:space="preserve"> </v>
      </c>
      <c r="AF384" s="7" t="e">
        <f t="shared" si="159"/>
        <v>#N/A</v>
      </c>
      <c r="AG384" s="7" t="e">
        <f t="shared" si="145"/>
        <v>#N/A</v>
      </c>
      <c r="AH384" s="472" t="e">
        <f>VLOOKUP(AF384,'排出係数(2017)'!$A$4:$I$1151,6,FALSE)</f>
        <v>#N/A</v>
      </c>
      <c r="AI384" s="7" t="e">
        <f t="shared" si="146"/>
        <v>#N/A</v>
      </c>
      <c r="AJ384" s="7" t="e">
        <f t="shared" si="147"/>
        <v>#N/A</v>
      </c>
      <c r="AK384" s="472" t="e">
        <f>VLOOKUP(AF384,'排出係数(2017)'!$A$4:$I$1151,7,FALSE)</f>
        <v>#N/A</v>
      </c>
      <c r="AL384" s="7" t="e">
        <f t="shared" si="148"/>
        <v>#N/A</v>
      </c>
      <c r="AM384" s="7" t="e">
        <f t="shared" si="149"/>
        <v>#N/A</v>
      </c>
      <c r="AN384" s="7" t="e">
        <f t="shared" si="150"/>
        <v>#N/A</v>
      </c>
      <c r="AO384" s="7">
        <f t="shared" si="151"/>
        <v>0</v>
      </c>
      <c r="AP384" s="7" t="e">
        <f t="shared" si="160"/>
        <v>#N/A</v>
      </c>
      <c r="AQ384" s="7" t="str">
        <f t="shared" si="152"/>
        <v/>
      </c>
      <c r="AR384" s="7" t="str">
        <f t="shared" si="153"/>
        <v/>
      </c>
      <c r="AS384" s="7" t="str">
        <f t="shared" si="154"/>
        <v/>
      </c>
      <c r="AT384" s="97"/>
      <c r="AZ384" s="477" t="s">
        <v>1648</v>
      </c>
      <c r="CF384" s="586" t="str">
        <f t="shared" si="161"/>
        <v/>
      </c>
      <c r="CG384"/>
      <c r="CH384"/>
    </row>
    <row r="385" spans="1:86" s="13" customFormat="1" ht="13.75" customHeight="1">
      <c r="A385" s="137">
        <v>370</v>
      </c>
      <c r="B385" s="138"/>
      <c r="C385" s="139"/>
      <c r="D385" s="140"/>
      <c r="E385" s="139"/>
      <c r="F385" s="139"/>
      <c r="G385" s="191"/>
      <c r="H385" s="139"/>
      <c r="I385" s="141"/>
      <c r="J385" s="142"/>
      <c r="K385" s="139"/>
      <c r="L385" s="147"/>
      <c r="M385" s="148"/>
      <c r="N385" s="583"/>
      <c r="O385" s="229" t="str">
        <f t="shared" si="155"/>
        <v/>
      </c>
      <c r="P385" s="229" t="str">
        <f t="shared" si="156"/>
        <v/>
      </c>
      <c r="Q385" s="230" t="str">
        <f t="shared" si="157"/>
        <v/>
      </c>
      <c r="R385" s="323" t="str">
        <f t="shared" si="158"/>
        <v/>
      </c>
      <c r="S385" s="350"/>
      <c r="T385" s="43"/>
      <c r="U385" s="347" t="str">
        <f t="shared" si="135"/>
        <v/>
      </c>
      <c r="V385" s="7" t="e">
        <f t="shared" si="136"/>
        <v>#N/A</v>
      </c>
      <c r="W385" s="7" t="e">
        <f t="shared" si="137"/>
        <v>#N/A</v>
      </c>
      <c r="X385" s="7" t="e">
        <f t="shared" si="138"/>
        <v>#N/A</v>
      </c>
      <c r="Y385" s="7" t="str">
        <f t="shared" si="139"/>
        <v/>
      </c>
      <c r="Z385" s="11">
        <f t="shared" si="140"/>
        <v>1</v>
      </c>
      <c r="AA385" s="7" t="e">
        <f t="shared" si="141"/>
        <v>#N/A</v>
      </c>
      <c r="AB385" s="7" t="e">
        <f t="shared" si="142"/>
        <v>#N/A</v>
      </c>
      <c r="AC385" s="7" t="e">
        <f t="shared" si="143"/>
        <v>#N/A</v>
      </c>
      <c r="AD385" s="472" t="e">
        <f>VLOOKUP(AF385,'排出係数(2017)'!$A$4:$I$1151,9,FALSE)</f>
        <v>#N/A</v>
      </c>
      <c r="AE385" s="12" t="str">
        <f t="shared" si="144"/>
        <v xml:space="preserve"> </v>
      </c>
      <c r="AF385" s="7" t="e">
        <f t="shared" si="159"/>
        <v>#N/A</v>
      </c>
      <c r="AG385" s="7" t="e">
        <f t="shared" si="145"/>
        <v>#N/A</v>
      </c>
      <c r="AH385" s="472" t="e">
        <f>VLOOKUP(AF385,'排出係数(2017)'!$A$4:$I$1151,6,FALSE)</f>
        <v>#N/A</v>
      </c>
      <c r="AI385" s="7" t="e">
        <f t="shared" si="146"/>
        <v>#N/A</v>
      </c>
      <c r="AJ385" s="7" t="e">
        <f t="shared" si="147"/>
        <v>#N/A</v>
      </c>
      <c r="AK385" s="472" t="e">
        <f>VLOOKUP(AF385,'排出係数(2017)'!$A$4:$I$1151,7,FALSE)</f>
        <v>#N/A</v>
      </c>
      <c r="AL385" s="7" t="e">
        <f t="shared" si="148"/>
        <v>#N/A</v>
      </c>
      <c r="AM385" s="7" t="e">
        <f t="shared" si="149"/>
        <v>#N/A</v>
      </c>
      <c r="AN385" s="7" t="e">
        <f t="shared" si="150"/>
        <v>#N/A</v>
      </c>
      <c r="AO385" s="7">
        <f t="shared" si="151"/>
        <v>0</v>
      </c>
      <c r="AP385" s="7" t="e">
        <f t="shared" si="160"/>
        <v>#N/A</v>
      </c>
      <c r="AQ385" s="7" t="str">
        <f t="shared" si="152"/>
        <v/>
      </c>
      <c r="AR385" s="7" t="str">
        <f t="shared" si="153"/>
        <v/>
      </c>
      <c r="AS385" s="7" t="str">
        <f t="shared" si="154"/>
        <v/>
      </c>
      <c r="AT385" s="97"/>
      <c r="AZ385" s="477" t="s">
        <v>663</v>
      </c>
      <c r="CF385" s="586" t="str">
        <f t="shared" si="161"/>
        <v/>
      </c>
      <c r="CG385"/>
      <c r="CH385"/>
    </row>
    <row r="386" spans="1:86" s="13" customFormat="1" ht="13.75" customHeight="1">
      <c r="A386" s="137">
        <v>371</v>
      </c>
      <c r="B386" s="138"/>
      <c r="C386" s="139"/>
      <c r="D386" s="140"/>
      <c r="E386" s="139"/>
      <c r="F386" s="139"/>
      <c r="G386" s="191"/>
      <c r="H386" s="139"/>
      <c r="I386" s="141"/>
      <c r="J386" s="142"/>
      <c r="K386" s="139"/>
      <c r="L386" s="147"/>
      <c r="M386" s="148"/>
      <c r="N386" s="583"/>
      <c r="O386" s="229" t="str">
        <f t="shared" si="155"/>
        <v/>
      </c>
      <c r="P386" s="229" t="str">
        <f t="shared" si="156"/>
        <v/>
      </c>
      <c r="Q386" s="230" t="str">
        <f t="shared" si="157"/>
        <v/>
      </c>
      <c r="R386" s="323" t="str">
        <f t="shared" si="158"/>
        <v/>
      </c>
      <c r="S386" s="350"/>
      <c r="T386" s="43"/>
      <c r="U386" s="347" t="str">
        <f t="shared" si="135"/>
        <v/>
      </c>
      <c r="V386" s="7" t="e">
        <f t="shared" si="136"/>
        <v>#N/A</v>
      </c>
      <c r="W386" s="7" t="e">
        <f t="shared" si="137"/>
        <v>#N/A</v>
      </c>
      <c r="X386" s="7" t="e">
        <f t="shared" si="138"/>
        <v>#N/A</v>
      </c>
      <c r="Y386" s="7" t="str">
        <f t="shared" si="139"/>
        <v/>
      </c>
      <c r="Z386" s="11">
        <f t="shared" si="140"/>
        <v>1</v>
      </c>
      <c r="AA386" s="7" t="e">
        <f t="shared" si="141"/>
        <v>#N/A</v>
      </c>
      <c r="AB386" s="7" t="e">
        <f t="shared" si="142"/>
        <v>#N/A</v>
      </c>
      <c r="AC386" s="7" t="e">
        <f t="shared" si="143"/>
        <v>#N/A</v>
      </c>
      <c r="AD386" s="472" t="e">
        <f>VLOOKUP(AF386,'排出係数(2017)'!$A$4:$I$1151,9,FALSE)</f>
        <v>#N/A</v>
      </c>
      <c r="AE386" s="12" t="str">
        <f t="shared" si="144"/>
        <v xml:space="preserve"> </v>
      </c>
      <c r="AF386" s="7" t="e">
        <f t="shared" si="159"/>
        <v>#N/A</v>
      </c>
      <c r="AG386" s="7" t="e">
        <f t="shared" si="145"/>
        <v>#N/A</v>
      </c>
      <c r="AH386" s="472" t="e">
        <f>VLOOKUP(AF386,'排出係数(2017)'!$A$4:$I$1151,6,FALSE)</f>
        <v>#N/A</v>
      </c>
      <c r="AI386" s="7" t="e">
        <f t="shared" si="146"/>
        <v>#N/A</v>
      </c>
      <c r="AJ386" s="7" t="e">
        <f t="shared" si="147"/>
        <v>#N/A</v>
      </c>
      <c r="AK386" s="472" t="e">
        <f>VLOOKUP(AF386,'排出係数(2017)'!$A$4:$I$1151,7,FALSE)</f>
        <v>#N/A</v>
      </c>
      <c r="AL386" s="7" t="e">
        <f t="shared" si="148"/>
        <v>#N/A</v>
      </c>
      <c r="AM386" s="7" t="e">
        <f t="shared" si="149"/>
        <v>#N/A</v>
      </c>
      <c r="AN386" s="7" t="e">
        <f t="shared" si="150"/>
        <v>#N/A</v>
      </c>
      <c r="AO386" s="7">
        <f t="shared" si="151"/>
        <v>0</v>
      </c>
      <c r="AP386" s="7" t="e">
        <f t="shared" si="160"/>
        <v>#N/A</v>
      </c>
      <c r="AQ386" s="7" t="str">
        <f t="shared" si="152"/>
        <v/>
      </c>
      <c r="AR386" s="7" t="str">
        <f t="shared" si="153"/>
        <v/>
      </c>
      <c r="AS386" s="7" t="str">
        <f t="shared" si="154"/>
        <v/>
      </c>
      <c r="AT386" s="97"/>
      <c r="AZ386" s="477" t="s">
        <v>896</v>
      </c>
      <c r="CF386" s="586" t="str">
        <f t="shared" si="161"/>
        <v/>
      </c>
      <c r="CG386"/>
      <c r="CH386"/>
    </row>
    <row r="387" spans="1:86" s="13" customFormat="1" ht="13.75" customHeight="1">
      <c r="A387" s="137">
        <v>372</v>
      </c>
      <c r="B387" s="138"/>
      <c r="C387" s="139"/>
      <c r="D387" s="140"/>
      <c r="E387" s="139"/>
      <c r="F387" s="139"/>
      <c r="G387" s="191"/>
      <c r="H387" s="139"/>
      <c r="I387" s="141"/>
      <c r="J387" s="142"/>
      <c r="K387" s="139"/>
      <c r="L387" s="147"/>
      <c r="M387" s="148"/>
      <c r="N387" s="583"/>
      <c r="O387" s="229" t="str">
        <f t="shared" si="155"/>
        <v/>
      </c>
      <c r="P387" s="229" t="str">
        <f t="shared" si="156"/>
        <v/>
      </c>
      <c r="Q387" s="230" t="str">
        <f t="shared" si="157"/>
        <v/>
      </c>
      <c r="R387" s="323" t="str">
        <f t="shared" si="158"/>
        <v/>
      </c>
      <c r="S387" s="350"/>
      <c r="T387" s="43"/>
      <c r="U387" s="347" t="str">
        <f t="shared" si="135"/>
        <v/>
      </c>
      <c r="V387" s="7" t="e">
        <f t="shared" si="136"/>
        <v>#N/A</v>
      </c>
      <c r="W387" s="7" t="e">
        <f t="shared" si="137"/>
        <v>#N/A</v>
      </c>
      <c r="X387" s="7" t="e">
        <f t="shared" si="138"/>
        <v>#N/A</v>
      </c>
      <c r="Y387" s="7" t="str">
        <f t="shared" si="139"/>
        <v/>
      </c>
      <c r="Z387" s="11">
        <f t="shared" si="140"/>
        <v>1</v>
      </c>
      <c r="AA387" s="7" t="e">
        <f t="shared" si="141"/>
        <v>#N/A</v>
      </c>
      <c r="AB387" s="7" t="e">
        <f t="shared" si="142"/>
        <v>#N/A</v>
      </c>
      <c r="AC387" s="7" t="e">
        <f t="shared" si="143"/>
        <v>#N/A</v>
      </c>
      <c r="AD387" s="472" t="e">
        <f>VLOOKUP(AF387,'排出係数(2017)'!$A$4:$I$1151,9,FALSE)</f>
        <v>#N/A</v>
      </c>
      <c r="AE387" s="12" t="str">
        <f t="shared" si="144"/>
        <v xml:space="preserve"> </v>
      </c>
      <c r="AF387" s="7" t="e">
        <f t="shared" si="159"/>
        <v>#N/A</v>
      </c>
      <c r="AG387" s="7" t="e">
        <f t="shared" si="145"/>
        <v>#N/A</v>
      </c>
      <c r="AH387" s="472" t="e">
        <f>VLOOKUP(AF387,'排出係数(2017)'!$A$4:$I$1151,6,FALSE)</f>
        <v>#N/A</v>
      </c>
      <c r="AI387" s="7" t="e">
        <f t="shared" si="146"/>
        <v>#N/A</v>
      </c>
      <c r="AJ387" s="7" t="e">
        <f t="shared" si="147"/>
        <v>#N/A</v>
      </c>
      <c r="AK387" s="472" t="e">
        <f>VLOOKUP(AF387,'排出係数(2017)'!$A$4:$I$1151,7,FALSE)</f>
        <v>#N/A</v>
      </c>
      <c r="AL387" s="7" t="e">
        <f t="shared" si="148"/>
        <v>#N/A</v>
      </c>
      <c r="AM387" s="7" t="e">
        <f t="shared" si="149"/>
        <v>#N/A</v>
      </c>
      <c r="AN387" s="7" t="e">
        <f t="shared" si="150"/>
        <v>#N/A</v>
      </c>
      <c r="AO387" s="7">
        <f t="shared" si="151"/>
        <v>0</v>
      </c>
      <c r="AP387" s="7" t="e">
        <f t="shared" si="160"/>
        <v>#N/A</v>
      </c>
      <c r="AQ387" s="7" t="str">
        <f t="shared" si="152"/>
        <v/>
      </c>
      <c r="AR387" s="7" t="str">
        <f t="shared" si="153"/>
        <v/>
      </c>
      <c r="AS387" s="7" t="str">
        <f t="shared" si="154"/>
        <v/>
      </c>
      <c r="AT387" s="97"/>
      <c r="AZ387" s="477" t="s">
        <v>2363</v>
      </c>
      <c r="CF387" s="586" t="str">
        <f t="shared" si="161"/>
        <v/>
      </c>
      <c r="CG387"/>
      <c r="CH387"/>
    </row>
    <row r="388" spans="1:86" s="13" customFormat="1" ht="13.75" customHeight="1">
      <c r="A388" s="137">
        <v>373</v>
      </c>
      <c r="B388" s="138"/>
      <c r="C388" s="139"/>
      <c r="D388" s="140"/>
      <c r="E388" s="139"/>
      <c r="F388" s="139"/>
      <c r="G388" s="191"/>
      <c r="H388" s="139"/>
      <c r="I388" s="141"/>
      <c r="J388" s="142"/>
      <c r="K388" s="139"/>
      <c r="L388" s="147"/>
      <c r="M388" s="148"/>
      <c r="N388" s="583"/>
      <c r="O388" s="229" t="str">
        <f t="shared" si="155"/>
        <v/>
      </c>
      <c r="P388" s="229" t="str">
        <f t="shared" si="156"/>
        <v/>
      </c>
      <c r="Q388" s="230" t="str">
        <f t="shared" si="157"/>
        <v/>
      </c>
      <c r="R388" s="323" t="str">
        <f t="shared" si="158"/>
        <v/>
      </c>
      <c r="S388" s="350"/>
      <c r="T388" s="43"/>
      <c r="U388" s="347" t="str">
        <f t="shared" si="135"/>
        <v/>
      </c>
      <c r="V388" s="7" t="e">
        <f t="shared" si="136"/>
        <v>#N/A</v>
      </c>
      <c r="W388" s="7" t="e">
        <f t="shared" si="137"/>
        <v>#N/A</v>
      </c>
      <c r="X388" s="7" t="e">
        <f t="shared" si="138"/>
        <v>#N/A</v>
      </c>
      <c r="Y388" s="7" t="str">
        <f t="shared" si="139"/>
        <v/>
      </c>
      <c r="Z388" s="11">
        <f t="shared" si="140"/>
        <v>1</v>
      </c>
      <c r="AA388" s="7" t="e">
        <f t="shared" si="141"/>
        <v>#N/A</v>
      </c>
      <c r="AB388" s="7" t="e">
        <f t="shared" si="142"/>
        <v>#N/A</v>
      </c>
      <c r="AC388" s="7" t="e">
        <f t="shared" si="143"/>
        <v>#N/A</v>
      </c>
      <c r="AD388" s="472" t="e">
        <f>VLOOKUP(AF388,'排出係数(2017)'!$A$4:$I$1151,9,FALSE)</f>
        <v>#N/A</v>
      </c>
      <c r="AE388" s="12" t="str">
        <f t="shared" si="144"/>
        <v xml:space="preserve"> </v>
      </c>
      <c r="AF388" s="7" t="e">
        <f t="shared" si="159"/>
        <v>#N/A</v>
      </c>
      <c r="AG388" s="7" t="e">
        <f t="shared" si="145"/>
        <v>#N/A</v>
      </c>
      <c r="AH388" s="472" t="e">
        <f>VLOOKUP(AF388,'排出係数(2017)'!$A$4:$I$1151,6,FALSE)</f>
        <v>#N/A</v>
      </c>
      <c r="AI388" s="7" t="e">
        <f t="shared" si="146"/>
        <v>#N/A</v>
      </c>
      <c r="AJ388" s="7" t="e">
        <f t="shared" si="147"/>
        <v>#N/A</v>
      </c>
      <c r="AK388" s="472" t="e">
        <f>VLOOKUP(AF388,'排出係数(2017)'!$A$4:$I$1151,7,FALSE)</f>
        <v>#N/A</v>
      </c>
      <c r="AL388" s="7" t="e">
        <f t="shared" si="148"/>
        <v>#N/A</v>
      </c>
      <c r="AM388" s="7" t="e">
        <f t="shared" si="149"/>
        <v>#N/A</v>
      </c>
      <c r="AN388" s="7" t="e">
        <f t="shared" si="150"/>
        <v>#N/A</v>
      </c>
      <c r="AO388" s="7">
        <f t="shared" si="151"/>
        <v>0</v>
      </c>
      <c r="AP388" s="7" t="e">
        <f t="shared" si="160"/>
        <v>#N/A</v>
      </c>
      <c r="AQ388" s="7" t="str">
        <f t="shared" si="152"/>
        <v/>
      </c>
      <c r="AR388" s="7" t="str">
        <f t="shared" si="153"/>
        <v/>
      </c>
      <c r="AS388" s="7" t="str">
        <f t="shared" si="154"/>
        <v/>
      </c>
      <c r="AT388" s="97"/>
      <c r="AZ388" s="477" t="s">
        <v>1642</v>
      </c>
      <c r="CF388" s="586" t="str">
        <f t="shared" si="161"/>
        <v/>
      </c>
      <c r="CG388"/>
      <c r="CH388"/>
    </row>
    <row r="389" spans="1:86" s="13" customFormat="1" ht="13.75" customHeight="1">
      <c r="A389" s="137">
        <v>374</v>
      </c>
      <c r="B389" s="138"/>
      <c r="C389" s="139"/>
      <c r="D389" s="140"/>
      <c r="E389" s="139"/>
      <c r="F389" s="139"/>
      <c r="G389" s="191"/>
      <c r="H389" s="139"/>
      <c r="I389" s="141"/>
      <c r="J389" s="142"/>
      <c r="K389" s="139"/>
      <c r="L389" s="147"/>
      <c r="M389" s="148"/>
      <c r="N389" s="583"/>
      <c r="O389" s="229" t="str">
        <f t="shared" si="155"/>
        <v/>
      </c>
      <c r="P389" s="229" t="str">
        <f t="shared" si="156"/>
        <v/>
      </c>
      <c r="Q389" s="230" t="str">
        <f t="shared" si="157"/>
        <v/>
      </c>
      <c r="R389" s="323" t="str">
        <f t="shared" si="158"/>
        <v/>
      </c>
      <c r="S389" s="350"/>
      <c r="T389" s="43"/>
      <c r="U389" s="347" t="str">
        <f t="shared" si="135"/>
        <v/>
      </c>
      <c r="V389" s="7" t="e">
        <f t="shared" si="136"/>
        <v>#N/A</v>
      </c>
      <c r="W389" s="7" t="e">
        <f t="shared" si="137"/>
        <v>#N/A</v>
      </c>
      <c r="X389" s="7" t="e">
        <f t="shared" si="138"/>
        <v>#N/A</v>
      </c>
      <c r="Y389" s="7" t="str">
        <f t="shared" si="139"/>
        <v/>
      </c>
      <c r="Z389" s="11">
        <f t="shared" si="140"/>
        <v>1</v>
      </c>
      <c r="AA389" s="7" t="e">
        <f t="shared" si="141"/>
        <v>#N/A</v>
      </c>
      <c r="AB389" s="7" t="e">
        <f t="shared" si="142"/>
        <v>#N/A</v>
      </c>
      <c r="AC389" s="7" t="e">
        <f t="shared" si="143"/>
        <v>#N/A</v>
      </c>
      <c r="AD389" s="472" t="e">
        <f>VLOOKUP(AF389,'排出係数(2017)'!$A$4:$I$1151,9,FALSE)</f>
        <v>#N/A</v>
      </c>
      <c r="AE389" s="12" t="str">
        <f t="shared" si="144"/>
        <v xml:space="preserve"> </v>
      </c>
      <c r="AF389" s="7" t="e">
        <f t="shared" si="159"/>
        <v>#N/A</v>
      </c>
      <c r="AG389" s="7" t="e">
        <f t="shared" si="145"/>
        <v>#N/A</v>
      </c>
      <c r="AH389" s="472" t="e">
        <f>VLOOKUP(AF389,'排出係数(2017)'!$A$4:$I$1151,6,FALSE)</f>
        <v>#N/A</v>
      </c>
      <c r="AI389" s="7" t="e">
        <f t="shared" si="146"/>
        <v>#N/A</v>
      </c>
      <c r="AJ389" s="7" t="e">
        <f t="shared" si="147"/>
        <v>#N/A</v>
      </c>
      <c r="AK389" s="472" t="e">
        <f>VLOOKUP(AF389,'排出係数(2017)'!$A$4:$I$1151,7,FALSE)</f>
        <v>#N/A</v>
      </c>
      <c r="AL389" s="7" t="e">
        <f t="shared" si="148"/>
        <v>#N/A</v>
      </c>
      <c r="AM389" s="7" t="e">
        <f t="shared" si="149"/>
        <v>#N/A</v>
      </c>
      <c r="AN389" s="7" t="e">
        <f t="shared" si="150"/>
        <v>#N/A</v>
      </c>
      <c r="AO389" s="7">
        <f t="shared" si="151"/>
        <v>0</v>
      </c>
      <c r="AP389" s="7" t="e">
        <f t="shared" si="160"/>
        <v>#N/A</v>
      </c>
      <c r="AQ389" s="7" t="str">
        <f t="shared" si="152"/>
        <v/>
      </c>
      <c r="AR389" s="7" t="str">
        <f t="shared" si="153"/>
        <v/>
      </c>
      <c r="AS389" s="7" t="str">
        <f t="shared" si="154"/>
        <v/>
      </c>
      <c r="AT389" s="97"/>
      <c r="AZ389" s="477" t="s">
        <v>655</v>
      </c>
      <c r="CF389" s="586" t="str">
        <f t="shared" si="161"/>
        <v/>
      </c>
      <c r="CG389"/>
      <c r="CH389"/>
    </row>
    <row r="390" spans="1:86" s="13" customFormat="1" ht="13.75" customHeight="1">
      <c r="A390" s="137">
        <v>375</v>
      </c>
      <c r="B390" s="138"/>
      <c r="C390" s="139"/>
      <c r="D390" s="140"/>
      <c r="E390" s="139"/>
      <c r="F390" s="139"/>
      <c r="G390" s="191"/>
      <c r="H390" s="139"/>
      <c r="I390" s="141"/>
      <c r="J390" s="142"/>
      <c r="K390" s="139"/>
      <c r="L390" s="147"/>
      <c r="M390" s="148"/>
      <c r="N390" s="583"/>
      <c r="O390" s="229" t="str">
        <f t="shared" si="155"/>
        <v/>
      </c>
      <c r="P390" s="229" t="str">
        <f t="shared" si="156"/>
        <v/>
      </c>
      <c r="Q390" s="230" t="str">
        <f t="shared" si="157"/>
        <v/>
      </c>
      <c r="R390" s="323" t="str">
        <f t="shared" si="158"/>
        <v/>
      </c>
      <c r="S390" s="350"/>
      <c r="T390" s="43"/>
      <c r="U390" s="347" t="str">
        <f t="shared" si="135"/>
        <v/>
      </c>
      <c r="V390" s="7" t="e">
        <f t="shared" si="136"/>
        <v>#N/A</v>
      </c>
      <c r="W390" s="7" t="e">
        <f t="shared" si="137"/>
        <v>#N/A</v>
      </c>
      <c r="X390" s="7" t="e">
        <f t="shared" si="138"/>
        <v>#N/A</v>
      </c>
      <c r="Y390" s="7" t="str">
        <f t="shared" si="139"/>
        <v/>
      </c>
      <c r="Z390" s="11">
        <f t="shared" si="140"/>
        <v>1</v>
      </c>
      <c r="AA390" s="7" t="e">
        <f t="shared" si="141"/>
        <v>#N/A</v>
      </c>
      <c r="AB390" s="7" t="e">
        <f t="shared" si="142"/>
        <v>#N/A</v>
      </c>
      <c r="AC390" s="7" t="e">
        <f t="shared" si="143"/>
        <v>#N/A</v>
      </c>
      <c r="AD390" s="472" t="e">
        <f>VLOOKUP(AF390,'排出係数(2017)'!$A$4:$I$1151,9,FALSE)</f>
        <v>#N/A</v>
      </c>
      <c r="AE390" s="12" t="str">
        <f t="shared" si="144"/>
        <v xml:space="preserve"> </v>
      </c>
      <c r="AF390" s="7" t="e">
        <f t="shared" si="159"/>
        <v>#N/A</v>
      </c>
      <c r="AG390" s="7" t="e">
        <f t="shared" si="145"/>
        <v>#N/A</v>
      </c>
      <c r="AH390" s="472" t="e">
        <f>VLOOKUP(AF390,'排出係数(2017)'!$A$4:$I$1151,6,FALSE)</f>
        <v>#N/A</v>
      </c>
      <c r="AI390" s="7" t="e">
        <f t="shared" si="146"/>
        <v>#N/A</v>
      </c>
      <c r="AJ390" s="7" t="e">
        <f t="shared" si="147"/>
        <v>#N/A</v>
      </c>
      <c r="AK390" s="472" t="e">
        <f>VLOOKUP(AF390,'排出係数(2017)'!$A$4:$I$1151,7,FALSE)</f>
        <v>#N/A</v>
      </c>
      <c r="AL390" s="7" t="e">
        <f t="shared" si="148"/>
        <v>#N/A</v>
      </c>
      <c r="AM390" s="7" t="e">
        <f t="shared" si="149"/>
        <v>#N/A</v>
      </c>
      <c r="AN390" s="7" t="e">
        <f t="shared" si="150"/>
        <v>#N/A</v>
      </c>
      <c r="AO390" s="7">
        <f t="shared" si="151"/>
        <v>0</v>
      </c>
      <c r="AP390" s="7" t="e">
        <f t="shared" si="160"/>
        <v>#N/A</v>
      </c>
      <c r="AQ390" s="7" t="str">
        <f t="shared" si="152"/>
        <v/>
      </c>
      <c r="AR390" s="7" t="str">
        <f t="shared" si="153"/>
        <v/>
      </c>
      <c r="AS390" s="7" t="str">
        <f t="shared" si="154"/>
        <v/>
      </c>
      <c r="AT390" s="97"/>
      <c r="AZ390" s="477" t="s">
        <v>888</v>
      </c>
      <c r="CF390" s="586" t="str">
        <f t="shared" si="161"/>
        <v/>
      </c>
      <c r="CG390"/>
      <c r="CH390"/>
    </row>
    <row r="391" spans="1:86" s="13" customFormat="1" ht="13.75" customHeight="1">
      <c r="A391" s="137">
        <v>376</v>
      </c>
      <c r="B391" s="138"/>
      <c r="C391" s="139"/>
      <c r="D391" s="140"/>
      <c r="E391" s="139"/>
      <c r="F391" s="139"/>
      <c r="G391" s="191"/>
      <c r="H391" s="139"/>
      <c r="I391" s="141"/>
      <c r="J391" s="142"/>
      <c r="K391" s="139"/>
      <c r="L391" s="147"/>
      <c r="M391" s="148"/>
      <c r="N391" s="583"/>
      <c r="O391" s="229" t="str">
        <f t="shared" si="155"/>
        <v/>
      </c>
      <c r="P391" s="229" t="str">
        <f t="shared" si="156"/>
        <v/>
      </c>
      <c r="Q391" s="230" t="str">
        <f t="shared" si="157"/>
        <v/>
      </c>
      <c r="R391" s="323" t="str">
        <f t="shared" si="158"/>
        <v/>
      </c>
      <c r="S391" s="350"/>
      <c r="T391" s="43"/>
      <c r="U391" s="347" t="str">
        <f t="shared" si="135"/>
        <v/>
      </c>
      <c r="V391" s="7" t="e">
        <f t="shared" si="136"/>
        <v>#N/A</v>
      </c>
      <c r="W391" s="7" t="e">
        <f t="shared" si="137"/>
        <v>#N/A</v>
      </c>
      <c r="X391" s="7" t="e">
        <f t="shared" si="138"/>
        <v>#N/A</v>
      </c>
      <c r="Y391" s="7" t="str">
        <f t="shared" si="139"/>
        <v/>
      </c>
      <c r="Z391" s="11">
        <f t="shared" si="140"/>
        <v>1</v>
      </c>
      <c r="AA391" s="7" t="e">
        <f t="shared" si="141"/>
        <v>#N/A</v>
      </c>
      <c r="AB391" s="7" t="e">
        <f t="shared" si="142"/>
        <v>#N/A</v>
      </c>
      <c r="AC391" s="7" t="e">
        <f t="shared" si="143"/>
        <v>#N/A</v>
      </c>
      <c r="AD391" s="472" t="e">
        <f>VLOOKUP(AF391,'排出係数(2017)'!$A$4:$I$1151,9,FALSE)</f>
        <v>#N/A</v>
      </c>
      <c r="AE391" s="12" t="str">
        <f t="shared" si="144"/>
        <v xml:space="preserve"> </v>
      </c>
      <c r="AF391" s="7" t="e">
        <f t="shared" si="159"/>
        <v>#N/A</v>
      </c>
      <c r="AG391" s="7" t="e">
        <f t="shared" si="145"/>
        <v>#N/A</v>
      </c>
      <c r="AH391" s="472" t="e">
        <f>VLOOKUP(AF391,'排出係数(2017)'!$A$4:$I$1151,6,FALSE)</f>
        <v>#N/A</v>
      </c>
      <c r="AI391" s="7" t="e">
        <f t="shared" si="146"/>
        <v>#N/A</v>
      </c>
      <c r="AJ391" s="7" t="e">
        <f t="shared" si="147"/>
        <v>#N/A</v>
      </c>
      <c r="AK391" s="472" t="e">
        <f>VLOOKUP(AF391,'排出係数(2017)'!$A$4:$I$1151,7,FALSE)</f>
        <v>#N/A</v>
      </c>
      <c r="AL391" s="7" t="e">
        <f t="shared" si="148"/>
        <v>#N/A</v>
      </c>
      <c r="AM391" s="7" t="e">
        <f t="shared" si="149"/>
        <v>#N/A</v>
      </c>
      <c r="AN391" s="7" t="e">
        <f t="shared" si="150"/>
        <v>#N/A</v>
      </c>
      <c r="AO391" s="7">
        <f t="shared" si="151"/>
        <v>0</v>
      </c>
      <c r="AP391" s="7" t="e">
        <f t="shared" si="160"/>
        <v>#N/A</v>
      </c>
      <c r="AQ391" s="7" t="str">
        <f t="shared" si="152"/>
        <v/>
      </c>
      <c r="AR391" s="7" t="str">
        <f t="shared" si="153"/>
        <v/>
      </c>
      <c r="AS391" s="7" t="str">
        <f t="shared" si="154"/>
        <v/>
      </c>
      <c r="AT391" s="97"/>
      <c r="AZ391" s="477" t="s">
        <v>2359</v>
      </c>
      <c r="CF391" s="586" t="str">
        <f t="shared" si="161"/>
        <v/>
      </c>
      <c r="CG391"/>
      <c r="CH391"/>
    </row>
    <row r="392" spans="1:86" s="13" customFormat="1" ht="13.75" customHeight="1">
      <c r="A392" s="137">
        <v>377</v>
      </c>
      <c r="B392" s="138"/>
      <c r="C392" s="139"/>
      <c r="D392" s="140"/>
      <c r="E392" s="139"/>
      <c r="F392" s="139"/>
      <c r="G392" s="191"/>
      <c r="H392" s="139"/>
      <c r="I392" s="141"/>
      <c r="J392" s="142"/>
      <c r="K392" s="139"/>
      <c r="L392" s="147"/>
      <c r="M392" s="148"/>
      <c r="N392" s="583"/>
      <c r="O392" s="229" t="str">
        <f t="shared" si="155"/>
        <v/>
      </c>
      <c r="P392" s="229" t="str">
        <f t="shared" si="156"/>
        <v/>
      </c>
      <c r="Q392" s="230" t="str">
        <f t="shared" si="157"/>
        <v/>
      </c>
      <c r="R392" s="323" t="str">
        <f t="shared" si="158"/>
        <v/>
      </c>
      <c r="S392" s="350"/>
      <c r="T392" s="43"/>
      <c r="U392" s="347" t="str">
        <f t="shared" si="135"/>
        <v/>
      </c>
      <c r="V392" s="7" t="e">
        <f t="shared" si="136"/>
        <v>#N/A</v>
      </c>
      <c r="W392" s="7" t="e">
        <f t="shared" si="137"/>
        <v>#N/A</v>
      </c>
      <c r="X392" s="7" t="e">
        <f t="shared" si="138"/>
        <v>#N/A</v>
      </c>
      <c r="Y392" s="7" t="str">
        <f t="shared" si="139"/>
        <v/>
      </c>
      <c r="Z392" s="11">
        <f t="shared" si="140"/>
        <v>1</v>
      </c>
      <c r="AA392" s="7" t="e">
        <f t="shared" si="141"/>
        <v>#N/A</v>
      </c>
      <c r="AB392" s="7" t="e">
        <f t="shared" si="142"/>
        <v>#N/A</v>
      </c>
      <c r="AC392" s="7" t="e">
        <f t="shared" si="143"/>
        <v>#N/A</v>
      </c>
      <c r="AD392" s="472" t="e">
        <f>VLOOKUP(AF392,'排出係数(2017)'!$A$4:$I$1151,9,FALSE)</f>
        <v>#N/A</v>
      </c>
      <c r="AE392" s="12" t="str">
        <f t="shared" si="144"/>
        <v xml:space="preserve"> </v>
      </c>
      <c r="AF392" s="7" t="e">
        <f t="shared" si="159"/>
        <v>#N/A</v>
      </c>
      <c r="AG392" s="7" t="e">
        <f t="shared" si="145"/>
        <v>#N/A</v>
      </c>
      <c r="AH392" s="472" t="e">
        <f>VLOOKUP(AF392,'排出係数(2017)'!$A$4:$I$1151,6,FALSE)</f>
        <v>#N/A</v>
      </c>
      <c r="AI392" s="7" t="e">
        <f t="shared" si="146"/>
        <v>#N/A</v>
      </c>
      <c r="AJ392" s="7" t="e">
        <f t="shared" si="147"/>
        <v>#N/A</v>
      </c>
      <c r="AK392" s="472" t="e">
        <f>VLOOKUP(AF392,'排出係数(2017)'!$A$4:$I$1151,7,FALSE)</f>
        <v>#N/A</v>
      </c>
      <c r="AL392" s="7" t="e">
        <f t="shared" si="148"/>
        <v>#N/A</v>
      </c>
      <c r="AM392" s="7" t="e">
        <f t="shared" si="149"/>
        <v>#N/A</v>
      </c>
      <c r="AN392" s="7" t="e">
        <f t="shared" si="150"/>
        <v>#N/A</v>
      </c>
      <c r="AO392" s="7">
        <f t="shared" si="151"/>
        <v>0</v>
      </c>
      <c r="AP392" s="7" t="e">
        <f t="shared" si="160"/>
        <v>#N/A</v>
      </c>
      <c r="AQ392" s="7" t="str">
        <f t="shared" si="152"/>
        <v/>
      </c>
      <c r="AR392" s="7" t="str">
        <f t="shared" si="153"/>
        <v/>
      </c>
      <c r="AS392" s="7" t="str">
        <f t="shared" si="154"/>
        <v/>
      </c>
      <c r="AT392" s="97"/>
      <c r="AZ392" s="477" t="s">
        <v>1690</v>
      </c>
      <c r="CF392" s="586" t="str">
        <f t="shared" si="161"/>
        <v/>
      </c>
      <c r="CG392"/>
      <c r="CH392"/>
    </row>
    <row r="393" spans="1:86" s="13" customFormat="1" ht="13.75" customHeight="1">
      <c r="A393" s="137">
        <v>378</v>
      </c>
      <c r="B393" s="138"/>
      <c r="C393" s="139"/>
      <c r="D393" s="140"/>
      <c r="E393" s="139"/>
      <c r="F393" s="139"/>
      <c r="G393" s="191"/>
      <c r="H393" s="139"/>
      <c r="I393" s="141"/>
      <c r="J393" s="142"/>
      <c r="K393" s="139"/>
      <c r="L393" s="147"/>
      <c r="M393" s="148"/>
      <c r="N393" s="583"/>
      <c r="O393" s="229" t="str">
        <f t="shared" si="155"/>
        <v/>
      </c>
      <c r="P393" s="229" t="str">
        <f t="shared" si="156"/>
        <v/>
      </c>
      <c r="Q393" s="230" t="str">
        <f t="shared" si="157"/>
        <v/>
      </c>
      <c r="R393" s="323" t="str">
        <f t="shared" si="158"/>
        <v/>
      </c>
      <c r="S393" s="350"/>
      <c r="T393" s="43"/>
      <c r="U393" s="347" t="str">
        <f t="shared" si="135"/>
        <v/>
      </c>
      <c r="V393" s="7" t="e">
        <f t="shared" si="136"/>
        <v>#N/A</v>
      </c>
      <c r="W393" s="7" t="e">
        <f t="shared" si="137"/>
        <v>#N/A</v>
      </c>
      <c r="X393" s="7" t="e">
        <f t="shared" si="138"/>
        <v>#N/A</v>
      </c>
      <c r="Y393" s="7" t="str">
        <f t="shared" si="139"/>
        <v/>
      </c>
      <c r="Z393" s="11">
        <f t="shared" si="140"/>
        <v>1</v>
      </c>
      <c r="AA393" s="7" t="e">
        <f t="shared" si="141"/>
        <v>#N/A</v>
      </c>
      <c r="AB393" s="7" t="e">
        <f t="shared" si="142"/>
        <v>#N/A</v>
      </c>
      <c r="AC393" s="7" t="e">
        <f t="shared" si="143"/>
        <v>#N/A</v>
      </c>
      <c r="AD393" s="472" t="e">
        <f>VLOOKUP(AF393,'排出係数(2017)'!$A$4:$I$1151,9,FALSE)</f>
        <v>#N/A</v>
      </c>
      <c r="AE393" s="12" t="str">
        <f t="shared" si="144"/>
        <v xml:space="preserve"> </v>
      </c>
      <c r="AF393" s="7" t="e">
        <f t="shared" si="159"/>
        <v>#N/A</v>
      </c>
      <c r="AG393" s="7" t="e">
        <f t="shared" si="145"/>
        <v>#N/A</v>
      </c>
      <c r="AH393" s="472" t="e">
        <f>VLOOKUP(AF393,'排出係数(2017)'!$A$4:$I$1151,6,FALSE)</f>
        <v>#N/A</v>
      </c>
      <c r="AI393" s="7" t="e">
        <f t="shared" si="146"/>
        <v>#N/A</v>
      </c>
      <c r="AJ393" s="7" t="e">
        <f t="shared" si="147"/>
        <v>#N/A</v>
      </c>
      <c r="AK393" s="472" t="e">
        <f>VLOOKUP(AF393,'排出係数(2017)'!$A$4:$I$1151,7,FALSE)</f>
        <v>#N/A</v>
      </c>
      <c r="AL393" s="7" t="e">
        <f t="shared" si="148"/>
        <v>#N/A</v>
      </c>
      <c r="AM393" s="7" t="e">
        <f t="shared" si="149"/>
        <v>#N/A</v>
      </c>
      <c r="AN393" s="7" t="e">
        <f t="shared" si="150"/>
        <v>#N/A</v>
      </c>
      <c r="AO393" s="7">
        <f t="shared" si="151"/>
        <v>0</v>
      </c>
      <c r="AP393" s="7" t="e">
        <f t="shared" si="160"/>
        <v>#N/A</v>
      </c>
      <c r="AQ393" s="7" t="str">
        <f t="shared" si="152"/>
        <v/>
      </c>
      <c r="AR393" s="7" t="str">
        <f t="shared" si="153"/>
        <v/>
      </c>
      <c r="AS393" s="7" t="str">
        <f t="shared" si="154"/>
        <v/>
      </c>
      <c r="AT393" s="97"/>
      <c r="AZ393" s="477" t="s">
        <v>1159</v>
      </c>
      <c r="CF393" s="586" t="str">
        <f t="shared" si="161"/>
        <v/>
      </c>
      <c r="CG393"/>
      <c r="CH393"/>
    </row>
    <row r="394" spans="1:86" s="13" customFormat="1" ht="13.75" customHeight="1">
      <c r="A394" s="137">
        <v>379</v>
      </c>
      <c r="B394" s="138"/>
      <c r="C394" s="139"/>
      <c r="D394" s="140"/>
      <c r="E394" s="139"/>
      <c r="F394" s="139"/>
      <c r="G394" s="191"/>
      <c r="H394" s="139"/>
      <c r="I394" s="141"/>
      <c r="J394" s="142"/>
      <c r="K394" s="139"/>
      <c r="L394" s="147"/>
      <c r="M394" s="148"/>
      <c r="N394" s="583"/>
      <c r="O394" s="229" t="str">
        <f t="shared" si="155"/>
        <v/>
      </c>
      <c r="P394" s="229" t="str">
        <f t="shared" si="156"/>
        <v/>
      </c>
      <c r="Q394" s="230" t="str">
        <f t="shared" si="157"/>
        <v/>
      </c>
      <c r="R394" s="323" t="str">
        <f t="shared" si="158"/>
        <v/>
      </c>
      <c r="S394" s="350"/>
      <c r="T394" s="43"/>
      <c r="U394" s="347" t="str">
        <f t="shared" si="135"/>
        <v/>
      </c>
      <c r="V394" s="7" t="e">
        <f t="shared" si="136"/>
        <v>#N/A</v>
      </c>
      <c r="W394" s="7" t="e">
        <f t="shared" si="137"/>
        <v>#N/A</v>
      </c>
      <c r="X394" s="7" t="e">
        <f t="shared" si="138"/>
        <v>#N/A</v>
      </c>
      <c r="Y394" s="7" t="str">
        <f t="shared" si="139"/>
        <v/>
      </c>
      <c r="Z394" s="11">
        <f t="shared" si="140"/>
        <v>1</v>
      </c>
      <c r="AA394" s="7" t="e">
        <f t="shared" si="141"/>
        <v>#N/A</v>
      </c>
      <c r="AB394" s="7" t="e">
        <f t="shared" si="142"/>
        <v>#N/A</v>
      </c>
      <c r="AC394" s="7" t="e">
        <f t="shared" si="143"/>
        <v>#N/A</v>
      </c>
      <c r="AD394" s="472" t="e">
        <f>VLOOKUP(AF394,'排出係数(2017)'!$A$4:$I$1151,9,FALSE)</f>
        <v>#N/A</v>
      </c>
      <c r="AE394" s="12" t="str">
        <f t="shared" si="144"/>
        <v xml:space="preserve"> </v>
      </c>
      <c r="AF394" s="7" t="e">
        <f t="shared" si="159"/>
        <v>#N/A</v>
      </c>
      <c r="AG394" s="7" t="e">
        <f t="shared" si="145"/>
        <v>#N/A</v>
      </c>
      <c r="AH394" s="472" t="e">
        <f>VLOOKUP(AF394,'排出係数(2017)'!$A$4:$I$1151,6,FALSE)</f>
        <v>#N/A</v>
      </c>
      <c r="AI394" s="7" t="e">
        <f t="shared" si="146"/>
        <v>#N/A</v>
      </c>
      <c r="AJ394" s="7" t="e">
        <f t="shared" si="147"/>
        <v>#N/A</v>
      </c>
      <c r="AK394" s="472" t="e">
        <f>VLOOKUP(AF394,'排出係数(2017)'!$A$4:$I$1151,7,FALSE)</f>
        <v>#N/A</v>
      </c>
      <c r="AL394" s="7" t="e">
        <f t="shared" si="148"/>
        <v>#N/A</v>
      </c>
      <c r="AM394" s="7" t="e">
        <f t="shared" si="149"/>
        <v>#N/A</v>
      </c>
      <c r="AN394" s="7" t="e">
        <f t="shared" si="150"/>
        <v>#N/A</v>
      </c>
      <c r="AO394" s="7">
        <f t="shared" si="151"/>
        <v>0</v>
      </c>
      <c r="AP394" s="7" t="e">
        <f t="shared" si="160"/>
        <v>#N/A</v>
      </c>
      <c r="AQ394" s="7" t="str">
        <f t="shared" si="152"/>
        <v/>
      </c>
      <c r="AR394" s="7" t="str">
        <f t="shared" si="153"/>
        <v/>
      </c>
      <c r="AS394" s="7" t="str">
        <f t="shared" si="154"/>
        <v/>
      </c>
      <c r="AT394" s="97"/>
      <c r="AZ394" s="477" t="s">
        <v>1192</v>
      </c>
      <c r="CF394" s="586" t="str">
        <f t="shared" si="161"/>
        <v/>
      </c>
      <c r="CG394"/>
      <c r="CH394"/>
    </row>
    <row r="395" spans="1:86" s="13" customFormat="1" ht="13.75" customHeight="1">
      <c r="A395" s="137">
        <v>380</v>
      </c>
      <c r="B395" s="138"/>
      <c r="C395" s="139"/>
      <c r="D395" s="140"/>
      <c r="E395" s="139"/>
      <c r="F395" s="139"/>
      <c r="G395" s="191"/>
      <c r="H395" s="139"/>
      <c r="I395" s="141"/>
      <c r="J395" s="142"/>
      <c r="K395" s="139"/>
      <c r="L395" s="147"/>
      <c r="M395" s="148"/>
      <c r="N395" s="583"/>
      <c r="O395" s="229" t="str">
        <f t="shared" si="155"/>
        <v/>
      </c>
      <c r="P395" s="229" t="str">
        <f t="shared" si="156"/>
        <v/>
      </c>
      <c r="Q395" s="230" t="str">
        <f t="shared" si="157"/>
        <v/>
      </c>
      <c r="R395" s="323" t="str">
        <f t="shared" si="158"/>
        <v/>
      </c>
      <c r="S395" s="350"/>
      <c r="T395" s="43"/>
      <c r="U395" s="347" t="str">
        <f t="shared" si="135"/>
        <v/>
      </c>
      <c r="V395" s="7" t="e">
        <f t="shared" si="136"/>
        <v>#N/A</v>
      </c>
      <c r="W395" s="7" t="e">
        <f t="shared" si="137"/>
        <v>#N/A</v>
      </c>
      <c r="X395" s="7" t="e">
        <f t="shared" si="138"/>
        <v>#N/A</v>
      </c>
      <c r="Y395" s="7" t="str">
        <f t="shared" si="139"/>
        <v/>
      </c>
      <c r="Z395" s="11">
        <f t="shared" si="140"/>
        <v>1</v>
      </c>
      <c r="AA395" s="7" t="e">
        <f t="shared" si="141"/>
        <v>#N/A</v>
      </c>
      <c r="AB395" s="7" t="e">
        <f t="shared" si="142"/>
        <v>#N/A</v>
      </c>
      <c r="AC395" s="7" t="e">
        <f t="shared" si="143"/>
        <v>#N/A</v>
      </c>
      <c r="AD395" s="472" t="e">
        <f>VLOOKUP(AF395,'排出係数(2017)'!$A$4:$I$1151,9,FALSE)</f>
        <v>#N/A</v>
      </c>
      <c r="AE395" s="12" t="str">
        <f t="shared" si="144"/>
        <v xml:space="preserve"> </v>
      </c>
      <c r="AF395" s="7" t="e">
        <f t="shared" si="159"/>
        <v>#N/A</v>
      </c>
      <c r="AG395" s="7" t="e">
        <f t="shared" si="145"/>
        <v>#N/A</v>
      </c>
      <c r="AH395" s="472" t="e">
        <f>VLOOKUP(AF395,'排出係数(2017)'!$A$4:$I$1151,6,FALSE)</f>
        <v>#N/A</v>
      </c>
      <c r="AI395" s="7" t="e">
        <f t="shared" si="146"/>
        <v>#N/A</v>
      </c>
      <c r="AJ395" s="7" t="e">
        <f t="shared" si="147"/>
        <v>#N/A</v>
      </c>
      <c r="AK395" s="472" t="e">
        <f>VLOOKUP(AF395,'排出係数(2017)'!$A$4:$I$1151,7,FALSE)</f>
        <v>#N/A</v>
      </c>
      <c r="AL395" s="7" t="e">
        <f t="shared" si="148"/>
        <v>#N/A</v>
      </c>
      <c r="AM395" s="7" t="e">
        <f t="shared" si="149"/>
        <v>#N/A</v>
      </c>
      <c r="AN395" s="7" t="e">
        <f t="shared" si="150"/>
        <v>#N/A</v>
      </c>
      <c r="AO395" s="7">
        <f t="shared" si="151"/>
        <v>0</v>
      </c>
      <c r="AP395" s="7" t="e">
        <f t="shared" si="160"/>
        <v>#N/A</v>
      </c>
      <c r="AQ395" s="7" t="str">
        <f t="shared" si="152"/>
        <v/>
      </c>
      <c r="AR395" s="7" t="str">
        <f t="shared" si="153"/>
        <v/>
      </c>
      <c r="AS395" s="7" t="str">
        <f t="shared" si="154"/>
        <v/>
      </c>
      <c r="AT395" s="97"/>
      <c r="AZ395" s="477" t="s">
        <v>2369</v>
      </c>
      <c r="CF395" s="586" t="str">
        <f t="shared" si="161"/>
        <v/>
      </c>
      <c r="CG395"/>
      <c r="CH395"/>
    </row>
    <row r="396" spans="1:86" s="13" customFormat="1" ht="13.75" customHeight="1">
      <c r="A396" s="137">
        <v>381</v>
      </c>
      <c r="B396" s="138"/>
      <c r="C396" s="139"/>
      <c r="D396" s="140"/>
      <c r="E396" s="139"/>
      <c r="F396" s="139"/>
      <c r="G396" s="191"/>
      <c r="H396" s="139"/>
      <c r="I396" s="141"/>
      <c r="J396" s="142"/>
      <c r="K396" s="139"/>
      <c r="L396" s="147"/>
      <c r="M396" s="148"/>
      <c r="N396" s="583"/>
      <c r="O396" s="229" t="str">
        <f t="shared" si="155"/>
        <v/>
      </c>
      <c r="P396" s="229" t="str">
        <f t="shared" si="156"/>
        <v/>
      </c>
      <c r="Q396" s="230" t="str">
        <f t="shared" si="157"/>
        <v/>
      </c>
      <c r="R396" s="323" t="str">
        <f t="shared" si="158"/>
        <v/>
      </c>
      <c r="S396" s="350"/>
      <c r="T396" s="43"/>
      <c r="U396" s="347" t="str">
        <f t="shared" si="135"/>
        <v/>
      </c>
      <c r="V396" s="7" t="e">
        <f t="shared" si="136"/>
        <v>#N/A</v>
      </c>
      <c r="W396" s="7" t="e">
        <f t="shared" si="137"/>
        <v>#N/A</v>
      </c>
      <c r="X396" s="7" t="e">
        <f t="shared" si="138"/>
        <v>#N/A</v>
      </c>
      <c r="Y396" s="7" t="str">
        <f t="shared" si="139"/>
        <v/>
      </c>
      <c r="Z396" s="11">
        <f t="shared" si="140"/>
        <v>1</v>
      </c>
      <c r="AA396" s="7" t="e">
        <f t="shared" si="141"/>
        <v>#N/A</v>
      </c>
      <c r="AB396" s="7" t="e">
        <f t="shared" si="142"/>
        <v>#N/A</v>
      </c>
      <c r="AC396" s="7" t="e">
        <f t="shared" si="143"/>
        <v>#N/A</v>
      </c>
      <c r="AD396" s="472" t="e">
        <f>VLOOKUP(AF396,'排出係数(2017)'!$A$4:$I$1151,9,FALSE)</f>
        <v>#N/A</v>
      </c>
      <c r="AE396" s="12" t="str">
        <f t="shared" si="144"/>
        <v xml:space="preserve"> </v>
      </c>
      <c r="AF396" s="7" t="e">
        <f t="shared" si="159"/>
        <v>#N/A</v>
      </c>
      <c r="AG396" s="7" t="e">
        <f t="shared" si="145"/>
        <v>#N/A</v>
      </c>
      <c r="AH396" s="472" t="e">
        <f>VLOOKUP(AF396,'排出係数(2017)'!$A$4:$I$1151,6,FALSE)</f>
        <v>#N/A</v>
      </c>
      <c r="AI396" s="7" t="e">
        <f t="shared" si="146"/>
        <v>#N/A</v>
      </c>
      <c r="AJ396" s="7" t="e">
        <f t="shared" si="147"/>
        <v>#N/A</v>
      </c>
      <c r="AK396" s="472" t="e">
        <f>VLOOKUP(AF396,'排出係数(2017)'!$A$4:$I$1151,7,FALSE)</f>
        <v>#N/A</v>
      </c>
      <c r="AL396" s="7" t="e">
        <f t="shared" si="148"/>
        <v>#N/A</v>
      </c>
      <c r="AM396" s="7" t="e">
        <f t="shared" si="149"/>
        <v>#N/A</v>
      </c>
      <c r="AN396" s="7" t="e">
        <f t="shared" si="150"/>
        <v>#N/A</v>
      </c>
      <c r="AO396" s="7">
        <f t="shared" si="151"/>
        <v>0</v>
      </c>
      <c r="AP396" s="7" t="e">
        <f t="shared" si="160"/>
        <v>#N/A</v>
      </c>
      <c r="AQ396" s="7" t="str">
        <f t="shared" si="152"/>
        <v/>
      </c>
      <c r="AR396" s="7" t="str">
        <f t="shared" si="153"/>
        <v/>
      </c>
      <c r="AS396" s="7" t="str">
        <f t="shared" si="154"/>
        <v/>
      </c>
      <c r="AT396" s="97"/>
      <c r="AZ396" s="477" t="s">
        <v>1688</v>
      </c>
      <c r="CF396" s="586" t="str">
        <f t="shared" si="161"/>
        <v/>
      </c>
      <c r="CG396"/>
      <c r="CH396"/>
    </row>
    <row r="397" spans="1:86" s="13" customFormat="1" ht="13.75" customHeight="1">
      <c r="A397" s="137">
        <v>382</v>
      </c>
      <c r="B397" s="138"/>
      <c r="C397" s="139"/>
      <c r="D397" s="140"/>
      <c r="E397" s="139"/>
      <c r="F397" s="139"/>
      <c r="G397" s="191"/>
      <c r="H397" s="139"/>
      <c r="I397" s="141"/>
      <c r="J397" s="142"/>
      <c r="K397" s="139"/>
      <c r="L397" s="147"/>
      <c r="M397" s="148"/>
      <c r="N397" s="583"/>
      <c r="O397" s="229" t="str">
        <f t="shared" si="155"/>
        <v/>
      </c>
      <c r="P397" s="229" t="str">
        <f t="shared" si="156"/>
        <v/>
      </c>
      <c r="Q397" s="230" t="str">
        <f t="shared" si="157"/>
        <v/>
      </c>
      <c r="R397" s="323" t="str">
        <f t="shared" si="158"/>
        <v/>
      </c>
      <c r="S397" s="350"/>
      <c r="T397" s="43"/>
      <c r="U397" s="347" t="str">
        <f t="shared" si="135"/>
        <v/>
      </c>
      <c r="V397" s="7" t="e">
        <f t="shared" si="136"/>
        <v>#N/A</v>
      </c>
      <c r="W397" s="7" t="e">
        <f t="shared" si="137"/>
        <v>#N/A</v>
      </c>
      <c r="X397" s="7" t="e">
        <f t="shared" si="138"/>
        <v>#N/A</v>
      </c>
      <c r="Y397" s="7" t="str">
        <f t="shared" si="139"/>
        <v/>
      </c>
      <c r="Z397" s="11">
        <f t="shared" si="140"/>
        <v>1</v>
      </c>
      <c r="AA397" s="7" t="e">
        <f t="shared" si="141"/>
        <v>#N/A</v>
      </c>
      <c r="AB397" s="7" t="e">
        <f t="shared" si="142"/>
        <v>#N/A</v>
      </c>
      <c r="AC397" s="7" t="e">
        <f t="shared" si="143"/>
        <v>#N/A</v>
      </c>
      <c r="AD397" s="472" t="e">
        <f>VLOOKUP(AF397,'排出係数(2017)'!$A$4:$I$1151,9,FALSE)</f>
        <v>#N/A</v>
      </c>
      <c r="AE397" s="12" t="str">
        <f t="shared" si="144"/>
        <v xml:space="preserve"> </v>
      </c>
      <c r="AF397" s="7" t="e">
        <f t="shared" si="159"/>
        <v>#N/A</v>
      </c>
      <c r="AG397" s="7" t="e">
        <f t="shared" si="145"/>
        <v>#N/A</v>
      </c>
      <c r="AH397" s="472" t="e">
        <f>VLOOKUP(AF397,'排出係数(2017)'!$A$4:$I$1151,6,FALSE)</f>
        <v>#N/A</v>
      </c>
      <c r="AI397" s="7" t="e">
        <f t="shared" si="146"/>
        <v>#N/A</v>
      </c>
      <c r="AJ397" s="7" t="e">
        <f t="shared" si="147"/>
        <v>#N/A</v>
      </c>
      <c r="AK397" s="472" t="e">
        <f>VLOOKUP(AF397,'排出係数(2017)'!$A$4:$I$1151,7,FALSE)</f>
        <v>#N/A</v>
      </c>
      <c r="AL397" s="7" t="e">
        <f t="shared" si="148"/>
        <v>#N/A</v>
      </c>
      <c r="AM397" s="7" t="e">
        <f t="shared" si="149"/>
        <v>#N/A</v>
      </c>
      <c r="AN397" s="7" t="e">
        <f t="shared" si="150"/>
        <v>#N/A</v>
      </c>
      <c r="AO397" s="7">
        <f t="shared" si="151"/>
        <v>0</v>
      </c>
      <c r="AP397" s="7" t="e">
        <f t="shared" si="160"/>
        <v>#N/A</v>
      </c>
      <c r="AQ397" s="7" t="str">
        <f t="shared" si="152"/>
        <v/>
      </c>
      <c r="AR397" s="7" t="str">
        <f t="shared" si="153"/>
        <v/>
      </c>
      <c r="AS397" s="7" t="str">
        <f t="shared" si="154"/>
        <v/>
      </c>
      <c r="AT397" s="97"/>
      <c r="AZ397" s="477" t="s">
        <v>1157</v>
      </c>
      <c r="CF397" s="586" t="str">
        <f t="shared" si="161"/>
        <v/>
      </c>
      <c r="CG397"/>
      <c r="CH397"/>
    </row>
    <row r="398" spans="1:86" s="13" customFormat="1" ht="13.75" customHeight="1">
      <c r="A398" s="137">
        <v>383</v>
      </c>
      <c r="B398" s="138"/>
      <c r="C398" s="139"/>
      <c r="D398" s="140"/>
      <c r="E398" s="139"/>
      <c r="F398" s="139"/>
      <c r="G398" s="191"/>
      <c r="H398" s="139"/>
      <c r="I398" s="141"/>
      <c r="J398" s="142"/>
      <c r="K398" s="139"/>
      <c r="L398" s="147"/>
      <c r="M398" s="148"/>
      <c r="N398" s="583"/>
      <c r="O398" s="229" t="str">
        <f t="shared" si="155"/>
        <v/>
      </c>
      <c r="P398" s="229" t="str">
        <f t="shared" si="156"/>
        <v/>
      </c>
      <c r="Q398" s="230" t="str">
        <f t="shared" si="157"/>
        <v/>
      </c>
      <c r="R398" s="323" t="str">
        <f t="shared" si="158"/>
        <v/>
      </c>
      <c r="S398" s="350"/>
      <c r="T398" s="43"/>
      <c r="U398" s="347" t="str">
        <f t="shared" si="135"/>
        <v/>
      </c>
      <c r="V398" s="7" t="e">
        <f t="shared" si="136"/>
        <v>#N/A</v>
      </c>
      <c r="W398" s="7" t="e">
        <f t="shared" si="137"/>
        <v>#N/A</v>
      </c>
      <c r="X398" s="7" t="e">
        <f t="shared" si="138"/>
        <v>#N/A</v>
      </c>
      <c r="Y398" s="7" t="str">
        <f t="shared" si="139"/>
        <v/>
      </c>
      <c r="Z398" s="11">
        <f t="shared" si="140"/>
        <v>1</v>
      </c>
      <c r="AA398" s="7" t="e">
        <f t="shared" si="141"/>
        <v>#N/A</v>
      </c>
      <c r="AB398" s="7" t="e">
        <f t="shared" si="142"/>
        <v>#N/A</v>
      </c>
      <c r="AC398" s="7" t="e">
        <f t="shared" si="143"/>
        <v>#N/A</v>
      </c>
      <c r="AD398" s="472" t="e">
        <f>VLOOKUP(AF398,'排出係数(2017)'!$A$4:$I$1151,9,FALSE)</f>
        <v>#N/A</v>
      </c>
      <c r="AE398" s="12" t="str">
        <f t="shared" si="144"/>
        <v xml:space="preserve"> </v>
      </c>
      <c r="AF398" s="7" t="e">
        <f t="shared" si="159"/>
        <v>#N/A</v>
      </c>
      <c r="AG398" s="7" t="e">
        <f t="shared" si="145"/>
        <v>#N/A</v>
      </c>
      <c r="AH398" s="472" t="e">
        <f>VLOOKUP(AF398,'排出係数(2017)'!$A$4:$I$1151,6,FALSE)</f>
        <v>#N/A</v>
      </c>
      <c r="AI398" s="7" t="e">
        <f t="shared" si="146"/>
        <v>#N/A</v>
      </c>
      <c r="AJ398" s="7" t="e">
        <f t="shared" si="147"/>
        <v>#N/A</v>
      </c>
      <c r="AK398" s="472" t="e">
        <f>VLOOKUP(AF398,'排出係数(2017)'!$A$4:$I$1151,7,FALSE)</f>
        <v>#N/A</v>
      </c>
      <c r="AL398" s="7" t="e">
        <f t="shared" si="148"/>
        <v>#N/A</v>
      </c>
      <c r="AM398" s="7" t="e">
        <f t="shared" si="149"/>
        <v>#N/A</v>
      </c>
      <c r="AN398" s="7" t="e">
        <f t="shared" si="150"/>
        <v>#N/A</v>
      </c>
      <c r="AO398" s="7">
        <f t="shared" si="151"/>
        <v>0</v>
      </c>
      <c r="AP398" s="7" t="e">
        <f t="shared" si="160"/>
        <v>#N/A</v>
      </c>
      <c r="AQ398" s="7" t="str">
        <f t="shared" si="152"/>
        <v/>
      </c>
      <c r="AR398" s="7" t="str">
        <f t="shared" si="153"/>
        <v/>
      </c>
      <c r="AS398" s="7" t="str">
        <f t="shared" si="154"/>
        <v/>
      </c>
      <c r="AT398" s="97"/>
      <c r="AZ398" s="477" t="s">
        <v>1190</v>
      </c>
      <c r="CF398" s="586" t="str">
        <f t="shared" si="161"/>
        <v/>
      </c>
      <c r="CG398"/>
      <c r="CH398"/>
    </row>
    <row r="399" spans="1:86" s="13" customFormat="1" ht="13.75" customHeight="1">
      <c r="A399" s="137">
        <v>384</v>
      </c>
      <c r="B399" s="138"/>
      <c r="C399" s="139"/>
      <c r="D399" s="140"/>
      <c r="E399" s="139"/>
      <c r="F399" s="139"/>
      <c r="G399" s="191"/>
      <c r="H399" s="139"/>
      <c r="I399" s="141"/>
      <c r="J399" s="142"/>
      <c r="K399" s="139"/>
      <c r="L399" s="147"/>
      <c r="M399" s="148"/>
      <c r="N399" s="583"/>
      <c r="O399" s="229" t="str">
        <f t="shared" si="155"/>
        <v/>
      </c>
      <c r="P399" s="229" t="str">
        <f t="shared" si="156"/>
        <v/>
      </c>
      <c r="Q399" s="230" t="str">
        <f t="shared" si="157"/>
        <v/>
      </c>
      <c r="R399" s="323" t="str">
        <f t="shared" si="158"/>
        <v/>
      </c>
      <c r="S399" s="350"/>
      <c r="T399" s="43"/>
      <c r="U399" s="347" t="str">
        <f t="shared" si="135"/>
        <v/>
      </c>
      <c r="V399" s="7" t="e">
        <f t="shared" si="136"/>
        <v>#N/A</v>
      </c>
      <c r="W399" s="7" t="e">
        <f t="shared" si="137"/>
        <v>#N/A</v>
      </c>
      <c r="X399" s="7" t="e">
        <f t="shared" si="138"/>
        <v>#N/A</v>
      </c>
      <c r="Y399" s="7" t="str">
        <f t="shared" si="139"/>
        <v/>
      </c>
      <c r="Z399" s="11">
        <f t="shared" si="140"/>
        <v>1</v>
      </c>
      <c r="AA399" s="7" t="e">
        <f t="shared" si="141"/>
        <v>#N/A</v>
      </c>
      <c r="AB399" s="7" t="e">
        <f t="shared" si="142"/>
        <v>#N/A</v>
      </c>
      <c r="AC399" s="7" t="e">
        <f t="shared" si="143"/>
        <v>#N/A</v>
      </c>
      <c r="AD399" s="472" t="e">
        <f>VLOOKUP(AF399,'排出係数(2017)'!$A$4:$I$1151,9,FALSE)</f>
        <v>#N/A</v>
      </c>
      <c r="AE399" s="12" t="str">
        <f t="shared" si="144"/>
        <v xml:space="preserve"> </v>
      </c>
      <c r="AF399" s="7" t="e">
        <f t="shared" si="159"/>
        <v>#N/A</v>
      </c>
      <c r="AG399" s="7" t="e">
        <f t="shared" si="145"/>
        <v>#N/A</v>
      </c>
      <c r="AH399" s="472" t="e">
        <f>VLOOKUP(AF399,'排出係数(2017)'!$A$4:$I$1151,6,FALSE)</f>
        <v>#N/A</v>
      </c>
      <c r="AI399" s="7" t="e">
        <f t="shared" si="146"/>
        <v>#N/A</v>
      </c>
      <c r="AJ399" s="7" t="e">
        <f t="shared" si="147"/>
        <v>#N/A</v>
      </c>
      <c r="AK399" s="472" t="e">
        <f>VLOOKUP(AF399,'排出係数(2017)'!$A$4:$I$1151,7,FALSE)</f>
        <v>#N/A</v>
      </c>
      <c r="AL399" s="7" t="e">
        <f t="shared" si="148"/>
        <v>#N/A</v>
      </c>
      <c r="AM399" s="7" t="e">
        <f t="shared" si="149"/>
        <v>#N/A</v>
      </c>
      <c r="AN399" s="7" t="e">
        <f t="shared" si="150"/>
        <v>#N/A</v>
      </c>
      <c r="AO399" s="7">
        <f t="shared" si="151"/>
        <v>0</v>
      </c>
      <c r="AP399" s="7" t="e">
        <f t="shared" si="160"/>
        <v>#N/A</v>
      </c>
      <c r="AQ399" s="7" t="str">
        <f t="shared" si="152"/>
        <v/>
      </c>
      <c r="AR399" s="7" t="str">
        <f t="shared" si="153"/>
        <v/>
      </c>
      <c r="AS399" s="7" t="str">
        <f t="shared" si="154"/>
        <v/>
      </c>
      <c r="AT399" s="97"/>
      <c r="AZ399" s="477" t="s">
        <v>2368</v>
      </c>
      <c r="CF399" s="586" t="str">
        <f t="shared" si="161"/>
        <v/>
      </c>
      <c r="CG399"/>
      <c r="CH399"/>
    </row>
    <row r="400" spans="1:86" s="13" customFormat="1" ht="13.75" customHeight="1">
      <c r="A400" s="137">
        <v>385</v>
      </c>
      <c r="B400" s="138"/>
      <c r="C400" s="139"/>
      <c r="D400" s="140"/>
      <c r="E400" s="139"/>
      <c r="F400" s="139"/>
      <c r="G400" s="191"/>
      <c r="H400" s="139"/>
      <c r="I400" s="141"/>
      <c r="J400" s="142"/>
      <c r="K400" s="139"/>
      <c r="L400" s="147"/>
      <c r="M400" s="148"/>
      <c r="N400" s="583"/>
      <c r="O400" s="229" t="str">
        <f t="shared" si="155"/>
        <v/>
      </c>
      <c r="P400" s="229" t="str">
        <f t="shared" si="156"/>
        <v/>
      </c>
      <c r="Q400" s="230" t="str">
        <f t="shared" si="157"/>
        <v/>
      </c>
      <c r="R400" s="323" t="str">
        <f t="shared" si="158"/>
        <v/>
      </c>
      <c r="S400" s="350"/>
      <c r="T400" s="43"/>
      <c r="U400" s="347" t="str">
        <f t="shared" ref="U400:U463" si="162">IF(ISBLANK(H400)=TRUE,"",IF(OR(ISBLANK(B400)=TRUE),1,""))</f>
        <v/>
      </c>
      <c r="V400" s="7" t="e">
        <f t="shared" ref="V400:V463" si="163">VLOOKUP(H400,$AU$17:$AX$23,2,FALSE)</f>
        <v>#N/A</v>
      </c>
      <c r="W400" s="7" t="e">
        <f t="shared" ref="W400:W463" si="164">VLOOKUP(H400,$AU$17:$AX$23,3,FALSE)</f>
        <v>#N/A</v>
      </c>
      <c r="X400" s="7" t="e">
        <f t="shared" ref="X400:X463" si="165">VLOOKUP(H400,$AU$17:$AX$23,4,FALSE)</f>
        <v>#N/A</v>
      </c>
      <c r="Y400" s="7" t="str">
        <f t="shared" ref="Y400:Y463" si="166">IF(ISERROR(SEARCH("-",I400,1))=TRUE,ASC(UPPER(I400)),ASC(UPPER(LEFT(I400,SEARCH("-",I400,1)-1))))</f>
        <v/>
      </c>
      <c r="Z400" s="11">
        <f t="shared" ref="Z400:Z463" si="167">IF(J400&gt;3500,J400/1000,1)</f>
        <v>1</v>
      </c>
      <c r="AA400" s="7" t="e">
        <f t="shared" ref="AA400:AA463" si="168">IF(X400=9,0,IF(J400&lt;=1700,1,IF(J400&lt;=2500,2,IF(J400&lt;=3500,3,4))))</f>
        <v>#N/A</v>
      </c>
      <c r="AB400" s="7" t="e">
        <f t="shared" ref="AB400:AB463" si="169">IF(X400=5,0,IF(X400=9,0,IF(J400&lt;=1700,1,IF(J400&lt;=2500,2,IF(J400&lt;=3500,3,4)))))</f>
        <v>#N/A</v>
      </c>
      <c r="AC400" s="7" t="e">
        <f t="shared" ref="AC400:AC463" si="170">VLOOKUP(K400,$BC$17:$BD$25,2,FALSE)</f>
        <v>#N/A</v>
      </c>
      <c r="AD400" s="472" t="e">
        <f>VLOOKUP(AF400,'排出係数(2017)'!$A$4:$I$1151,9,FALSE)</f>
        <v>#N/A</v>
      </c>
      <c r="AE400" s="12" t="str">
        <f t="shared" ref="AE400:AE463" si="171">IF(OR(ISBLANK(K400)=TRUE,ISBLANK(B400)=TRUE)," ",CONCATENATE(B400,X400,AA400))</f>
        <v xml:space="preserve"> </v>
      </c>
      <c r="AF400" s="7" t="e">
        <f t="shared" si="159"/>
        <v>#N/A</v>
      </c>
      <c r="AG400" s="7" t="e">
        <f t="shared" ref="AG400:AG463" si="172">IF(AND(L400="あり",AC400="軽"),AI400,AH400)</f>
        <v>#N/A</v>
      </c>
      <c r="AH400" s="472" t="e">
        <f>VLOOKUP(AF400,'排出係数(2017)'!$A$4:$I$1151,6,FALSE)</f>
        <v>#N/A</v>
      </c>
      <c r="AI400" s="7" t="e">
        <f t="shared" ref="AI400:AI463" si="173">VLOOKUP(AB400,$BQ$17:$BU$21,2,FALSE)</f>
        <v>#N/A</v>
      </c>
      <c r="AJ400" s="7" t="e">
        <f t="shared" ref="AJ400:AJ463" si="174">IF(AND(L400="あり",M400="なし",AC400="軽"),AL400,IF(AND(L400="あり",M400="あり(H17なし)",AC400="軽"),AL400,IF(AND(L400="あり",M400="",AC400="軽"),AL400,IF(AND(L400="なし",M400="あり(H17なし)",AC400="軽"),AM400,IF(AND(L400="",M400="あり(H17なし)",AC400="軽"),AM400,IF(AND(M400="あり(H17あり)",AC400="軽"),AN400,AK400))))))</f>
        <v>#N/A</v>
      </c>
      <c r="AK400" s="472" t="e">
        <f>VLOOKUP(AF400,'排出係数(2017)'!$A$4:$I$1151,7,FALSE)</f>
        <v>#N/A</v>
      </c>
      <c r="AL400" s="7" t="e">
        <f t="shared" ref="AL400:AL463" si="175">VLOOKUP(AB400,$BQ$17:$BU$21,3,FALSE)</f>
        <v>#N/A</v>
      </c>
      <c r="AM400" s="7" t="e">
        <f t="shared" ref="AM400:AM463" si="176">VLOOKUP(AB400,$BQ$17:$BU$21,4,FALSE)</f>
        <v>#N/A</v>
      </c>
      <c r="AN400" s="7" t="e">
        <f t="shared" ref="AN400:AN463" si="177">VLOOKUP(AB400,$BQ$17:$BU$21,5,FALSE)</f>
        <v>#N/A</v>
      </c>
      <c r="AO400" s="7">
        <f t="shared" ref="AO400:AO463" si="178">IF(AND(L400="なし",M400="なし"),0,IF(AND(L400="",M400=""),0,IF(AND(L400="",M400="なし"),0,IF(AND(L400="なし",M400=""),0,1))))</f>
        <v>0</v>
      </c>
      <c r="AP400" s="7" t="e">
        <f t="shared" si="160"/>
        <v>#N/A</v>
      </c>
      <c r="AQ400" s="7" t="str">
        <f t="shared" ref="AQ400:AQ463" si="179">IF(H400="","",VLOOKUP(H400,$AU$17:$AY$25,5,FALSE))</f>
        <v/>
      </c>
      <c r="AR400" s="7" t="str">
        <f t="shared" ref="AR400:AR463" si="180">IF(D400="","",VLOOKUP(CONCATENATE("A",LEFT(D400)),$BN$17:$BO$26,2,FALSE))</f>
        <v/>
      </c>
      <c r="AS400" s="7" t="str">
        <f t="shared" ref="AS400:AS463" si="181">IF(AQ400=AR400,"",1)</f>
        <v/>
      </c>
      <c r="AT400" s="97"/>
      <c r="AZ400" s="477" t="s">
        <v>1718</v>
      </c>
      <c r="CF400" s="586" t="str">
        <f t="shared" si="161"/>
        <v/>
      </c>
      <c r="CG400"/>
      <c r="CH400"/>
    </row>
    <row r="401" spans="1:86" s="13" customFormat="1" ht="13.75" customHeight="1">
      <c r="A401" s="137">
        <v>386</v>
      </c>
      <c r="B401" s="138"/>
      <c r="C401" s="139"/>
      <c r="D401" s="140"/>
      <c r="E401" s="139"/>
      <c r="F401" s="139"/>
      <c r="G401" s="191"/>
      <c r="H401" s="139"/>
      <c r="I401" s="141"/>
      <c r="J401" s="142"/>
      <c r="K401" s="139"/>
      <c r="L401" s="147"/>
      <c r="M401" s="148"/>
      <c r="N401" s="583"/>
      <c r="O401" s="229" t="str">
        <f t="shared" ref="O401:O464" si="182">IF(ISBLANK(K401)=TRUE,"",IF(ISNUMBER(AG401)=TRUE,AG401,"0"))</f>
        <v/>
      </c>
      <c r="P401" s="229" t="str">
        <f t="shared" ref="P401:P464" si="183">IF(ISBLANK($K401)=TRUE,"",IF(ISNUMBER(AJ401)=TRUE,AJ401,"0"))</f>
        <v/>
      </c>
      <c r="Q401" s="230" t="str">
        <f t="shared" ref="Q401:Q464" si="184">IF(O401="","",IF(ISERROR(O401*N401*Z401),"0",IF(ISBLANK(O401)=TRUE,"0",IF(ISBLANK(N401)=TRUE,"0",IF(AS401=1,"0",O401*N401*Z401/1000)))))</f>
        <v/>
      </c>
      <c r="R401" s="323" t="str">
        <f t="shared" ref="R401:R464" si="185">IF(P401="","",IF(ISERROR(P401*N401*Z401),"0",IF(ISBLANK(P401)=TRUE,"0",IF(ISBLANK(N401)=TRUE,"0",IF(AS401=1,"0",P401*N401*Z401/1000)))))</f>
        <v/>
      </c>
      <c r="S401" s="350"/>
      <c r="T401" s="43"/>
      <c r="U401" s="347" t="str">
        <f t="shared" si="162"/>
        <v/>
      </c>
      <c r="V401" s="7" t="e">
        <f t="shared" si="163"/>
        <v>#N/A</v>
      </c>
      <c r="W401" s="7" t="e">
        <f t="shared" si="164"/>
        <v>#N/A</v>
      </c>
      <c r="X401" s="7" t="e">
        <f t="shared" si="165"/>
        <v>#N/A</v>
      </c>
      <c r="Y401" s="7" t="str">
        <f t="shared" si="166"/>
        <v/>
      </c>
      <c r="Z401" s="11">
        <f t="shared" si="167"/>
        <v>1</v>
      </c>
      <c r="AA401" s="7" t="e">
        <f t="shared" si="168"/>
        <v>#N/A</v>
      </c>
      <c r="AB401" s="7" t="e">
        <f t="shared" si="169"/>
        <v>#N/A</v>
      </c>
      <c r="AC401" s="7" t="e">
        <f t="shared" si="170"/>
        <v>#N/A</v>
      </c>
      <c r="AD401" s="472" t="e">
        <f>VLOOKUP(AF401,'排出係数(2017)'!$A$4:$I$1151,9,FALSE)</f>
        <v>#N/A</v>
      </c>
      <c r="AE401" s="12" t="str">
        <f t="shared" si="171"/>
        <v xml:space="preserve"> </v>
      </c>
      <c r="AF401" s="7" t="e">
        <f t="shared" ref="AF401:AF464" si="186">CONCATENATE(V401,AB401,AC401,Y401)</f>
        <v>#N/A</v>
      </c>
      <c r="AG401" s="7" t="e">
        <f t="shared" si="172"/>
        <v>#N/A</v>
      </c>
      <c r="AH401" s="472" t="e">
        <f>VLOOKUP(AF401,'排出係数(2017)'!$A$4:$I$1151,6,FALSE)</f>
        <v>#N/A</v>
      </c>
      <c r="AI401" s="7" t="e">
        <f t="shared" si="173"/>
        <v>#N/A</v>
      </c>
      <c r="AJ401" s="7" t="e">
        <f t="shared" si="174"/>
        <v>#N/A</v>
      </c>
      <c r="AK401" s="472" t="e">
        <f>VLOOKUP(AF401,'排出係数(2017)'!$A$4:$I$1151,7,FALSE)</f>
        <v>#N/A</v>
      </c>
      <c r="AL401" s="7" t="e">
        <f t="shared" si="175"/>
        <v>#N/A</v>
      </c>
      <c r="AM401" s="7" t="e">
        <f t="shared" si="176"/>
        <v>#N/A</v>
      </c>
      <c r="AN401" s="7" t="e">
        <f t="shared" si="177"/>
        <v>#N/A</v>
      </c>
      <c r="AO401" s="7">
        <f t="shared" si="178"/>
        <v>0</v>
      </c>
      <c r="AP401" s="7" t="e">
        <f t="shared" ref="AP401:AP464" si="187">VLOOKUP(AF401,排出係数表,8,FALSE)</f>
        <v>#N/A</v>
      </c>
      <c r="AQ401" s="7" t="str">
        <f t="shared" si="179"/>
        <v/>
      </c>
      <c r="AR401" s="7" t="str">
        <f t="shared" si="180"/>
        <v/>
      </c>
      <c r="AS401" s="7" t="str">
        <f t="shared" si="181"/>
        <v/>
      </c>
      <c r="AT401" s="97"/>
      <c r="AZ401" s="477" t="s">
        <v>1294</v>
      </c>
      <c r="CF401" s="586" t="str">
        <f t="shared" ref="CF401:CF464" si="188">IF(COUNTA(B401:F401,H401:K401)&gt;0,IF(OR(ISNUMBER(AH401)=FALSE,ISNUMBER(AK401)=FALSE,COUNTA(B401:F401,H401:K401)&lt;9),"×","〇"),"")</f>
        <v/>
      </c>
      <c r="CG401"/>
      <c r="CH401"/>
    </row>
    <row r="402" spans="1:86" s="13" customFormat="1" ht="13.75" customHeight="1">
      <c r="A402" s="137">
        <v>387</v>
      </c>
      <c r="B402" s="138"/>
      <c r="C402" s="139"/>
      <c r="D402" s="140"/>
      <c r="E402" s="139"/>
      <c r="F402" s="139"/>
      <c r="G402" s="191"/>
      <c r="H402" s="139"/>
      <c r="I402" s="141"/>
      <c r="J402" s="142"/>
      <c r="K402" s="139"/>
      <c r="L402" s="147"/>
      <c r="M402" s="148"/>
      <c r="N402" s="583"/>
      <c r="O402" s="229" t="str">
        <f t="shared" si="182"/>
        <v/>
      </c>
      <c r="P402" s="229" t="str">
        <f t="shared" si="183"/>
        <v/>
      </c>
      <c r="Q402" s="230" t="str">
        <f t="shared" si="184"/>
        <v/>
      </c>
      <c r="R402" s="323" t="str">
        <f t="shared" si="185"/>
        <v/>
      </c>
      <c r="S402" s="350"/>
      <c r="T402" s="43"/>
      <c r="U402" s="347" t="str">
        <f t="shared" si="162"/>
        <v/>
      </c>
      <c r="V402" s="7" t="e">
        <f t="shared" si="163"/>
        <v>#N/A</v>
      </c>
      <c r="W402" s="7" t="e">
        <f t="shared" si="164"/>
        <v>#N/A</v>
      </c>
      <c r="X402" s="7" t="e">
        <f t="shared" si="165"/>
        <v>#N/A</v>
      </c>
      <c r="Y402" s="7" t="str">
        <f t="shared" si="166"/>
        <v/>
      </c>
      <c r="Z402" s="11">
        <f t="shared" si="167"/>
        <v>1</v>
      </c>
      <c r="AA402" s="7" t="e">
        <f t="shared" si="168"/>
        <v>#N/A</v>
      </c>
      <c r="AB402" s="7" t="e">
        <f t="shared" si="169"/>
        <v>#N/A</v>
      </c>
      <c r="AC402" s="7" t="e">
        <f t="shared" si="170"/>
        <v>#N/A</v>
      </c>
      <c r="AD402" s="472" t="e">
        <f>VLOOKUP(AF402,'排出係数(2017)'!$A$4:$I$1151,9,FALSE)</f>
        <v>#N/A</v>
      </c>
      <c r="AE402" s="12" t="str">
        <f t="shared" si="171"/>
        <v xml:space="preserve"> </v>
      </c>
      <c r="AF402" s="7" t="e">
        <f t="shared" si="186"/>
        <v>#N/A</v>
      </c>
      <c r="AG402" s="7" t="e">
        <f t="shared" si="172"/>
        <v>#N/A</v>
      </c>
      <c r="AH402" s="472" t="e">
        <f>VLOOKUP(AF402,'排出係数(2017)'!$A$4:$I$1151,6,FALSE)</f>
        <v>#N/A</v>
      </c>
      <c r="AI402" s="7" t="e">
        <f t="shared" si="173"/>
        <v>#N/A</v>
      </c>
      <c r="AJ402" s="7" t="e">
        <f t="shared" si="174"/>
        <v>#N/A</v>
      </c>
      <c r="AK402" s="472" t="e">
        <f>VLOOKUP(AF402,'排出係数(2017)'!$A$4:$I$1151,7,FALSE)</f>
        <v>#N/A</v>
      </c>
      <c r="AL402" s="7" t="e">
        <f t="shared" si="175"/>
        <v>#N/A</v>
      </c>
      <c r="AM402" s="7" t="e">
        <f t="shared" si="176"/>
        <v>#N/A</v>
      </c>
      <c r="AN402" s="7" t="e">
        <f t="shared" si="177"/>
        <v>#N/A</v>
      </c>
      <c r="AO402" s="7">
        <f t="shared" si="178"/>
        <v>0</v>
      </c>
      <c r="AP402" s="7" t="e">
        <f t="shared" si="187"/>
        <v>#N/A</v>
      </c>
      <c r="AQ402" s="7" t="str">
        <f t="shared" si="179"/>
        <v/>
      </c>
      <c r="AR402" s="7" t="str">
        <f t="shared" si="180"/>
        <v/>
      </c>
      <c r="AS402" s="7" t="str">
        <f t="shared" si="181"/>
        <v/>
      </c>
      <c r="AT402" s="97"/>
      <c r="AZ402" s="477" t="s">
        <v>1325</v>
      </c>
      <c r="CF402" s="586" t="str">
        <f t="shared" si="188"/>
        <v/>
      </c>
      <c r="CG402"/>
      <c r="CH402"/>
    </row>
    <row r="403" spans="1:86" s="13" customFormat="1" ht="13.75" customHeight="1">
      <c r="A403" s="137">
        <v>388</v>
      </c>
      <c r="B403" s="138"/>
      <c r="C403" s="139"/>
      <c r="D403" s="140"/>
      <c r="E403" s="139"/>
      <c r="F403" s="139"/>
      <c r="G403" s="191"/>
      <c r="H403" s="139"/>
      <c r="I403" s="141"/>
      <c r="J403" s="142"/>
      <c r="K403" s="139"/>
      <c r="L403" s="147"/>
      <c r="M403" s="148"/>
      <c r="N403" s="583"/>
      <c r="O403" s="229" t="str">
        <f t="shared" si="182"/>
        <v/>
      </c>
      <c r="P403" s="229" t="str">
        <f t="shared" si="183"/>
        <v/>
      </c>
      <c r="Q403" s="230" t="str">
        <f t="shared" si="184"/>
        <v/>
      </c>
      <c r="R403" s="323" t="str">
        <f t="shared" si="185"/>
        <v/>
      </c>
      <c r="S403" s="350"/>
      <c r="T403" s="43"/>
      <c r="U403" s="347" t="str">
        <f t="shared" si="162"/>
        <v/>
      </c>
      <c r="V403" s="7" t="e">
        <f t="shared" si="163"/>
        <v>#N/A</v>
      </c>
      <c r="W403" s="7" t="e">
        <f t="shared" si="164"/>
        <v>#N/A</v>
      </c>
      <c r="X403" s="7" t="e">
        <f t="shared" si="165"/>
        <v>#N/A</v>
      </c>
      <c r="Y403" s="7" t="str">
        <f t="shared" si="166"/>
        <v/>
      </c>
      <c r="Z403" s="11">
        <f t="shared" si="167"/>
        <v>1</v>
      </c>
      <c r="AA403" s="7" t="e">
        <f t="shared" si="168"/>
        <v>#N/A</v>
      </c>
      <c r="AB403" s="7" t="e">
        <f t="shared" si="169"/>
        <v>#N/A</v>
      </c>
      <c r="AC403" s="7" t="e">
        <f t="shared" si="170"/>
        <v>#N/A</v>
      </c>
      <c r="AD403" s="472" t="e">
        <f>VLOOKUP(AF403,'排出係数(2017)'!$A$4:$I$1151,9,FALSE)</f>
        <v>#N/A</v>
      </c>
      <c r="AE403" s="12" t="str">
        <f t="shared" si="171"/>
        <v xml:space="preserve"> </v>
      </c>
      <c r="AF403" s="7" t="e">
        <f t="shared" si="186"/>
        <v>#N/A</v>
      </c>
      <c r="AG403" s="7" t="e">
        <f t="shared" si="172"/>
        <v>#N/A</v>
      </c>
      <c r="AH403" s="472" t="e">
        <f>VLOOKUP(AF403,'排出係数(2017)'!$A$4:$I$1151,6,FALSE)</f>
        <v>#N/A</v>
      </c>
      <c r="AI403" s="7" t="e">
        <f t="shared" si="173"/>
        <v>#N/A</v>
      </c>
      <c r="AJ403" s="7" t="e">
        <f t="shared" si="174"/>
        <v>#N/A</v>
      </c>
      <c r="AK403" s="472" t="e">
        <f>VLOOKUP(AF403,'排出係数(2017)'!$A$4:$I$1151,7,FALSE)</f>
        <v>#N/A</v>
      </c>
      <c r="AL403" s="7" t="e">
        <f t="shared" si="175"/>
        <v>#N/A</v>
      </c>
      <c r="AM403" s="7" t="e">
        <f t="shared" si="176"/>
        <v>#N/A</v>
      </c>
      <c r="AN403" s="7" t="e">
        <f t="shared" si="177"/>
        <v>#N/A</v>
      </c>
      <c r="AO403" s="7">
        <f t="shared" si="178"/>
        <v>0</v>
      </c>
      <c r="AP403" s="7" t="e">
        <f t="shared" si="187"/>
        <v>#N/A</v>
      </c>
      <c r="AQ403" s="7" t="str">
        <f t="shared" si="179"/>
        <v/>
      </c>
      <c r="AR403" s="7" t="str">
        <f t="shared" si="180"/>
        <v/>
      </c>
      <c r="AS403" s="7" t="str">
        <f t="shared" si="181"/>
        <v/>
      </c>
      <c r="AT403" s="97"/>
      <c r="AZ403" s="477" t="s">
        <v>1375</v>
      </c>
      <c r="CF403" s="586" t="str">
        <f t="shared" si="188"/>
        <v/>
      </c>
      <c r="CG403"/>
      <c r="CH403"/>
    </row>
    <row r="404" spans="1:86" s="13" customFormat="1" ht="13.75" customHeight="1">
      <c r="A404" s="137">
        <v>389</v>
      </c>
      <c r="B404" s="138"/>
      <c r="C404" s="139"/>
      <c r="D404" s="140"/>
      <c r="E404" s="139"/>
      <c r="F404" s="139"/>
      <c r="G404" s="191"/>
      <c r="H404" s="139"/>
      <c r="I404" s="141"/>
      <c r="J404" s="142"/>
      <c r="K404" s="139"/>
      <c r="L404" s="147"/>
      <c r="M404" s="148"/>
      <c r="N404" s="583"/>
      <c r="O404" s="229" t="str">
        <f t="shared" si="182"/>
        <v/>
      </c>
      <c r="P404" s="229" t="str">
        <f t="shared" si="183"/>
        <v/>
      </c>
      <c r="Q404" s="230" t="str">
        <f t="shared" si="184"/>
        <v/>
      </c>
      <c r="R404" s="323" t="str">
        <f t="shared" si="185"/>
        <v/>
      </c>
      <c r="S404" s="350"/>
      <c r="T404" s="43"/>
      <c r="U404" s="347" t="str">
        <f t="shared" si="162"/>
        <v/>
      </c>
      <c r="V404" s="7" t="e">
        <f t="shared" si="163"/>
        <v>#N/A</v>
      </c>
      <c r="W404" s="7" t="e">
        <f t="shared" si="164"/>
        <v>#N/A</v>
      </c>
      <c r="X404" s="7" t="e">
        <f t="shared" si="165"/>
        <v>#N/A</v>
      </c>
      <c r="Y404" s="7" t="str">
        <f t="shared" si="166"/>
        <v/>
      </c>
      <c r="Z404" s="11">
        <f t="shared" si="167"/>
        <v>1</v>
      </c>
      <c r="AA404" s="7" t="e">
        <f t="shared" si="168"/>
        <v>#N/A</v>
      </c>
      <c r="AB404" s="7" t="e">
        <f t="shared" si="169"/>
        <v>#N/A</v>
      </c>
      <c r="AC404" s="7" t="e">
        <f t="shared" si="170"/>
        <v>#N/A</v>
      </c>
      <c r="AD404" s="472" t="e">
        <f>VLOOKUP(AF404,'排出係数(2017)'!$A$4:$I$1151,9,FALSE)</f>
        <v>#N/A</v>
      </c>
      <c r="AE404" s="12" t="str">
        <f t="shared" si="171"/>
        <v xml:space="preserve"> </v>
      </c>
      <c r="AF404" s="7" t="e">
        <f t="shared" si="186"/>
        <v>#N/A</v>
      </c>
      <c r="AG404" s="7" t="e">
        <f t="shared" si="172"/>
        <v>#N/A</v>
      </c>
      <c r="AH404" s="472" t="e">
        <f>VLOOKUP(AF404,'排出係数(2017)'!$A$4:$I$1151,6,FALSE)</f>
        <v>#N/A</v>
      </c>
      <c r="AI404" s="7" t="e">
        <f t="shared" si="173"/>
        <v>#N/A</v>
      </c>
      <c r="AJ404" s="7" t="e">
        <f t="shared" si="174"/>
        <v>#N/A</v>
      </c>
      <c r="AK404" s="472" t="e">
        <f>VLOOKUP(AF404,'排出係数(2017)'!$A$4:$I$1151,7,FALSE)</f>
        <v>#N/A</v>
      </c>
      <c r="AL404" s="7" t="e">
        <f t="shared" si="175"/>
        <v>#N/A</v>
      </c>
      <c r="AM404" s="7" t="e">
        <f t="shared" si="176"/>
        <v>#N/A</v>
      </c>
      <c r="AN404" s="7" t="e">
        <f t="shared" si="177"/>
        <v>#N/A</v>
      </c>
      <c r="AO404" s="7">
        <f t="shared" si="178"/>
        <v>0</v>
      </c>
      <c r="AP404" s="7" t="e">
        <f t="shared" si="187"/>
        <v>#N/A</v>
      </c>
      <c r="AQ404" s="7" t="str">
        <f t="shared" si="179"/>
        <v/>
      </c>
      <c r="AR404" s="7" t="str">
        <f t="shared" si="180"/>
        <v/>
      </c>
      <c r="AS404" s="7" t="str">
        <f t="shared" si="181"/>
        <v/>
      </c>
      <c r="AT404" s="97"/>
      <c r="AZ404" s="477" t="s">
        <v>1716</v>
      </c>
      <c r="CF404" s="586" t="str">
        <f t="shared" si="188"/>
        <v/>
      </c>
      <c r="CG404"/>
      <c r="CH404"/>
    </row>
    <row r="405" spans="1:86" s="13" customFormat="1" ht="13.75" customHeight="1">
      <c r="A405" s="137">
        <v>390</v>
      </c>
      <c r="B405" s="138"/>
      <c r="C405" s="139"/>
      <c r="D405" s="140"/>
      <c r="E405" s="139"/>
      <c r="F405" s="139"/>
      <c r="G405" s="191"/>
      <c r="H405" s="139"/>
      <c r="I405" s="141"/>
      <c r="J405" s="142"/>
      <c r="K405" s="139"/>
      <c r="L405" s="147"/>
      <c r="M405" s="148"/>
      <c r="N405" s="583"/>
      <c r="O405" s="229" t="str">
        <f t="shared" si="182"/>
        <v/>
      </c>
      <c r="P405" s="229" t="str">
        <f t="shared" si="183"/>
        <v/>
      </c>
      <c r="Q405" s="230" t="str">
        <f t="shared" si="184"/>
        <v/>
      </c>
      <c r="R405" s="323" t="str">
        <f t="shared" si="185"/>
        <v/>
      </c>
      <c r="S405" s="350"/>
      <c r="T405" s="43"/>
      <c r="U405" s="347" t="str">
        <f t="shared" si="162"/>
        <v/>
      </c>
      <c r="V405" s="7" t="e">
        <f t="shared" si="163"/>
        <v>#N/A</v>
      </c>
      <c r="W405" s="7" t="e">
        <f t="shared" si="164"/>
        <v>#N/A</v>
      </c>
      <c r="X405" s="7" t="e">
        <f t="shared" si="165"/>
        <v>#N/A</v>
      </c>
      <c r="Y405" s="7" t="str">
        <f t="shared" si="166"/>
        <v/>
      </c>
      <c r="Z405" s="11">
        <f t="shared" si="167"/>
        <v>1</v>
      </c>
      <c r="AA405" s="7" t="e">
        <f t="shared" si="168"/>
        <v>#N/A</v>
      </c>
      <c r="AB405" s="7" t="e">
        <f t="shared" si="169"/>
        <v>#N/A</v>
      </c>
      <c r="AC405" s="7" t="e">
        <f t="shared" si="170"/>
        <v>#N/A</v>
      </c>
      <c r="AD405" s="472" t="e">
        <f>VLOOKUP(AF405,'排出係数(2017)'!$A$4:$I$1151,9,FALSE)</f>
        <v>#N/A</v>
      </c>
      <c r="AE405" s="12" t="str">
        <f t="shared" si="171"/>
        <v xml:space="preserve"> </v>
      </c>
      <c r="AF405" s="7" t="e">
        <f t="shared" si="186"/>
        <v>#N/A</v>
      </c>
      <c r="AG405" s="7" t="e">
        <f t="shared" si="172"/>
        <v>#N/A</v>
      </c>
      <c r="AH405" s="472" t="e">
        <f>VLOOKUP(AF405,'排出係数(2017)'!$A$4:$I$1151,6,FALSE)</f>
        <v>#N/A</v>
      </c>
      <c r="AI405" s="7" t="e">
        <f t="shared" si="173"/>
        <v>#N/A</v>
      </c>
      <c r="AJ405" s="7" t="e">
        <f t="shared" si="174"/>
        <v>#N/A</v>
      </c>
      <c r="AK405" s="472" t="e">
        <f>VLOOKUP(AF405,'排出係数(2017)'!$A$4:$I$1151,7,FALSE)</f>
        <v>#N/A</v>
      </c>
      <c r="AL405" s="7" t="e">
        <f t="shared" si="175"/>
        <v>#N/A</v>
      </c>
      <c r="AM405" s="7" t="e">
        <f t="shared" si="176"/>
        <v>#N/A</v>
      </c>
      <c r="AN405" s="7" t="e">
        <f t="shared" si="177"/>
        <v>#N/A</v>
      </c>
      <c r="AO405" s="7">
        <f t="shared" si="178"/>
        <v>0</v>
      </c>
      <c r="AP405" s="7" t="e">
        <f t="shared" si="187"/>
        <v>#N/A</v>
      </c>
      <c r="AQ405" s="7" t="str">
        <f t="shared" si="179"/>
        <v/>
      </c>
      <c r="AR405" s="7" t="str">
        <f t="shared" si="180"/>
        <v/>
      </c>
      <c r="AS405" s="7" t="str">
        <f t="shared" si="181"/>
        <v/>
      </c>
      <c r="AT405" s="97"/>
      <c r="AZ405" s="477" t="s">
        <v>1292</v>
      </c>
      <c r="CF405" s="586" t="str">
        <f t="shared" si="188"/>
        <v/>
      </c>
      <c r="CG405"/>
      <c r="CH405"/>
    </row>
    <row r="406" spans="1:86" s="13" customFormat="1" ht="13.75" customHeight="1">
      <c r="A406" s="137">
        <v>391</v>
      </c>
      <c r="B406" s="138"/>
      <c r="C406" s="139"/>
      <c r="D406" s="140"/>
      <c r="E406" s="139"/>
      <c r="F406" s="139"/>
      <c r="G406" s="191"/>
      <c r="H406" s="139"/>
      <c r="I406" s="141"/>
      <c r="J406" s="142"/>
      <c r="K406" s="139"/>
      <c r="L406" s="147"/>
      <c r="M406" s="148"/>
      <c r="N406" s="583"/>
      <c r="O406" s="229" t="str">
        <f t="shared" si="182"/>
        <v/>
      </c>
      <c r="P406" s="229" t="str">
        <f t="shared" si="183"/>
        <v/>
      </c>
      <c r="Q406" s="230" t="str">
        <f t="shared" si="184"/>
        <v/>
      </c>
      <c r="R406" s="323" t="str">
        <f t="shared" si="185"/>
        <v/>
      </c>
      <c r="S406" s="350"/>
      <c r="T406" s="43"/>
      <c r="U406" s="347" t="str">
        <f t="shared" si="162"/>
        <v/>
      </c>
      <c r="V406" s="7" t="e">
        <f t="shared" si="163"/>
        <v>#N/A</v>
      </c>
      <c r="W406" s="7" t="e">
        <f t="shared" si="164"/>
        <v>#N/A</v>
      </c>
      <c r="X406" s="7" t="e">
        <f t="shared" si="165"/>
        <v>#N/A</v>
      </c>
      <c r="Y406" s="7" t="str">
        <f t="shared" si="166"/>
        <v/>
      </c>
      <c r="Z406" s="11">
        <f t="shared" si="167"/>
        <v>1</v>
      </c>
      <c r="AA406" s="7" t="e">
        <f t="shared" si="168"/>
        <v>#N/A</v>
      </c>
      <c r="AB406" s="7" t="e">
        <f t="shared" si="169"/>
        <v>#N/A</v>
      </c>
      <c r="AC406" s="7" t="e">
        <f t="shared" si="170"/>
        <v>#N/A</v>
      </c>
      <c r="AD406" s="472" t="e">
        <f>VLOOKUP(AF406,'排出係数(2017)'!$A$4:$I$1151,9,FALSE)</f>
        <v>#N/A</v>
      </c>
      <c r="AE406" s="12" t="str">
        <f t="shared" si="171"/>
        <v xml:space="preserve"> </v>
      </c>
      <c r="AF406" s="7" t="e">
        <f t="shared" si="186"/>
        <v>#N/A</v>
      </c>
      <c r="AG406" s="7" t="e">
        <f t="shared" si="172"/>
        <v>#N/A</v>
      </c>
      <c r="AH406" s="472" t="e">
        <f>VLOOKUP(AF406,'排出係数(2017)'!$A$4:$I$1151,6,FALSE)</f>
        <v>#N/A</v>
      </c>
      <c r="AI406" s="7" t="e">
        <f t="shared" si="173"/>
        <v>#N/A</v>
      </c>
      <c r="AJ406" s="7" t="e">
        <f t="shared" si="174"/>
        <v>#N/A</v>
      </c>
      <c r="AK406" s="472" t="e">
        <f>VLOOKUP(AF406,'排出係数(2017)'!$A$4:$I$1151,7,FALSE)</f>
        <v>#N/A</v>
      </c>
      <c r="AL406" s="7" t="e">
        <f t="shared" si="175"/>
        <v>#N/A</v>
      </c>
      <c r="AM406" s="7" t="e">
        <f t="shared" si="176"/>
        <v>#N/A</v>
      </c>
      <c r="AN406" s="7" t="e">
        <f t="shared" si="177"/>
        <v>#N/A</v>
      </c>
      <c r="AO406" s="7">
        <f t="shared" si="178"/>
        <v>0</v>
      </c>
      <c r="AP406" s="7" t="e">
        <f t="shared" si="187"/>
        <v>#N/A</v>
      </c>
      <c r="AQ406" s="7" t="str">
        <f t="shared" si="179"/>
        <v/>
      </c>
      <c r="AR406" s="7" t="str">
        <f t="shared" si="180"/>
        <v/>
      </c>
      <c r="AS406" s="7" t="str">
        <f t="shared" si="181"/>
        <v/>
      </c>
      <c r="AT406" s="97"/>
      <c r="AZ406" s="477" t="s">
        <v>1323</v>
      </c>
      <c r="CF406" s="586" t="str">
        <f t="shared" si="188"/>
        <v/>
      </c>
      <c r="CG406"/>
      <c r="CH406"/>
    </row>
    <row r="407" spans="1:86" s="13" customFormat="1" ht="13.75" customHeight="1">
      <c r="A407" s="137">
        <v>392</v>
      </c>
      <c r="B407" s="138"/>
      <c r="C407" s="139"/>
      <c r="D407" s="140"/>
      <c r="E407" s="139"/>
      <c r="F407" s="139"/>
      <c r="G407" s="191"/>
      <c r="H407" s="139"/>
      <c r="I407" s="141"/>
      <c r="J407" s="142"/>
      <c r="K407" s="139"/>
      <c r="L407" s="147"/>
      <c r="M407" s="148"/>
      <c r="N407" s="583"/>
      <c r="O407" s="229" t="str">
        <f t="shared" si="182"/>
        <v/>
      </c>
      <c r="P407" s="229" t="str">
        <f t="shared" si="183"/>
        <v/>
      </c>
      <c r="Q407" s="230" t="str">
        <f t="shared" si="184"/>
        <v/>
      </c>
      <c r="R407" s="323" t="str">
        <f t="shared" si="185"/>
        <v/>
      </c>
      <c r="S407" s="350"/>
      <c r="T407" s="43"/>
      <c r="U407" s="347" t="str">
        <f t="shared" si="162"/>
        <v/>
      </c>
      <c r="V407" s="7" t="e">
        <f t="shared" si="163"/>
        <v>#N/A</v>
      </c>
      <c r="W407" s="7" t="e">
        <f t="shared" si="164"/>
        <v>#N/A</v>
      </c>
      <c r="X407" s="7" t="e">
        <f t="shared" si="165"/>
        <v>#N/A</v>
      </c>
      <c r="Y407" s="7" t="str">
        <f t="shared" si="166"/>
        <v/>
      </c>
      <c r="Z407" s="11">
        <f t="shared" si="167"/>
        <v>1</v>
      </c>
      <c r="AA407" s="7" t="e">
        <f t="shared" si="168"/>
        <v>#N/A</v>
      </c>
      <c r="AB407" s="7" t="e">
        <f t="shared" si="169"/>
        <v>#N/A</v>
      </c>
      <c r="AC407" s="7" t="e">
        <f t="shared" si="170"/>
        <v>#N/A</v>
      </c>
      <c r="AD407" s="472" t="e">
        <f>VLOOKUP(AF407,'排出係数(2017)'!$A$4:$I$1151,9,FALSE)</f>
        <v>#N/A</v>
      </c>
      <c r="AE407" s="12" t="str">
        <f t="shared" si="171"/>
        <v xml:space="preserve"> </v>
      </c>
      <c r="AF407" s="7" t="e">
        <f t="shared" si="186"/>
        <v>#N/A</v>
      </c>
      <c r="AG407" s="7" t="e">
        <f t="shared" si="172"/>
        <v>#N/A</v>
      </c>
      <c r="AH407" s="472" t="e">
        <f>VLOOKUP(AF407,'排出係数(2017)'!$A$4:$I$1151,6,FALSE)</f>
        <v>#N/A</v>
      </c>
      <c r="AI407" s="7" t="e">
        <f t="shared" si="173"/>
        <v>#N/A</v>
      </c>
      <c r="AJ407" s="7" t="e">
        <f t="shared" si="174"/>
        <v>#N/A</v>
      </c>
      <c r="AK407" s="472" t="e">
        <f>VLOOKUP(AF407,'排出係数(2017)'!$A$4:$I$1151,7,FALSE)</f>
        <v>#N/A</v>
      </c>
      <c r="AL407" s="7" t="e">
        <f t="shared" si="175"/>
        <v>#N/A</v>
      </c>
      <c r="AM407" s="7" t="e">
        <f t="shared" si="176"/>
        <v>#N/A</v>
      </c>
      <c r="AN407" s="7" t="e">
        <f t="shared" si="177"/>
        <v>#N/A</v>
      </c>
      <c r="AO407" s="7">
        <f t="shared" si="178"/>
        <v>0</v>
      </c>
      <c r="AP407" s="7" t="e">
        <f t="shared" si="187"/>
        <v>#N/A</v>
      </c>
      <c r="AQ407" s="7" t="str">
        <f t="shared" si="179"/>
        <v/>
      </c>
      <c r="AR407" s="7" t="str">
        <f t="shared" si="180"/>
        <v/>
      </c>
      <c r="AS407" s="7" t="str">
        <f t="shared" si="181"/>
        <v/>
      </c>
      <c r="AT407" s="97"/>
      <c r="AZ407" s="477" t="s">
        <v>1373</v>
      </c>
      <c r="CF407" s="586" t="str">
        <f t="shared" si="188"/>
        <v/>
      </c>
      <c r="CG407"/>
      <c r="CH407"/>
    </row>
    <row r="408" spans="1:86" s="13" customFormat="1" ht="13.75" customHeight="1">
      <c r="A408" s="137">
        <v>393</v>
      </c>
      <c r="B408" s="138"/>
      <c r="C408" s="139"/>
      <c r="D408" s="140"/>
      <c r="E408" s="139"/>
      <c r="F408" s="139"/>
      <c r="G408" s="191"/>
      <c r="H408" s="139"/>
      <c r="I408" s="141"/>
      <c r="J408" s="142"/>
      <c r="K408" s="139"/>
      <c r="L408" s="147"/>
      <c r="M408" s="148"/>
      <c r="N408" s="583"/>
      <c r="O408" s="229" t="str">
        <f t="shared" si="182"/>
        <v/>
      </c>
      <c r="P408" s="229" t="str">
        <f t="shared" si="183"/>
        <v/>
      </c>
      <c r="Q408" s="230" t="str">
        <f t="shared" si="184"/>
        <v/>
      </c>
      <c r="R408" s="323" t="str">
        <f t="shared" si="185"/>
        <v/>
      </c>
      <c r="S408" s="350"/>
      <c r="T408" s="43"/>
      <c r="U408" s="347" t="str">
        <f t="shared" si="162"/>
        <v/>
      </c>
      <c r="V408" s="7" t="e">
        <f t="shared" si="163"/>
        <v>#N/A</v>
      </c>
      <c r="W408" s="7" t="e">
        <f t="shared" si="164"/>
        <v>#N/A</v>
      </c>
      <c r="X408" s="7" t="e">
        <f t="shared" si="165"/>
        <v>#N/A</v>
      </c>
      <c r="Y408" s="7" t="str">
        <f t="shared" si="166"/>
        <v/>
      </c>
      <c r="Z408" s="11">
        <f t="shared" si="167"/>
        <v>1</v>
      </c>
      <c r="AA408" s="7" t="e">
        <f t="shared" si="168"/>
        <v>#N/A</v>
      </c>
      <c r="AB408" s="7" t="e">
        <f t="shared" si="169"/>
        <v>#N/A</v>
      </c>
      <c r="AC408" s="7" t="e">
        <f t="shared" si="170"/>
        <v>#N/A</v>
      </c>
      <c r="AD408" s="472" t="e">
        <f>VLOOKUP(AF408,'排出係数(2017)'!$A$4:$I$1151,9,FALSE)</f>
        <v>#N/A</v>
      </c>
      <c r="AE408" s="12" t="str">
        <f t="shared" si="171"/>
        <v xml:space="preserve"> </v>
      </c>
      <c r="AF408" s="7" t="e">
        <f t="shared" si="186"/>
        <v>#N/A</v>
      </c>
      <c r="AG408" s="7" t="e">
        <f t="shared" si="172"/>
        <v>#N/A</v>
      </c>
      <c r="AH408" s="472" t="e">
        <f>VLOOKUP(AF408,'排出係数(2017)'!$A$4:$I$1151,6,FALSE)</f>
        <v>#N/A</v>
      </c>
      <c r="AI408" s="7" t="e">
        <f t="shared" si="173"/>
        <v>#N/A</v>
      </c>
      <c r="AJ408" s="7" t="e">
        <f t="shared" si="174"/>
        <v>#N/A</v>
      </c>
      <c r="AK408" s="472" t="e">
        <f>VLOOKUP(AF408,'排出係数(2017)'!$A$4:$I$1151,7,FALSE)</f>
        <v>#N/A</v>
      </c>
      <c r="AL408" s="7" t="e">
        <f t="shared" si="175"/>
        <v>#N/A</v>
      </c>
      <c r="AM408" s="7" t="e">
        <f t="shared" si="176"/>
        <v>#N/A</v>
      </c>
      <c r="AN408" s="7" t="e">
        <f t="shared" si="177"/>
        <v>#N/A</v>
      </c>
      <c r="AO408" s="7">
        <f t="shared" si="178"/>
        <v>0</v>
      </c>
      <c r="AP408" s="7" t="e">
        <f t="shared" si="187"/>
        <v>#N/A</v>
      </c>
      <c r="AQ408" s="7" t="str">
        <f t="shared" si="179"/>
        <v/>
      </c>
      <c r="AR408" s="7" t="str">
        <f t="shared" si="180"/>
        <v/>
      </c>
      <c r="AS408" s="7" t="str">
        <f t="shared" si="181"/>
        <v/>
      </c>
      <c r="AT408" s="97"/>
      <c r="AZ408" s="477" t="s">
        <v>2364</v>
      </c>
      <c r="CF408" s="586" t="str">
        <f t="shared" si="188"/>
        <v/>
      </c>
      <c r="CG408"/>
      <c r="CH408"/>
    </row>
    <row r="409" spans="1:86" s="13" customFormat="1" ht="13.75" customHeight="1">
      <c r="A409" s="137">
        <v>394</v>
      </c>
      <c r="B409" s="138"/>
      <c r="C409" s="139"/>
      <c r="D409" s="140"/>
      <c r="E409" s="139"/>
      <c r="F409" s="139"/>
      <c r="G409" s="191"/>
      <c r="H409" s="139"/>
      <c r="I409" s="141"/>
      <c r="J409" s="142"/>
      <c r="K409" s="139"/>
      <c r="L409" s="147"/>
      <c r="M409" s="148"/>
      <c r="N409" s="583"/>
      <c r="O409" s="229" t="str">
        <f t="shared" si="182"/>
        <v/>
      </c>
      <c r="P409" s="229" t="str">
        <f t="shared" si="183"/>
        <v/>
      </c>
      <c r="Q409" s="230" t="str">
        <f t="shared" si="184"/>
        <v/>
      </c>
      <c r="R409" s="323" t="str">
        <f t="shared" si="185"/>
        <v/>
      </c>
      <c r="S409" s="350"/>
      <c r="T409" s="43"/>
      <c r="U409" s="347" t="str">
        <f t="shared" si="162"/>
        <v/>
      </c>
      <c r="V409" s="7" t="e">
        <f t="shared" si="163"/>
        <v>#N/A</v>
      </c>
      <c r="W409" s="7" t="e">
        <f t="shared" si="164"/>
        <v>#N/A</v>
      </c>
      <c r="X409" s="7" t="e">
        <f t="shared" si="165"/>
        <v>#N/A</v>
      </c>
      <c r="Y409" s="7" t="str">
        <f t="shared" si="166"/>
        <v/>
      </c>
      <c r="Z409" s="11">
        <f t="shared" si="167"/>
        <v>1</v>
      </c>
      <c r="AA409" s="7" t="e">
        <f t="shared" si="168"/>
        <v>#N/A</v>
      </c>
      <c r="AB409" s="7" t="e">
        <f t="shared" si="169"/>
        <v>#N/A</v>
      </c>
      <c r="AC409" s="7" t="e">
        <f t="shared" si="170"/>
        <v>#N/A</v>
      </c>
      <c r="AD409" s="472" t="e">
        <f>VLOOKUP(AF409,'排出係数(2017)'!$A$4:$I$1151,9,FALSE)</f>
        <v>#N/A</v>
      </c>
      <c r="AE409" s="12" t="str">
        <f t="shared" si="171"/>
        <v xml:space="preserve"> </v>
      </c>
      <c r="AF409" s="7" t="e">
        <f t="shared" si="186"/>
        <v>#N/A</v>
      </c>
      <c r="AG409" s="7" t="e">
        <f t="shared" si="172"/>
        <v>#N/A</v>
      </c>
      <c r="AH409" s="472" t="e">
        <f>VLOOKUP(AF409,'排出係数(2017)'!$A$4:$I$1151,6,FALSE)</f>
        <v>#N/A</v>
      </c>
      <c r="AI409" s="7" t="e">
        <f t="shared" si="173"/>
        <v>#N/A</v>
      </c>
      <c r="AJ409" s="7" t="e">
        <f t="shared" si="174"/>
        <v>#N/A</v>
      </c>
      <c r="AK409" s="472" t="e">
        <f>VLOOKUP(AF409,'排出係数(2017)'!$A$4:$I$1151,7,FALSE)</f>
        <v>#N/A</v>
      </c>
      <c r="AL409" s="7" t="e">
        <f t="shared" si="175"/>
        <v>#N/A</v>
      </c>
      <c r="AM409" s="7" t="e">
        <f t="shared" si="176"/>
        <v>#N/A</v>
      </c>
      <c r="AN409" s="7" t="e">
        <f t="shared" si="177"/>
        <v>#N/A</v>
      </c>
      <c r="AO409" s="7">
        <f t="shared" si="178"/>
        <v>0</v>
      </c>
      <c r="AP409" s="7" t="e">
        <f t="shared" si="187"/>
        <v>#N/A</v>
      </c>
      <c r="AQ409" s="7" t="str">
        <f t="shared" si="179"/>
        <v/>
      </c>
      <c r="AR409" s="7" t="str">
        <f t="shared" si="180"/>
        <v/>
      </c>
      <c r="AS409" s="7" t="str">
        <f t="shared" si="181"/>
        <v/>
      </c>
      <c r="AT409" s="97"/>
      <c r="AZ409" s="477" t="s">
        <v>2360</v>
      </c>
      <c r="CF409" s="586" t="str">
        <f t="shared" si="188"/>
        <v/>
      </c>
      <c r="CG409"/>
      <c r="CH409"/>
    </row>
    <row r="410" spans="1:86" s="13" customFormat="1" ht="13.75" customHeight="1">
      <c r="A410" s="137">
        <v>395</v>
      </c>
      <c r="B410" s="138"/>
      <c r="C410" s="139"/>
      <c r="D410" s="140"/>
      <c r="E410" s="139"/>
      <c r="F410" s="139"/>
      <c r="G410" s="191"/>
      <c r="H410" s="139"/>
      <c r="I410" s="141"/>
      <c r="J410" s="142"/>
      <c r="K410" s="139"/>
      <c r="L410" s="147"/>
      <c r="M410" s="148"/>
      <c r="N410" s="583"/>
      <c r="O410" s="229" t="str">
        <f t="shared" si="182"/>
        <v/>
      </c>
      <c r="P410" s="229" t="str">
        <f t="shared" si="183"/>
        <v/>
      </c>
      <c r="Q410" s="230" t="str">
        <f t="shared" si="184"/>
        <v/>
      </c>
      <c r="R410" s="323" t="str">
        <f t="shared" si="185"/>
        <v/>
      </c>
      <c r="S410" s="350"/>
      <c r="T410" s="43"/>
      <c r="U410" s="347" t="str">
        <f t="shared" si="162"/>
        <v/>
      </c>
      <c r="V410" s="7" t="e">
        <f t="shared" si="163"/>
        <v>#N/A</v>
      </c>
      <c r="W410" s="7" t="e">
        <f t="shared" si="164"/>
        <v>#N/A</v>
      </c>
      <c r="X410" s="7" t="e">
        <f t="shared" si="165"/>
        <v>#N/A</v>
      </c>
      <c r="Y410" s="7" t="str">
        <f t="shared" si="166"/>
        <v/>
      </c>
      <c r="Z410" s="11">
        <f t="shared" si="167"/>
        <v>1</v>
      </c>
      <c r="AA410" s="7" t="e">
        <f t="shared" si="168"/>
        <v>#N/A</v>
      </c>
      <c r="AB410" s="7" t="e">
        <f t="shared" si="169"/>
        <v>#N/A</v>
      </c>
      <c r="AC410" s="7" t="e">
        <f t="shared" si="170"/>
        <v>#N/A</v>
      </c>
      <c r="AD410" s="472" t="e">
        <f>VLOOKUP(AF410,'排出係数(2017)'!$A$4:$I$1151,9,FALSE)</f>
        <v>#N/A</v>
      </c>
      <c r="AE410" s="12" t="str">
        <f t="shared" si="171"/>
        <v xml:space="preserve"> </v>
      </c>
      <c r="AF410" s="7" t="e">
        <f t="shared" si="186"/>
        <v>#N/A</v>
      </c>
      <c r="AG410" s="7" t="e">
        <f t="shared" si="172"/>
        <v>#N/A</v>
      </c>
      <c r="AH410" s="472" t="e">
        <f>VLOOKUP(AF410,'排出係数(2017)'!$A$4:$I$1151,6,FALSE)</f>
        <v>#N/A</v>
      </c>
      <c r="AI410" s="7" t="e">
        <f t="shared" si="173"/>
        <v>#N/A</v>
      </c>
      <c r="AJ410" s="7" t="e">
        <f t="shared" si="174"/>
        <v>#N/A</v>
      </c>
      <c r="AK410" s="472" t="e">
        <f>VLOOKUP(AF410,'排出係数(2017)'!$A$4:$I$1151,7,FALSE)</f>
        <v>#N/A</v>
      </c>
      <c r="AL410" s="7" t="e">
        <f t="shared" si="175"/>
        <v>#N/A</v>
      </c>
      <c r="AM410" s="7" t="e">
        <f t="shared" si="176"/>
        <v>#N/A</v>
      </c>
      <c r="AN410" s="7" t="e">
        <f t="shared" si="177"/>
        <v>#N/A</v>
      </c>
      <c r="AO410" s="7">
        <f t="shared" si="178"/>
        <v>0</v>
      </c>
      <c r="AP410" s="7" t="e">
        <f t="shared" si="187"/>
        <v>#N/A</v>
      </c>
      <c r="AQ410" s="7" t="str">
        <f t="shared" si="179"/>
        <v/>
      </c>
      <c r="AR410" s="7" t="str">
        <f t="shared" si="180"/>
        <v/>
      </c>
      <c r="AS410" s="7" t="str">
        <f t="shared" si="181"/>
        <v/>
      </c>
      <c r="AT410" s="97"/>
      <c r="AZ410" s="477" t="s">
        <v>1439</v>
      </c>
      <c r="CF410" s="586" t="str">
        <f t="shared" si="188"/>
        <v/>
      </c>
      <c r="CG410"/>
      <c r="CH410"/>
    </row>
    <row r="411" spans="1:86" s="13" customFormat="1" ht="13.75" customHeight="1">
      <c r="A411" s="137">
        <v>396</v>
      </c>
      <c r="B411" s="138"/>
      <c r="C411" s="139"/>
      <c r="D411" s="140"/>
      <c r="E411" s="139"/>
      <c r="F411" s="139"/>
      <c r="G411" s="191"/>
      <c r="H411" s="139"/>
      <c r="I411" s="141"/>
      <c r="J411" s="142"/>
      <c r="K411" s="139"/>
      <c r="L411" s="147"/>
      <c r="M411" s="148"/>
      <c r="N411" s="583"/>
      <c r="O411" s="229" t="str">
        <f t="shared" si="182"/>
        <v/>
      </c>
      <c r="P411" s="229" t="str">
        <f t="shared" si="183"/>
        <v/>
      </c>
      <c r="Q411" s="230" t="str">
        <f t="shared" si="184"/>
        <v/>
      </c>
      <c r="R411" s="323" t="str">
        <f t="shared" si="185"/>
        <v/>
      </c>
      <c r="S411" s="350"/>
      <c r="T411" s="43"/>
      <c r="U411" s="347" t="str">
        <f t="shared" si="162"/>
        <v/>
      </c>
      <c r="V411" s="7" t="e">
        <f t="shared" si="163"/>
        <v>#N/A</v>
      </c>
      <c r="W411" s="7" t="e">
        <f t="shared" si="164"/>
        <v>#N/A</v>
      </c>
      <c r="X411" s="7" t="e">
        <f t="shared" si="165"/>
        <v>#N/A</v>
      </c>
      <c r="Y411" s="7" t="str">
        <f t="shared" si="166"/>
        <v/>
      </c>
      <c r="Z411" s="11">
        <f t="shared" si="167"/>
        <v>1</v>
      </c>
      <c r="AA411" s="7" t="e">
        <f t="shared" si="168"/>
        <v>#N/A</v>
      </c>
      <c r="AB411" s="7" t="e">
        <f t="shared" si="169"/>
        <v>#N/A</v>
      </c>
      <c r="AC411" s="7" t="e">
        <f t="shared" si="170"/>
        <v>#N/A</v>
      </c>
      <c r="AD411" s="472" t="e">
        <f>VLOOKUP(AF411,'排出係数(2017)'!$A$4:$I$1151,9,FALSE)</f>
        <v>#N/A</v>
      </c>
      <c r="AE411" s="12" t="str">
        <f t="shared" si="171"/>
        <v xml:space="preserve"> </v>
      </c>
      <c r="AF411" s="7" t="e">
        <f t="shared" si="186"/>
        <v>#N/A</v>
      </c>
      <c r="AG411" s="7" t="e">
        <f t="shared" si="172"/>
        <v>#N/A</v>
      </c>
      <c r="AH411" s="472" t="e">
        <f>VLOOKUP(AF411,'排出係数(2017)'!$A$4:$I$1151,6,FALSE)</f>
        <v>#N/A</v>
      </c>
      <c r="AI411" s="7" t="e">
        <f t="shared" si="173"/>
        <v>#N/A</v>
      </c>
      <c r="AJ411" s="7" t="e">
        <f t="shared" si="174"/>
        <v>#N/A</v>
      </c>
      <c r="AK411" s="472" t="e">
        <f>VLOOKUP(AF411,'排出係数(2017)'!$A$4:$I$1151,7,FALSE)</f>
        <v>#N/A</v>
      </c>
      <c r="AL411" s="7" t="e">
        <f t="shared" si="175"/>
        <v>#N/A</v>
      </c>
      <c r="AM411" s="7" t="e">
        <f t="shared" si="176"/>
        <v>#N/A</v>
      </c>
      <c r="AN411" s="7" t="e">
        <f t="shared" si="177"/>
        <v>#N/A</v>
      </c>
      <c r="AO411" s="7">
        <f t="shared" si="178"/>
        <v>0</v>
      </c>
      <c r="AP411" s="7" t="e">
        <f t="shared" si="187"/>
        <v>#N/A</v>
      </c>
      <c r="AQ411" s="7" t="str">
        <f t="shared" si="179"/>
        <v/>
      </c>
      <c r="AR411" s="7" t="str">
        <f t="shared" si="180"/>
        <v/>
      </c>
      <c r="AS411" s="7" t="str">
        <f t="shared" si="181"/>
        <v/>
      </c>
      <c r="AT411" s="97"/>
      <c r="AZ411" s="477" t="s">
        <v>2541</v>
      </c>
      <c r="CF411" s="586" t="str">
        <f t="shared" si="188"/>
        <v/>
      </c>
      <c r="CG411"/>
      <c r="CH411"/>
    </row>
    <row r="412" spans="1:86" s="13" customFormat="1" ht="13.75" customHeight="1">
      <c r="A412" s="137">
        <v>397</v>
      </c>
      <c r="B412" s="138"/>
      <c r="C412" s="139"/>
      <c r="D412" s="140"/>
      <c r="E412" s="139"/>
      <c r="F412" s="139"/>
      <c r="G412" s="191"/>
      <c r="H412" s="139"/>
      <c r="I412" s="141"/>
      <c r="J412" s="142"/>
      <c r="K412" s="139"/>
      <c r="L412" s="147"/>
      <c r="M412" s="148"/>
      <c r="N412" s="583"/>
      <c r="O412" s="229" t="str">
        <f t="shared" si="182"/>
        <v/>
      </c>
      <c r="P412" s="229" t="str">
        <f t="shared" si="183"/>
        <v/>
      </c>
      <c r="Q412" s="230" t="str">
        <f t="shared" si="184"/>
        <v/>
      </c>
      <c r="R412" s="323" t="str">
        <f t="shared" si="185"/>
        <v/>
      </c>
      <c r="S412" s="350"/>
      <c r="T412" s="43"/>
      <c r="U412" s="347" t="str">
        <f t="shared" si="162"/>
        <v/>
      </c>
      <c r="V412" s="7" t="e">
        <f t="shared" si="163"/>
        <v>#N/A</v>
      </c>
      <c r="W412" s="7" t="e">
        <f t="shared" si="164"/>
        <v>#N/A</v>
      </c>
      <c r="X412" s="7" t="e">
        <f t="shared" si="165"/>
        <v>#N/A</v>
      </c>
      <c r="Y412" s="7" t="str">
        <f t="shared" si="166"/>
        <v/>
      </c>
      <c r="Z412" s="11">
        <f t="shared" si="167"/>
        <v>1</v>
      </c>
      <c r="AA412" s="7" t="e">
        <f t="shared" si="168"/>
        <v>#N/A</v>
      </c>
      <c r="AB412" s="7" t="e">
        <f t="shared" si="169"/>
        <v>#N/A</v>
      </c>
      <c r="AC412" s="7" t="e">
        <f t="shared" si="170"/>
        <v>#N/A</v>
      </c>
      <c r="AD412" s="472" t="e">
        <f>VLOOKUP(AF412,'排出係数(2017)'!$A$4:$I$1151,9,FALSE)</f>
        <v>#N/A</v>
      </c>
      <c r="AE412" s="12" t="str">
        <f t="shared" si="171"/>
        <v xml:space="preserve"> </v>
      </c>
      <c r="AF412" s="7" t="e">
        <f t="shared" si="186"/>
        <v>#N/A</v>
      </c>
      <c r="AG412" s="7" t="e">
        <f t="shared" si="172"/>
        <v>#N/A</v>
      </c>
      <c r="AH412" s="472" t="e">
        <f>VLOOKUP(AF412,'排出係数(2017)'!$A$4:$I$1151,6,FALSE)</f>
        <v>#N/A</v>
      </c>
      <c r="AI412" s="7" t="e">
        <f t="shared" si="173"/>
        <v>#N/A</v>
      </c>
      <c r="AJ412" s="7" t="e">
        <f t="shared" si="174"/>
        <v>#N/A</v>
      </c>
      <c r="AK412" s="472" t="e">
        <f>VLOOKUP(AF412,'排出係数(2017)'!$A$4:$I$1151,7,FALSE)</f>
        <v>#N/A</v>
      </c>
      <c r="AL412" s="7" t="e">
        <f t="shared" si="175"/>
        <v>#N/A</v>
      </c>
      <c r="AM412" s="7" t="e">
        <f t="shared" si="176"/>
        <v>#N/A</v>
      </c>
      <c r="AN412" s="7" t="e">
        <f t="shared" si="177"/>
        <v>#N/A</v>
      </c>
      <c r="AO412" s="7">
        <f t="shared" si="178"/>
        <v>0</v>
      </c>
      <c r="AP412" s="7" t="e">
        <f t="shared" si="187"/>
        <v>#N/A</v>
      </c>
      <c r="AQ412" s="7" t="str">
        <f t="shared" si="179"/>
        <v/>
      </c>
      <c r="AR412" s="7" t="str">
        <f t="shared" si="180"/>
        <v/>
      </c>
      <c r="AS412" s="7" t="str">
        <f t="shared" si="181"/>
        <v/>
      </c>
      <c r="AT412" s="97"/>
      <c r="AZ412" s="477" t="s">
        <v>2542</v>
      </c>
      <c r="CF412" s="586" t="str">
        <f t="shared" si="188"/>
        <v/>
      </c>
      <c r="CG412"/>
      <c r="CH412"/>
    </row>
    <row r="413" spans="1:86" s="13" customFormat="1" ht="13.75" customHeight="1">
      <c r="A413" s="137">
        <v>398</v>
      </c>
      <c r="B413" s="138"/>
      <c r="C413" s="139"/>
      <c r="D413" s="140"/>
      <c r="E413" s="139"/>
      <c r="F413" s="139"/>
      <c r="G413" s="191"/>
      <c r="H413" s="139"/>
      <c r="I413" s="141"/>
      <c r="J413" s="142"/>
      <c r="K413" s="139"/>
      <c r="L413" s="147"/>
      <c r="M413" s="148"/>
      <c r="N413" s="583"/>
      <c r="O413" s="229" t="str">
        <f t="shared" si="182"/>
        <v/>
      </c>
      <c r="P413" s="229" t="str">
        <f t="shared" si="183"/>
        <v/>
      </c>
      <c r="Q413" s="230" t="str">
        <f t="shared" si="184"/>
        <v/>
      </c>
      <c r="R413" s="323" t="str">
        <f t="shared" si="185"/>
        <v/>
      </c>
      <c r="S413" s="350"/>
      <c r="T413" s="43"/>
      <c r="U413" s="347" t="str">
        <f t="shared" si="162"/>
        <v/>
      </c>
      <c r="V413" s="7" t="e">
        <f t="shared" si="163"/>
        <v>#N/A</v>
      </c>
      <c r="W413" s="7" t="e">
        <f t="shared" si="164"/>
        <v>#N/A</v>
      </c>
      <c r="X413" s="7" t="e">
        <f t="shared" si="165"/>
        <v>#N/A</v>
      </c>
      <c r="Y413" s="7" t="str">
        <f t="shared" si="166"/>
        <v/>
      </c>
      <c r="Z413" s="11">
        <f t="shared" si="167"/>
        <v>1</v>
      </c>
      <c r="AA413" s="7" t="e">
        <f t="shared" si="168"/>
        <v>#N/A</v>
      </c>
      <c r="AB413" s="7" t="e">
        <f t="shared" si="169"/>
        <v>#N/A</v>
      </c>
      <c r="AC413" s="7" t="e">
        <f t="shared" si="170"/>
        <v>#N/A</v>
      </c>
      <c r="AD413" s="472" t="e">
        <f>VLOOKUP(AF413,'排出係数(2017)'!$A$4:$I$1151,9,FALSE)</f>
        <v>#N/A</v>
      </c>
      <c r="AE413" s="12" t="str">
        <f t="shared" si="171"/>
        <v xml:space="preserve"> </v>
      </c>
      <c r="AF413" s="7" t="e">
        <f t="shared" si="186"/>
        <v>#N/A</v>
      </c>
      <c r="AG413" s="7" t="e">
        <f t="shared" si="172"/>
        <v>#N/A</v>
      </c>
      <c r="AH413" s="472" t="e">
        <f>VLOOKUP(AF413,'排出係数(2017)'!$A$4:$I$1151,6,FALSE)</f>
        <v>#N/A</v>
      </c>
      <c r="AI413" s="7" t="e">
        <f t="shared" si="173"/>
        <v>#N/A</v>
      </c>
      <c r="AJ413" s="7" t="e">
        <f t="shared" si="174"/>
        <v>#N/A</v>
      </c>
      <c r="AK413" s="472" t="e">
        <f>VLOOKUP(AF413,'排出係数(2017)'!$A$4:$I$1151,7,FALSE)</f>
        <v>#N/A</v>
      </c>
      <c r="AL413" s="7" t="e">
        <f t="shared" si="175"/>
        <v>#N/A</v>
      </c>
      <c r="AM413" s="7" t="e">
        <f t="shared" si="176"/>
        <v>#N/A</v>
      </c>
      <c r="AN413" s="7" t="e">
        <f t="shared" si="177"/>
        <v>#N/A</v>
      </c>
      <c r="AO413" s="7">
        <f t="shared" si="178"/>
        <v>0</v>
      </c>
      <c r="AP413" s="7" t="e">
        <f t="shared" si="187"/>
        <v>#N/A</v>
      </c>
      <c r="AQ413" s="7" t="str">
        <f t="shared" si="179"/>
        <v/>
      </c>
      <c r="AR413" s="7" t="str">
        <f t="shared" si="180"/>
        <v/>
      </c>
      <c r="AS413" s="7" t="str">
        <f t="shared" si="181"/>
        <v/>
      </c>
      <c r="AT413" s="97"/>
      <c r="AZ413" s="477" t="s">
        <v>2543</v>
      </c>
      <c r="CF413" s="586" t="str">
        <f t="shared" si="188"/>
        <v/>
      </c>
      <c r="CG413"/>
      <c r="CH413"/>
    </row>
    <row r="414" spans="1:86" s="13" customFormat="1" ht="13.75" customHeight="1">
      <c r="A414" s="137">
        <v>399</v>
      </c>
      <c r="B414" s="138"/>
      <c r="C414" s="139"/>
      <c r="D414" s="140"/>
      <c r="E414" s="139"/>
      <c r="F414" s="139"/>
      <c r="G414" s="191"/>
      <c r="H414" s="139"/>
      <c r="I414" s="141"/>
      <c r="J414" s="142"/>
      <c r="K414" s="139"/>
      <c r="L414" s="147"/>
      <c r="M414" s="148"/>
      <c r="N414" s="583"/>
      <c r="O414" s="229" t="str">
        <f t="shared" si="182"/>
        <v/>
      </c>
      <c r="P414" s="229" t="str">
        <f t="shared" si="183"/>
        <v/>
      </c>
      <c r="Q414" s="230" t="str">
        <f t="shared" si="184"/>
        <v/>
      </c>
      <c r="R414" s="323" t="str">
        <f t="shared" si="185"/>
        <v/>
      </c>
      <c r="S414" s="350"/>
      <c r="T414" s="43"/>
      <c r="U414" s="347" t="str">
        <f t="shared" si="162"/>
        <v/>
      </c>
      <c r="V414" s="7" t="e">
        <f t="shared" si="163"/>
        <v>#N/A</v>
      </c>
      <c r="W414" s="7" t="e">
        <f t="shared" si="164"/>
        <v>#N/A</v>
      </c>
      <c r="X414" s="7" t="e">
        <f t="shared" si="165"/>
        <v>#N/A</v>
      </c>
      <c r="Y414" s="7" t="str">
        <f t="shared" si="166"/>
        <v/>
      </c>
      <c r="Z414" s="11">
        <f t="shared" si="167"/>
        <v>1</v>
      </c>
      <c r="AA414" s="7" t="e">
        <f t="shared" si="168"/>
        <v>#N/A</v>
      </c>
      <c r="AB414" s="7" t="e">
        <f t="shared" si="169"/>
        <v>#N/A</v>
      </c>
      <c r="AC414" s="7" t="e">
        <f t="shared" si="170"/>
        <v>#N/A</v>
      </c>
      <c r="AD414" s="472" t="e">
        <f>VLOOKUP(AF414,'排出係数(2017)'!$A$4:$I$1151,9,FALSE)</f>
        <v>#N/A</v>
      </c>
      <c r="AE414" s="12" t="str">
        <f t="shared" si="171"/>
        <v xml:space="preserve"> </v>
      </c>
      <c r="AF414" s="7" t="e">
        <f t="shared" si="186"/>
        <v>#N/A</v>
      </c>
      <c r="AG414" s="7" t="e">
        <f t="shared" si="172"/>
        <v>#N/A</v>
      </c>
      <c r="AH414" s="472" t="e">
        <f>VLOOKUP(AF414,'排出係数(2017)'!$A$4:$I$1151,6,FALSE)</f>
        <v>#N/A</v>
      </c>
      <c r="AI414" s="7" t="e">
        <f t="shared" si="173"/>
        <v>#N/A</v>
      </c>
      <c r="AJ414" s="7" t="e">
        <f t="shared" si="174"/>
        <v>#N/A</v>
      </c>
      <c r="AK414" s="472" t="e">
        <f>VLOOKUP(AF414,'排出係数(2017)'!$A$4:$I$1151,7,FALSE)</f>
        <v>#N/A</v>
      </c>
      <c r="AL414" s="7" t="e">
        <f t="shared" si="175"/>
        <v>#N/A</v>
      </c>
      <c r="AM414" s="7" t="e">
        <f t="shared" si="176"/>
        <v>#N/A</v>
      </c>
      <c r="AN414" s="7" t="e">
        <f t="shared" si="177"/>
        <v>#N/A</v>
      </c>
      <c r="AO414" s="7">
        <f t="shared" si="178"/>
        <v>0</v>
      </c>
      <c r="AP414" s="7" t="e">
        <f t="shared" si="187"/>
        <v>#N/A</v>
      </c>
      <c r="AQ414" s="7" t="str">
        <f t="shared" si="179"/>
        <v/>
      </c>
      <c r="AR414" s="7" t="str">
        <f t="shared" si="180"/>
        <v/>
      </c>
      <c r="AS414" s="7" t="str">
        <f t="shared" si="181"/>
        <v/>
      </c>
      <c r="AT414" s="97"/>
      <c r="AZ414" s="477" t="s">
        <v>1654</v>
      </c>
      <c r="CF414" s="586" t="str">
        <f t="shared" si="188"/>
        <v/>
      </c>
      <c r="CG414"/>
      <c r="CH414"/>
    </row>
    <row r="415" spans="1:86" s="13" customFormat="1" ht="13.75" customHeight="1">
      <c r="A415" s="137">
        <v>400</v>
      </c>
      <c r="B415" s="138"/>
      <c r="C415" s="139"/>
      <c r="D415" s="140"/>
      <c r="E415" s="139"/>
      <c r="F415" s="139"/>
      <c r="G415" s="191"/>
      <c r="H415" s="139"/>
      <c r="I415" s="141"/>
      <c r="J415" s="142"/>
      <c r="K415" s="139"/>
      <c r="L415" s="147"/>
      <c r="M415" s="148"/>
      <c r="N415" s="583"/>
      <c r="O415" s="229" t="str">
        <f t="shared" si="182"/>
        <v/>
      </c>
      <c r="P415" s="229" t="str">
        <f t="shared" si="183"/>
        <v/>
      </c>
      <c r="Q415" s="230" t="str">
        <f t="shared" si="184"/>
        <v/>
      </c>
      <c r="R415" s="323" t="str">
        <f t="shared" si="185"/>
        <v/>
      </c>
      <c r="S415" s="350"/>
      <c r="T415" s="43"/>
      <c r="U415" s="347" t="str">
        <f t="shared" si="162"/>
        <v/>
      </c>
      <c r="V415" s="7" t="e">
        <f t="shared" si="163"/>
        <v>#N/A</v>
      </c>
      <c r="W415" s="7" t="e">
        <f t="shared" si="164"/>
        <v>#N/A</v>
      </c>
      <c r="X415" s="7" t="e">
        <f t="shared" si="165"/>
        <v>#N/A</v>
      </c>
      <c r="Y415" s="7" t="str">
        <f t="shared" si="166"/>
        <v/>
      </c>
      <c r="Z415" s="11">
        <f t="shared" si="167"/>
        <v>1</v>
      </c>
      <c r="AA415" s="7" t="e">
        <f t="shared" si="168"/>
        <v>#N/A</v>
      </c>
      <c r="AB415" s="7" t="e">
        <f t="shared" si="169"/>
        <v>#N/A</v>
      </c>
      <c r="AC415" s="7" t="e">
        <f t="shared" si="170"/>
        <v>#N/A</v>
      </c>
      <c r="AD415" s="472" t="e">
        <f>VLOOKUP(AF415,'排出係数(2017)'!$A$4:$I$1151,9,FALSE)</f>
        <v>#N/A</v>
      </c>
      <c r="AE415" s="12" t="str">
        <f t="shared" si="171"/>
        <v xml:space="preserve"> </v>
      </c>
      <c r="AF415" s="7" t="e">
        <f t="shared" si="186"/>
        <v>#N/A</v>
      </c>
      <c r="AG415" s="7" t="e">
        <f t="shared" si="172"/>
        <v>#N/A</v>
      </c>
      <c r="AH415" s="472" t="e">
        <f>VLOOKUP(AF415,'排出係数(2017)'!$A$4:$I$1151,6,FALSE)</f>
        <v>#N/A</v>
      </c>
      <c r="AI415" s="7" t="e">
        <f t="shared" si="173"/>
        <v>#N/A</v>
      </c>
      <c r="AJ415" s="7" t="e">
        <f t="shared" si="174"/>
        <v>#N/A</v>
      </c>
      <c r="AK415" s="472" t="e">
        <f>VLOOKUP(AF415,'排出係数(2017)'!$A$4:$I$1151,7,FALSE)</f>
        <v>#N/A</v>
      </c>
      <c r="AL415" s="7" t="e">
        <f t="shared" si="175"/>
        <v>#N/A</v>
      </c>
      <c r="AM415" s="7" t="e">
        <f t="shared" si="176"/>
        <v>#N/A</v>
      </c>
      <c r="AN415" s="7" t="e">
        <f t="shared" si="177"/>
        <v>#N/A</v>
      </c>
      <c r="AO415" s="7">
        <f t="shared" si="178"/>
        <v>0</v>
      </c>
      <c r="AP415" s="7" t="e">
        <f t="shared" si="187"/>
        <v>#N/A</v>
      </c>
      <c r="AQ415" s="7" t="str">
        <f t="shared" si="179"/>
        <v/>
      </c>
      <c r="AR415" s="7" t="str">
        <f t="shared" si="180"/>
        <v/>
      </c>
      <c r="AS415" s="7" t="str">
        <f t="shared" si="181"/>
        <v/>
      </c>
      <c r="AT415" s="97"/>
      <c r="AZ415" s="477" t="s">
        <v>2544</v>
      </c>
      <c r="CF415" s="586" t="str">
        <f t="shared" si="188"/>
        <v/>
      </c>
      <c r="CG415"/>
      <c r="CH415"/>
    </row>
    <row r="416" spans="1:86" s="13" customFormat="1" ht="13.75" customHeight="1">
      <c r="A416" s="137">
        <v>401</v>
      </c>
      <c r="B416" s="138"/>
      <c r="C416" s="139"/>
      <c r="D416" s="140"/>
      <c r="E416" s="139"/>
      <c r="F416" s="139"/>
      <c r="G416" s="191"/>
      <c r="H416" s="139"/>
      <c r="I416" s="141"/>
      <c r="J416" s="142"/>
      <c r="K416" s="139"/>
      <c r="L416" s="147"/>
      <c r="M416" s="148"/>
      <c r="N416" s="583"/>
      <c r="O416" s="229" t="str">
        <f t="shared" si="182"/>
        <v/>
      </c>
      <c r="P416" s="229" t="str">
        <f t="shared" si="183"/>
        <v/>
      </c>
      <c r="Q416" s="230" t="str">
        <f t="shared" si="184"/>
        <v/>
      </c>
      <c r="R416" s="323" t="str">
        <f t="shared" si="185"/>
        <v/>
      </c>
      <c r="S416" s="350"/>
      <c r="T416" s="43"/>
      <c r="U416" s="347" t="str">
        <f t="shared" si="162"/>
        <v/>
      </c>
      <c r="V416" s="7" t="e">
        <f t="shared" si="163"/>
        <v>#N/A</v>
      </c>
      <c r="W416" s="7" t="e">
        <f t="shared" si="164"/>
        <v>#N/A</v>
      </c>
      <c r="X416" s="7" t="e">
        <f t="shared" si="165"/>
        <v>#N/A</v>
      </c>
      <c r="Y416" s="7" t="str">
        <f t="shared" si="166"/>
        <v/>
      </c>
      <c r="Z416" s="11">
        <f t="shared" si="167"/>
        <v>1</v>
      </c>
      <c r="AA416" s="7" t="e">
        <f t="shared" si="168"/>
        <v>#N/A</v>
      </c>
      <c r="AB416" s="7" t="e">
        <f t="shared" si="169"/>
        <v>#N/A</v>
      </c>
      <c r="AC416" s="7" t="e">
        <f t="shared" si="170"/>
        <v>#N/A</v>
      </c>
      <c r="AD416" s="472" t="e">
        <f>VLOOKUP(AF416,'排出係数(2017)'!$A$4:$I$1151,9,FALSE)</f>
        <v>#N/A</v>
      </c>
      <c r="AE416" s="12" t="str">
        <f t="shared" si="171"/>
        <v xml:space="preserve"> </v>
      </c>
      <c r="AF416" s="7" t="e">
        <f t="shared" si="186"/>
        <v>#N/A</v>
      </c>
      <c r="AG416" s="7" t="e">
        <f t="shared" si="172"/>
        <v>#N/A</v>
      </c>
      <c r="AH416" s="472" t="e">
        <f>VLOOKUP(AF416,'排出係数(2017)'!$A$4:$I$1151,6,FALSE)</f>
        <v>#N/A</v>
      </c>
      <c r="AI416" s="7" t="e">
        <f t="shared" si="173"/>
        <v>#N/A</v>
      </c>
      <c r="AJ416" s="7" t="e">
        <f t="shared" si="174"/>
        <v>#N/A</v>
      </c>
      <c r="AK416" s="472" t="e">
        <f>VLOOKUP(AF416,'排出係数(2017)'!$A$4:$I$1151,7,FALSE)</f>
        <v>#N/A</v>
      </c>
      <c r="AL416" s="7" t="e">
        <f t="shared" si="175"/>
        <v>#N/A</v>
      </c>
      <c r="AM416" s="7" t="e">
        <f t="shared" si="176"/>
        <v>#N/A</v>
      </c>
      <c r="AN416" s="7" t="e">
        <f t="shared" si="177"/>
        <v>#N/A</v>
      </c>
      <c r="AO416" s="7">
        <f t="shared" si="178"/>
        <v>0</v>
      </c>
      <c r="AP416" s="7" t="e">
        <f t="shared" si="187"/>
        <v>#N/A</v>
      </c>
      <c r="AQ416" s="7" t="str">
        <f t="shared" si="179"/>
        <v/>
      </c>
      <c r="AR416" s="7" t="str">
        <f t="shared" si="180"/>
        <v/>
      </c>
      <c r="AS416" s="7" t="str">
        <f t="shared" si="181"/>
        <v/>
      </c>
      <c r="AT416" s="97"/>
      <c r="AZ416" s="477" t="s">
        <v>2545</v>
      </c>
      <c r="CF416" s="586" t="str">
        <f t="shared" si="188"/>
        <v/>
      </c>
      <c r="CG416"/>
      <c r="CH416"/>
    </row>
    <row r="417" spans="1:86" s="13" customFormat="1" ht="13.75" customHeight="1">
      <c r="A417" s="137">
        <v>402</v>
      </c>
      <c r="B417" s="138"/>
      <c r="C417" s="139"/>
      <c r="D417" s="140"/>
      <c r="E417" s="139"/>
      <c r="F417" s="139"/>
      <c r="G417" s="191"/>
      <c r="H417" s="139"/>
      <c r="I417" s="141"/>
      <c r="J417" s="142"/>
      <c r="K417" s="139"/>
      <c r="L417" s="147"/>
      <c r="M417" s="148"/>
      <c r="N417" s="583"/>
      <c r="O417" s="229" t="str">
        <f t="shared" si="182"/>
        <v/>
      </c>
      <c r="P417" s="229" t="str">
        <f t="shared" si="183"/>
        <v/>
      </c>
      <c r="Q417" s="230" t="str">
        <f t="shared" si="184"/>
        <v/>
      </c>
      <c r="R417" s="323" t="str">
        <f t="shared" si="185"/>
        <v/>
      </c>
      <c r="S417" s="350"/>
      <c r="T417" s="43"/>
      <c r="U417" s="347" t="str">
        <f t="shared" si="162"/>
        <v/>
      </c>
      <c r="V417" s="7" t="e">
        <f t="shared" si="163"/>
        <v>#N/A</v>
      </c>
      <c r="W417" s="7" t="e">
        <f t="shared" si="164"/>
        <v>#N/A</v>
      </c>
      <c r="X417" s="7" t="e">
        <f t="shared" si="165"/>
        <v>#N/A</v>
      </c>
      <c r="Y417" s="7" t="str">
        <f t="shared" si="166"/>
        <v/>
      </c>
      <c r="Z417" s="11">
        <f t="shared" si="167"/>
        <v>1</v>
      </c>
      <c r="AA417" s="7" t="e">
        <f t="shared" si="168"/>
        <v>#N/A</v>
      </c>
      <c r="AB417" s="7" t="e">
        <f t="shared" si="169"/>
        <v>#N/A</v>
      </c>
      <c r="AC417" s="7" t="e">
        <f t="shared" si="170"/>
        <v>#N/A</v>
      </c>
      <c r="AD417" s="472" t="e">
        <f>VLOOKUP(AF417,'排出係数(2017)'!$A$4:$I$1151,9,FALSE)</f>
        <v>#N/A</v>
      </c>
      <c r="AE417" s="12" t="str">
        <f t="shared" si="171"/>
        <v xml:space="preserve"> </v>
      </c>
      <c r="AF417" s="7" t="e">
        <f t="shared" si="186"/>
        <v>#N/A</v>
      </c>
      <c r="AG417" s="7" t="e">
        <f t="shared" si="172"/>
        <v>#N/A</v>
      </c>
      <c r="AH417" s="472" t="e">
        <f>VLOOKUP(AF417,'排出係数(2017)'!$A$4:$I$1151,6,FALSE)</f>
        <v>#N/A</v>
      </c>
      <c r="AI417" s="7" t="e">
        <f t="shared" si="173"/>
        <v>#N/A</v>
      </c>
      <c r="AJ417" s="7" t="e">
        <f t="shared" si="174"/>
        <v>#N/A</v>
      </c>
      <c r="AK417" s="472" t="e">
        <f>VLOOKUP(AF417,'排出係数(2017)'!$A$4:$I$1151,7,FALSE)</f>
        <v>#N/A</v>
      </c>
      <c r="AL417" s="7" t="e">
        <f t="shared" si="175"/>
        <v>#N/A</v>
      </c>
      <c r="AM417" s="7" t="e">
        <f t="shared" si="176"/>
        <v>#N/A</v>
      </c>
      <c r="AN417" s="7" t="e">
        <f t="shared" si="177"/>
        <v>#N/A</v>
      </c>
      <c r="AO417" s="7">
        <f t="shared" si="178"/>
        <v>0</v>
      </c>
      <c r="AP417" s="7" t="e">
        <f t="shared" si="187"/>
        <v>#N/A</v>
      </c>
      <c r="AQ417" s="7" t="str">
        <f t="shared" si="179"/>
        <v/>
      </c>
      <c r="AR417" s="7" t="str">
        <f t="shared" si="180"/>
        <v/>
      </c>
      <c r="AS417" s="7" t="str">
        <f t="shared" si="181"/>
        <v/>
      </c>
      <c r="AT417" s="97"/>
      <c r="AZ417" s="477" t="s">
        <v>2546</v>
      </c>
      <c r="CF417" s="586" t="str">
        <f t="shared" si="188"/>
        <v/>
      </c>
      <c r="CG417"/>
      <c r="CH417"/>
    </row>
    <row r="418" spans="1:86" s="13" customFormat="1" ht="13.75" customHeight="1">
      <c r="A418" s="137">
        <v>403</v>
      </c>
      <c r="B418" s="138"/>
      <c r="C418" s="139"/>
      <c r="D418" s="140"/>
      <c r="E418" s="139"/>
      <c r="F418" s="139"/>
      <c r="G418" s="191"/>
      <c r="H418" s="139"/>
      <c r="I418" s="141"/>
      <c r="J418" s="142"/>
      <c r="K418" s="139"/>
      <c r="L418" s="147"/>
      <c r="M418" s="148"/>
      <c r="N418" s="583"/>
      <c r="O418" s="229" t="str">
        <f t="shared" si="182"/>
        <v/>
      </c>
      <c r="P418" s="229" t="str">
        <f t="shared" si="183"/>
        <v/>
      </c>
      <c r="Q418" s="230" t="str">
        <f t="shared" si="184"/>
        <v/>
      </c>
      <c r="R418" s="323" t="str">
        <f t="shared" si="185"/>
        <v/>
      </c>
      <c r="S418" s="350"/>
      <c r="T418" s="43"/>
      <c r="U418" s="347" t="str">
        <f t="shared" si="162"/>
        <v/>
      </c>
      <c r="V418" s="7" t="e">
        <f t="shared" si="163"/>
        <v>#N/A</v>
      </c>
      <c r="W418" s="7" t="e">
        <f t="shared" si="164"/>
        <v>#N/A</v>
      </c>
      <c r="X418" s="7" t="e">
        <f t="shared" si="165"/>
        <v>#N/A</v>
      </c>
      <c r="Y418" s="7" t="str">
        <f t="shared" si="166"/>
        <v/>
      </c>
      <c r="Z418" s="11">
        <f t="shared" si="167"/>
        <v>1</v>
      </c>
      <c r="AA418" s="7" t="e">
        <f t="shared" si="168"/>
        <v>#N/A</v>
      </c>
      <c r="AB418" s="7" t="e">
        <f t="shared" si="169"/>
        <v>#N/A</v>
      </c>
      <c r="AC418" s="7" t="e">
        <f t="shared" si="170"/>
        <v>#N/A</v>
      </c>
      <c r="AD418" s="472" t="e">
        <f>VLOOKUP(AF418,'排出係数(2017)'!$A$4:$I$1151,9,FALSE)</f>
        <v>#N/A</v>
      </c>
      <c r="AE418" s="12" t="str">
        <f t="shared" si="171"/>
        <v xml:space="preserve"> </v>
      </c>
      <c r="AF418" s="7" t="e">
        <f t="shared" si="186"/>
        <v>#N/A</v>
      </c>
      <c r="AG418" s="7" t="e">
        <f t="shared" si="172"/>
        <v>#N/A</v>
      </c>
      <c r="AH418" s="472" t="e">
        <f>VLOOKUP(AF418,'排出係数(2017)'!$A$4:$I$1151,6,FALSE)</f>
        <v>#N/A</v>
      </c>
      <c r="AI418" s="7" t="e">
        <f t="shared" si="173"/>
        <v>#N/A</v>
      </c>
      <c r="AJ418" s="7" t="e">
        <f t="shared" si="174"/>
        <v>#N/A</v>
      </c>
      <c r="AK418" s="472" t="e">
        <f>VLOOKUP(AF418,'排出係数(2017)'!$A$4:$I$1151,7,FALSE)</f>
        <v>#N/A</v>
      </c>
      <c r="AL418" s="7" t="e">
        <f t="shared" si="175"/>
        <v>#N/A</v>
      </c>
      <c r="AM418" s="7" t="e">
        <f t="shared" si="176"/>
        <v>#N/A</v>
      </c>
      <c r="AN418" s="7" t="e">
        <f t="shared" si="177"/>
        <v>#N/A</v>
      </c>
      <c r="AO418" s="7">
        <f t="shared" si="178"/>
        <v>0</v>
      </c>
      <c r="AP418" s="7" t="e">
        <f t="shared" si="187"/>
        <v>#N/A</v>
      </c>
      <c r="AQ418" s="7" t="str">
        <f t="shared" si="179"/>
        <v/>
      </c>
      <c r="AR418" s="7" t="str">
        <f t="shared" si="180"/>
        <v/>
      </c>
      <c r="AS418" s="7" t="str">
        <f t="shared" si="181"/>
        <v/>
      </c>
      <c r="AT418" s="97"/>
      <c r="AZ418" s="477" t="s">
        <v>2365</v>
      </c>
      <c r="CF418" s="586" t="str">
        <f t="shared" si="188"/>
        <v/>
      </c>
      <c r="CG418"/>
      <c r="CH418"/>
    </row>
    <row r="419" spans="1:86" s="13" customFormat="1" ht="13.75" customHeight="1">
      <c r="A419" s="137">
        <v>404</v>
      </c>
      <c r="B419" s="138"/>
      <c r="C419" s="139"/>
      <c r="D419" s="140"/>
      <c r="E419" s="139"/>
      <c r="F419" s="139"/>
      <c r="G419" s="191"/>
      <c r="H419" s="139"/>
      <c r="I419" s="141"/>
      <c r="J419" s="142"/>
      <c r="K419" s="139"/>
      <c r="L419" s="147"/>
      <c r="M419" s="148"/>
      <c r="N419" s="583"/>
      <c r="O419" s="229" t="str">
        <f t="shared" si="182"/>
        <v/>
      </c>
      <c r="P419" s="229" t="str">
        <f t="shared" si="183"/>
        <v/>
      </c>
      <c r="Q419" s="230" t="str">
        <f t="shared" si="184"/>
        <v/>
      </c>
      <c r="R419" s="323" t="str">
        <f t="shared" si="185"/>
        <v/>
      </c>
      <c r="S419" s="350"/>
      <c r="T419" s="43"/>
      <c r="U419" s="347" t="str">
        <f t="shared" si="162"/>
        <v/>
      </c>
      <c r="V419" s="7" t="e">
        <f t="shared" si="163"/>
        <v>#N/A</v>
      </c>
      <c r="W419" s="7" t="e">
        <f t="shared" si="164"/>
        <v>#N/A</v>
      </c>
      <c r="X419" s="7" t="e">
        <f t="shared" si="165"/>
        <v>#N/A</v>
      </c>
      <c r="Y419" s="7" t="str">
        <f t="shared" si="166"/>
        <v/>
      </c>
      <c r="Z419" s="11">
        <f t="shared" si="167"/>
        <v>1</v>
      </c>
      <c r="AA419" s="7" t="e">
        <f t="shared" si="168"/>
        <v>#N/A</v>
      </c>
      <c r="AB419" s="7" t="e">
        <f t="shared" si="169"/>
        <v>#N/A</v>
      </c>
      <c r="AC419" s="7" t="e">
        <f t="shared" si="170"/>
        <v>#N/A</v>
      </c>
      <c r="AD419" s="472" t="e">
        <f>VLOOKUP(AF419,'排出係数(2017)'!$A$4:$I$1151,9,FALSE)</f>
        <v>#N/A</v>
      </c>
      <c r="AE419" s="12" t="str">
        <f t="shared" si="171"/>
        <v xml:space="preserve"> </v>
      </c>
      <c r="AF419" s="7" t="e">
        <f t="shared" si="186"/>
        <v>#N/A</v>
      </c>
      <c r="AG419" s="7" t="e">
        <f t="shared" si="172"/>
        <v>#N/A</v>
      </c>
      <c r="AH419" s="472" t="e">
        <f>VLOOKUP(AF419,'排出係数(2017)'!$A$4:$I$1151,6,FALSE)</f>
        <v>#N/A</v>
      </c>
      <c r="AI419" s="7" t="e">
        <f t="shared" si="173"/>
        <v>#N/A</v>
      </c>
      <c r="AJ419" s="7" t="e">
        <f t="shared" si="174"/>
        <v>#N/A</v>
      </c>
      <c r="AK419" s="472" t="e">
        <f>VLOOKUP(AF419,'排出係数(2017)'!$A$4:$I$1151,7,FALSE)</f>
        <v>#N/A</v>
      </c>
      <c r="AL419" s="7" t="e">
        <f t="shared" si="175"/>
        <v>#N/A</v>
      </c>
      <c r="AM419" s="7" t="e">
        <f t="shared" si="176"/>
        <v>#N/A</v>
      </c>
      <c r="AN419" s="7" t="e">
        <f t="shared" si="177"/>
        <v>#N/A</v>
      </c>
      <c r="AO419" s="7">
        <f t="shared" si="178"/>
        <v>0</v>
      </c>
      <c r="AP419" s="7" t="e">
        <f t="shared" si="187"/>
        <v>#N/A</v>
      </c>
      <c r="AQ419" s="7" t="str">
        <f t="shared" si="179"/>
        <v/>
      </c>
      <c r="AR419" s="7" t="str">
        <f t="shared" si="180"/>
        <v/>
      </c>
      <c r="AS419" s="7" t="str">
        <f t="shared" si="181"/>
        <v/>
      </c>
      <c r="AT419" s="97"/>
      <c r="AZ419" s="477" t="s">
        <v>2361</v>
      </c>
      <c r="CF419" s="586" t="str">
        <f t="shared" si="188"/>
        <v/>
      </c>
      <c r="CG419"/>
      <c r="CH419"/>
    </row>
    <row r="420" spans="1:86" s="13" customFormat="1" ht="13.75" customHeight="1">
      <c r="A420" s="137">
        <v>405</v>
      </c>
      <c r="B420" s="138"/>
      <c r="C420" s="139"/>
      <c r="D420" s="140"/>
      <c r="E420" s="139"/>
      <c r="F420" s="139"/>
      <c r="G420" s="191"/>
      <c r="H420" s="139"/>
      <c r="I420" s="141"/>
      <c r="J420" s="142"/>
      <c r="K420" s="139"/>
      <c r="L420" s="147"/>
      <c r="M420" s="148"/>
      <c r="N420" s="583"/>
      <c r="O420" s="229" t="str">
        <f t="shared" si="182"/>
        <v/>
      </c>
      <c r="P420" s="229" t="str">
        <f t="shared" si="183"/>
        <v/>
      </c>
      <c r="Q420" s="230" t="str">
        <f t="shared" si="184"/>
        <v/>
      </c>
      <c r="R420" s="323" t="str">
        <f t="shared" si="185"/>
        <v/>
      </c>
      <c r="S420" s="350"/>
      <c r="T420" s="43"/>
      <c r="U420" s="347" t="str">
        <f t="shared" si="162"/>
        <v/>
      </c>
      <c r="V420" s="7" t="e">
        <f t="shared" si="163"/>
        <v>#N/A</v>
      </c>
      <c r="W420" s="7" t="e">
        <f t="shared" si="164"/>
        <v>#N/A</v>
      </c>
      <c r="X420" s="7" t="e">
        <f t="shared" si="165"/>
        <v>#N/A</v>
      </c>
      <c r="Y420" s="7" t="str">
        <f t="shared" si="166"/>
        <v/>
      </c>
      <c r="Z420" s="11">
        <f t="shared" si="167"/>
        <v>1</v>
      </c>
      <c r="AA420" s="7" t="e">
        <f t="shared" si="168"/>
        <v>#N/A</v>
      </c>
      <c r="AB420" s="7" t="e">
        <f t="shared" si="169"/>
        <v>#N/A</v>
      </c>
      <c r="AC420" s="7" t="e">
        <f t="shared" si="170"/>
        <v>#N/A</v>
      </c>
      <c r="AD420" s="472" t="e">
        <f>VLOOKUP(AF420,'排出係数(2017)'!$A$4:$I$1151,9,FALSE)</f>
        <v>#N/A</v>
      </c>
      <c r="AE420" s="12" t="str">
        <f t="shared" si="171"/>
        <v xml:space="preserve"> </v>
      </c>
      <c r="AF420" s="7" t="e">
        <f t="shared" si="186"/>
        <v>#N/A</v>
      </c>
      <c r="AG420" s="7" t="e">
        <f t="shared" si="172"/>
        <v>#N/A</v>
      </c>
      <c r="AH420" s="472" t="e">
        <f>VLOOKUP(AF420,'排出係数(2017)'!$A$4:$I$1151,6,FALSE)</f>
        <v>#N/A</v>
      </c>
      <c r="AI420" s="7" t="e">
        <f t="shared" si="173"/>
        <v>#N/A</v>
      </c>
      <c r="AJ420" s="7" t="e">
        <f t="shared" si="174"/>
        <v>#N/A</v>
      </c>
      <c r="AK420" s="472" t="e">
        <f>VLOOKUP(AF420,'排出係数(2017)'!$A$4:$I$1151,7,FALSE)</f>
        <v>#N/A</v>
      </c>
      <c r="AL420" s="7" t="e">
        <f t="shared" si="175"/>
        <v>#N/A</v>
      </c>
      <c r="AM420" s="7" t="e">
        <f t="shared" si="176"/>
        <v>#N/A</v>
      </c>
      <c r="AN420" s="7" t="e">
        <f t="shared" si="177"/>
        <v>#N/A</v>
      </c>
      <c r="AO420" s="7">
        <f t="shared" si="178"/>
        <v>0</v>
      </c>
      <c r="AP420" s="7" t="e">
        <f t="shared" si="187"/>
        <v>#N/A</v>
      </c>
      <c r="AQ420" s="7" t="str">
        <f t="shared" si="179"/>
        <v/>
      </c>
      <c r="AR420" s="7" t="str">
        <f t="shared" si="180"/>
        <v/>
      </c>
      <c r="AS420" s="7" t="str">
        <f t="shared" si="181"/>
        <v/>
      </c>
      <c r="AT420" s="97"/>
      <c r="AZ420" s="477" t="s">
        <v>2366</v>
      </c>
      <c r="CF420" s="586" t="str">
        <f t="shared" si="188"/>
        <v/>
      </c>
      <c r="CG420"/>
      <c r="CH420"/>
    </row>
    <row r="421" spans="1:86" s="13" customFormat="1" ht="13.75" customHeight="1">
      <c r="A421" s="137">
        <v>406</v>
      </c>
      <c r="B421" s="138"/>
      <c r="C421" s="139"/>
      <c r="D421" s="140"/>
      <c r="E421" s="139"/>
      <c r="F421" s="139"/>
      <c r="G421" s="191"/>
      <c r="H421" s="139"/>
      <c r="I421" s="141"/>
      <c r="J421" s="142"/>
      <c r="K421" s="139"/>
      <c r="L421" s="147"/>
      <c r="M421" s="148"/>
      <c r="N421" s="583"/>
      <c r="O421" s="229" t="str">
        <f t="shared" si="182"/>
        <v/>
      </c>
      <c r="P421" s="229" t="str">
        <f t="shared" si="183"/>
        <v/>
      </c>
      <c r="Q421" s="230" t="str">
        <f t="shared" si="184"/>
        <v/>
      </c>
      <c r="R421" s="323" t="str">
        <f t="shared" si="185"/>
        <v/>
      </c>
      <c r="S421" s="350"/>
      <c r="T421" s="43"/>
      <c r="U421" s="347" t="str">
        <f t="shared" si="162"/>
        <v/>
      </c>
      <c r="V421" s="7" t="e">
        <f t="shared" si="163"/>
        <v>#N/A</v>
      </c>
      <c r="W421" s="7" t="e">
        <f t="shared" si="164"/>
        <v>#N/A</v>
      </c>
      <c r="X421" s="7" t="e">
        <f t="shared" si="165"/>
        <v>#N/A</v>
      </c>
      <c r="Y421" s="7" t="str">
        <f t="shared" si="166"/>
        <v/>
      </c>
      <c r="Z421" s="11">
        <f t="shared" si="167"/>
        <v>1</v>
      </c>
      <c r="AA421" s="7" t="e">
        <f t="shared" si="168"/>
        <v>#N/A</v>
      </c>
      <c r="AB421" s="7" t="e">
        <f t="shared" si="169"/>
        <v>#N/A</v>
      </c>
      <c r="AC421" s="7" t="e">
        <f t="shared" si="170"/>
        <v>#N/A</v>
      </c>
      <c r="AD421" s="472" t="e">
        <f>VLOOKUP(AF421,'排出係数(2017)'!$A$4:$I$1151,9,FALSE)</f>
        <v>#N/A</v>
      </c>
      <c r="AE421" s="12" t="str">
        <f t="shared" si="171"/>
        <v xml:space="preserve"> </v>
      </c>
      <c r="AF421" s="7" t="e">
        <f t="shared" si="186"/>
        <v>#N/A</v>
      </c>
      <c r="AG421" s="7" t="e">
        <f t="shared" si="172"/>
        <v>#N/A</v>
      </c>
      <c r="AH421" s="472" t="e">
        <f>VLOOKUP(AF421,'排出係数(2017)'!$A$4:$I$1151,6,FALSE)</f>
        <v>#N/A</v>
      </c>
      <c r="AI421" s="7" t="e">
        <f t="shared" si="173"/>
        <v>#N/A</v>
      </c>
      <c r="AJ421" s="7" t="e">
        <f t="shared" si="174"/>
        <v>#N/A</v>
      </c>
      <c r="AK421" s="472" t="e">
        <f>VLOOKUP(AF421,'排出係数(2017)'!$A$4:$I$1151,7,FALSE)</f>
        <v>#N/A</v>
      </c>
      <c r="AL421" s="7" t="e">
        <f t="shared" si="175"/>
        <v>#N/A</v>
      </c>
      <c r="AM421" s="7" t="e">
        <f t="shared" si="176"/>
        <v>#N/A</v>
      </c>
      <c r="AN421" s="7" t="e">
        <f t="shared" si="177"/>
        <v>#N/A</v>
      </c>
      <c r="AO421" s="7">
        <f t="shared" si="178"/>
        <v>0</v>
      </c>
      <c r="AP421" s="7" t="e">
        <f t="shared" si="187"/>
        <v>#N/A</v>
      </c>
      <c r="AQ421" s="7" t="str">
        <f t="shared" si="179"/>
        <v/>
      </c>
      <c r="AR421" s="7" t="str">
        <f t="shared" si="180"/>
        <v/>
      </c>
      <c r="AS421" s="7" t="str">
        <f t="shared" si="181"/>
        <v/>
      </c>
      <c r="AT421" s="97"/>
      <c r="AZ421" s="477" t="s">
        <v>2362</v>
      </c>
      <c r="CF421" s="586" t="str">
        <f t="shared" si="188"/>
        <v/>
      </c>
      <c r="CG421"/>
      <c r="CH421"/>
    </row>
    <row r="422" spans="1:86" s="13" customFormat="1" ht="13.75" customHeight="1">
      <c r="A422" s="137">
        <v>407</v>
      </c>
      <c r="B422" s="138"/>
      <c r="C422" s="139"/>
      <c r="D422" s="140"/>
      <c r="E422" s="139"/>
      <c r="F422" s="139"/>
      <c r="G422" s="191"/>
      <c r="H422" s="139"/>
      <c r="I422" s="141"/>
      <c r="J422" s="142"/>
      <c r="K422" s="139"/>
      <c r="L422" s="147"/>
      <c r="M422" s="148"/>
      <c r="N422" s="583"/>
      <c r="O422" s="229" t="str">
        <f t="shared" si="182"/>
        <v/>
      </c>
      <c r="P422" s="229" t="str">
        <f t="shared" si="183"/>
        <v/>
      </c>
      <c r="Q422" s="230" t="str">
        <f t="shared" si="184"/>
        <v/>
      </c>
      <c r="R422" s="323" t="str">
        <f t="shared" si="185"/>
        <v/>
      </c>
      <c r="S422" s="350"/>
      <c r="T422" s="43"/>
      <c r="U422" s="347" t="str">
        <f t="shared" si="162"/>
        <v/>
      </c>
      <c r="V422" s="7" t="e">
        <f t="shared" si="163"/>
        <v>#N/A</v>
      </c>
      <c r="W422" s="7" t="e">
        <f t="shared" si="164"/>
        <v>#N/A</v>
      </c>
      <c r="X422" s="7" t="e">
        <f t="shared" si="165"/>
        <v>#N/A</v>
      </c>
      <c r="Y422" s="7" t="str">
        <f t="shared" si="166"/>
        <v/>
      </c>
      <c r="Z422" s="11">
        <f t="shared" si="167"/>
        <v>1</v>
      </c>
      <c r="AA422" s="7" t="e">
        <f t="shared" si="168"/>
        <v>#N/A</v>
      </c>
      <c r="AB422" s="7" t="e">
        <f t="shared" si="169"/>
        <v>#N/A</v>
      </c>
      <c r="AC422" s="7" t="e">
        <f t="shared" si="170"/>
        <v>#N/A</v>
      </c>
      <c r="AD422" s="472" t="e">
        <f>VLOOKUP(AF422,'排出係数(2017)'!$A$4:$I$1151,9,FALSE)</f>
        <v>#N/A</v>
      </c>
      <c r="AE422" s="12" t="str">
        <f t="shared" si="171"/>
        <v xml:space="preserve"> </v>
      </c>
      <c r="AF422" s="7" t="e">
        <f t="shared" si="186"/>
        <v>#N/A</v>
      </c>
      <c r="AG422" s="7" t="e">
        <f t="shared" si="172"/>
        <v>#N/A</v>
      </c>
      <c r="AH422" s="472" t="e">
        <f>VLOOKUP(AF422,'排出係数(2017)'!$A$4:$I$1151,6,FALSE)</f>
        <v>#N/A</v>
      </c>
      <c r="AI422" s="7" t="e">
        <f t="shared" si="173"/>
        <v>#N/A</v>
      </c>
      <c r="AJ422" s="7" t="e">
        <f t="shared" si="174"/>
        <v>#N/A</v>
      </c>
      <c r="AK422" s="472" t="e">
        <f>VLOOKUP(AF422,'排出係数(2017)'!$A$4:$I$1151,7,FALSE)</f>
        <v>#N/A</v>
      </c>
      <c r="AL422" s="7" t="e">
        <f t="shared" si="175"/>
        <v>#N/A</v>
      </c>
      <c r="AM422" s="7" t="e">
        <f t="shared" si="176"/>
        <v>#N/A</v>
      </c>
      <c r="AN422" s="7" t="e">
        <f t="shared" si="177"/>
        <v>#N/A</v>
      </c>
      <c r="AO422" s="7">
        <f t="shared" si="178"/>
        <v>0</v>
      </c>
      <c r="AP422" s="7" t="e">
        <f t="shared" si="187"/>
        <v>#N/A</v>
      </c>
      <c r="AQ422" s="7" t="str">
        <f t="shared" si="179"/>
        <v/>
      </c>
      <c r="AR422" s="7" t="str">
        <f t="shared" si="180"/>
        <v/>
      </c>
      <c r="AS422" s="7" t="str">
        <f t="shared" si="181"/>
        <v/>
      </c>
      <c r="AT422" s="97"/>
      <c r="AZ422" s="477" t="s">
        <v>2547</v>
      </c>
      <c r="CF422" s="586" t="str">
        <f t="shared" si="188"/>
        <v/>
      </c>
      <c r="CG422"/>
      <c r="CH422"/>
    </row>
    <row r="423" spans="1:86" s="13" customFormat="1" ht="13.75" customHeight="1">
      <c r="A423" s="137">
        <v>408</v>
      </c>
      <c r="B423" s="138"/>
      <c r="C423" s="139"/>
      <c r="D423" s="140"/>
      <c r="E423" s="139"/>
      <c r="F423" s="139"/>
      <c r="G423" s="191"/>
      <c r="H423" s="139"/>
      <c r="I423" s="141"/>
      <c r="J423" s="142"/>
      <c r="K423" s="139"/>
      <c r="L423" s="147"/>
      <c r="M423" s="148"/>
      <c r="N423" s="583"/>
      <c r="O423" s="229" t="str">
        <f t="shared" si="182"/>
        <v/>
      </c>
      <c r="P423" s="229" t="str">
        <f t="shared" si="183"/>
        <v/>
      </c>
      <c r="Q423" s="230" t="str">
        <f t="shared" si="184"/>
        <v/>
      </c>
      <c r="R423" s="323" t="str">
        <f t="shared" si="185"/>
        <v/>
      </c>
      <c r="S423" s="350"/>
      <c r="T423" s="43"/>
      <c r="U423" s="347" t="str">
        <f t="shared" si="162"/>
        <v/>
      </c>
      <c r="V423" s="7" t="e">
        <f t="shared" si="163"/>
        <v>#N/A</v>
      </c>
      <c r="W423" s="7" t="e">
        <f t="shared" si="164"/>
        <v>#N/A</v>
      </c>
      <c r="X423" s="7" t="e">
        <f t="shared" si="165"/>
        <v>#N/A</v>
      </c>
      <c r="Y423" s="7" t="str">
        <f t="shared" si="166"/>
        <v/>
      </c>
      <c r="Z423" s="11">
        <f t="shared" si="167"/>
        <v>1</v>
      </c>
      <c r="AA423" s="7" t="e">
        <f t="shared" si="168"/>
        <v>#N/A</v>
      </c>
      <c r="AB423" s="7" t="e">
        <f t="shared" si="169"/>
        <v>#N/A</v>
      </c>
      <c r="AC423" s="7" t="e">
        <f t="shared" si="170"/>
        <v>#N/A</v>
      </c>
      <c r="AD423" s="472" t="e">
        <f>VLOOKUP(AF423,'排出係数(2017)'!$A$4:$I$1151,9,FALSE)</f>
        <v>#N/A</v>
      </c>
      <c r="AE423" s="12" t="str">
        <f t="shared" si="171"/>
        <v xml:space="preserve"> </v>
      </c>
      <c r="AF423" s="7" t="e">
        <f t="shared" si="186"/>
        <v>#N/A</v>
      </c>
      <c r="AG423" s="7" t="e">
        <f t="shared" si="172"/>
        <v>#N/A</v>
      </c>
      <c r="AH423" s="472" t="e">
        <f>VLOOKUP(AF423,'排出係数(2017)'!$A$4:$I$1151,6,FALSE)</f>
        <v>#N/A</v>
      </c>
      <c r="AI423" s="7" t="e">
        <f t="shared" si="173"/>
        <v>#N/A</v>
      </c>
      <c r="AJ423" s="7" t="e">
        <f t="shared" si="174"/>
        <v>#N/A</v>
      </c>
      <c r="AK423" s="472" t="e">
        <f>VLOOKUP(AF423,'排出係数(2017)'!$A$4:$I$1151,7,FALSE)</f>
        <v>#N/A</v>
      </c>
      <c r="AL423" s="7" t="e">
        <f t="shared" si="175"/>
        <v>#N/A</v>
      </c>
      <c r="AM423" s="7" t="e">
        <f t="shared" si="176"/>
        <v>#N/A</v>
      </c>
      <c r="AN423" s="7" t="e">
        <f t="shared" si="177"/>
        <v>#N/A</v>
      </c>
      <c r="AO423" s="7">
        <f t="shared" si="178"/>
        <v>0</v>
      </c>
      <c r="AP423" s="7" t="e">
        <f t="shared" si="187"/>
        <v>#N/A</v>
      </c>
      <c r="AQ423" s="7" t="str">
        <f t="shared" si="179"/>
        <v/>
      </c>
      <c r="AR423" s="7" t="str">
        <f t="shared" si="180"/>
        <v/>
      </c>
      <c r="AS423" s="7" t="str">
        <f t="shared" si="181"/>
        <v/>
      </c>
      <c r="AT423" s="97"/>
      <c r="AZ423" s="477" t="s">
        <v>2548</v>
      </c>
      <c r="CF423" s="586" t="str">
        <f t="shared" si="188"/>
        <v/>
      </c>
      <c r="CG423"/>
      <c r="CH423"/>
    </row>
    <row r="424" spans="1:86" s="13" customFormat="1" ht="13.75" customHeight="1">
      <c r="A424" s="137">
        <v>409</v>
      </c>
      <c r="B424" s="138"/>
      <c r="C424" s="139"/>
      <c r="D424" s="140"/>
      <c r="E424" s="139"/>
      <c r="F424" s="139"/>
      <c r="G424" s="191"/>
      <c r="H424" s="139"/>
      <c r="I424" s="141"/>
      <c r="J424" s="142"/>
      <c r="K424" s="139"/>
      <c r="L424" s="147"/>
      <c r="M424" s="148"/>
      <c r="N424" s="583"/>
      <c r="O424" s="229" t="str">
        <f t="shared" si="182"/>
        <v/>
      </c>
      <c r="P424" s="229" t="str">
        <f t="shared" si="183"/>
        <v/>
      </c>
      <c r="Q424" s="230" t="str">
        <f t="shared" si="184"/>
        <v/>
      </c>
      <c r="R424" s="323" t="str">
        <f t="shared" si="185"/>
        <v/>
      </c>
      <c r="S424" s="350"/>
      <c r="T424" s="43"/>
      <c r="U424" s="347" t="str">
        <f t="shared" si="162"/>
        <v/>
      </c>
      <c r="V424" s="7" t="e">
        <f t="shared" si="163"/>
        <v>#N/A</v>
      </c>
      <c r="W424" s="7" t="e">
        <f t="shared" si="164"/>
        <v>#N/A</v>
      </c>
      <c r="X424" s="7" t="e">
        <f t="shared" si="165"/>
        <v>#N/A</v>
      </c>
      <c r="Y424" s="7" t="str">
        <f t="shared" si="166"/>
        <v/>
      </c>
      <c r="Z424" s="11">
        <f t="shared" si="167"/>
        <v>1</v>
      </c>
      <c r="AA424" s="7" t="e">
        <f t="shared" si="168"/>
        <v>#N/A</v>
      </c>
      <c r="AB424" s="7" t="e">
        <f t="shared" si="169"/>
        <v>#N/A</v>
      </c>
      <c r="AC424" s="7" t="e">
        <f t="shared" si="170"/>
        <v>#N/A</v>
      </c>
      <c r="AD424" s="472" t="e">
        <f>VLOOKUP(AF424,'排出係数(2017)'!$A$4:$I$1151,9,FALSE)</f>
        <v>#N/A</v>
      </c>
      <c r="AE424" s="12" t="str">
        <f t="shared" si="171"/>
        <v xml:space="preserve"> </v>
      </c>
      <c r="AF424" s="7" t="e">
        <f t="shared" si="186"/>
        <v>#N/A</v>
      </c>
      <c r="AG424" s="7" t="e">
        <f t="shared" si="172"/>
        <v>#N/A</v>
      </c>
      <c r="AH424" s="472" t="e">
        <f>VLOOKUP(AF424,'排出係数(2017)'!$A$4:$I$1151,6,FALSE)</f>
        <v>#N/A</v>
      </c>
      <c r="AI424" s="7" t="e">
        <f t="shared" si="173"/>
        <v>#N/A</v>
      </c>
      <c r="AJ424" s="7" t="e">
        <f t="shared" si="174"/>
        <v>#N/A</v>
      </c>
      <c r="AK424" s="472" t="e">
        <f>VLOOKUP(AF424,'排出係数(2017)'!$A$4:$I$1151,7,FALSE)</f>
        <v>#N/A</v>
      </c>
      <c r="AL424" s="7" t="e">
        <f t="shared" si="175"/>
        <v>#N/A</v>
      </c>
      <c r="AM424" s="7" t="e">
        <f t="shared" si="176"/>
        <v>#N/A</v>
      </c>
      <c r="AN424" s="7" t="e">
        <f t="shared" si="177"/>
        <v>#N/A</v>
      </c>
      <c r="AO424" s="7">
        <f t="shared" si="178"/>
        <v>0</v>
      </c>
      <c r="AP424" s="7" t="e">
        <f t="shared" si="187"/>
        <v>#N/A</v>
      </c>
      <c r="AQ424" s="7" t="str">
        <f t="shared" si="179"/>
        <v/>
      </c>
      <c r="AR424" s="7" t="str">
        <f t="shared" si="180"/>
        <v/>
      </c>
      <c r="AS424" s="7" t="str">
        <f t="shared" si="181"/>
        <v/>
      </c>
      <c r="AT424" s="97"/>
      <c r="AZ424" s="477" t="s">
        <v>78</v>
      </c>
      <c r="CF424" s="586" t="str">
        <f t="shared" si="188"/>
        <v/>
      </c>
      <c r="CG424"/>
      <c r="CH424"/>
    </row>
    <row r="425" spans="1:86" s="13" customFormat="1" ht="13.75" customHeight="1">
      <c r="A425" s="137">
        <v>410</v>
      </c>
      <c r="B425" s="138"/>
      <c r="C425" s="139"/>
      <c r="D425" s="140"/>
      <c r="E425" s="139"/>
      <c r="F425" s="139"/>
      <c r="G425" s="191"/>
      <c r="H425" s="139"/>
      <c r="I425" s="141"/>
      <c r="J425" s="142"/>
      <c r="K425" s="139"/>
      <c r="L425" s="147"/>
      <c r="M425" s="148"/>
      <c r="N425" s="583"/>
      <c r="O425" s="229" t="str">
        <f t="shared" si="182"/>
        <v/>
      </c>
      <c r="P425" s="229" t="str">
        <f t="shared" si="183"/>
        <v/>
      </c>
      <c r="Q425" s="230" t="str">
        <f t="shared" si="184"/>
        <v/>
      </c>
      <c r="R425" s="323" t="str">
        <f t="shared" si="185"/>
        <v/>
      </c>
      <c r="S425" s="350"/>
      <c r="T425" s="43"/>
      <c r="U425" s="347" t="str">
        <f t="shared" si="162"/>
        <v/>
      </c>
      <c r="V425" s="7" t="e">
        <f t="shared" si="163"/>
        <v>#N/A</v>
      </c>
      <c r="W425" s="7" t="e">
        <f t="shared" si="164"/>
        <v>#N/A</v>
      </c>
      <c r="X425" s="7" t="e">
        <f t="shared" si="165"/>
        <v>#N/A</v>
      </c>
      <c r="Y425" s="7" t="str">
        <f t="shared" si="166"/>
        <v/>
      </c>
      <c r="Z425" s="11">
        <f t="shared" si="167"/>
        <v>1</v>
      </c>
      <c r="AA425" s="7" t="e">
        <f t="shared" si="168"/>
        <v>#N/A</v>
      </c>
      <c r="AB425" s="7" t="e">
        <f t="shared" si="169"/>
        <v>#N/A</v>
      </c>
      <c r="AC425" s="7" t="e">
        <f t="shared" si="170"/>
        <v>#N/A</v>
      </c>
      <c r="AD425" s="472" t="e">
        <f>VLOOKUP(AF425,'排出係数(2017)'!$A$4:$I$1151,9,FALSE)</f>
        <v>#N/A</v>
      </c>
      <c r="AE425" s="12" t="str">
        <f t="shared" si="171"/>
        <v xml:space="preserve"> </v>
      </c>
      <c r="AF425" s="7" t="e">
        <f t="shared" si="186"/>
        <v>#N/A</v>
      </c>
      <c r="AG425" s="7" t="e">
        <f t="shared" si="172"/>
        <v>#N/A</v>
      </c>
      <c r="AH425" s="472" t="e">
        <f>VLOOKUP(AF425,'排出係数(2017)'!$A$4:$I$1151,6,FALSE)</f>
        <v>#N/A</v>
      </c>
      <c r="AI425" s="7" t="e">
        <f t="shared" si="173"/>
        <v>#N/A</v>
      </c>
      <c r="AJ425" s="7" t="e">
        <f t="shared" si="174"/>
        <v>#N/A</v>
      </c>
      <c r="AK425" s="472" t="e">
        <f>VLOOKUP(AF425,'排出係数(2017)'!$A$4:$I$1151,7,FALSE)</f>
        <v>#N/A</v>
      </c>
      <c r="AL425" s="7" t="e">
        <f t="shared" si="175"/>
        <v>#N/A</v>
      </c>
      <c r="AM425" s="7" t="e">
        <f t="shared" si="176"/>
        <v>#N/A</v>
      </c>
      <c r="AN425" s="7" t="e">
        <f t="shared" si="177"/>
        <v>#N/A</v>
      </c>
      <c r="AO425" s="7">
        <f t="shared" si="178"/>
        <v>0</v>
      </c>
      <c r="AP425" s="7" t="e">
        <f t="shared" si="187"/>
        <v>#N/A</v>
      </c>
      <c r="AQ425" s="7" t="str">
        <f t="shared" si="179"/>
        <v/>
      </c>
      <c r="AR425" s="7" t="str">
        <f t="shared" si="180"/>
        <v/>
      </c>
      <c r="AS425" s="7" t="str">
        <f t="shared" si="181"/>
        <v/>
      </c>
      <c r="AT425" s="97"/>
      <c r="AZ425" s="477" t="s">
        <v>1430</v>
      </c>
      <c r="CF425" s="586" t="str">
        <f t="shared" si="188"/>
        <v/>
      </c>
      <c r="CG425"/>
      <c r="CH425"/>
    </row>
    <row r="426" spans="1:86" s="13" customFormat="1" ht="13.75" customHeight="1">
      <c r="A426" s="137">
        <v>411</v>
      </c>
      <c r="B426" s="138"/>
      <c r="C426" s="139"/>
      <c r="D426" s="140"/>
      <c r="E426" s="139"/>
      <c r="F426" s="139"/>
      <c r="G426" s="191"/>
      <c r="H426" s="139"/>
      <c r="I426" s="141"/>
      <c r="J426" s="142"/>
      <c r="K426" s="139"/>
      <c r="L426" s="147"/>
      <c r="M426" s="148"/>
      <c r="N426" s="583"/>
      <c r="O426" s="229" t="str">
        <f t="shared" si="182"/>
        <v/>
      </c>
      <c r="P426" s="229" t="str">
        <f t="shared" si="183"/>
        <v/>
      </c>
      <c r="Q426" s="230" t="str">
        <f t="shared" si="184"/>
        <v/>
      </c>
      <c r="R426" s="323" t="str">
        <f t="shared" si="185"/>
        <v/>
      </c>
      <c r="S426" s="350"/>
      <c r="T426" s="43"/>
      <c r="U426" s="347" t="str">
        <f t="shared" si="162"/>
        <v/>
      </c>
      <c r="V426" s="7" t="e">
        <f t="shared" si="163"/>
        <v>#N/A</v>
      </c>
      <c r="W426" s="7" t="e">
        <f t="shared" si="164"/>
        <v>#N/A</v>
      </c>
      <c r="X426" s="7" t="e">
        <f t="shared" si="165"/>
        <v>#N/A</v>
      </c>
      <c r="Y426" s="7" t="str">
        <f t="shared" si="166"/>
        <v/>
      </c>
      <c r="Z426" s="11">
        <f t="shared" si="167"/>
        <v>1</v>
      </c>
      <c r="AA426" s="7" t="e">
        <f t="shared" si="168"/>
        <v>#N/A</v>
      </c>
      <c r="AB426" s="7" t="e">
        <f t="shared" si="169"/>
        <v>#N/A</v>
      </c>
      <c r="AC426" s="7" t="e">
        <f t="shared" si="170"/>
        <v>#N/A</v>
      </c>
      <c r="AD426" s="472" t="e">
        <f>VLOOKUP(AF426,'排出係数(2017)'!$A$4:$I$1151,9,FALSE)</f>
        <v>#N/A</v>
      </c>
      <c r="AE426" s="12" t="str">
        <f t="shared" si="171"/>
        <v xml:space="preserve"> </v>
      </c>
      <c r="AF426" s="7" t="e">
        <f t="shared" si="186"/>
        <v>#N/A</v>
      </c>
      <c r="AG426" s="7" t="e">
        <f t="shared" si="172"/>
        <v>#N/A</v>
      </c>
      <c r="AH426" s="472" t="e">
        <f>VLOOKUP(AF426,'排出係数(2017)'!$A$4:$I$1151,6,FALSE)</f>
        <v>#N/A</v>
      </c>
      <c r="AI426" s="7" t="e">
        <f t="shared" si="173"/>
        <v>#N/A</v>
      </c>
      <c r="AJ426" s="7" t="e">
        <f t="shared" si="174"/>
        <v>#N/A</v>
      </c>
      <c r="AK426" s="472" t="e">
        <f>VLOOKUP(AF426,'排出係数(2017)'!$A$4:$I$1151,7,FALSE)</f>
        <v>#N/A</v>
      </c>
      <c r="AL426" s="7" t="e">
        <f t="shared" si="175"/>
        <v>#N/A</v>
      </c>
      <c r="AM426" s="7" t="e">
        <f t="shared" si="176"/>
        <v>#N/A</v>
      </c>
      <c r="AN426" s="7" t="e">
        <f t="shared" si="177"/>
        <v>#N/A</v>
      </c>
      <c r="AO426" s="7">
        <f t="shared" si="178"/>
        <v>0</v>
      </c>
      <c r="AP426" s="7" t="e">
        <f t="shared" si="187"/>
        <v>#N/A</v>
      </c>
      <c r="AQ426" s="7" t="str">
        <f t="shared" si="179"/>
        <v/>
      </c>
      <c r="AR426" s="7" t="str">
        <f t="shared" si="180"/>
        <v/>
      </c>
      <c r="AS426" s="7" t="str">
        <f t="shared" si="181"/>
        <v/>
      </c>
      <c r="AT426" s="97"/>
      <c r="AZ426" s="477" t="s">
        <v>279</v>
      </c>
      <c r="CF426" s="586" t="str">
        <f t="shared" si="188"/>
        <v/>
      </c>
      <c r="CG426"/>
      <c r="CH426"/>
    </row>
    <row r="427" spans="1:86" s="13" customFormat="1" ht="13.75" customHeight="1">
      <c r="A427" s="137">
        <v>412</v>
      </c>
      <c r="B427" s="138"/>
      <c r="C427" s="139"/>
      <c r="D427" s="140"/>
      <c r="E427" s="139"/>
      <c r="F427" s="139"/>
      <c r="G427" s="191"/>
      <c r="H427" s="139"/>
      <c r="I427" s="141"/>
      <c r="J427" s="142"/>
      <c r="K427" s="139"/>
      <c r="L427" s="147"/>
      <c r="M427" s="148"/>
      <c r="N427" s="583"/>
      <c r="O427" s="229" t="str">
        <f t="shared" si="182"/>
        <v/>
      </c>
      <c r="P427" s="229" t="str">
        <f t="shared" si="183"/>
        <v/>
      </c>
      <c r="Q427" s="230" t="str">
        <f t="shared" si="184"/>
        <v/>
      </c>
      <c r="R427" s="323" t="str">
        <f t="shared" si="185"/>
        <v/>
      </c>
      <c r="S427" s="350"/>
      <c r="T427" s="43"/>
      <c r="U427" s="347" t="str">
        <f t="shared" si="162"/>
        <v/>
      </c>
      <c r="V427" s="7" t="e">
        <f t="shared" si="163"/>
        <v>#N/A</v>
      </c>
      <c r="W427" s="7" t="e">
        <f t="shared" si="164"/>
        <v>#N/A</v>
      </c>
      <c r="X427" s="7" t="e">
        <f t="shared" si="165"/>
        <v>#N/A</v>
      </c>
      <c r="Y427" s="7" t="str">
        <f t="shared" si="166"/>
        <v/>
      </c>
      <c r="Z427" s="11">
        <f t="shared" si="167"/>
        <v>1</v>
      </c>
      <c r="AA427" s="7" t="e">
        <f t="shared" si="168"/>
        <v>#N/A</v>
      </c>
      <c r="AB427" s="7" t="e">
        <f t="shared" si="169"/>
        <v>#N/A</v>
      </c>
      <c r="AC427" s="7" t="e">
        <f t="shared" si="170"/>
        <v>#N/A</v>
      </c>
      <c r="AD427" s="472" t="e">
        <f>VLOOKUP(AF427,'排出係数(2017)'!$A$4:$I$1151,9,FALSE)</f>
        <v>#N/A</v>
      </c>
      <c r="AE427" s="12" t="str">
        <f t="shared" si="171"/>
        <v xml:space="preserve"> </v>
      </c>
      <c r="AF427" s="7" t="e">
        <f t="shared" si="186"/>
        <v>#N/A</v>
      </c>
      <c r="AG427" s="7" t="e">
        <f t="shared" si="172"/>
        <v>#N/A</v>
      </c>
      <c r="AH427" s="472" t="e">
        <f>VLOOKUP(AF427,'排出係数(2017)'!$A$4:$I$1151,6,FALSE)</f>
        <v>#N/A</v>
      </c>
      <c r="AI427" s="7" t="e">
        <f t="shared" si="173"/>
        <v>#N/A</v>
      </c>
      <c r="AJ427" s="7" t="e">
        <f t="shared" si="174"/>
        <v>#N/A</v>
      </c>
      <c r="AK427" s="472" t="e">
        <f>VLOOKUP(AF427,'排出係数(2017)'!$A$4:$I$1151,7,FALSE)</f>
        <v>#N/A</v>
      </c>
      <c r="AL427" s="7" t="e">
        <f t="shared" si="175"/>
        <v>#N/A</v>
      </c>
      <c r="AM427" s="7" t="e">
        <f t="shared" si="176"/>
        <v>#N/A</v>
      </c>
      <c r="AN427" s="7" t="e">
        <f t="shared" si="177"/>
        <v>#N/A</v>
      </c>
      <c r="AO427" s="7">
        <f t="shared" si="178"/>
        <v>0</v>
      </c>
      <c r="AP427" s="7" t="e">
        <f t="shared" si="187"/>
        <v>#N/A</v>
      </c>
      <c r="AQ427" s="7" t="str">
        <f t="shared" si="179"/>
        <v/>
      </c>
      <c r="AR427" s="7" t="str">
        <f t="shared" si="180"/>
        <v/>
      </c>
      <c r="AS427" s="7" t="str">
        <f t="shared" si="181"/>
        <v/>
      </c>
      <c r="AT427" s="97"/>
      <c r="AZ427" s="477" t="s">
        <v>325</v>
      </c>
      <c r="CF427" s="586" t="str">
        <f t="shared" si="188"/>
        <v/>
      </c>
      <c r="CG427"/>
      <c r="CH427"/>
    </row>
    <row r="428" spans="1:86" s="13" customFormat="1" ht="13.75" customHeight="1">
      <c r="A428" s="137">
        <v>413</v>
      </c>
      <c r="B428" s="138"/>
      <c r="C428" s="139"/>
      <c r="D428" s="140"/>
      <c r="E428" s="139"/>
      <c r="F428" s="139"/>
      <c r="G428" s="191"/>
      <c r="H428" s="139"/>
      <c r="I428" s="141"/>
      <c r="J428" s="142"/>
      <c r="K428" s="139"/>
      <c r="L428" s="147"/>
      <c r="M428" s="148"/>
      <c r="N428" s="583"/>
      <c r="O428" s="229" t="str">
        <f t="shared" si="182"/>
        <v/>
      </c>
      <c r="P428" s="229" t="str">
        <f t="shared" si="183"/>
        <v/>
      </c>
      <c r="Q428" s="230" t="str">
        <f t="shared" si="184"/>
        <v/>
      </c>
      <c r="R428" s="323" t="str">
        <f t="shared" si="185"/>
        <v/>
      </c>
      <c r="S428" s="350"/>
      <c r="T428" s="43"/>
      <c r="U428" s="347" t="str">
        <f t="shared" si="162"/>
        <v/>
      </c>
      <c r="V428" s="7" t="e">
        <f t="shared" si="163"/>
        <v>#N/A</v>
      </c>
      <c r="W428" s="7" t="e">
        <f t="shared" si="164"/>
        <v>#N/A</v>
      </c>
      <c r="X428" s="7" t="e">
        <f t="shared" si="165"/>
        <v>#N/A</v>
      </c>
      <c r="Y428" s="7" t="str">
        <f t="shared" si="166"/>
        <v/>
      </c>
      <c r="Z428" s="11">
        <f t="shared" si="167"/>
        <v>1</v>
      </c>
      <c r="AA428" s="7" t="e">
        <f t="shared" si="168"/>
        <v>#N/A</v>
      </c>
      <c r="AB428" s="7" t="e">
        <f t="shared" si="169"/>
        <v>#N/A</v>
      </c>
      <c r="AC428" s="7" t="e">
        <f t="shared" si="170"/>
        <v>#N/A</v>
      </c>
      <c r="AD428" s="472" t="e">
        <f>VLOOKUP(AF428,'排出係数(2017)'!$A$4:$I$1151,9,FALSE)</f>
        <v>#N/A</v>
      </c>
      <c r="AE428" s="12" t="str">
        <f t="shared" si="171"/>
        <v xml:space="preserve"> </v>
      </c>
      <c r="AF428" s="7" t="e">
        <f t="shared" si="186"/>
        <v>#N/A</v>
      </c>
      <c r="AG428" s="7" t="e">
        <f t="shared" si="172"/>
        <v>#N/A</v>
      </c>
      <c r="AH428" s="472" t="e">
        <f>VLOOKUP(AF428,'排出係数(2017)'!$A$4:$I$1151,6,FALSE)</f>
        <v>#N/A</v>
      </c>
      <c r="AI428" s="7" t="e">
        <f t="shared" si="173"/>
        <v>#N/A</v>
      </c>
      <c r="AJ428" s="7" t="e">
        <f t="shared" si="174"/>
        <v>#N/A</v>
      </c>
      <c r="AK428" s="472" t="e">
        <f>VLOOKUP(AF428,'排出係数(2017)'!$A$4:$I$1151,7,FALSE)</f>
        <v>#N/A</v>
      </c>
      <c r="AL428" s="7" t="e">
        <f t="shared" si="175"/>
        <v>#N/A</v>
      </c>
      <c r="AM428" s="7" t="e">
        <f t="shared" si="176"/>
        <v>#N/A</v>
      </c>
      <c r="AN428" s="7" t="e">
        <f t="shared" si="177"/>
        <v>#N/A</v>
      </c>
      <c r="AO428" s="7">
        <f t="shared" si="178"/>
        <v>0</v>
      </c>
      <c r="AP428" s="7" t="e">
        <f t="shared" si="187"/>
        <v>#N/A</v>
      </c>
      <c r="AQ428" s="7" t="str">
        <f t="shared" si="179"/>
        <v/>
      </c>
      <c r="AR428" s="7" t="str">
        <f t="shared" si="180"/>
        <v/>
      </c>
      <c r="AS428" s="7" t="str">
        <f t="shared" si="181"/>
        <v/>
      </c>
      <c r="AT428" s="97"/>
      <c r="AZ428" s="477" t="s">
        <v>405</v>
      </c>
      <c r="CF428" s="586" t="str">
        <f t="shared" si="188"/>
        <v/>
      </c>
      <c r="CG428"/>
      <c r="CH428"/>
    </row>
    <row r="429" spans="1:86" s="13" customFormat="1" ht="13.75" customHeight="1">
      <c r="A429" s="137">
        <v>414</v>
      </c>
      <c r="B429" s="138"/>
      <c r="C429" s="139"/>
      <c r="D429" s="140"/>
      <c r="E429" s="139"/>
      <c r="F429" s="139"/>
      <c r="G429" s="191"/>
      <c r="H429" s="139"/>
      <c r="I429" s="141"/>
      <c r="J429" s="142"/>
      <c r="K429" s="139"/>
      <c r="L429" s="147"/>
      <c r="M429" s="148"/>
      <c r="N429" s="583"/>
      <c r="O429" s="229" t="str">
        <f t="shared" si="182"/>
        <v/>
      </c>
      <c r="P429" s="229" t="str">
        <f t="shared" si="183"/>
        <v/>
      </c>
      <c r="Q429" s="230" t="str">
        <f t="shared" si="184"/>
        <v/>
      </c>
      <c r="R429" s="323" t="str">
        <f t="shared" si="185"/>
        <v/>
      </c>
      <c r="S429" s="350"/>
      <c r="T429" s="43"/>
      <c r="U429" s="347" t="str">
        <f t="shared" si="162"/>
        <v/>
      </c>
      <c r="V429" s="7" t="e">
        <f t="shared" si="163"/>
        <v>#N/A</v>
      </c>
      <c r="W429" s="7" t="e">
        <f t="shared" si="164"/>
        <v>#N/A</v>
      </c>
      <c r="X429" s="7" t="e">
        <f t="shared" si="165"/>
        <v>#N/A</v>
      </c>
      <c r="Y429" s="7" t="str">
        <f t="shared" si="166"/>
        <v/>
      </c>
      <c r="Z429" s="11">
        <f t="shared" si="167"/>
        <v>1</v>
      </c>
      <c r="AA429" s="7" t="e">
        <f t="shared" si="168"/>
        <v>#N/A</v>
      </c>
      <c r="AB429" s="7" t="e">
        <f t="shared" si="169"/>
        <v>#N/A</v>
      </c>
      <c r="AC429" s="7" t="e">
        <f t="shared" si="170"/>
        <v>#N/A</v>
      </c>
      <c r="AD429" s="472" t="e">
        <f>VLOOKUP(AF429,'排出係数(2017)'!$A$4:$I$1151,9,FALSE)</f>
        <v>#N/A</v>
      </c>
      <c r="AE429" s="12" t="str">
        <f t="shared" si="171"/>
        <v xml:space="preserve"> </v>
      </c>
      <c r="AF429" s="7" t="e">
        <f t="shared" si="186"/>
        <v>#N/A</v>
      </c>
      <c r="AG429" s="7" t="e">
        <f t="shared" si="172"/>
        <v>#N/A</v>
      </c>
      <c r="AH429" s="472" t="e">
        <f>VLOOKUP(AF429,'排出係数(2017)'!$A$4:$I$1151,6,FALSE)</f>
        <v>#N/A</v>
      </c>
      <c r="AI429" s="7" t="e">
        <f t="shared" si="173"/>
        <v>#N/A</v>
      </c>
      <c r="AJ429" s="7" t="e">
        <f t="shared" si="174"/>
        <v>#N/A</v>
      </c>
      <c r="AK429" s="472" t="e">
        <f>VLOOKUP(AF429,'排出係数(2017)'!$A$4:$I$1151,7,FALSE)</f>
        <v>#N/A</v>
      </c>
      <c r="AL429" s="7" t="e">
        <f t="shared" si="175"/>
        <v>#N/A</v>
      </c>
      <c r="AM429" s="7" t="e">
        <f t="shared" si="176"/>
        <v>#N/A</v>
      </c>
      <c r="AN429" s="7" t="e">
        <f t="shared" si="177"/>
        <v>#N/A</v>
      </c>
      <c r="AO429" s="7">
        <f t="shared" si="178"/>
        <v>0</v>
      </c>
      <c r="AP429" s="7" t="e">
        <f t="shared" si="187"/>
        <v>#N/A</v>
      </c>
      <c r="AQ429" s="7" t="str">
        <f t="shared" si="179"/>
        <v/>
      </c>
      <c r="AR429" s="7" t="str">
        <f t="shared" si="180"/>
        <v/>
      </c>
      <c r="AS429" s="7" t="str">
        <f t="shared" si="181"/>
        <v/>
      </c>
      <c r="AT429" s="97"/>
      <c r="AZ429" s="477" t="s">
        <v>1428</v>
      </c>
      <c r="CF429" s="586" t="str">
        <f t="shared" si="188"/>
        <v/>
      </c>
      <c r="CG429"/>
      <c r="CH429"/>
    </row>
    <row r="430" spans="1:86" s="13" customFormat="1" ht="13.75" customHeight="1">
      <c r="A430" s="137">
        <v>415</v>
      </c>
      <c r="B430" s="138"/>
      <c r="C430" s="139"/>
      <c r="D430" s="140"/>
      <c r="E430" s="139"/>
      <c r="F430" s="139"/>
      <c r="G430" s="191"/>
      <c r="H430" s="139"/>
      <c r="I430" s="141"/>
      <c r="J430" s="142"/>
      <c r="K430" s="139"/>
      <c r="L430" s="147"/>
      <c r="M430" s="148"/>
      <c r="N430" s="583"/>
      <c r="O430" s="229" t="str">
        <f t="shared" si="182"/>
        <v/>
      </c>
      <c r="P430" s="229" t="str">
        <f t="shared" si="183"/>
        <v/>
      </c>
      <c r="Q430" s="230" t="str">
        <f t="shared" si="184"/>
        <v/>
      </c>
      <c r="R430" s="323" t="str">
        <f t="shared" si="185"/>
        <v/>
      </c>
      <c r="S430" s="350"/>
      <c r="T430" s="43"/>
      <c r="U430" s="347" t="str">
        <f t="shared" si="162"/>
        <v/>
      </c>
      <c r="V430" s="7" t="e">
        <f t="shared" si="163"/>
        <v>#N/A</v>
      </c>
      <c r="W430" s="7" t="e">
        <f t="shared" si="164"/>
        <v>#N/A</v>
      </c>
      <c r="X430" s="7" t="e">
        <f t="shared" si="165"/>
        <v>#N/A</v>
      </c>
      <c r="Y430" s="7" t="str">
        <f t="shared" si="166"/>
        <v/>
      </c>
      <c r="Z430" s="11">
        <f t="shared" si="167"/>
        <v>1</v>
      </c>
      <c r="AA430" s="7" t="e">
        <f t="shared" si="168"/>
        <v>#N/A</v>
      </c>
      <c r="AB430" s="7" t="e">
        <f t="shared" si="169"/>
        <v>#N/A</v>
      </c>
      <c r="AC430" s="7" t="e">
        <f t="shared" si="170"/>
        <v>#N/A</v>
      </c>
      <c r="AD430" s="472" t="e">
        <f>VLOOKUP(AF430,'排出係数(2017)'!$A$4:$I$1151,9,FALSE)</f>
        <v>#N/A</v>
      </c>
      <c r="AE430" s="12" t="str">
        <f t="shared" si="171"/>
        <v xml:space="preserve"> </v>
      </c>
      <c r="AF430" s="7" t="e">
        <f t="shared" si="186"/>
        <v>#N/A</v>
      </c>
      <c r="AG430" s="7" t="e">
        <f t="shared" si="172"/>
        <v>#N/A</v>
      </c>
      <c r="AH430" s="472" t="e">
        <f>VLOOKUP(AF430,'排出係数(2017)'!$A$4:$I$1151,6,FALSE)</f>
        <v>#N/A</v>
      </c>
      <c r="AI430" s="7" t="e">
        <f t="shared" si="173"/>
        <v>#N/A</v>
      </c>
      <c r="AJ430" s="7" t="e">
        <f t="shared" si="174"/>
        <v>#N/A</v>
      </c>
      <c r="AK430" s="472" t="e">
        <f>VLOOKUP(AF430,'排出係数(2017)'!$A$4:$I$1151,7,FALSE)</f>
        <v>#N/A</v>
      </c>
      <c r="AL430" s="7" t="e">
        <f t="shared" si="175"/>
        <v>#N/A</v>
      </c>
      <c r="AM430" s="7" t="e">
        <f t="shared" si="176"/>
        <v>#N/A</v>
      </c>
      <c r="AN430" s="7" t="e">
        <f t="shared" si="177"/>
        <v>#N/A</v>
      </c>
      <c r="AO430" s="7">
        <f t="shared" si="178"/>
        <v>0</v>
      </c>
      <c r="AP430" s="7" t="e">
        <f t="shared" si="187"/>
        <v>#N/A</v>
      </c>
      <c r="AQ430" s="7" t="str">
        <f t="shared" si="179"/>
        <v/>
      </c>
      <c r="AR430" s="7" t="str">
        <f t="shared" si="180"/>
        <v/>
      </c>
      <c r="AS430" s="7" t="str">
        <f t="shared" si="181"/>
        <v/>
      </c>
      <c r="AT430" s="97"/>
      <c r="AZ430" s="477" t="s">
        <v>277</v>
      </c>
      <c r="CF430" s="586" t="str">
        <f t="shared" si="188"/>
        <v/>
      </c>
      <c r="CG430"/>
      <c r="CH430"/>
    </row>
    <row r="431" spans="1:86" s="13" customFormat="1" ht="13.75" customHeight="1">
      <c r="A431" s="137">
        <v>416</v>
      </c>
      <c r="B431" s="138"/>
      <c r="C431" s="139"/>
      <c r="D431" s="140"/>
      <c r="E431" s="139"/>
      <c r="F431" s="139"/>
      <c r="G431" s="191"/>
      <c r="H431" s="139"/>
      <c r="I431" s="141"/>
      <c r="J431" s="142"/>
      <c r="K431" s="139"/>
      <c r="L431" s="147"/>
      <c r="M431" s="148"/>
      <c r="N431" s="583"/>
      <c r="O431" s="229" t="str">
        <f t="shared" si="182"/>
        <v/>
      </c>
      <c r="P431" s="229" t="str">
        <f t="shared" si="183"/>
        <v/>
      </c>
      <c r="Q431" s="230" t="str">
        <f t="shared" si="184"/>
        <v/>
      </c>
      <c r="R431" s="323" t="str">
        <f t="shared" si="185"/>
        <v/>
      </c>
      <c r="S431" s="350"/>
      <c r="T431" s="43"/>
      <c r="U431" s="347" t="str">
        <f t="shared" si="162"/>
        <v/>
      </c>
      <c r="V431" s="7" t="e">
        <f t="shared" si="163"/>
        <v>#N/A</v>
      </c>
      <c r="W431" s="7" t="e">
        <f t="shared" si="164"/>
        <v>#N/A</v>
      </c>
      <c r="X431" s="7" t="e">
        <f t="shared" si="165"/>
        <v>#N/A</v>
      </c>
      <c r="Y431" s="7" t="str">
        <f t="shared" si="166"/>
        <v/>
      </c>
      <c r="Z431" s="11">
        <f t="shared" si="167"/>
        <v>1</v>
      </c>
      <c r="AA431" s="7" t="e">
        <f t="shared" si="168"/>
        <v>#N/A</v>
      </c>
      <c r="AB431" s="7" t="e">
        <f t="shared" si="169"/>
        <v>#N/A</v>
      </c>
      <c r="AC431" s="7" t="e">
        <f t="shared" si="170"/>
        <v>#N/A</v>
      </c>
      <c r="AD431" s="472" t="e">
        <f>VLOOKUP(AF431,'排出係数(2017)'!$A$4:$I$1151,9,FALSE)</f>
        <v>#N/A</v>
      </c>
      <c r="AE431" s="12" t="str">
        <f t="shared" si="171"/>
        <v xml:space="preserve"> </v>
      </c>
      <c r="AF431" s="7" t="e">
        <f t="shared" si="186"/>
        <v>#N/A</v>
      </c>
      <c r="AG431" s="7" t="e">
        <f t="shared" si="172"/>
        <v>#N/A</v>
      </c>
      <c r="AH431" s="472" t="e">
        <f>VLOOKUP(AF431,'排出係数(2017)'!$A$4:$I$1151,6,FALSE)</f>
        <v>#N/A</v>
      </c>
      <c r="AI431" s="7" t="e">
        <f t="shared" si="173"/>
        <v>#N/A</v>
      </c>
      <c r="AJ431" s="7" t="e">
        <f t="shared" si="174"/>
        <v>#N/A</v>
      </c>
      <c r="AK431" s="472" t="e">
        <f>VLOOKUP(AF431,'排出係数(2017)'!$A$4:$I$1151,7,FALSE)</f>
        <v>#N/A</v>
      </c>
      <c r="AL431" s="7" t="e">
        <f t="shared" si="175"/>
        <v>#N/A</v>
      </c>
      <c r="AM431" s="7" t="e">
        <f t="shared" si="176"/>
        <v>#N/A</v>
      </c>
      <c r="AN431" s="7" t="e">
        <f t="shared" si="177"/>
        <v>#N/A</v>
      </c>
      <c r="AO431" s="7">
        <f t="shared" si="178"/>
        <v>0</v>
      </c>
      <c r="AP431" s="7" t="e">
        <f t="shared" si="187"/>
        <v>#N/A</v>
      </c>
      <c r="AQ431" s="7" t="str">
        <f t="shared" si="179"/>
        <v/>
      </c>
      <c r="AR431" s="7" t="str">
        <f t="shared" si="180"/>
        <v/>
      </c>
      <c r="AS431" s="7" t="str">
        <f t="shared" si="181"/>
        <v/>
      </c>
      <c r="AT431" s="97"/>
      <c r="AZ431" s="477" t="s">
        <v>323</v>
      </c>
      <c r="CF431" s="586" t="str">
        <f t="shared" si="188"/>
        <v/>
      </c>
      <c r="CG431"/>
      <c r="CH431"/>
    </row>
    <row r="432" spans="1:86" s="13" customFormat="1" ht="13.75" customHeight="1">
      <c r="A432" s="137">
        <v>417</v>
      </c>
      <c r="B432" s="138"/>
      <c r="C432" s="139"/>
      <c r="D432" s="140"/>
      <c r="E432" s="139"/>
      <c r="F432" s="139"/>
      <c r="G432" s="191"/>
      <c r="H432" s="139"/>
      <c r="I432" s="141"/>
      <c r="J432" s="142"/>
      <c r="K432" s="139"/>
      <c r="L432" s="147"/>
      <c r="M432" s="148"/>
      <c r="N432" s="583"/>
      <c r="O432" s="229" t="str">
        <f t="shared" si="182"/>
        <v/>
      </c>
      <c r="P432" s="229" t="str">
        <f t="shared" si="183"/>
        <v/>
      </c>
      <c r="Q432" s="230" t="str">
        <f t="shared" si="184"/>
        <v/>
      </c>
      <c r="R432" s="323" t="str">
        <f t="shared" si="185"/>
        <v/>
      </c>
      <c r="S432" s="350"/>
      <c r="T432" s="43"/>
      <c r="U432" s="347" t="str">
        <f t="shared" si="162"/>
        <v/>
      </c>
      <c r="V432" s="7" t="e">
        <f t="shared" si="163"/>
        <v>#N/A</v>
      </c>
      <c r="W432" s="7" t="e">
        <f t="shared" si="164"/>
        <v>#N/A</v>
      </c>
      <c r="X432" s="7" t="e">
        <f t="shared" si="165"/>
        <v>#N/A</v>
      </c>
      <c r="Y432" s="7" t="str">
        <f t="shared" si="166"/>
        <v/>
      </c>
      <c r="Z432" s="11">
        <f t="shared" si="167"/>
        <v>1</v>
      </c>
      <c r="AA432" s="7" t="e">
        <f t="shared" si="168"/>
        <v>#N/A</v>
      </c>
      <c r="AB432" s="7" t="e">
        <f t="shared" si="169"/>
        <v>#N/A</v>
      </c>
      <c r="AC432" s="7" t="e">
        <f t="shared" si="170"/>
        <v>#N/A</v>
      </c>
      <c r="AD432" s="472" t="e">
        <f>VLOOKUP(AF432,'排出係数(2017)'!$A$4:$I$1151,9,FALSE)</f>
        <v>#N/A</v>
      </c>
      <c r="AE432" s="12" t="str">
        <f t="shared" si="171"/>
        <v xml:space="preserve"> </v>
      </c>
      <c r="AF432" s="7" t="e">
        <f t="shared" si="186"/>
        <v>#N/A</v>
      </c>
      <c r="AG432" s="7" t="e">
        <f t="shared" si="172"/>
        <v>#N/A</v>
      </c>
      <c r="AH432" s="472" t="e">
        <f>VLOOKUP(AF432,'排出係数(2017)'!$A$4:$I$1151,6,FALSE)</f>
        <v>#N/A</v>
      </c>
      <c r="AI432" s="7" t="e">
        <f t="shared" si="173"/>
        <v>#N/A</v>
      </c>
      <c r="AJ432" s="7" t="e">
        <f t="shared" si="174"/>
        <v>#N/A</v>
      </c>
      <c r="AK432" s="472" t="e">
        <f>VLOOKUP(AF432,'排出係数(2017)'!$A$4:$I$1151,7,FALSE)</f>
        <v>#N/A</v>
      </c>
      <c r="AL432" s="7" t="e">
        <f t="shared" si="175"/>
        <v>#N/A</v>
      </c>
      <c r="AM432" s="7" t="e">
        <f t="shared" si="176"/>
        <v>#N/A</v>
      </c>
      <c r="AN432" s="7" t="e">
        <f t="shared" si="177"/>
        <v>#N/A</v>
      </c>
      <c r="AO432" s="7">
        <f t="shared" si="178"/>
        <v>0</v>
      </c>
      <c r="AP432" s="7" t="e">
        <f t="shared" si="187"/>
        <v>#N/A</v>
      </c>
      <c r="AQ432" s="7" t="str">
        <f t="shared" si="179"/>
        <v/>
      </c>
      <c r="AR432" s="7" t="str">
        <f t="shared" si="180"/>
        <v/>
      </c>
      <c r="AS432" s="7" t="str">
        <f t="shared" si="181"/>
        <v/>
      </c>
      <c r="AT432" s="97"/>
      <c r="AZ432" s="477" t="s">
        <v>403</v>
      </c>
      <c r="CF432" s="586" t="str">
        <f t="shared" si="188"/>
        <v/>
      </c>
      <c r="CG432"/>
      <c r="CH432"/>
    </row>
    <row r="433" spans="1:86" s="13" customFormat="1" ht="13.75" customHeight="1">
      <c r="A433" s="137">
        <v>418</v>
      </c>
      <c r="B433" s="138"/>
      <c r="C433" s="139"/>
      <c r="D433" s="140"/>
      <c r="E433" s="139"/>
      <c r="F433" s="139"/>
      <c r="G433" s="191"/>
      <c r="H433" s="139"/>
      <c r="I433" s="141"/>
      <c r="J433" s="142"/>
      <c r="K433" s="139"/>
      <c r="L433" s="147"/>
      <c r="M433" s="148"/>
      <c r="N433" s="583"/>
      <c r="O433" s="229" t="str">
        <f t="shared" si="182"/>
        <v/>
      </c>
      <c r="P433" s="229" t="str">
        <f t="shared" si="183"/>
        <v/>
      </c>
      <c r="Q433" s="230" t="str">
        <f t="shared" si="184"/>
        <v/>
      </c>
      <c r="R433" s="323" t="str">
        <f t="shared" si="185"/>
        <v/>
      </c>
      <c r="S433" s="350"/>
      <c r="T433" s="43"/>
      <c r="U433" s="347" t="str">
        <f t="shared" si="162"/>
        <v/>
      </c>
      <c r="V433" s="7" t="e">
        <f t="shared" si="163"/>
        <v>#N/A</v>
      </c>
      <c r="W433" s="7" t="e">
        <f t="shared" si="164"/>
        <v>#N/A</v>
      </c>
      <c r="X433" s="7" t="e">
        <f t="shared" si="165"/>
        <v>#N/A</v>
      </c>
      <c r="Y433" s="7" t="str">
        <f t="shared" si="166"/>
        <v/>
      </c>
      <c r="Z433" s="11">
        <f t="shared" si="167"/>
        <v>1</v>
      </c>
      <c r="AA433" s="7" t="e">
        <f t="shared" si="168"/>
        <v>#N/A</v>
      </c>
      <c r="AB433" s="7" t="e">
        <f t="shared" si="169"/>
        <v>#N/A</v>
      </c>
      <c r="AC433" s="7" t="e">
        <f t="shared" si="170"/>
        <v>#N/A</v>
      </c>
      <c r="AD433" s="472" t="e">
        <f>VLOOKUP(AF433,'排出係数(2017)'!$A$4:$I$1151,9,FALSE)</f>
        <v>#N/A</v>
      </c>
      <c r="AE433" s="12" t="str">
        <f t="shared" si="171"/>
        <v xml:space="preserve"> </v>
      </c>
      <c r="AF433" s="7" t="e">
        <f t="shared" si="186"/>
        <v>#N/A</v>
      </c>
      <c r="AG433" s="7" t="e">
        <f t="shared" si="172"/>
        <v>#N/A</v>
      </c>
      <c r="AH433" s="472" t="e">
        <f>VLOOKUP(AF433,'排出係数(2017)'!$A$4:$I$1151,6,FALSE)</f>
        <v>#N/A</v>
      </c>
      <c r="AI433" s="7" t="e">
        <f t="shared" si="173"/>
        <v>#N/A</v>
      </c>
      <c r="AJ433" s="7" t="e">
        <f t="shared" si="174"/>
        <v>#N/A</v>
      </c>
      <c r="AK433" s="472" t="e">
        <f>VLOOKUP(AF433,'排出係数(2017)'!$A$4:$I$1151,7,FALSE)</f>
        <v>#N/A</v>
      </c>
      <c r="AL433" s="7" t="e">
        <f t="shared" si="175"/>
        <v>#N/A</v>
      </c>
      <c r="AM433" s="7" t="e">
        <f t="shared" si="176"/>
        <v>#N/A</v>
      </c>
      <c r="AN433" s="7" t="e">
        <f t="shared" si="177"/>
        <v>#N/A</v>
      </c>
      <c r="AO433" s="7">
        <f t="shared" si="178"/>
        <v>0</v>
      </c>
      <c r="AP433" s="7" t="e">
        <f t="shared" si="187"/>
        <v>#N/A</v>
      </c>
      <c r="AQ433" s="7" t="str">
        <f t="shared" si="179"/>
        <v/>
      </c>
      <c r="AR433" s="7" t="str">
        <f t="shared" si="180"/>
        <v/>
      </c>
      <c r="AS433" s="7" t="str">
        <f t="shared" si="181"/>
        <v/>
      </c>
      <c r="AT433" s="97"/>
      <c r="AZ433" s="477" t="s">
        <v>1630</v>
      </c>
      <c r="CF433" s="586" t="str">
        <f t="shared" si="188"/>
        <v/>
      </c>
      <c r="CG433"/>
      <c r="CH433"/>
    </row>
    <row r="434" spans="1:86" s="13" customFormat="1" ht="13.75" customHeight="1">
      <c r="A434" s="137">
        <v>419</v>
      </c>
      <c r="B434" s="138"/>
      <c r="C434" s="139"/>
      <c r="D434" s="140"/>
      <c r="E434" s="139"/>
      <c r="F434" s="139"/>
      <c r="G434" s="191"/>
      <c r="H434" s="139"/>
      <c r="I434" s="141"/>
      <c r="J434" s="142"/>
      <c r="K434" s="139"/>
      <c r="L434" s="147"/>
      <c r="M434" s="148"/>
      <c r="N434" s="583"/>
      <c r="O434" s="229" t="str">
        <f t="shared" si="182"/>
        <v/>
      </c>
      <c r="P434" s="229" t="str">
        <f t="shared" si="183"/>
        <v/>
      </c>
      <c r="Q434" s="230" t="str">
        <f t="shared" si="184"/>
        <v/>
      </c>
      <c r="R434" s="323" t="str">
        <f t="shared" si="185"/>
        <v/>
      </c>
      <c r="S434" s="350"/>
      <c r="T434" s="43"/>
      <c r="U434" s="347" t="str">
        <f t="shared" si="162"/>
        <v/>
      </c>
      <c r="V434" s="7" t="e">
        <f t="shared" si="163"/>
        <v>#N/A</v>
      </c>
      <c r="W434" s="7" t="e">
        <f t="shared" si="164"/>
        <v>#N/A</v>
      </c>
      <c r="X434" s="7" t="e">
        <f t="shared" si="165"/>
        <v>#N/A</v>
      </c>
      <c r="Y434" s="7" t="str">
        <f t="shared" si="166"/>
        <v/>
      </c>
      <c r="Z434" s="11">
        <f t="shared" si="167"/>
        <v>1</v>
      </c>
      <c r="AA434" s="7" t="e">
        <f t="shared" si="168"/>
        <v>#N/A</v>
      </c>
      <c r="AB434" s="7" t="e">
        <f t="shared" si="169"/>
        <v>#N/A</v>
      </c>
      <c r="AC434" s="7" t="e">
        <f t="shared" si="170"/>
        <v>#N/A</v>
      </c>
      <c r="AD434" s="472" t="e">
        <f>VLOOKUP(AF434,'排出係数(2017)'!$A$4:$I$1151,9,FALSE)</f>
        <v>#N/A</v>
      </c>
      <c r="AE434" s="12" t="str">
        <f t="shared" si="171"/>
        <v xml:space="preserve"> </v>
      </c>
      <c r="AF434" s="7" t="e">
        <f t="shared" si="186"/>
        <v>#N/A</v>
      </c>
      <c r="AG434" s="7" t="e">
        <f t="shared" si="172"/>
        <v>#N/A</v>
      </c>
      <c r="AH434" s="472" t="e">
        <f>VLOOKUP(AF434,'排出係数(2017)'!$A$4:$I$1151,6,FALSE)</f>
        <v>#N/A</v>
      </c>
      <c r="AI434" s="7" t="e">
        <f t="shared" si="173"/>
        <v>#N/A</v>
      </c>
      <c r="AJ434" s="7" t="e">
        <f t="shared" si="174"/>
        <v>#N/A</v>
      </c>
      <c r="AK434" s="472" t="e">
        <f>VLOOKUP(AF434,'排出係数(2017)'!$A$4:$I$1151,7,FALSE)</f>
        <v>#N/A</v>
      </c>
      <c r="AL434" s="7" t="e">
        <f t="shared" si="175"/>
        <v>#N/A</v>
      </c>
      <c r="AM434" s="7" t="e">
        <f t="shared" si="176"/>
        <v>#N/A</v>
      </c>
      <c r="AN434" s="7" t="e">
        <f t="shared" si="177"/>
        <v>#N/A</v>
      </c>
      <c r="AO434" s="7">
        <f t="shared" si="178"/>
        <v>0</v>
      </c>
      <c r="AP434" s="7" t="e">
        <f t="shared" si="187"/>
        <v>#N/A</v>
      </c>
      <c r="AQ434" s="7" t="str">
        <f t="shared" si="179"/>
        <v/>
      </c>
      <c r="AR434" s="7" t="str">
        <f t="shared" si="180"/>
        <v/>
      </c>
      <c r="AS434" s="7" t="str">
        <f t="shared" si="181"/>
        <v/>
      </c>
      <c r="AT434" s="97"/>
      <c r="AZ434" s="477" t="s">
        <v>647</v>
      </c>
      <c r="CF434" s="586" t="str">
        <f t="shared" si="188"/>
        <v/>
      </c>
      <c r="CG434"/>
      <c r="CH434"/>
    </row>
    <row r="435" spans="1:86" s="13" customFormat="1" ht="13.75" customHeight="1">
      <c r="A435" s="137">
        <v>420</v>
      </c>
      <c r="B435" s="138"/>
      <c r="C435" s="139"/>
      <c r="D435" s="140"/>
      <c r="E435" s="139"/>
      <c r="F435" s="139"/>
      <c r="G435" s="191"/>
      <c r="H435" s="139"/>
      <c r="I435" s="141"/>
      <c r="J435" s="142"/>
      <c r="K435" s="139"/>
      <c r="L435" s="147"/>
      <c r="M435" s="148"/>
      <c r="N435" s="583"/>
      <c r="O435" s="229" t="str">
        <f t="shared" si="182"/>
        <v/>
      </c>
      <c r="P435" s="229" t="str">
        <f t="shared" si="183"/>
        <v/>
      </c>
      <c r="Q435" s="230" t="str">
        <f t="shared" si="184"/>
        <v/>
      </c>
      <c r="R435" s="323" t="str">
        <f t="shared" si="185"/>
        <v/>
      </c>
      <c r="S435" s="350"/>
      <c r="T435" s="43"/>
      <c r="U435" s="347" t="str">
        <f t="shared" si="162"/>
        <v/>
      </c>
      <c r="V435" s="7" t="e">
        <f t="shared" si="163"/>
        <v>#N/A</v>
      </c>
      <c r="W435" s="7" t="e">
        <f t="shared" si="164"/>
        <v>#N/A</v>
      </c>
      <c r="X435" s="7" t="e">
        <f t="shared" si="165"/>
        <v>#N/A</v>
      </c>
      <c r="Y435" s="7" t="str">
        <f t="shared" si="166"/>
        <v/>
      </c>
      <c r="Z435" s="11">
        <f t="shared" si="167"/>
        <v>1</v>
      </c>
      <c r="AA435" s="7" t="e">
        <f t="shared" si="168"/>
        <v>#N/A</v>
      </c>
      <c r="AB435" s="7" t="e">
        <f t="shared" si="169"/>
        <v>#N/A</v>
      </c>
      <c r="AC435" s="7" t="e">
        <f t="shared" si="170"/>
        <v>#N/A</v>
      </c>
      <c r="AD435" s="472" t="e">
        <f>VLOOKUP(AF435,'排出係数(2017)'!$A$4:$I$1151,9,FALSE)</f>
        <v>#N/A</v>
      </c>
      <c r="AE435" s="12" t="str">
        <f t="shared" si="171"/>
        <v xml:space="preserve"> </v>
      </c>
      <c r="AF435" s="7" t="e">
        <f t="shared" si="186"/>
        <v>#N/A</v>
      </c>
      <c r="AG435" s="7" t="e">
        <f t="shared" si="172"/>
        <v>#N/A</v>
      </c>
      <c r="AH435" s="472" t="e">
        <f>VLOOKUP(AF435,'排出係数(2017)'!$A$4:$I$1151,6,FALSE)</f>
        <v>#N/A</v>
      </c>
      <c r="AI435" s="7" t="e">
        <f t="shared" si="173"/>
        <v>#N/A</v>
      </c>
      <c r="AJ435" s="7" t="e">
        <f t="shared" si="174"/>
        <v>#N/A</v>
      </c>
      <c r="AK435" s="472" t="e">
        <f>VLOOKUP(AF435,'排出係数(2017)'!$A$4:$I$1151,7,FALSE)</f>
        <v>#N/A</v>
      </c>
      <c r="AL435" s="7" t="e">
        <f t="shared" si="175"/>
        <v>#N/A</v>
      </c>
      <c r="AM435" s="7" t="e">
        <f t="shared" si="176"/>
        <v>#N/A</v>
      </c>
      <c r="AN435" s="7" t="e">
        <f t="shared" si="177"/>
        <v>#N/A</v>
      </c>
      <c r="AO435" s="7">
        <f t="shared" si="178"/>
        <v>0</v>
      </c>
      <c r="AP435" s="7" t="e">
        <f t="shared" si="187"/>
        <v>#N/A</v>
      </c>
      <c r="AQ435" s="7" t="str">
        <f t="shared" si="179"/>
        <v/>
      </c>
      <c r="AR435" s="7" t="str">
        <f t="shared" si="180"/>
        <v/>
      </c>
      <c r="AS435" s="7" t="str">
        <f t="shared" si="181"/>
        <v/>
      </c>
      <c r="AT435" s="97"/>
      <c r="AZ435" s="477" t="s">
        <v>880</v>
      </c>
      <c r="CF435" s="586" t="str">
        <f t="shared" si="188"/>
        <v/>
      </c>
      <c r="CG435"/>
      <c r="CH435"/>
    </row>
    <row r="436" spans="1:86" s="13" customFormat="1" ht="13.75" customHeight="1">
      <c r="A436" s="137">
        <v>421</v>
      </c>
      <c r="B436" s="138"/>
      <c r="C436" s="139"/>
      <c r="D436" s="140"/>
      <c r="E436" s="139"/>
      <c r="F436" s="139"/>
      <c r="G436" s="191"/>
      <c r="H436" s="139"/>
      <c r="I436" s="141"/>
      <c r="J436" s="142"/>
      <c r="K436" s="139"/>
      <c r="L436" s="147"/>
      <c r="M436" s="148"/>
      <c r="N436" s="583"/>
      <c r="O436" s="229" t="str">
        <f t="shared" si="182"/>
        <v/>
      </c>
      <c r="P436" s="229" t="str">
        <f t="shared" si="183"/>
        <v/>
      </c>
      <c r="Q436" s="230" t="str">
        <f t="shared" si="184"/>
        <v/>
      </c>
      <c r="R436" s="323" t="str">
        <f t="shared" si="185"/>
        <v/>
      </c>
      <c r="S436" s="350"/>
      <c r="T436" s="43"/>
      <c r="U436" s="347" t="str">
        <f t="shared" si="162"/>
        <v/>
      </c>
      <c r="V436" s="7" t="e">
        <f t="shared" si="163"/>
        <v>#N/A</v>
      </c>
      <c r="W436" s="7" t="e">
        <f t="shared" si="164"/>
        <v>#N/A</v>
      </c>
      <c r="X436" s="7" t="e">
        <f t="shared" si="165"/>
        <v>#N/A</v>
      </c>
      <c r="Y436" s="7" t="str">
        <f t="shared" si="166"/>
        <v/>
      </c>
      <c r="Z436" s="11">
        <f t="shared" si="167"/>
        <v>1</v>
      </c>
      <c r="AA436" s="7" t="e">
        <f t="shared" si="168"/>
        <v>#N/A</v>
      </c>
      <c r="AB436" s="7" t="e">
        <f t="shared" si="169"/>
        <v>#N/A</v>
      </c>
      <c r="AC436" s="7" t="e">
        <f t="shared" si="170"/>
        <v>#N/A</v>
      </c>
      <c r="AD436" s="472" t="e">
        <f>VLOOKUP(AF436,'排出係数(2017)'!$A$4:$I$1151,9,FALSE)</f>
        <v>#N/A</v>
      </c>
      <c r="AE436" s="12" t="str">
        <f t="shared" si="171"/>
        <v xml:space="preserve"> </v>
      </c>
      <c r="AF436" s="7" t="e">
        <f t="shared" si="186"/>
        <v>#N/A</v>
      </c>
      <c r="AG436" s="7" t="e">
        <f t="shared" si="172"/>
        <v>#N/A</v>
      </c>
      <c r="AH436" s="472" t="e">
        <f>VLOOKUP(AF436,'排出係数(2017)'!$A$4:$I$1151,6,FALSE)</f>
        <v>#N/A</v>
      </c>
      <c r="AI436" s="7" t="e">
        <f t="shared" si="173"/>
        <v>#N/A</v>
      </c>
      <c r="AJ436" s="7" t="e">
        <f t="shared" si="174"/>
        <v>#N/A</v>
      </c>
      <c r="AK436" s="472" t="e">
        <f>VLOOKUP(AF436,'排出係数(2017)'!$A$4:$I$1151,7,FALSE)</f>
        <v>#N/A</v>
      </c>
      <c r="AL436" s="7" t="e">
        <f t="shared" si="175"/>
        <v>#N/A</v>
      </c>
      <c r="AM436" s="7" t="e">
        <f t="shared" si="176"/>
        <v>#N/A</v>
      </c>
      <c r="AN436" s="7" t="e">
        <f t="shared" si="177"/>
        <v>#N/A</v>
      </c>
      <c r="AO436" s="7">
        <f t="shared" si="178"/>
        <v>0</v>
      </c>
      <c r="AP436" s="7" t="e">
        <f t="shared" si="187"/>
        <v>#N/A</v>
      </c>
      <c r="AQ436" s="7" t="str">
        <f t="shared" si="179"/>
        <v/>
      </c>
      <c r="AR436" s="7" t="str">
        <f t="shared" si="180"/>
        <v/>
      </c>
      <c r="AS436" s="7" t="str">
        <f t="shared" si="181"/>
        <v/>
      </c>
      <c r="AT436" s="97"/>
      <c r="AZ436" s="477" t="s">
        <v>1087</v>
      </c>
      <c r="CF436" s="586" t="str">
        <f t="shared" si="188"/>
        <v/>
      </c>
      <c r="CG436"/>
      <c r="CH436"/>
    </row>
    <row r="437" spans="1:86" s="13" customFormat="1" ht="13.75" customHeight="1">
      <c r="A437" s="137">
        <v>422</v>
      </c>
      <c r="B437" s="138"/>
      <c r="C437" s="139"/>
      <c r="D437" s="140"/>
      <c r="E437" s="139"/>
      <c r="F437" s="139"/>
      <c r="G437" s="191"/>
      <c r="H437" s="139"/>
      <c r="I437" s="141"/>
      <c r="J437" s="142"/>
      <c r="K437" s="139"/>
      <c r="L437" s="147"/>
      <c r="M437" s="148"/>
      <c r="N437" s="583"/>
      <c r="O437" s="229" t="str">
        <f t="shared" si="182"/>
        <v/>
      </c>
      <c r="P437" s="229" t="str">
        <f t="shared" si="183"/>
        <v/>
      </c>
      <c r="Q437" s="230" t="str">
        <f t="shared" si="184"/>
        <v/>
      </c>
      <c r="R437" s="323" t="str">
        <f t="shared" si="185"/>
        <v/>
      </c>
      <c r="S437" s="350"/>
      <c r="T437" s="43"/>
      <c r="U437" s="347" t="str">
        <f t="shared" si="162"/>
        <v/>
      </c>
      <c r="V437" s="7" t="e">
        <f t="shared" si="163"/>
        <v>#N/A</v>
      </c>
      <c r="W437" s="7" t="e">
        <f t="shared" si="164"/>
        <v>#N/A</v>
      </c>
      <c r="X437" s="7" t="e">
        <f t="shared" si="165"/>
        <v>#N/A</v>
      </c>
      <c r="Y437" s="7" t="str">
        <f t="shared" si="166"/>
        <v/>
      </c>
      <c r="Z437" s="11">
        <f t="shared" si="167"/>
        <v>1</v>
      </c>
      <c r="AA437" s="7" t="e">
        <f t="shared" si="168"/>
        <v>#N/A</v>
      </c>
      <c r="AB437" s="7" t="e">
        <f t="shared" si="169"/>
        <v>#N/A</v>
      </c>
      <c r="AC437" s="7" t="e">
        <f t="shared" si="170"/>
        <v>#N/A</v>
      </c>
      <c r="AD437" s="472" t="e">
        <f>VLOOKUP(AF437,'排出係数(2017)'!$A$4:$I$1151,9,FALSE)</f>
        <v>#N/A</v>
      </c>
      <c r="AE437" s="12" t="str">
        <f t="shared" si="171"/>
        <v xml:space="preserve"> </v>
      </c>
      <c r="AF437" s="7" t="e">
        <f t="shared" si="186"/>
        <v>#N/A</v>
      </c>
      <c r="AG437" s="7" t="e">
        <f t="shared" si="172"/>
        <v>#N/A</v>
      </c>
      <c r="AH437" s="472" t="e">
        <f>VLOOKUP(AF437,'排出係数(2017)'!$A$4:$I$1151,6,FALSE)</f>
        <v>#N/A</v>
      </c>
      <c r="AI437" s="7" t="e">
        <f t="shared" si="173"/>
        <v>#N/A</v>
      </c>
      <c r="AJ437" s="7" t="e">
        <f t="shared" si="174"/>
        <v>#N/A</v>
      </c>
      <c r="AK437" s="472" t="e">
        <f>VLOOKUP(AF437,'排出係数(2017)'!$A$4:$I$1151,7,FALSE)</f>
        <v>#N/A</v>
      </c>
      <c r="AL437" s="7" t="e">
        <f t="shared" si="175"/>
        <v>#N/A</v>
      </c>
      <c r="AM437" s="7" t="e">
        <f t="shared" si="176"/>
        <v>#N/A</v>
      </c>
      <c r="AN437" s="7" t="e">
        <f t="shared" si="177"/>
        <v>#N/A</v>
      </c>
      <c r="AO437" s="7">
        <f t="shared" si="178"/>
        <v>0</v>
      </c>
      <c r="AP437" s="7" t="e">
        <f t="shared" si="187"/>
        <v>#N/A</v>
      </c>
      <c r="AQ437" s="7" t="str">
        <f t="shared" si="179"/>
        <v/>
      </c>
      <c r="AR437" s="7" t="str">
        <f t="shared" si="180"/>
        <v/>
      </c>
      <c r="AS437" s="7" t="str">
        <f t="shared" si="181"/>
        <v/>
      </c>
      <c r="AT437" s="97"/>
      <c r="AZ437" s="453" t="s">
        <v>1624</v>
      </c>
      <c r="CF437" s="586" t="str">
        <f t="shared" si="188"/>
        <v/>
      </c>
      <c r="CG437"/>
      <c r="CH437"/>
    </row>
    <row r="438" spans="1:86" s="13" customFormat="1" ht="13.75" customHeight="1">
      <c r="A438" s="137">
        <v>423</v>
      </c>
      <c r="B438" s="138"/>
      <c r="C438" s="139"/>
      <c r="D438" s="140"/>
      <c r="E438" s="139"/>
      <c r="F438" s="139"/>
      <c r="G438" s="191"/>
      <c r="H438" s="139"/>
      <c r="I438" s="141"/>
      <c r="J438" s="142"/>
      <c r="K438" s="139"/>
      <c r="L438" s="147"/>
      <c r="M438" s="148"/>
      <c r="N438" s="583"/>
      <c r="O438" s="229" t="str">
        <f t="shared" si="182"/>
        <v/>
      </c>
      <c r="P438" s="229" t="str">
        <f t="shared" si="183"/>
        <v/>
      </c>
      <c r="Q438" s="230" t="str">
        <f t="shared" si="184"/>
        <v/>
      </c>
      <c r="R438" s="323" t="str">
        <f t="shared" si="185"/>
        <v/>
      </c>
      <c r="S438" s="350"/>
      <c r="T438" s="43"/>
      <c r="U438" s="347" t="str">
        <f t="shared" si="162"/>
        <v/>
      </c>
      <c r="V438" s="7" t="e">
        <f t="shared" si="163"/>
        <v>#N/A</v>
      </c>
      <c r="W438" s="7" t="e">
        <f t="shared" si="164"/>
        <v>#N/A</v>
      </c>
      <c r="X438" s="7" t="e">
        <f t="shared" si="165"/>
        <v>#N/A</v>
      </c>
      <c r="Y438" s="7" t="str">
        <f t="shared" si="166"/>
        <v/>
      </c>
      <c r="Z438" s="11">
        <f t="shared" si="167"/>
        <v>1</v>
      </c>
      <c r="AA438" s="7" t="e">
        <f t="shared" si="168"/>
        <v>#N/A</v>
      </c>
      <c r="AB438" s="7" t="e">
        <f t="shared" si="169"/>
        <v>#N/A</v>
      </c>
      <c r="AC438" s="7" t="e">
        <f t="shared" si="170"/>
        <v>#N/A</v>
      </c>
      <c r="AD438" s="472" t="e">
        <f>VLOOKUP(AF438,'排出係数(2017)'!$A$4:$I$1151,9,FALSE)</f>
        <v>#N/A</v>
      </c>
      <c r="AE438" s="12" t="str">
        <f t="shared" si="171"/>
        <v xml:space="preserve"> </v>
      </c>
      <c r="AF438" s="7" t="e">
        <f t="shared" si="186"/>
        <v>#N/A</v>
      </c>
      <c r="AG438" s="7" t="e">
        <f t="shared" si="172"/>
        <v>#N/A</v>
      </c>
      <c r="AH438" s="472" t="e">
        <f>VLOOKUP(AF438,'排出係数(2017)'!$A$4:$I$1151,6,FALSE)</f>
        <v>#N/A</v>
      </c>
      <c r="AI438" s="7" t="e">
        <f t="shared" si="173"/>
        <v>#N/A</v>
      </c>
      <c r="AJ438" s="7" t="e">
        <f t="shared" si="174"/>
        <v>#N/A</v>
      </c>
      <c r="AK438" s="472" t="e">
        <f>VLOOKUP(AF438,'排出係数(2017)'!$A$4:$I$1151,7,FALSE)</f>
        <v>#N/A</v>
      </c>
      <c r="AL438" s="7" t="e">
        <f t="shared" si="175"/>
        <v>#N/A</v>
      </c>
      <c r="AM438" s="7" t="e">
        <f t="shared" si="176"/>
        <v>#N/A</v>
      </c>
      <c r="AN438" s="7" t="e">
        <f t="shared" si="177"/>
        <v>#N/A</v>
      </c>
      <c r="AO438" s="7">
        <f t="shared" si="178"/>
        <v>0</v>
      </c>
      <c r="AP438" s="7" t="e">
        <f t="shared" si="187"/>
        <v>#N/A</v>
      </c>
      <c r="AQ438" s="7" t="str">
        <f t="shared" si="179"/>
        <v/>
      </c>
      <c r="AR438" s="7" t="str">
        <f t="shared" si="180"/>
        <v/>
      </c>
      <c r="AS438" s="7" t="str">
        <f t="shared" si="181"/>
        <v/>
      </c>
      <c r="AT438" s="97"/>
      <c r="AZ438" s="477" t="s">
        <v>639</v>
      </c>
      <c r="CF438" s="586" t="str">
        <f t="shared" si="188"/>
        <v/>
      </c>
      <c r="CG438"/>
      <c r="CH438"/>
    </row>
    <row r="439" spans="1:86" s="13" customFormat="1" ht="13.75" customHeight="1">
      <c r="A439" s="137">
        <v>424</v>
      </c>
      <c r="B439" s="138"/>
      <c r="C439" s="139"/>
      <c r="D439" s="140"/>
      <c r="E439" s="139"/>
      <c r="F439" s="139"/>
      <c r="G439" s="191"/>
      <c r="H439" s="139"/>
      <c r="I439" s="141"/>
      <c r="J439" s="142"/>
      <c r="K439" s="139"/>
      <c r="L439" s="147"/>
      <c r="M439" s="148"/>
      <c r="N439" s="583"/>
      <c r="O439" s="229" t="str">
        <f t="shared" si="182"/>
        <v/>
      </c>
      <c r="P439" s="229" t="str">
        <f t="shared" si="183"/>
        <v/>
      </c>
      <c r="Q439" s="230" t="str">
        <f t="shared" si="184"/>
        <v/>
      </c>
      <c r="R439" s="323" t="str">
        <f t="shared" si="185"/>
        <v/>
      </c>
      <c r="S439" s="350"/>
      <c r="T439" s="43"/>
      <c r="U439" s="347" t="str">
        <f t="shared" si="162"/>
        <v/>
      </c>
      <c r="V439" s="7" t="e">
        <f t="shared" si="163"/>
        <v>#N/A</v>
      </c>
      <c r="W439" s="7" t="e">
        <f t="shared" si="164"/>
        <v>#N/A</v>
      </c>
      <c r="X439" s="7" t="e">
        <f t="shared" si="165"/>
        <v>#N/A</v>
      </c>
      <c r="Y439" s="7" t="str">
        <f t="shared" si="166"/>
        <v/>
      </c>
      <c r="Z439" s="11">
        <f t="shared" si="167"/>
        <v>1</v>
      </c>
      <c r="AA439" s="7" t="e">
        <f t="shared" si="168"/>
        <v>#N/A</v>
      </c>
      <c r="AB439" s="7" t="e">
        <f t="shared" si="169"/>
        <v>#N/A</v>
      </c>
      <c r="AC439" s="7" t="e">
        <f t="shared" si="170"/>
        <v>#N/A</v>
      </c>
      <c r="AD439" s="472" t="e">
        <f>VLOOKUP(AF439,'排出係数(2017)'!$A$4:$I$1151,9,FALSE)</f>
        <v>#N/A</v>
      </c>
      <c r="AE439" s="12" t="str">
        <f t="shared" si="171"/>
        <v xml:space="preserve"> </v>
      </c>
      <c r="AF439" s="7" t="e">
        <f t="shared" si="186"/>
        <v>#N/A</v>
      </c>
      <c r="AG439" s="7" t="e">
        <f t="shared" si="172"/>
        <v>#N/A</v>
      </c>
      <c r="AH439" s="472" t="e">
        <f>VLOOKUP(AF439,'排出係数(2017)'!$A$4:$I$1151,6,FALSE)</f>
        <v>#N/A</v>
      </c>
      <c r="AI439" s="7" t="e">
        <f t="shared" si="173"/>
        <v>#N/A</v>
      </c>
      <c r="AJ439" s="7" t="e">
        <f t="shared" si="174"/>
        <v>#N/A</v>
      </c>
      <c r="AK439" s="472" t="e">
        <f>VLOOKUP(AF439,'排出係数(2017)'!$A$4:$I$1151,7,FALSE)</f>
        <v>#N/A</v>
      </c>
      <c r="AL439" s="7" t="e">
        <f t="shared" si="175"/>
        <v>#N/A</v>
      </c>
      <c r="AM439" s="7" t="e">
        <f t="shared" si="176"/>
        <v>#N/A</v>
      </c>
      <c r="AN439" s="7" t="e">
        <f t="shared" si="177"/>
        <v>#N/A</v>
      </c>
      <c r="AO439" s="7">
        <f t="shared" si="178"/>
        <v>0</v>
      </c>
      <c r="AP439" s="7" t="e">
        <f t="shared" si="187"/>
        <v>#N/A</v>
      </c>
      <c r="AQ439" s="7" t="str">
        <f t="shared" si="179"/>
        <v/>
      </c>
      <c r="AR439" s="7" t="str">
        <f t="shared" si="180"/>
        <v/>
      </c>
      <c r="AS439" s="7" t="str">
        <f t="shared" si="181"/>
        <v/>
      </c>
      <c r="AT439" s="97"/>
      <c r="AZ439" s="477" t="s">
        <v>872</v>
      </c>
      <c r="CF439" s="586" t="str">
        <f t="shared" si="188"/>
        <v/>
      </c>
      <c r="CG439"/>
      <c r="CH439"/>
    </row>
    <row r="440" spans="1:86" s="13" customFormat="1" ht="13.75" customHeight="1">
      <c r="A440" s="137">
        <v>425</v>
      </c>
      <c r="B440" s="138"/>
      <c r="C440" s="139"/>
      <c r="D440" s="140"/>
      <c r="E440" s="139"/>
      <c r="F440" s="139"/>
      <c r="G440" s="191"/>
      <c r="H440" s="139"/>
      <c r="I440" s="141"/>
      <c r="J440" s="142"/>
      <c r="K440" s="139"/>
      <c r="L440" s="147"/>
      <c r="M440" s="148"/>
      <c r="N440" s="583"/>
      <c r="O440" s="229" t="str">
        <f t="shared" si="182"/>
        <v/>
      </c>
      <c r="P440" s="229" t="str">
        <f t="shared" si="183"/>
        <v/>
      </c>
      <c r="Q440" s="230" t="str">
        <f t="shared" si="184"/>
        <v/>
      </c>
      <c r="R440" s="323" t="str">
        <f t="shared" si="185"/>
        <v/>
      </c>
      <c r="S440" s="350"/>
      <c r="T440" s="43"/>
      <c r="U440" s="347" t="str">
        <f t="shared" si="162"/>
        <v/>
      </c>
      <c r="V440" s="7" t="e">
        <f t="shared" si="163"/>
        <v>#N/A</v>
      </c>
      <c r="W440" s="7" t="e">
        <f t="shared" si="164"/>
        <v>#N/A</v>
      </c>
      <c r="X440" s="7" t="e">
        <f t="shared" si="165"/>
        <v>#N/A</v>
      </c>
      <c r="Y440" s="7" t="str">
        <f t="shared" si="166"/>
        <v/>
      </c>
      <c r="Z440" s="11">
        <f t="shared" si="167"/>
        <v>1</v>
      </c>
      <c r="AA440" s="7" t="e">
        <f t="shared" si="168"/>
        <v>#N/A</v>
      </c>
      <c r="AB440" s="7" t="e">
        <f t="shared" si="169"/>
        <v>#N/A</v>
      </c>
      <c r="AC440" s="7" t="e">
        <f t="shared" si="170"/>
        <v>#N/A</v>
      </c>
      <c r="AD440" s="472" t="e">
        <f>VLOOKUP(AF440,'排出係数(2017)'!$A$4:$I$1151,9,FALSE)</f>
        <v>#N/A</v>
      </c>
      <c r="AE440" s="12" t="str">
        <f t="shared" si="171"/>
        <v xml:space="preserve"> </v>
      </c>
      <c r="AF440" s="7" t="e">
        <f t="shared" si="186"/>
        <v>#N/A</v>
      </c>
      <c r="AG440" s="7" t="e">
        <f t="shared" si="172"/>
        <v>#N/A</v>
      </c>
      <c r="AH440" s="472" t="e">
        <f>VLOOKUP(AF440,'排出係数(2017)'!$A$4:$I$1151,6,FALSE)</f>
        <v>#N/A</v>
      </c>
      <c r="AI440" s="7" t="e">
        <f t="shared" si="173"/>
        <v>#N/A</v>
      </c>
      <c r="AJ440" s="7" t="e">
        <f t="shared" si="174"/>
        <v>#N/A</v>
      </c>
      <c r="AK440" s="472" t="e">
        <f>VLOOKUP(AF440,'排出係数(2017)'!$A$4:$I$1151,7,FALSE)</f>
        <v>#N/A</v>
      </c>
      <c r="AL440" s="7" t="e">
        <f t="shared" si="175"/>
        <v>#N/A</v>
      </c>
      <c r="AM440" s="7" t="e">
        <f t="shared" si="176"/>
        <v>#N/A</v>
      </c>
      <c r="AN440" s="7" t="e">
        <f t="shared" si="177"/>
        <v>#N/A</v>
      </c>
      <c r="AO440" s="7">
        <f t="shared" si="178"/>
        <v>0</v>
      </c>
      <c r="AP440" s="7" t="e">
        <f t="shared" si="187"/>
        <v>#N/A</v>
      </c>
      <c r="AQ440" s="7" t="str">
        <f t="shared" si="179"/>
        <v/>
      </c>
      <c r="AR440" s="7" t="str">
        <f t="shared" si="180"/>
        <v/>
      </c>
      <c r="AS440" s="7" t="str">
        <f t="shared" si="181"/>
        <v/>
      </c>
      <c r="AT440" s="97"/>
      <c r="AZ440" s="477" t="s">
        <v>1079</v>
      </c>
      <c r="CF440" s="586" t="str">
        <f t="shared" si="188"/>
        <v/>
      </c>
      <c r="CG440"/>
      <c r="CH440"/>
    </row>
    <row r="441" spans="1:86" s="13" customFormat="1" ht="13.75" customHeight="1">
      <c r="A441" s="137">
        <v>426</v>
      </c>
      <c r="B441" s="138"/>
      <c r="C441" s="139"/>
      <c r="D441" s="140"/>
      <c r="E441" s="139"/>
      <c r="F441" s="139"/>
      <c r="G441" s="191"/>
      <c r="H441" s="139"/>
      <c r="I441" s="141"/>
      <c r="J441" s="142"/>
      <c r="K441" s="139"/>
      <c r="L441" s="147"/>
      <c r="M441" s="148"/>
      <c r="N441" s="583"/>
      <c r="O441" s="229" t="str">
        <f t="shared" si="182"/>
        <v/>
      </c>
      <c r="P441" s="229" t="str">
        <f t="shared" si="183"/>
        <v/>
      </c>
      <c r="Q441" s="230" t="str">
        <f t="shared" si="184"/>
        <v/>
      </c>
      <c r="R441" s="323" t="str">
        <f t="shared" si="185"/>
        <v/>
      </c>
      <c r="S441" s="350"/>
      <c r="T441" s="43"/>
      <c r="U441" s="347" t="str">
        <f t="shared" si="162"/>
        <v/>
      </c>
      <c r="V441" s="7" t="e">
        <f t="shared" si="163"/>
        <v>#N/A</v>
      </c>
      <c r="W441" s="7" t="e">
        <f t="shared" si="164"/>
        <v>#N/A</v>
      </c>
      <c r="X441" s="7" t="e">
        <f t="shared" si="165"/>
        <v>#N/A</v>
      </c>
      <c r="Y441" s="7" t="str">
        <f t="shared" si="166"/>
        <v/>
      </c>
      <c r="Z441" s="11">
        <f t="shared" si="167"/>
        <v>1</v>
      </c>
      <c r="AA441" s="7" t="e">
        <f t="shared" si="168"/>
        <v>#N/A</v>
      </c>
      <c r="AB441" s="7" t="e">
        <f t="shared" si="169"/>
        <v>#N/A</v>
      </c>
      <c r="AC441" s="7" t="e">
        <f t="shared" si="170"/>
        <v>#N/A</v>
      </c>
      <c r="AD441" s="472" t="e">
        <f>VLOOKUP(AF441,'排出係数(2017)'!$A$4:$I$1151,9,FALSE)</f>
        <v>#N/A</v>
      </c>
      <c r="AE441" s="12" t="str">
        <f t="shared" si="171"/>
        <v xml:space="preserve"> </v>
      </c>
      <c r="AF441" s="7" t="e">
        <f t="shared" si="186"/>
        <v>#N/A</v>
      </c>
      <c r="AG441" s="7" t="e">
        <f t="shared" si="172"/>
        <v>#N/A</v>
      </c>
      <c r="AH441" s="472" t="e">
        <f>VLOOKUP(AF441,'排出係数(2017)'!$A$4:$I$1151,6,FALSE)</f>
        <v>#N/A</v>
      </c>
      <c r="AI441" s="7" t="e">
        <f t="shared" si="173"/>
        <v>#N/A</v>
      </c>
      <c r="AJ441" s="7" t="e">
        <f t="shared" si="174"/>
        <v>#N/A</v>
      </c>
      <c r="AK441" s="472" t="e">
        <f>VLOOKUP(AF441,'排出係数(2017)'!$A$4:$I$1151,7,FALSE)</f>
        <v>#N/A</v>
      </c>
      <c r="AL441" s="7" t="e">
        <f t="shared" si="175"/>
        <v>#N/A</v>
      </c>
      <c r="AM441" s="7" t="e">
        <f t="shared" si="176"/>
        <v>#N/A</v>
      </c>
      <c r="AN441" s="7" t="e">
        <f t="shared" si="177"/>
        <v>#N/A</v>
      </c>
      <c r="AO441" s="7">
        <f t="shared" si="178"/>
        <v>0</v>
      </c>
      <c r="AP441" s="7" t="e">
        <f t="shared" si="187"/>
        <v>#N/A</v>
      </c>
      <c r="AQ441" s="7" t="str">
        <f t="shared" si="179"/>
        <v/>
      </c>
      <c r="AR441" s="7" t="str">
        <f t="shared" si="180"/>
        <v/>
      </c>
      <c r="AS441" s="7" t="str">
        <f t="shared" si="181"/>
        <v/>
      </c>
      <c r="AT441" s="97"/>
      <c r="AZ441" s="453" t="s">
        <v>1686</v>
      </c>
      <c r="CF441" s="586" t="str">
        <f t="shared" si="188"/>
        <v/>
      </c>
      <c r="CG441"/>
      <c r="CH441"/>
    </row>
    <row r="442" spans="1:86" s="13" customFormat="1" ht="13.75" customHeight="1">
      <c r="A442" s="137">
        <v>427</v>
      </c>
      <c r="B442" s="138"/>
      <c r="C442" s="139"/>
      <c r="D442" s="140"/>
      <c r="E442" s="139"/>
      <c r="F442" s="139"/>
      <c r="G442" s="191"/>
      <c r="H442" s="139"/>
      <c r="I442" s="141"/>
      <c r="J442" s="142"/>
      <c r="K442" s="139"/>
      <c r="L442" s="147"/>
      <c r="M442" s="148"/>
      <c r="N442" s="583"/>
      <c r="O442" s="229" t="str">
        <f t="shared" si="182"/>
        <v/>
      </c>
      <c r="P442" s="229" t="str">
        <f t="shared" si="183"/>
        <v/>
      </c>
      <c r="Q442" s="230" t="str">
        <f t="shared" si="184"/>
        <v/>
      </c>
      <c r="R442" s="323" t="str">
        <f t="shared" si="185"/>
        <v/>
      </c>
      <c r="S442" s="350"/>
      <c r="T442" s="43"/>
      <c r="U442" s="347" t="str">
        <f t="shared" si="162"/>
        <v/>
      </c>
      <c r="V442" s="7" t="e">
        <f t="shared" si="163"/>
        <v>#N/A</v>
      </c>
      <c r="W442" s="7" t="e">
        <f t="shared" si="164"/>
        <v>#N/A</v>
      </c>
      <c r="X442" s="7" t="e">
        <f t="shared" si="165"/>
        <v>#N/A</v>
      </c>
      <c r="Y442" s="7" t="str">
        <f t="shared" si="166"/>
        <v/>
      </c>
      <c r="Z442" s="11">
        <f t="shared" si="167"/>
        <v>1</v>
      </c>
      <c r="AA442" s="7" t="e">
        <f t="shared" si="168"/>
        <v>#N/A</v>
      </c>
      <c r="AB442" s="7" t="e">
        <f t="shared" si="169"/>
        <v>#N/A</v>
      </c>
      <c r="AC442" s="7" t="e">
        <f t="shared" si="170"/>
        <v>#N/A</v>
      </c>
      <c r="AD442" s="472" t="e">
        <f>VLOOKUP(AF442,'排出係数(2017)'!$A$4:$I$1151,9,FALSE)</f>
        <v>#N/A</v>
      </c>
      <c r="AE442" s="12" t="str">
        <f t="shared" si="171"/>
        <v xml:space="preserve"> </v>
      </c>
      <c r="AF442" s="7" t="e">
        <f t="shared" si="186"/>
        <v>#N/A</v>
      </c>
      <c r="AG442" s="7" t="e">
        <f t="shared" si="172"/>
        <v>#N/A</v>
      </c>
      <c r="AH442" s="472" t="e">
        <f>VLOOKUP(AF442,'排出係数(2017)'!$A$4:$I$1151,6,FALSE)</f>
        <v>#N/A</v>
      </c>
      <c r="AI442" s="7" t="e">
        <f t="shared" si="173"/>
        <v>#N/A</v>
      </c>
      <c r="AJ442" s="7" t="e">
        <f t="shared" si="174"/>
        <v>#N/A</v>
      </c>
      <c r="AK442" s="472" t="e">
        <f>VLOOKUP(AF442,'排出係数(2017)'!$A$4:$I$1151,7,FALSE)</f>
        <v>#N/A</v>
      </c>
      <c r="AL442" s="7" t="e">
        <f t="shared" si="175"/>
        <v>#N/A</v>
      </c>
      <c r="AM442" s="7" t="e">
        <f t="shared" si="176"/>
        <v>#N/A</v>
      </c>
      <c r="AN442" s="7" t="e">
        <f t="shared" si="177"/>
        <v>#N/A</v>
      </c>
      <c r="AO442" s="7">
        <f t="shared" si="178"/>
        <v>0</v>
      </c>
      <c r="AP442" s="7" t="e">
        <f t="shared" si="187"/>
        <v>#N/A</v>
      </c>
      <c r="AQ442" s="7" t="str">
        <f t="shared" si="179"/>
        <v/>
      </c>
      <c r="AR442" s="7" t="str">
        <f t="shared" si="180"/>
        <v/>
      </c>
      <c r="AS442" s="7" t="str">
        <f t="shared" si="181"/>
        <v/>
      </c>
      <c r="AT442" s="97"/>
      <c r="AZ442" s="477" t="s">
        <v>1155</v>
      </c>
      <c r="CF442" s="586" t="str">
        <f t="shared" si="188"/>
        <v/>
      </c>
      <c r="CG442"/>
      <c r="CH442"/>
    </row>
    <row r="443" spans="1:86" s="13" customFormat="1" ht="13.75" customHeight="1">
      <c r="A443" s="137">
        <v>428</v>
      </c>
      <c r="B443" s="138"/>
      <c r="C443" s="139"/>
      <c r="D443" s="140"/>
      <c r="E443" s="139"/>
      <c r="F443" s="139"/>
      <c r="G443" s="191"/>
      <c r="H443" s="139"/>
      <c r="I443" s="141"/>
      <c r="J443" s="142"/>
      <c r="K443" s="139"/>
      <c r="L443" s="147"/>
      <c r="M443" s="148"/>
      <c r="N443" s="583"/>
      <c r="O443" s="229" t="str">
        <f t="shared" si="182"/>
        <v/>
      </c>
      <c r="P443" s="229" t="str">
        <f t="shared" si="183"/>
        <v/>
      </c>
      <c r="Q443" s="230" t="str">
        <f t="shared" si="184"/>
        <v/>
      </c>
      <c r="R443" s="323" t="str">
        <f t="shared" si="185"/>
        <v/>
      </c>
      <c r="S443" s="350"/>
      <c r="T443" s="43"/>
      <c r="U443" s="347" t="str">
        <f t="shared" si="162"/>
        <v/>
      </c>
      <c r="V443" s="7" t="e">
        <f t="shared" si="163"/>
        <v>#N/A</v>
      </c>
      <c r="W443" s="7" t="e">
        <f t="shared" si="164"/>
        <v>#N/A</v>
      </c>
      <c r="X443" s="7" t="e">
        <f t="shared" si="165"/>
        <v>#N/A</v>
      </c>
      <c r="Y443" s="7" t="str">
        <f t="shared" si="166"/>
        <v/>
      </c>
      <c r="Z443" s="11">
        <f t="shared" si="167"/>
        <v>1</v>
      </c>
      <c r="AA443" s="7" t="e">
        <f t="shared" si="168"/>
        <v>#N/A</v>
      </c>
      <c r="AB443" s="7" t="e">
        <f t="shared" si="169"/>
        <v>#N/A</v>
      </c>
      <c r="AC443" s="7" t="e">
        <f t="shared" si="170"/>
        <v>#N/A</v>
      </c>
      <c r="AD443" s="472" t="e">
        <f>VLOOKUP(AF443,'排出係数(2017)'!$A$4:$I$1151,9,FALSE)</f>
        <v>#N/A</v>
      </c>
      <c r="AE443" s="12" t="str">
        <f t="shared" si="171"/>
        <v xml:space="preserve"> </v>
      </c>
      <c r="AF443" s="7" t="e">
        <f t="shared" si="186"/>
        <v>#N/A</v>
      </c>
      <c r="AG443" s="7" t="e">
        <f t="shared" si="172"/>
        <v>#N/A</v>
      </c>
      <c r="AH443" s="472" t="e">
        <f>VLOOKUP(AF443,'排出係数(2017)'!$A$4:$I$1151,6,FALSE)</f>
        <v>#N/A</v>
      </c>
      <c r="AI443" s="7" t="e">
        <f t="shared" si="173"/>
        <v>#N/A</v>
      </c>
      <c r="AJ443" s="7" t="e">
        <f t="shared" si="174"/>
        <v>#N/A</v>
      </c>
      <c r="AK443" s="472" t="e">
        <f>VLOOKUP(AF443,'排出係数(2017)'!$A$4:$I$1151,7,FALSE)</f>
        <v>#N/A</v>
      </c>
      <c r="AL443" s="7" t="e">
        <f t="shared" si="175"/>
        <v>#N/A</v>
      </c>
      <c r="AM443" s="7" t="e">
        <f t="shared" si="176"/>
        <v>#N/A</v>
      </c>
      <c r="AN443" s="7" t="e">
        <f t="shared" si="177"/>
        <v>#N/A</v>
      </c>
      <c r="AO443" s="7">
        <f t="shared" si="178"/>
        <v>0</v>
      </c>
      <c r="AP443" s="7" t="e">
        <f t="shared" si="187"/>
        <v>#N/A</v>
      </c>
      <c r="AQ443" s="7" t="str">
        <f t="shared" si="179"/>
        <v/>
      </c>
      <c r="AR443" s="7" t="str">
        <f t="shared" si="180"/>
        <v/>
      </c>
      <c r="AS443" s="7" t="str">
        <f t="shared" si="181"/>
        <v/>
      </c>
      <c r="AT443" s="97"/>
      <c r="AZ443" s="477" t="s">
        <v>1188</v>
      </c>
      <c r="CF443" s="586" t="str">
        <f t="shared" si="188"/>
        <v/>
      </c>
      <c r="CG443"/>
      <c r="CH443"/>
    </row>
    <row r="444" spans="1:86" s="13" customFormat="1" ht="13.75" customHeight="1">
      <c r="A444" s="137">
        <v>429</v>
      </c>
      <c r="B444" s="138"/>
      <c r="C444" s="139"/>
      <c r="D444" s="140"/>
      <c r="E444" s="139"/>
      <c r="F444" s="139"/>
      <c r="G444" s="191"/>
      <c r="H444" s="139"/>
      <c r="I444" s="141"/>
      <c r="J444" s="142"/>
      <c r="K444" s="139"/>
      <c r="L444" s="147"/>
      <c r="M444" s="148"/>
      <c r="N444" s="583"/>
      <c r="O444" s="229" t="str">
        <f t="shared" si="182"/>
        <v/>
      </c>
      <c r="P444" s="229" t="str">
        <f t="shared" si="183"/>
        <v/>
      </c>
      <c r="Q444" s="230" t="str">
        <f t="shared" si="184"/>
        <v/>
      </c>
      <c r="R444" s="323" t="str">
        <f t="shared" si="185"/>
        <v/>
      </c>
      <c r="S444" s="350"/>
      <c r="T444" s="43"/>
      <c r="U444" s="347" t="str">
        <f t="shared" si="162"/>
        <v/>
      </c>
      <c r="V444" s="7" t="e">
        <f t="shared" si="163"/>
        <v>#N/A</v>
      </c>
      <c r="W444" s="7" t="e">
        <f t="shared" si="164"/>
        <v>#N/A</v>
      </c>
      <c r="X444" s="7" t="e">
        <f t="shared" si="165"/>
        <v>#N/A</v>
      </c>
      <c r="Y444" s="7" t="str">
        <f t="shared" si="166"/>
        <v/>
      </c>
      <c r="Z444" s="11">
        <f t="shared" si="167"/>
        <v>1</v>
      </c>
      <c r="AA444" s="7" t="e">
        <f t="shared" si="168"/>
        <v>#N/A</v>
      </c>
      <c r="AB444" s="7" t="e">
        <f t="shared" si="169"/>
        <v>#N/A</v>
      </c>
      <c r="AC444" s="7" t="e">
        <f t="shared" si="170"/>
        <v>#N/A</v>
      </c>
      <c r="AD444" s="472" t="e">
        <f>VLOOKUP(AF444,'排出係数(2017)'!$A$4:$I$1151,9,FALSE)</f>
        <v>#N/A</v>
      </c>
      <c r="AE444" s="12" t="str">
        <f t="shared" si="171"/>
        <v xml:space="preserve"> </v>
      </c>
      <c r="AF444" s="7" t="e">
        <f t="shared" si="186"/>
        <v>#N/A</v>
      </c>
      <c r="AG444" s="7" t="e">
        <f t="shared" si="172"/>
        <v>#N/A</v>
      </c>
      <c r="AH444" s="472" t="e">
        <f>VLOOKUP(AF444,'排出係数(2017)'!$A$4:$I$1151,6,FALSE)</f>
        <v>#N/A</v>
      </c>
      <c r="AI444" s="7" t="e">
        <f t="shared" si="173"/>
        <v>#N/A</v>
      </c>
      <c r="AJ444" s="7" t="e">
        <f t="shared" si="174"/>
        <v>#N/A</v>
      </c>
      <c r="AK444" s="472" t="e">
        <f>VLOOKUP(AF444,'排出係数(2017)'!$A$4:$I$1151,7,FALSE)</f>
        <v>#N/A</v>
      </c>
      <c r="AL444" s="7" t="e">
        <f t="shared" si="175"/>
        <v>#N/A</v>
      </c>
      <c r="AM444" s="7" t="e">
        <f t="shared" si="176"/>
        <v>#N/A</v>
      </c>
      <c r="AN444" s="7" t="e">
        <f t="shared" si="177"/>
        <v>#N/A</v>
      </c>
      <c r="AO444" s="7">
        <f t="shared" si="178"/>
        <v>0</v>
      </c>
      <c r="AP444" s="7" t="e">
        <f t="shared" si="187"/>
        <v>#N/A</v>
      </c>
      <c r="AQ444" s="7" t="str">
        <f t="shared" si="179"/>
        <v/>
      </c>
      <c r="AR444" s="7" t="str">
        <f t="shared" si="180"/>
        <v/>
      </c>
      <c r="AS444" s="7" t="str">
        <f t="shared" si="181"/>
        <v/>
      </c>
      <c r="AT444" s="97"/>
      <c r="AZ444" s="477" t="s">
        <v>1249</v>
      </c>
      <c r="CF444" s="586" t="str">
        <f t="shared" si="188"/>
        <v/>
      </c>
      <c r="CG444"/>
      <c r="CH444"/>
    </row>
    <row r="445" spans="1:86" s="13" customFormat="1" ht="13.75" customHeight="1">
      <c r="A445" s="137">
        <v>430</v>
      </c>
      <c r="B445" s="138"/>
      <c r="C445" s="139"/>
      <c r="D445" s="140"/>
      <c r="E445" s="139"/>
      <c r="F445" s="139"/>
      <c r="G445" s="191"/>
      <c r="H445" s="139"/>
      <c r="I445" s="141"/>
      <c r="J445" s="142"/>
      <c r="K445" s="139"/>
      <c r="L445" s="147"/>
      <c r="M445" s="148"/>
      <c r="N445" s="583"/>
      <c r="O445" s="229" t="str">
        <f t="shared" si="182"/>
        <v/>
      </c>
      <c r="P445" s="229" t="str">
        <f t="shared" si="183"/>
        <v/>
      </c>
      <c r="Q445" s="230" t="str">
        <f t="shared" si="184"/>
        <v/>
      </c>
      <c r="R445" s="323" t="str">
        <f t="shared" si="185"/>
        <v/>
      </c>
      <c r="S445" s="350"/>
      <c r="T445" s="43"/>
      <c r="U445" s="347" t="str">
        <f t="shared" si="162"/>
        <v/>
      </c>
      <c r="V445" s="7" t="e">
        <f t="shared" si="163"/>
        <v>#N/A</v>
      </c>
      <c r="W445" s="7" t="e">
        <f t="shared" si="164"/>
        <v>#N/A</v>
      </c>
      <c r="X445" s="7" t="e">
        <f t="shared" si="165"/>
        <v>#N/A</v>
      </c>
      <c r="Y445" s="7" t="str">
        <f t="shared" si="166"/>
        <v/>
      </c>
      <c r="Z445" s="11">
        <f t="shared" si="167"/>
        <v>1</v>
      </c>
      <c r="AA445" s="7" t="e">
        <f t="shared" si="168"/>
        <v>#N/A</v>
      </c>
      <c r="AB445" s="7" t="e">
        <f t="shared" si="169"/>
        <v>#N/A</v>
      </c>
      <c r="AC445" s="7" t="e">
        <f t="shared" si="170"/>
        <v>#N/A</v>
      </c>
      <c r="AD445" s="472" t="e">
        <f>VLOOKUP(AF445,'排出係数(2017)'!$A$4:$I$1151,9,FALSE)</f>
        <v>#N/A</v>
      </c>
      <c r="AE445" s="12" t="str">
        <f t="shared" si="171"/>
        <v xml:space="preserve"> </v>
      </c>
      <c r="AF445" s="7" t="e">
        <f t="shared" si="186"/>
        <v>#N/A</v>
      </c>
      <c r="AG445" s="7" t="e">
        <f t="shared" si="172"/>
        <v>#N/A</v>
      </c>
      <c r="AH445" s="472" t="e">
        <f>VLOOKUP(AF445,'排出係数(2017)'!$A$4:$I$1151,6,FALSE)</f>
        <v>#N/A</v>
      </c>
      <c r="AI445" s="7" t="e">
        <f t="shared" si="173"/>
        <v>#N/A</v>
      </c>
      <c r="AJ445" s="7" t="e">
        <f t="shared" si="174"/>
        <v>#N/A</v>
      </c>
      <c r="AK445" s="472" t="e">
        <f>VLOOKUP(AF445,'排出係数(2017)'!$A$4:$I$1151,7,FALSE)</f>
        <v>#N/A</v>
      </c>
      <c r="AL445" s="7" t="e">
        <f t="shared" si="175"/>
        <v>#N/A</v>
      </c>
      <c r="AM445" s="7" t="e">
        <f t="shared" si="176"/>
        <v>#N/A</v>
      </c>
      <c r="AN445" s="7" t="e">
        <f t="shared" si="177"/>
        <v>#N/A</v>
      </c>
      <c r="AO445" s="7">
        <f t="shared" si="178"/>
        <v>0</v>
      </c>
      <c r="AP445" s="7" t="e">
        <f t="shared" si="187"/>
        <v>#N/A</v>
      </c>
      <c r="AQ445" s="7" t="str">
        <f t="shared" si="179"/>
        <v/>
      </c>
      <c r="AR445" s="7" t="str">
        <f t="shared" si="180"/>
        <v/>
      </c>
      <c r="AS445" s="7" t="str">
        <f t="shared" si="181"/>
        <v/>
      </c>
      <c r="AT445" s="97"/>
      <c r="AZ445" s="477" t="s">
        <v>1684</v>
      </c>
      <c r="CF445" s="586" t="str">
        <f t="shared" si="188"/>
        <v/>
      </c>
      <c r="CG445"/>
      <c r="CH445"/>
    </row>
    <row r="446" spans="1:86" s="13" customFormat="1" ht="13.75" customHeight="1">
      <c r="A446" s="137">
        <v>431</v>
      </c>
      <c r="B446" s="138"/>
      <c r="C446" s="139"/>
      <c r="D446" s="140"/>
      <c r="E446" s="139"/>
      <c r="F446" s="139"/>
      <c r="G446" s="191"/>
      <c r="H446" s="139"/>
      <c r="I446" s="141"/>
      <c r="J446" s="142"/>
      <c r="K446" s="139"/>
      <c r="L446" s="147"/>
      <c r="M446" s="148"/>
      <c r="N446" s="583"/>
      <c r="O446" s="229" t="str">
        <f t="shared" si="182"/>
        <v/>
      </c>
      <c r="P446" s="229" t="str">
        <f t="shared" si="183"/>
        <v/>
      </c>
      <c r="Q446" s="230" t="str">
        <f t="shared" si="184"/>
        <v/>
      </c>
      <c r="R446" s="323" t="str">
        <f t="shared" si="185"/>
        <v/>
      </c>
      <c r="S446" s="350"/>
      <c r="T446" s="43"/>
      <c r="U446" s="347" t="str">
        <f t="shared" si="162"/>
        <v/>
      </c>
      <c r="V446" s="7" t="e">
        <f t="shared" si="163"/>
        <v>#N/A</v>
      </c>
      <c r="W446" s="7" t="e">
        <f t="shared" si="164"/>
        <v>#N/A</v>
      </c>
      <c r="X446" s="7" t="e">
        <f t="shared" si="165"/>
        <v>#N/A</v>
      </c>
      <c r="Y446" s="7" t="str">
        <f t="shared" si="166"/>
        <v/>
      </c>
      <c r="Z446" s="11">
        <f t="shared" si="167"/>
        <v>1</v>
      </c>
      <c r="AA446" s="7" t="e">
        <f t="shared" si="168"/>
        <v>#N/A</v>
      </c>
      <c r="AB446" s="7" t="e">
        <f t="shared" si="169"/>
        <v>#N/A</v>
      </c>
      <c r="AC446" s="7" t="e">
        <f t="shared" si="170"/>
        <v>#N/A</v>
      </c>
      <c r="AD446" s="472" t="e">
        <f>VLOOKUP(AF446,'排出係数(2017)'!$A$4:$I$1151,9,FALSE)</f>
        <v>#N/A</v>
      </c>
      <c r="AE446" s="12" t="str">
        <f t="shared" si="171"/>
        <v xml:space="preserve"> </v>
      </c>
      <c r="AF446" s="7" t="e">
        <f t="shared" si="186"/>
        <v>#N/A</v>
      </c>
      <c r="AG446" s="7" t="e">
        <f t="shared" si="172"/>
        <v>#N/A</v>
      </c>
      <c r="AH446" s="472" t="e">
        <f>VLOOKUP(AF446,'排出係数(2017)'!$A$4:$I$1151,6,FALSE)</f>
        <v>#N/A</v>
      </c>
      <c r="AI446" s="7" t="e">
        <f t="shared" si="173"/>
        <v>#N/A</v>
      </c>
      <c r="AJ446" s="7" t="e">
        <f t="shared" si="174"/>
        <v>#N/A</v>
      </c>
      <c r="AK446" s="472" t="e">
        <f>VLOOKUP(AF446,'排出係数(2017)'!$A$4:$I$1151,7,FALSE)</f>
        <v>#N/A</v>
      </c>
      <c r="AL446" s="7" t="e">
        <f t="shared" si="175"/>
        <v>#N/A</v>
      </c>
      <c r="AM446" s="7" t="e">
        <f t="shared" si="176"/>
        <v>#N/A</v>
      </c>
      <c r="AN446" s="7" t="e">
        <f t="shared" si="177"/>
        <v>#N/A</v>
      </c>
      <c r="AO446" s="7">
        <f t="shared" si="178"/>
        <v>0</v>
      </c>
      <c r="AP446" s="7" t="e">
        <f t="shared" si="187"/>
        <v>#N/A</v>
      </c>
      <c r="AQ446" s="7" t="str">
        <f t="shared" si="179"/>
        <v/>
      </c>
      <c r="AR446" s="7" t="str">
        <f t="shared" si="180"/>
        <v/>
      </c>
      <c r="AS446" s="7" t="str">
        <f t="shared" si="181"/>
        <v/>
      </c>
      <c r="AT446" s="97"/>
      <c r="AZ446" s="477" t="s">
        <v>1153</v>
      </c>
      <c r="CF446" s="586" t="str">
        <f t="shared" si="188"/>
        <v/>
      </c>
      <c r="CG446"/>
      <c r="CH446"/>
    </row>
    <row r="447" spans="1:86" s="13" customFormat="1" ht="13.75" customHeight="1">
      <c r="A447" s="137">
        <v>432</v>
      </c>
      <c r="B447" s="138"/>
      <c r="C447" s="139"/>
      <c r="D447" s="140"/>
      <c r="E447" s="139"/>
      <c r="F447" s="139"/>
      <c r="G447" s="191"/>
      <c r="H447" s="139"/>
      <c r="I447" s="141"/>
      <c r="J447" s="142"/>
      <c r="K447" s="139"/>
      <c r="L447" s="147"/>
      <c r="M447" s="148"/>
      <c r="N447" s="583"/>
      <c r="O447" s="229" t="str">
        <f t="shared" si="182"/>
        <v/>
      </c>
      <c r="P447" s="229" t="str">
        <f t="shared" si="183"/>
        <v/>
      </c>
      <c r="Q447" s="230" t="str">
        <f t="shared" si="184"/>
        <v/>
      </c>
      <c r="R447" s="323" t="str">
        <f t="shared" si="185"/>
        <v/>
      </c>
      <c r="S447" s="350"/>
      <c r="T447" s="43"/>
      <c r="U447" s="347" t="str">
        <f t="shared" si="162"/>
        <v/>
      </c>
      <c r="V447" s="7" t="e">
        <f t="shared" si="163"/>
        <v>#N/A</v>
      </c>
      <c r="W447" s="7" t="e">
        <f t="shared" si="164"/>
        <v>#N/A</v>
      </c>
      <c r="X447" s="7" t="e">
        <f t="shared" si="165"/>
        <v>#N/A</v>
      </c>
      <c r="Y447" s="7" t="str">
        <f t="shared" si="166"/>
        <v/>
      </c>
      <c r="Z447" s="11">
        <f t="shared" si="167"/>
        <v>1</v>
      </c>
      <c r="AA447" s="7" t="e">
        <f t="shared" si="168"/>
        <v>#N/A</v>
      </c>
      <c r="AB447" s="7" t="e">
        <f t="shared" si="169"/>
        <v>#N/A</v>
      </c>
      <c r="AC447" s="7" t="e">
        <f t="shared" si="170"/>
        <v>#N/A</v>
      </c>
      <c r="AD447" s="472" t="e">
        <f>VLOOKUP(AF447,'排出係数(2017)'!$A$4:$I$1151,9,FALSE)</f>
        <v>#N/A</v>
      </c>
      <c r="AE447" s="12" t="str">
        <f t="shared" si="171"/>
        <v xml:space="preserve"> </v>
      </c>
      <c r="AF447" s="7" t="e">
        <f t="shared" si="186"/>
        <v>#N/A</v>
      </c>
      <c r="AG447" s="7" t="e">
        <f t="shared" si="172"/>
        <v>#N/A</v>
      </c>
      <c r="AH447" s="472" t="e">
        <f>VLOOKUP(AF447,'排出係数(2017)'!$A$4:$I$1151,6,FALSE)</f>
        <v>#N/A</v>
      </c>
      <c r="AI447" s="7" t="e">
        <f t="shared" si="173"/>
        <v>#N/A</v>
      </c>
      <c r="AJ447" s="7" t="e">
        <f t="shared" si="174"/>
        <v>#N/A</v>
      </c>
      <c r="AK447" s="472" t="e">
        <f>VLOOKUP(AF447,'排出係数(2017)'!$A$4:$I$1151,7,FALSE)</f>
        <v>#N/A</v>
      </c>
      <c r="AL447" s="7" t="e">
        <f t="shared" si="175"/>
        <v>#N/A</v>
      </c>
      <c r="AM447" s="7" t="e">
        <f t="shared" si="176"/>
        <v>#N/A</v>
      </c>
      <c r="AN447" s="7" t="e">
        <f t="shared" si="177"/>
        <v>#N/A</v>
      </c>
      <c r="AO447" s="7">
        <f t="shared" si="178"/>
        <v>0</v>
      </c>
      <c r="AP447" s="7" t="e">
        <f t="shared" si="187"/>
        <v>#N/A</v>
      </c>
      <c r="AQ447" s="7" t="str">
        <f t="shared" si="179"/>
        <v/>
      </c>
      <c r="AR447" s="7" t="str">
        <f t="shared" si="180"/>
        <v/>
      </c>
      <c r="AS447" s="7" t="str">
        <f t="shared" si="181"/>
        <v/>
      </c>
      <c r="AT447" s="97"/>
      <c r="AZ447" s="477" t="s">
        <v>1186</v>
      </c>
      <c r="CF447" s="586" t="str">
        <f t="shared" si="188"/>
        <v/>
      </c>
      <c r="CG447"/>
      <c r="CH447"/>
    </row>
    <row r="448" spans="1:86" s="13" customFormat="1" ht="13.75" customHeight="1">
      <c r="A448" s="137">
        <v>433</v>
      </c>
      <c r="B448" s="138"/>
      <c r="C448" s="139"/>
      <c r="D448" s="140"/>
      <c r="E448" s="139"/>
      <c r="F448" s="139"/>
      <c r="G448" s="191"/>
      <c r="H448" s="139"/>
      <c r="I448" s="141"/>
      <c r="J448" s="142"/>
      <c r="K448" s="139"/>
      <c r="L448" s="147"/>
      <c r="M448" s="148"/>
      <c r="N448" s="583"/>
      <c r="O448" s="229" t="str">
        <f t="shared" si="182"/>
        <v/>
      </c>
      <c r="P448" s="229" t="str">
        <f t="shared" si="183"/>
        <v/>
      </c>
      <c r="Q448" s="230" t="str">
        <f t="shared" si="184"/>
        <v/>
      </c>
      <c r="R448" s="323" t="str">
        <f t="shared" si="185"/>
        <v/>
      </c>
      <c r="S448" s="350"/>
      <c r="T448" s="43"/>
      <c r="U448" s="347" t="str">
        <f t="shared" si="162"/>
        <v/>
      </c>
      <c r="V448" s="7" t="e">
        <f t="shared" si="163"/>
        <v>#N/A</v>
      </c>
      <c r="W448" s="7" t="e">
        <f t="shared" si="164"/>
        <v>#N/A</v>
      </c>
      <c r="X448" s="7" t="e">
        <f t="shared" si="165"/>
        <v>#N/A</v>
      </c>
      <c r="Y448" s="7" t="str">
        <f t="shared" si="166"/>
        <v/>
      </c>
      <c r="Z448" s="11">
        <f t="shared" si="167"/>
        <v>1</v>
      </c>
      <c r="AA448" s="7" t="e">
        <f t="shared" si="168"/>
        <v>#N/A</v>
      </c>
      <c r="AB448" s="7" t="e">
        <f t="shared" si="169"/>
        <v>#N/A</v>
      </c>
      <c r="AC448" s="7" t="e">
        <f t="shared" si="170"/>
        <v>#N/A</v>
      </c>
      <c r="AD448" s="472" t="e">
        <f>VLOOKUP(AF448,'排出係数(2017)'!$A$4:$I$1151,9,FALSE)</f>
        <v>#N/A</v>
      </c>
      <c r="AE448" s="12" t="str">
        <f t="shared" si="171"/>
        <v xml:space="preserve"> </v>
      </c>
      <c r="AF448" s="7" t="e">
        <f t="shared" si="186"/>
        <v>#N/A</v>
      </c>
      <c r="AG448" s="7" t="e">
        <f t="shared" si="172"/>
        <v>#N/A</v>
      </c>
      <c r="AH448" s="472" t="e">
        <f>VLOOKUP(AF448,'排出係数(2017)'!$A$4:$I$1151,6,FALSE)</f>
        <v>#N/A</v>
      </c>
      <c r="AI448" s="7" t="e">
        <f t="shared" si="173"/>
        <v>#N/A</v>
      </c>
      <c r="AJ448" s="7" t="e">
        <f t="shared" si="174"/>
        <v>#N/A</v>
      </c>
      <c r="AK448" s="472" t="e">
        <f>VLOOKUP(AF448,'排出係数(2017)'!$A$4:$I$1151,7,FALSE)</f>
        <v>#N/A</v>
      </c>
      <c r="AL448" s="7" t="e">
        <f t="shared" si="175"/>
        <v>#N/A</v>
      </c>
      <c r="AM448" s="7" t="e">
        <f t="shared" si="176"/>
        <v>#N/A</v>
      </c>
      <c r="AN448" s="7" t="e">
        <f t="shared" si="177"/>
        <v>#N/A</v>
      </c>
      <c r="AO448" s="7">
        <f t="shared" si="178"/>
        <v>0</v>
      </c>
      <c r="AP448" s="7" t="e">
        <f t="shared" si="187"/>
        <v>#N/A</v>
      </c>
      <c r="AQ448" s="7" t="str">
        <f t="shared" si="179"/>
        <v/>
      </c>
      <c r="AR448" s="7" t="str">
        <f t="shared" si="180"/>
        <v/>
      </c>
      <c r="AS448" s="7" t="str">
        <f t="shared" si="181"/>
        <v/>
      </c>
      <c r="AT448" s="97"/>
      <c r="AZ448" s="477" t="s">
        <v>1247</v>
      </c>
      <c r="CF448" s="586" t="str">
        <f t="shared" si="188"/>
        <v/>
      </c>
      <c r="CG448"/>
      <c r="CH448"/>
    </row>
    <row r="449" spans="1:86" s="13" customFormat="1" ht="13.75" customHeight="1">
      <c r="A449" s="137">
        <v>434</v>
      </c>
      <c r="B449" s="138"/>
      <c r="C449" s="139"/>
      <c r="D449" s="140"/>
      <c r="E449" s="139"/>
      <c r="F449" s="139"/>
      <c r="G449" s="191"/>
      <c r="H449" s="139"/>
      <c r="I449" s="141"/>
      <c r="J449" s="142"/>
      <c r="K449" s="139"/>
      <c r="L449" s="147"/>
      <c r="M449" s="148"/>
      <c r="N449" s="583"/>
      <c r="O449" s="229" t="str">
        <f t="shared" si="182"/>
        <v/>
      </c>
      <c r="P449" s="229" t="str">
        <f t="shared" si="183"/>
        <v/>
      </c>
      <c r="Q449" s="230" t="str">
        <f t="shared" si="184"/>
        <v/>
      </c>
      <c r="R449" s="323" t="str">
        <f t="shared" si="185"/>
        <v/>
      </c>
      <c r="S449" s="350"/>
      <c r="T449" s="43"/>
      <c r="U449" s="347" t="str">
        <f t="shared" si="162"/>
        <v/>
      </c>
      <c r="V449" s="7" t="e">
        <f t="shared" si="163"/>
        <v>#N/A</v>
      </c>
      <c r="W449" s="7" t="e">
        <f t="shared" si="164"/>
        <v>#N/A</v>
      </c>
      <c r="X449" s="7" t="e">
        <f t="shared" si="165"/>
        <v>#N/A</v>
      </c>
      <c r="Y449" s="7" t="str">
        <f t="shared" si="166"/>
        <v/>
      </c>
      <c r="Z449" s="11">
        <f t="shared" si="167"/>
        <v>1</v>
      </c>
      <c r="AA449" s="7" t="e">
        <f t="shared" si="168"/>
        <v>#N/A</v>
      </c>
      <c r="AB449" s="7" t="e">
        <f t="shared" si="169"/>
        <v>#N/A</v>
      </c>
      <c r="AC449" s="7" t="e">
        <f t="shared" si="170"/>
        <v>#N/A</v>
      </c>
      <c r="AD449" s="472" t="e">
        <f>VLOOKUP(AF449,'排出係数(2017)'!$A$4:$I$1151,9,FALSE)</f>
        <v>#N/A</v>
      </c>
      <c r="AE449" s="12" t="str">
        <f t="shared" si="171"/>
        <v xml:space="preserve"> </v>
      </c>
      <c r="AF449" s="7" t="e">
        <f t="shared" si="186"/>
        <v>#N/A</v>
      </c>
      <c r="AG449" s="7" t="e">
        <f t="shared" si="172"/>
        <v>#N/A</v>
      </c>
      <c r="AH449" s="472" t="e">
        <f>VLOOKUP(AF449,'排出係数(2017)'!$A$4:$I$1151,6,FALSE)</f>
        <v>#N/A</v>
      </c>
      <c r="AI449" s="7" t="e">
        <f t="shared" si="173"/>
        <v>#N/A</v>
      </c>
      <c r="AJ449" s="7" t="e">
        <f t="shared" si="174"/>
        <v>#N/A</v>
      </c>
      <c r="AK449" s="472" t="e">
        <f>VLOOKUP(AF449,'排出係数(2017)'!$A$4:$I$1151,7,FALSE)</f>
        <v>#N/A</v>
      </c>
      <c r="AL449" s="7" t="e">
        <f t="shared" si="175"/>
        <v>#N/A</v>
      </c>
      <c r="AM449" s="7" t="e">
        <f t="shared" si="176"/>
        <v>#N/A</v>
      </c>
      <c r="AN449" s="7" t="e">
        <f t="shared" si="177"/>
        <v>#N/A</v>
      </c>
      <c r="AO449" s="7">
        <f t="shared" si="178"/>
        <v>0</v>
      </c>
      <c r="AP449" s="7" t="e">
        <f t="shared" si="187"/>
        <v>#N/A</v>
      </c>
      <c r="AQ449" s="7" t="str">
        <f t="shared" si="179"/>
        <v/>
      </c>
      <c r="AR449" s="7" t="str">
        <f t="shared" si="180"/>
        <v/>
      </c>
      <c r="AS449" s="7" t="str">
        <f t="shared" si="181"/>
        <v/>
      </c>
      <c r="AT449" s="97"/>
      <c r="AZ449" s="477" t="s">
        <v>1714</v>
      </c>
      <c r="CF449" s="586" t="str">
        <f t="shared" si="188"/>
        <v/>
      </c>
      <c r="CG449"/>
      <c r="CH449"/>
    </row>
    <row r="450" spans="1:86" s="13" customFormat="1" ht="13.75" customHeight="1">
      <c r="A450" s="137">
        <v>435</v>
      </c>
      <c r="B450" s="138"/>
      <c r="C450" s="139"/>
      <c r="D450" s="140"/>
      <c r="E450" s="139"/>
      <c r="F450" s="139"/>
      <c r="G450" s="191"/>
      <c r="H450" s="139"/>
      <c r="I450" s="141"/>
      <c r="J450" s="142"/>
      <c r="K450" s="139"/>
      <c r="L450" s="147"/>
      <c r="M450" s="148"/>
      <c r="N450" s="583"/>
      <c r="O450" s="229" t="str">
        <f t="shared" si="182"/>
        <v/>
      </c>
      <c r="P450" s="229" t="str">
        <f t="shared" si="183"/>
        <v/>
      </c>
      <c r="Q450" s="230" t="str">
        <f t="shared" si="184"/>
        <v/>
      </c>
      <c r="R450" s="323" t="str">
        <f t="shared" si="185"/>
        <v/>
      </c>
      <c r="S450" s="350"/>
      <c r="T450" s="43"/>
      <c r="U450" s="347" t="str">
        <f t="shared" si="162"/>
        <v/>
      </c>
      <c r="V450" s="7" t="e">
        <f t="shared" si="163"/>
        <v>#N/A</v>
      </c>
      <c r="W450" s="7" t="e">
        <f t="shared" si="164"/>
        <v>#N/A</v>
      </c>
      <c r="X450" s="7" t="e">
        <f t="shared" si="165"/>
        <v>#N/A</v>
      </c>
      <c r="Y450" s="7" t="str">
        <f t="shared" si="166"/>
        <v/>
      </c>
      <c r="Z450" s="11">
        <f t="shared" si="167"/>
        <v>1</v>
      </c>
      <c r="AA450" s="7" t="e">
        <f t="shared" si="168"/>
        <v>#N/A</v>
      </c>
      <c r="AB450" s="7" t="e">
        <f t="shared" si="169"/>
        <v>#N/A</v>
      </c>
      <c r="AC450" s="7" t="e">
        <f t="shared" si="170"/>
        <v>#N/A</v>
      </c>
      <c r="AD450" s="472" t="e">
        <f>VLOOKUP(AF450,'排出係数(2017)'!$A$4:$I$1151,9,FALSE)</f>
        <v>#N/A</v>
      </c>
      <c r="AE450" s="12" t="str">
        <f t="shared" si="171"/>
        <v xml:space="preserve"> </v>
      </c>
      <c r="AF450" s="7" t="e">
        <f t="shared" si="186"/>
        <v>#N/A</v>
      </c>
      <c r="AG450" s="7" t="e">
        <f t="shared" si="172"/>
        <v>#N/A</v>
      </c>
      <c r="AH450" s="472" t="e">
        <f>VLOOKUP(AF450,'排出係数(2017)'!$A$4:$I$1151,6,FALSE)</f>
        <v>#N/A</v>
      </c>
      <c r="AI450" s="7" t="e">
        <f t="shared" si="173"/>
        <v>#N/A</v>
      </c>
      <c r="AJ450" s="7" t="e">
        <f t="shared" si="174"/>
        <v>#N/A</v>
      </c>
      <c r="AK450" s="472" t="e">
        <f>VLOOKUP(AF450,'排出係数(2017)'!$A$4:$I$1151,7,FALSE)</f>
        <v>#N/A</v>
      </c>
      <c r="AL450" s="7" t="e">
        <f t="shared" si="175"/>
        <v>#N/A</v>
      </c>
      <c r="AM450" s="7" t="e">
        <f t="shared" si="176"/>
        <v>#N/A</v>
      </c>
      <c r="AN450" s="7" t="e">
        <f t="shared" si="177"/>
        <v>#N/A</v>
      </c>
      <c r="AO450" s="7">
        <f t="shared" si="178"/>
        <v>0</v>
      </c>
      <c r="AP450" s="7" t="e">
        <f t="shared" si="187"/>
        <v>#N/A</v>
      </c>
      <c r="AQ450" s="7" t="str">
        <f t="shared" si="179"/>
        <v/>
      </c>
      <c r="AR450" s="7" t="str">
        <f t="shared" si="180"/>
        <v/>
      </c>
      <c r="AS450" s="7" t="str">
        <f t="shared" si="181"/>
        <v/>
      </c>
      <c r="AT450" s="97"/>
      <c r="AZ450" s="477" t="s">
        <v>1290</v>
      </c>
      <c r="CF450" s="586" t="str">
        <f t="shared" si="188"/>
        <v/>
      </c>
      <c r="CG450"/>
      <c r="CH450"/>
    </row>
    <row r="451" spans="1:86" s="13" customFormat="1" ht="13.75" customHeight="1">
      <c r="A451" s="137">
        <v>436</v>
      </c>
      <c r="B451" s="138"/>
      <c r="C451" s="139"/>
      <c r="D451" s="140"/>
      <c r="E451" s="139"/>
      <c r="F451" s="139"/>
      <c r="G451" s="191"/>
      <c r="H451" s="139"/>
      <c r="I451" s="141"/>
      <c r="J451" s="142"/>
      <c r="K451" s="139"/>
      <c r="L451" s="147"/>
      <c r="M451" s="148"/>
      <c r="N451" s="583"/>
      <c r="O451" s="229" t="str">
        <f t="shared" si="182"/>
        <v/>
      </c>
      <c r="P451" s="229" t="str">
        <f t="shared" si="183"/>
        <v/>
      </c>
      <c r="Q451" s="230" t="str">
        <f t="shared" si="184"/>
        <v/>
      </c>
      <c r="R451" s="323" t="str">
        <f t="shared" si="185"/>
        <v/>
      </c>
      <c r="S451" s="350"/>
      <c r="T451" s="43"/>
      <c r="U451" s="347" t="str">
        <f t="shared" si="162"/>
        <v/>
      </c>
      <c r="V451" s="7" t="e">
        <f t="shared" si="163"/>
        <v>#N/A</v>
      </c>
      <c r="W451" s="7" t="e">
        <f t="shared" si="164"/>
        <v>#N/A</v>
      </c>
      <c r="X451" s="7" t="e">
        <f t="shared" si="165"/>
        <v>#N/A</v>
      </c>
      <c r="Y451" s="7" t="str">
        <f t="shared" si="166"/>
        <v/>
      </c>
      <c r="Z451" s="11">
        <f t="shared" si="167"/>
        <v>1</v>
      </c>
      <c r="AA451" s="7" t="e">
        <f t="shared" si="168"/>
        <v>#N/A</v>
      </c>
      <c r="AB451" s="7" t="e">
        <f t="shared" si="169"/>
        <v>#N/A</v>
      </c>
      <c r="AC451" s="7" t="e">
        <f t="shared" si="170"/>
        <v>#N/A</v>
      </c>
      <c r="AD451" s="472" t="e">
        <f>VLOOKUP(AF451,'排出係数(2017)'!$A$4:$I$1151,9,FALSE)</f>
        <v>#N/A</v>
      </c>
      <c r="AE451" s="12" t="str">
        <f t="shared" si="171"/>
        <v xml:space="preserve"> </v>
      </c>
      <c r="AF451" s="7" t="e">
        <f t="shared" si="186"/>
        <v>#N/A</v>
      </c>
      <c r="AG451" s="7" t="e">
        <f t="shared" si="172"/>
        <v>#N/A</v>
      </c>
      <c r="AH451" s="472" t="e">
        <f>VLOOKUP(AF451,'排出係数(2017)'!$A$4:$I$1151,6,FALSE)</f>
        <v>#N/A</v>
      </c>
      <c r="AI451" s="7" t="e">
        <f t="shared" si="173"/>
        <v>#N/A</v>
      </c>
      <c r="AJ451" s="7" t="e">
        <f t="shared" si="174"/>
        <v>#N/A</v>
      </c>
      <c r="AK451" s="472" t="e">
        <f>VLOOKUP(AF451,'排出係数(2017)'!$A$4:$I$1151,7,FALSE)</f>
        <v>#N/A</v>
      </c>
      <c r="AL451" s="7" t="e">
        <f t="shared" si="175"/>
        <v>#N/A</v>
      </c>
      <c r="AM451" s="7" t="e">
        <f t="shared" si="176"/>
        <v>#N/A</v>
      </c>
      <c r="AN451" s="7" t="e">
        <f t="shared" si="177"/>
        <v>#N/A</v>
      </c>
      <c r="AO451" s="7">
        <f t="shared" si="178"/>
        <v>0</v>
      </c>
      <c r="AP451" s="7" t="e">
        <f t="shared" si="187"/>
        <v>#N/A</v>
      </c>
      <c r="AQ451" s="7" t="str">
        <f t="shared" si="179"/>
        <v/>
      </c>
      <c r="AR451" s="7" t="str">
        <f t="shared" si="180"/>
        <v/>
      </c>
      <c r="AS451" s="7" t="str">
        <f t="shared" si="181"/>
        <v/>
      </c>
      <c r="AT451" s="97"/>
      <c r="AZ451" s="477" t="s">
        <v>1321</v>
      </c>
      <c r="CF451" s="586" t="str">
        <f t="shared" si="188"/>
        <v/>
      </c>
      <c r="CG451"/>
      <c r="CH451"/>
    </row>
    <row r="452" spans="1:86" s="13" customFormat="1" ht="13.75" customHeight="1">
      <c r="A452" s="137">
        <v>437</v>
      </c>
      <c r="B452" s="138"/>
      <c r="C452" s="139"/>
      <c r="D452" s="140"/>
      <c r="E452" s="139"/>
      <c r="F452" s="139"/>
      <c r="G452" s="191"/>
      <c r="H452" s="139"/>
      <c r="I452" s="141"/>
      <c r="J452" s="142"/>
      <c r="K452" s="139"/>
      <c r="L452" s="147"/>
      <c r="M452" s="148"/>
      <c r="N452" s="583"/>
      <c r="O452" s="229" t="str">
        <f t="shared" si="182"/>
        <v/>
      </c>
      <c r="P452" s="229" t="str">
        <f t="shared" si="183"/>
        <v/>
      </c>
      <c r="Q452" s="230" t="str">
        <f t="shared" si="184"/>
        <v/>
      </c>
      <c r="R452" s="323" t="str">
        <f t="shared" si="185"/>
        <v/>
      </c>
      <c r="S452" s="350"/>
      <c r="T452" s="43"/>
      <c r="U452" s="347" t="str">
        <f t="shared" si="162"/>
        <v/>
      </c>
      <c r="V452" s="7" t="e">
        <f t="shared" si="163"/>
        <v>#N/A</v>
      </c>
      <c r="W452" s="7" t="e">
        <f t="shared" si="164"/>
        <v>#N/A</v>
      </c>
      <c r="X452" s="7" t="e">
        <f t="shared" si="165"/>
        <v>#N/A</v>
      </c>
      <c r="Y452" s="7" t="str">
        <f t="shared" si="166"/>
        <v/>
      </c>
      <c r="Z452" s="11">
        <f t="shared" si="167"/>
        <v>1</v>
      </c>
      <c r="AA452" s="7" t="e">
        <f t="shared" si="168"/>
        <v>#N/A</v>
      </c>
      <c r="AB452" s="7" t="e">
        <f t="shared" si="169"/>
        <v>#N/A</v>
      </c>
      <c r="AC452" s="7" t="e">
        <f t="shared" si="170"/>
        <v>#N/A</v>
      </c>
      <c r="AD452" s="472" t="e">
        <f>VLOOKUP(AF452,'排出係数(2017)'!$A$4:$I$1151,9,FALSE)</f>
        <v>#N/A</v>
      </c>
      <c r="AE452" s="12" t="str">
        <f t="shared" si="171"/>
        <v xml:space="preserve"> </v>
      </c>
      <c r="AF452" s="7" t="e">
        <f t="shared" si="186"/>
        <v>#N/A</v>
      </c>
      <c r="AG452" s="7" t="e">
        <f t="shared" si="172"/>
        <v>#N/A</v>
      </c>
      <c r="AH452" s="472" t="e">
        <f>VLOOKUP(AF452,'排出係数(2017)'!$A$4:$I$1151,6,FALSE)</f>
        <v>#N/A</v>
      </c>
      <c r="AI452" s="7" t="e">
        <f t="shared" si="173"/>
        <v>#N/A</v>
      </c>
      <c r="AJ452" s="7" t="e">
        <f t="shared" si="174"/>
        <v>#N/A</v>
      </c>
      <c r="AK452" s="472" t="e">
        <f>VLOOKUP(AF452,'排出係数(2017)'!$A$4:$I$1151,7,FALSE)</f>
        <v>#N/A</v>
      </c>
      <c r="AL452" s="7" t="e">
        <f t="shared" si="175"/>
        <v>#N/A</v>
      </c>
      <c r="AM452" s="7" t="e">
        <f t="shared" si="176"/>
        <v>#N/A</v>
      </c>
      <c r="AN452" s="7" t="e">
        <f t="shared" si="177"/>
        <v>#N/A</v>
      </c>
      <c r="AO452" s="7">
        <f t="shared" si="178"/>
        <v>0</v>
      </c>
      <c r="AP452" s="7" t="e">
        <f t="shared" si="187"/>
        <v>#N/A</v>
      </c>
      <c r="AQ452" s="7" t="str">
        <f t="shared" si="179"/>
        <v/>
      </c>
      <c r="AR452" s="7" t="str">
        <f t="shared" si="180"/>
        <v/>
      </c>
      <c r="AS452" s="7" t="str">
        <f t="shared" si="181"/>
        <v/>
      </c>
      <c r="AT452" s="97"/>
      <c r="AZ452" s="477" t="s">
        <v>1371</v>
      </c>
      <c r="CF452" s="586" t="str">
        <f t="shared" si="188"/>
        <v/>
      </c>
      <c r="CG452"/>
      <c r="CH452"/>
    </row>
    <row r="453" spans="1:86" s="13" customFormat="1" ht="13.75" customHeight="1">
      <c r="A453" s="137">
        <v>438</v>
      </c>
      <c r="B453" s="138"/>
      <c r="C453" s="139"/>
      <c r="D453" s="140"/>
      <c r="E453" s="139"/>
      <c r="F453" s="139"/>
      <c r="G453" s="191"/>
      <c r="H453" s="139"/>
      <c r="I453" s="141"/>
      <c r="J453" s="142"/>
      <c r="K453" s="139"/>
      <c r="L453" s="147"/>
      <c r="M453" s="148"/>
      <c r="N453" s="583"/>
      <c r="O453" s="229" t="str">
        <f t="shared" si="182"/>
        <v/>
      </c>
      <c r="P453" s="229" t="str">
        <f t="shared" si="183"/>
        <v/>
      </c>
      <c r="Q453" s="230" t="str">
        <f t="shared" si="184"/>
        <v/>
      </c>
      <c r="R453" s="323" t="str">
        <f t="shared" si="185"/>
        <v/>
      </c>
      <c r="S453" s="350"/>
      <c r="T453" s="43"/>
      <c r="U453" s="347" t="str">
        <f t="shared" si="162"/>
        <v/>
      </c>
      <c r="V453" s="7" t="e">
        <f t="shared" si="163"/>
        <v>#N/A</v>
      </c>
      <c r="W453" s="7" t="e">
        <f t="shared" si="164"/>
        <v>#N/A</v>
      </c>
      <c r="X453" s="7" t="e">
        <f t="shared" si="165"/>
        <v>#N/A</v>
      </c>
      <c r="Y453" s="7" t="str">
        <f t="shared" si="166"/>
        <v/>
      </c>
      <c r="Z453" s="11">
        <f t="shared" si="167"/>
        <v>1</v>
      </c>
      <c r="AA453" s="7" t="e">
        <f t="shared" si="168"/>
        <v>#N/A</v>
      </c>
      <c r="AB453" s="7" t="e">
        <f t="shared" si="169"/>
        <v>#N/A</v>
      </c>
      <c r="AC453" s="7" t="e">
        <f t="shared" si="170"/>
        <v>#N/A</v>
      </c>
      <c r="AD453" s="472" t="e">
        <f>VLOOKUP(AF453,'排出係数(2017)'!$A$4:$I$1151,9,FALSE)</f>
        <v>#N/A</v>
      </c>
      <c r="AE453" s="12" t="str">
        <f t="shared" si="171"/>
        <v xml:space="preserve"> </v>
      </c>
      <c r="AF453" s="7" t="e">
        <f t="shared" si="186"/>
        <v>#N/A</v>
      </c>
      <c r="AG453" s="7" t="e">
        <f t="shared" si="172"/>
        <v>#N/A</v>
      </c>
      <c r="AH453" s="472" t="e">
        <f>VLOOKUP(AF453,'排出係数(2017)'!$A$4:$I$1151,6,FALSE)</f>
        <v>#N/A</v>
      </c>
      <c r="AI453" s="7" t="e">
        <f t="shared" si="173"/>
        <v>#N/A</v>
      </c>
      <c r="AJ453" s="7" t="e">
        <f t="shared" si="174"/>
        <v>#N/A</v>
      </c>
      <c r="AK453" s="472" t="e">
        <f>VLOOKUP(AF453,'排出係数(2017)'!$A$4:$I$1151,7,FALSE)</f>
        <v>#N/A</v>
      </c>
      <c r="AL453" s="7" t="e">
        <f t="shared" si="175"/>
        <v>#N/A</v>
      </c>
      <c r="AM453" s="7" t="e">
        <f t="shared" si="176"/>
        <v>#N/A</v>
      </c>
      <c r="AN453" s="7" t="e">
        <f t="shared" si="177"/>
        <v>#N/A</v>
      </c>
      <c r="AO453" s="7">
        <f t="shared" si="178"/>
        <v>0</v>
      </c>
      <c r="AP453" s="7" t="e">
        <f t="shared" si="187"/>
        <v>#N/A</v>
      </c>
      <c r="AQ453" s="7" t="str">
        <f t="shared" si="179"/>
        <v/>
      </c>
      <c r="AR453" s="7" t="str">
        <f t="shared" si="180"/>
        <v/>
      </c>
      <c r="AS453" s="7" t="str">
        <f t="shared" si="181"/>
        <v/>
      </c>
      <c r="AT453" s="97"/>
      <c r="AZ453" s="477" t="s">
        <v>1712</v>
      </c>
      <c r="CF453" s="586" t="str">
        <f t="shared" si="188"/>
        <v/>
      </c>
      <c r="CG453"/>
      <c r="CH453"/>
    </row>
    <row r="454" spans="1:86" s="13" customFormat="1" ht="13.75" customHeight="1">
      <c r="A454" s="137">
        <v>439</v>
      </c>
      <c r="B454" s="138"/>
      <c r="C454" s="139"/>
      <c r="D454" s="140"/>
      <c r="E454" s="139"/>
      <c r="F454" s="139"/>
      <c r="G454" s="191"/>
      <c r="H454" s="139"/>
      <c r="I454" s="141"/>
      <c r="J454" s="142"/>
      <c r="K454" s="139"/>
      <c r="L454" s="147"/>
      <c r="M454" s="148"/>
      <c r="N454" s="583"/>
      <c r="O454" s="229" t="str">
        <f t="shared" si="182"/>
        <v/>
      </c>
      <c r="P454" s="229" t="str">
        <f t="shared" si="183"/>
        <v/>
      </c>
      <c r="Q454" s="230" t="str">
        <f t="shared" si="184"/>
        <v/>
      </c>
      <c r="R454" s="323" t="str">
        <f t="shared" si="185"/>
        <v/>
      </c>
      <c r="S454" s="350"/>
      <c r="T454" s="43"/>
      <c r="U454" s="347" t="str">
        <f t="shared" si="162"/>
        <v/>
      </c>
      <c r="V454" s="7" t="e">
        <f t="shared" si="163"/>
        <v>#N/A</v>
      </c>
      <c r="W454" s="7" t="e">
        <f t="shared" si="164"/>
        <v>#N/A</v>
      </c>
      <c r="X454" s="7" t="e">
        <f t="shared" si="165"/>
        <v>#N/A</v>
      </c>
      <c r="Y454" s="7" t="str">
        <f t="shared" si="166"/>
        <v/>
      </c>
      <c r="Z454" s="11">
        <f t="shared" si="167"/>
        <v>1</v>
      </c>
      <c r="AA454" s="7" t="e">
        <f t="shared" si="168"/>
        <v>#N/A</v>
      </c>
      <c r="AB454" s="7" t="e">
        <f t="shared" si="169"/>
        <v>#N/A</v>
      </c>
      <c r="AC454" s="7" t="e">
        <f t="shared" si="170"/>
        <v>#N/A</v>
      </c>
      <c r="AD454" s="472" t="e">
        <f>VLOOKUP(AF454,'排出係数(2017)'!$A$4:$I$1151,9,FALSE)</f>
        <v>#N/A</v>
      </c>
      <c r="AE454" s="12" t="str">
        <f t="shared" si="171"/>
        <v xml:space="preserve"> </v>
      </c>
      <c r="AF454" s="7" t="e">
        <f t="shared" si="186"/>
        <v>#N/A</v>
      </c>
      <c r="AG454" s="7" t="e">
        <f t="shared" si="172"/>
        <v>#N/A</v>
      </c>
      <c r="AH454" s="472" t="e">
        <f>VLOOKUP(AF454,'排出係数(2017)'!$A$4:$I$1151,6,FALSE)</f>
        <v>#N/A</v>
      </c>
      <c r="AI454" s="7" t="e">
        <f t="shared" si="173"/>
        <v>#N/A</v>
      </c>
      <c r="AJ454" s="7" t="e">
        <f t="shared" si="174"/>
        <v>#N/A</v>
      </c>
      <c r="AK454" s="472" t="e">
        <f>VLOOKUP(AF454,'排出係数(2017)'!$A$4:$I$1151,7,FALSE)</f>
        <v>#N/A</v>
      </c>
      <c r="AL454" s="7" t="e">
        <f t="shared" si="175"/>
        <v>#N/A</v>
      </c>
      <c r="AM454" s="7" t="e">
        <f t="shared" si="176"/>
        <v>#N/A</v>
      </c>
      <c r="AN454" s="7" t="e">
        <f t="shared" si="177"/>
        <v>#N/A</v>
      </c>
      <c r="AO454" s="7">
        <f t="shared" si="178"/>
        <v>0</v>
      </c>
      <c r="AP454" s="7" t="e">
        <f t="shared" si="187"/>
        <v>#N/A</v>
      </c>
      <c r="AQ454" s="7" t="str">
        <f t="shared" si="179"/>
        <v/>
      </c>
      <c r="AR454" s="7" t="str">
        <f t="shared" si="180"/>
        <v/>
      </c>
      <c r="AS454" s="7" t="str">
        <f t="shared" si="181"/>
        <v/>
      </c>
      <c r="AT454" s="97"/>
      <c r="AZ454" s="477" t="s">
        <v>1288</v>
      </c>
      <c r="CF454" s="586" t="str">
        <f t="shared" si="188"/>
        <v/>
      </c>
      <c r="CG454"/>
      <c r="CH454"/>
    </row>
    <row r="455" spans="1:86" s="13" customFormat="1" ht="13.75" customHeight="1">
      <c r="A455" s="137">
        <v>440</v>
      </c>
      <c r="B455" s="138"/>
      <c r="C455" s="139"/>
      <c r="D455" s="140"/>
      <c r="E455" s="139"/>
      <c r="F455" s="139"/>
      <c r="G455" s="191"/>
      <c r="H455" s="139"/>
      <c r="I455" s="141"/>
      <c r="J455" s="142"/>
      <c r="K455" s="139"/>
      <c r="L455" s="147"/>
      <c r="M455" s="148"/>
      <c r="N455" s="583"/>
      <c r="O455" s="229" t="str">
        <f t="shared" si="182"/>
        <v/>
      </c>
      <c r="P455" s="229" t="str">
        <f t="shared" si="183"/>
        <v/>
      </c>
      <c r="Q455" s="230" t="str">
        <f t="shared" si="184"/>
        <v/>
      </c>
      <c r="R455" s="323" t="str">
        <f t="shared" si="185"/>
        <v/>
      </c>
      <c r="S455" s="350"/>
      <c r="T455" s="43"/>
      <c r="U455" s="347" t="str">
        <f t="shared" si="162"/>
        <v/>
      </c>
      <c r="V455" s="7" t="e">
        <f t="shared" si="163"/>
        <v>#N/A</v>
      </c>
      <c r="W455" s="7" t="e">
        <f t="shared" si="164"/>
        <v>#N/A</v>
      </c>
      <c r="X455" s="7" t="e">
        <f t="shared" si="165"/>
        <v>#N/A</v>
      </c>
      <c r="Y455" s="7" t="str">
        <f t="shared" si="166"/>
        <v/>
      </c>
      <c r="Z455" s="11">
        <f t="shared" si="167"/>
        <v>1</v>
      </c>
      <c r="AA455" s="7" t="e">
        <f t="shared" si="168"/>
        <v>#N/A</v>
      </c>
      <c r="AB455" s="7" t="e">
        <f t="shared" si="169"/>
        <v>#N/A</v>
      </c>
      <c r="AC455" s="7" t="e">
        <f t="shared" si="170"/>
        <v>#N/A</v>
      </c>
      <c r="AD455" s="472" t="e">
        <f>VLOOKUP(AF455,'排出係数(2017)'!$A$4:$I$1151,9,FALSE)</f>
        <v>#N/A</v>
      </c>
      <c r="AE455" s="12" t="str">
        <f t="shared" si="171"/>
        <v xml:space="preserve"> </v>
      </c>
      <c r="AF455" s="7" t="e">
        <f t="shared" si="186"/>
        <v>#N/A</v>
      </c>
      <c r="AG455" s="7" t="e">
        <f t="shared" si="172"/>
        <v>#N/A</v>
      </c>
      <c r="AH455" s="472" t="e">
        <f>VLOOKUP(AF455,'排出係数(2017)'!$A$4:$I$1151,6,FALSE)</f>
        <v>#N/A</v>
      </c>
      <c r="AI455" s="7" t="e">
        <f t="shared" si="173"/>
        <v>#N/A</v>
      </c>
      <c r="AJ455" s="7" t="e">
        <f t="shared" si="174"/>
        <v>#N/A</v>
      </c>
      <c r="AK455" s="472" t="e">
        <f>VLOOKUP(AF455,'排出係数(2017)'!$A$4:$I$1151,7,FALSE)</f>
        <v>#N/A</v>
      </c>
      <c r="AL455" s="7" t="e">
        <f t="shared" si="175"/>
        <v>#N/A</v>
      </c>
      <c r="AM455" s="7" t="e">
        <f t="shared" si="176"/>
        <v>#N/A</v>
      </c>
      <c r="AN455" s="7" t="e">
        <f t="shared" si="177"/>
        <v>#N/A</v>
      </c>
      <c r="AO455" s="7">
        <f t="shared" si="178"/>
        <v>0</v>
      </c>
      <c r="AP455" s="7" t="e">
        <f t="shared" si="187"/>
        <v>#N/A</v>
      </c>
      <c r="AQ455" s="7" t="str">
        <f t="shared" si="179"/>
        <v/>
      </c>
      <c r="AR455" s="7" t="str">
        <f t="shared" si="180"/>
        <v/>
      </c>
      <c r="AS455" s="7" t="str">
        <f t="shared" si="181"/>
        <v/>
      </c>
      <c r="AT455" s="97"/>
      <c r="AZ455" s="477" t="s">
        <v>1319</v>
      </c>
      <c r="CF455" s="586" t="str">
        <f t="shared" si="188"/>
        <v/>
      </c>
      <c r="CG455"/>
      <c r="CH455"/>
    </row>
    <row r="456" spans="1:86" s="13" customFormat="1" ht="13.75" customHeight="1">
      <c r="A456" s="137">
        <v>441</v>
      </c>
      <c r="B456" s="138"/>
      <c r="C456" s="139"/>
      <c r="D456" s="140"/>
      <c r="E456" s="139"/>
      <c r="F456" s="139"/>
      <c r="G456" s="191"/>
      <c r="H456" s="139"/>
      <c r="I456" s="141"/>
      <c r="J456" s="142"/>
      <c r="K456" s="139"/>
      <c r="L456" s="147"/>
      <c r="M456" s="148"/>
      <c r="N456" s="583"/>
      <c r="O456" s="229" t="str">
        <f t="shared" si="182"/>
        <v/>
      </c>
      <c r="P456" s="229" t="str">
        <f t="shared" si="183"/>
        <v/>
      </c>
      <c r="Q456" s="230" t="str">
        <f t="shared" si="184"/>
        <v/>
      </c>
      <c r="R456" s="323" t="str">
        <f t="shared" si="185"/>
        <v/>
      </c>
      <c r="S456" s="350"/>
      <c r="T456" s="43"/>
      <c r="U456" s="347" t="str">
        <f t="shared" si="162"/>
        <v/>
      </c>
      <c r="V456" s="7" t="e">
        <f t="shared" si="163"/>
        <v>#N/A</v>
      </c>
      <c r="W456" s="7" t="e">
        <f t="shared" si="164"/>
        <v>#N/A</v>
      </c>
      <c r="X456" s="7" t="e">
        <f t="shared" si="165"/>
        <v>#N/A</v>
      </c>
      <c r="Y456" s="7" t="str">
        <f t="shared" si="166"/>
        <v/>
      </c>
      <c r="Z456" s="11">
        <f t="shared" si="167"/>
        <v>1</v>
      </c>
      <c r="AA456" s="7" t="e">
        <f t="shared" si="168"/>
        <v>#N/A</v>
      </c>
      <c r="AB456" s="7" t="e">
        <f t="shared" si="169"/>
        <v>#N/A</v>
      </c>
      <c r="AC456" s="7" t="e">
        <f t="shared" si="170"/>
        <v>#N/A</v>
      </c>
      <c r="AD456" s="472" t="e">
        <f>VLOOKUP(AF456,'排出係数(2017)'!$A$4:$I$1151,9,FALSE)</f>
        <v>#N/A</v>
      </c>
      <c r="AE456" s="12" t="str">
        <f t="shared" si="171"/>
        <v xml:space="preserve"> </v>
      </c>
      <c r="AF456" s="7" t="e">
        <f t="shared" si="186"/>
        <v>#N/A</v>
      </c>
      <c r="AG456" s="7" t="e">
        <f t="shared" si="172"/>
        <v>#N/A</v>
      </c>
      <c r="AH456" s="472" t="e">
        <f>VLOOKUP(AF456,'排出係数(2017)'!$A$4:$I$1151,6,FALSE)</f>
        <v>#N/A</v>
      </c>
      <c r="AI456" s="7" t="e">
        <f t="shared" si="173"/>
        <v>#N/A</v>
      </c>
      <c r="AJ456" s="7" t="e">
        <f t="shared" si="174"/>
        <v>#N/A</v>
      </c>
      <c r="AK456" s="472" t="e">
        <f>VLOOKUP(AF456,'排出係数(2017)'!$A$4:$I$1151,7,FALSE)</f>
        <v>#N/A</v>
      </c>
      <c r="AL456" s="7" t="e">
        <f t="shared" si="175"/>
        <v>#N/A</v>
      </c>
      <c r="AM456" s="7" t="e">
        <f t="shared" si="176"/>
        <v>#N/A</v>
      </c>
      <c r="AN456" s="7" t="e">
        <f t="shared" si="177"/>
        <v>#N/A</v>
      </c>
      <c r="AO456" s="7">
        <f t="shared" si="178"/>
        <v>0</v>
      </c>
      <c r="AP456" s="7" t="e">
        <f t="shared" si="187"/>
        <v>#N/A</v>
      </c>
      <c r="AQ456" s="7" t="str">
        <f t="shared" si="179"/>
        <v/>
      </c>
      <c r="AR456" s="7" t="str">
        <f t="shared" si="180"/>
        <v/>
      </c>
      <c r="AS456" s="7" t="str">
        <f t="shared" si="181"/>
        <v/>
      </c>
      <c r="AT456" s="97"/>
      <c r="AZ456" s="477" t="s">
        <v>1369</v>
      </c>
      <c r="CF456" s="586" t="str">
        <f t="shared" si="188"/>
        <v/>
      </c>
      <c r="CG456"/>
      <c r="CH456"/>
    </row>
    <row r="457" spans="1:86" s="13" customFormat="1" ht="13.75" customHeight="1">
      <c r="A457" s="137">
        <v>442</v>
      </c>
      <c r="B457" s="138"/>
      <c r="C457" s="139"/>
      <c r="D457" s="140"/>
      <c r="E457" s="139"/>
      <c r="F457" s="139"/>
      <c r="G457" s="191"/>
      <c r="H457" s="139"/>
      <c r="I457" s="141"/>
      <c r="J457" s="142"/>
      <c r="K457" s="139"/>
      <c r="L457" s="147"/>
      <c r="M457" s="148"/>
      <c r="N457" s="583"/>
      <c r="O457" s="229" t="str">
        <f t="shared" si="182"/>
        <v/>
      </c>
      <c r="P457" s="229" t="str">
        <f t="shared" si="183"/>
        <v/>
      </c>
      <c r="Q457" s="230" t="str">
        <f t="shared" si="184"/>
        <v/>
      </c>
      <c r="R457" s="323" t="str">
        <f t="shared" si="185"/>
        <v/>
      </c>
      <c r="S457" s="350"/>
      <c r="T457" s="43"/>
      <c r="U457" s="347" t="str">
        <f t="shared" si="162"/>
        <v/>
      </c>
      <c r="V457" s="7" t="e">
        <f t="shared" si="163"/>
        <v>#N/A</v>
      </c>
      <c r="W457" s="7" t="e">
        <f t="shared" si="164"/>
        <v>#N/A</v>
      </c>
      <c r="X457" s="7" t="e">
        <f t="shared" si="165"/>
        <v>#N/A</v>
      </c>
      <c r="Y457" s="7" t="str">
        <f t="shared" si="166"/>
        <v/>
      </c>
      <c r="Z457" s="11">
        <f t="shared" si="167"/>
        <v>1</v>
      </c>
      <c r="AA457" s="7" t="e">
        <f t="shared" si="168"/>
        <v>#N/A</v>
      </c>
      <c r="AB457" s="7" t="e">
        <f t="shared" si="169"/>
        <v>#N/A</v>
      </c>
      <c r="AC457" s="7" t="e">
        <f t="shared" si="170"/>
        <v>#N/A</v>
      </c>
      <c r="AD457" s="472" t="e">
        <f>VLOOKUP(AF457,'排出係数(2017)'!$A$4:$I$1151,9,FALSE)</f>
        <v>#N/A</v>
      </c>
      <c r="AE457" s="12" t="str">
        <f t="shared" si="171"/>
        <v xml:space="preserve"> </v>
      </c>
      <c r="AF457" s="7" t="e">
        <f t="shared" si="186"/>
        <v>#N/A</v>
      </c>
      <c r="AG457" s="7" t="e">
        <f t="shared" si="172"/>
        <v>#N/A</v>
      </c>
      <c r="AH457" s="472" t="e">
        <f>VLOOKUP(AF457,'排出係数(2017)'!$A$4:$I$1151,6,FALSE)</f>
        <v>#N/A</v>
      </c>
      <c r="AI457" s="7" t="e">
        <f t="shared" si="173"/>
        <v>#N/A</v>
      </c>
      <c r="AJ457" s="7" t="e">
        <f t="shared" si="174"/>
        <v>#N/A</v>
      </c>
      <c r="AK457" s="472" t="e">
        <f>VLOOKUP(AF457,'排出係数(2017)'!$A$4:$I$1151,7,FALSE)</f>
        <v>#N/A</v>
      </c>
      <c r="AL457" s="7" t="e">
        <f t="shared" si="175"/>
        <v>#N/A</v>
      </c>
      <c r="AM457" s="7" t="e">
        <f t="shared" si="176"/>
        <v>#N/A</v>
      </c>
      <c r="AN457" s="7" t="e">
        <f t="shared" si="177"/>
        <v>#N/A</v>
      </c>
      <c r="AO457" s="7">
        <f t="shared" si="178"/>
        <v>0</v>
      </c>
      <c r="AP457" s="7" t="e">
        <f t="shared" si="187"/>
        <v>#N/A</v>
      </c>
      <c r="AQ457" s="7" t="str">
        <f t="shared" si="179"/>
        <v/>
      </c>
      <c r="AR457" s="7" t="str">
        <f t="shared" si="180"/>
        <v/>
      </c>
      <c r="AS457" s="7" t="str">
        <f t="shared" si="181"/>
        <v/>
      </c>
      <c r="AT457" s="97"/>
      <c r="AZ457" s="477" t="s">
        <v>1089</v>
      </c>
      <c r="CF457" s="586" t="str">
        <f t="shared" si="188"/>
        <v/>
      </c>
      <c r="CG457"/>
      <c r="CH457"/>
    </row>
    <row r="458" spans="1:86" s="13" customFormat="1" ht="13.75" customHeight="1">
      <c r="A458" s="137">
        <v>443</v>
      </c>
      <c r="B458" s="138"/>
      <c r="C458" s="139"/>
      <c r="D458" s="140"/>
      <c r="E458" s="139"/>
      <c r="F458" s="139"/>
      <c r="G458" s="191"/>
      <c r="H458" s="139"/>
      <c r="I458" s="141"/>
      <c r="J458" s="142"/>
      <c r="K458" s="139"/>
      <c r="L458" s="147"/>
      <c r="M458" s="148"/>
      <c r="N458" s="583"/>
      <c r="O458" s="229" t="str">
        <f t="shared" si="182"/>
        <v/>
      </c>
      <c r="P458" s="229" t="str">
        <f t="shared" si="183"/>
        <v/>
      </c>
      <c r="Q458" s="230" t="str">
        <f t="shared" si="184"/>
        <v/>
      </c>
      <c r="R458" s="323" t="str">
        <f t="shared" si="185"/>
        <v/>
      </c>
      <c r="S458" s="350"/>
      <c r="T458" s="43"/>
      <c r="U458" s="347" t="str">
        <f t="shared" si="162"/>
        <v/>
      </c>
      <c r="V458" s="7" t="e">
        <f t="shared" si="163"/>
        <v>#N/A</v>
      </c>
      <c r="W458" s="7" t="e">
        <f t="shared" si="164"/>
        <v>#N/A</v>
      </c>
      <c r="X458" s="7" t="e">
        <f t="shared" si="165"/>
        <v>#N/A</v>
      </c>
      <c r="Y458" s="7" t="str">
        <f t="shared" si="166"/>
        <v/>
      </c>
      <c r="Z458" s="11">
        <f t="shared" si="167"/>
        <v>1</v>
      </c>
      <c r="AA458" s="7" t="e">
        <f t="shared" si="168"/>
        <v>#N/A</v>
      </c>
      <c r="AB458" s="7" t="e">
        <f t="shared" si="169"/>
        <v>#N/A</v>
      </c>
      <c r="AC458" s="7" t="e">
        <f t="shared" si="170"/>
        <v>#N/A</v>
      </c>
      <c r="AD458" s="472" t="e">
        <f>VLOOKUP(AF458,'排出係数(2017)'!$A$4:$I$1151,9,FALSE)</f>
        <v>#N/A</v>
      </c>
      <c r="AE458" s="12" t="str">
        <f t="shared" si="171"/>
        <v xml:space="preserve"> </v>
      </c>
      <c r="AF458" s="7" t="e">
        <f t="shared" si="186"/>
        <v>#N/A</v>
      </c>
      <c r="AG458" s="7" t="e">
        <f t="shared" si="172"/>
        <v>#N/A</v>
      </c>
      <c r="AH458" s="472" t="e">
        <f>VLOOKUP(AF458,'排出係数(2017)'!$A$4:$I$1151,6,FALSE)</f>
        <v>#N/A</v>
      </c>
      <c r="AI458" s="7" t="e">
        <f t="shared" si="173"/>
        <v>#N/A</v>
      </c>
      <c r="AJ458" s="7" t="e">
        <f t="shared" si="174"/>
        <v>#N/A</v>
      </c>
      <c r="AK458" s="472" t="e">
        <f>VLOOKUP(AF458,'排出係数(2017)'!$A$4:$I$1151,7,FALSE)</f>
        <v>#N/A</v>
      </c>
      <c r="AL458" s="7" t="e">
        <f t="shared" si="175"/>
        <v>#N/A</v>
      </c>
      <c r="AM458" s="7" t="e">
        <f t="shared" si="176"/>
        <v>#N/A</v>
      </c>
      <c r="AN458" s="7" t="e">
        <f t="shared" si="177"/>
        <v>#N/A</v>
      </c>
      <c r="AO458" s="7">
        <f t="shared" si="178"/>
        <v>0</v>
      </c>
      <c r="AP458" s="7" t="e">
        <f t="shared" si="187"/>
        <v>#N/A</v>
      </c>
      <c r="AQ458" s="7" t="str">
        <f t="shared" si="179"/>
        <v/>
      </c>
      <c r="AR458" s="7" t="str">
        <f t="shared" si="180"/>
        <v/>
      </c>
      <c r="AS458" s="7" t="str">
        <f t="shared" si="181"/>
        <v/>
      </c>
      <c r="AT458" s="97"/>
      <c r="AZ458" s="477" t="s">
        <v>1081</v>
      </c>
      <c r="CF458" s="586" t="str">
        <f t="shared" si="188"/>
        <v/>
      </c>
      <c r="CG458"/>
      <c r="CH458"/>
    </row>
    <row r="459" spans="1:86" s="13" customFormat="1" ht="13.75" customHeight="1">
      <c r="A459" s="137">
        <v>444</v>
      </c>
      <c r="B459" s="138"/>
      <c r="C459" s="139"/>
      <c r="D459" s="140"/>
      <c r="E459" s="139"/>
      <c r="F459" s="139"/>
      <c r="G459" s="191"/>
      <c r="H459" s="139"/>
      <c r="I459" s="141"/>
      <c r="J459" s="142"/>
      <c r="K459" s="139"/>
      <c r="L459" s="147"/>
      <c r="M459" s="148"/>
      <c r="N459" s="583"/>
      <c r="O459" s="229" t="str">
        <f t="shared" si="182"/>
        <v/>
      </c>
      <c r="P459" s="229" t="str">
        <f t="shared" si="183"/>
        <v/>
      </c>
      <c r="Q459" s="230" t="str">
        <f t="shared" si="184"/>
        <v/>
      </c>
      <c r="R459" s="323" t="str">
        <f t="shared" si="185"/>
        <v/>
      </c>
      <c r="S459" s="350"/>
      <c r="T459" s="43"/>
      <c r="U459" s="347" t="str">
        <f t="shared" si="162"/>
        <v/>
      </c>
      <c r="V459" s="7" t="e">
        <f t="shared" si="163"/>
        <v>#N/A</v>
      </c>
      <c r="W459" s="7" t="e">
        <f t="shared" si="164"/>
        <v>#N/A</v>
      </c>
      <c r="X459" s="7" t="e">
        <f t="shared" si="165"/>
        <v>#N/A</v>
      </c>
      <c r="Y459" s="7" t="str">
        <f t="shared" si="166"/>
        <v/>
      </c>
      <c r="Z459" s="11">
        <f t="shared" si="167"/>
        <v>1</v>
      </c>
      <c r="AA459" s="7" t="e">
        <f t="shared" si="168"/>
        <v>#N/A</v>
      </c>
      <c r="AB459" s="7" t="e">
        <f t="shared" si="169"/>
        <v>#N/A</v>
      </c>
      <c r="AC459" s="7" t="e">
        <f t="shared" si="170"/>
        <v>#N/A</v>
      </c>
      <c r="AD459" s="472" t="e">
        <f>VLOOKUP(AF459,'排出係数(2017)'!$A$4:$I$1151,9,FALSE)</f>
        <v>#N/A</v>
      </c>
      <c r="AE459" s="12" t="str">
        <f t="shared" si="171"/>
        <v xml:space="preserve"> </v>
      </c>
      <c r="AF459" s="7" t="e">
        <f t="shared" si="186"/>
        <v>#N/A</v>
      </c>
      <c r="AG459" s="7" t="e">
        <f t="shared" si="172"/>
        <v>#N/A</v>
      </c>
      <c r="AH459" s="472" t="e">
        <f>VLOOKUP(AF459,'排出係数(2017)'!$A$4:$I$1151,6,FALSE)</f>
        <v>#N/A</v>
      </c>
      <c r="AI459" s="7" t="e">
        <f t="shared" si="173"/>
        <v>#N/A</v>
      </c>
      <c r="AJ459" s="7" t="e">
        <f t="shared" si="174"/>
        <v>#N/A</v>
      </c>
      <c r="AK459" s="472" t="e">
        <f>VLOOKUP(AF459,'排出係数(2017)'!$A$4:$I$1151,7,FALSE)</f>
        <v>#N/A</v>
      </c>
      <c r="AL459" s="7" t="e">
        <f t="shared" si="175"/>
        <v>#N/A</v>
      </c>
      <c r="AM459" s="7" t="e">
        <f t="shared" si="176"/>
        <v>#N/A</v>
      </c>
      <c r="AN459" s="7" t="e">
        <f t="shared" si="177"/>
        <v>#N/A</v>
      </c>
      <c r="AO459" s="7">
        <f t="shared" si="178"/>
        <v>0</v>
      </c>
      <c r="AP459" s="7" t="e">
        <f t="shared" si="187"/>
        <v>#N/A</v>
      </c>
      <c r="AQ459" s="7" t="str">
        <f t="shared" si="179"/>
        <v/>
      </c>
      <c r="AR459" s="7" t="str">
        <f t="shared" si="180"/>
        <v/>
      </c>
      <c r="AS459" s="7" t="str">
        <f t="shared" si="181"/>
        <v/>
      </c>
      <c r="AT459" s="97"/>
      <c r="AZ459" s="477" t="s">
        <v>1432</v>
      </c>
      <c r="CF459" s="586" t="str">
        <f t="shared" si="188"/>
        <v/>
      </c>
      <c r="CG459"/>
      <c r="CH459"/>
    </row>
    <row r="460" spans="1:86" s="13" customFormat="1" ht="13.75" customHeight="1">
      <c r="A460" s="137">
        <v>445</v>
      </c>
      <c r="B460" s="138"/>
      <c r="C460" s="139"/>
      <c r="D460" s="140"/>
      <c r="E460" s="139"/>
      <c r="F460" s="139"/>
      <c r="G460" s="191"/>
      <c r="H460" s="139"/>
      <c r="I460" s="141"/>
      <c r="J460" s="142"/>
      <c r="K460" s="139"/>
      <c r="L460" s="147"/>
      <c r="M460" s="148"/>
      <c r="N460" s="583"/>
      <c r="O460" s="229" t="str">
        <f t="shared" si="182"/>
        <v/>
      </c>
      <c r="P460" s="229" t="str">
        <f t="shared" si="183"/>
        <v/>
      </c>
      <c r="Q460" s="230" t="str">
        <f t="shared" si="184"/>
        <v/>
      </c>
      <c r="R460" s="323" t="str">
        <f t="shared" si="185"/>
        <v/>
      </c>
      <c r="S460" s="350"/>
      <c r="T460" s="43"/>
      <c r="U460" s="347" t="str">
        <f t="shared" si="162"/>
        <v/>
      </c>
      <c r="V460" s="7" t="e">
        <f t="shared" si="163"/>
        <v>#N/A</v>
      </c>
      <c r="W460" s="7" t="e">
        <f t="shared" si="164"/>
        <v>#N/A</v>
      </c>
      <c r="X460" s="7" t="e">
        <f t="shared" si="165"/>
        <v>#N/A</v>
      </c>
      <c r="Y460" s="7" t="str">
        <f t="shared" si="166"/>
        <v/>
      </c>
      <c r="Z460" s="11">
        <f t="shared" si="167"/>
        <v>1</v>
      </c>
      <c r="AA460" s="7" t="e">
        <f t="shared" si="168"/>
        <v>#N/A</v>
      </c>
      <c r="AB460" s="7" t="e">
        <f t="shared" si="169"/>
        <v>#N/A</v>
      </c>
      <c r="AC460" s="7" t="e">
        <f t="shared" si="170"/>
        <v>#N/A</v>
      </c>
      <c r="AD460" s="472" t="e">
        <f>VLOOKUP(AF460,'排出係数(2017)'!$A$4:$I$1151,9,FALSE)</f>
        <v>#N/A</v>
      </c>
      <c r="AE460" s="12" t="str">
        <f t="shared" si="171"/>
        <v xml:space="preserve"> </v>
      </c>
      <c r="AF460" s="7" t="e">
        <f t="shared" si="186"/>
        <v>#N/A</v>
      </c>
      <c r="AG460" s="7" t="e">
        <f t="shared" si="172"/>
        <v>#N/A</v>
      </c>
      <c r="AH460" s="472" t="e">
        <f>VLOOKUP(AF460,'排出係数(2017)'!$A$4:$I$1151,6,FALSE)</f>
        <v>#N/A</v>
      </c>
      <c r="AI460" s="7" t="e">
        <f t="shared" si="173"/>
        <v>#N/A</v>
      </c>
      <c r="AJ460" s="7" t="e">
        <f t="shared" si="174"/>
        <v>#N/A</v>
      </c>
      <c r="AK460" s="472" t="e">
        <f>VLOOKUP(AF460,'排出係数(2017)'!$A$4:$I$1151,7,FALSE)</f>
        <v>#N/A</v>
      </c>
      <c r="AL460" s="7" t="e">
        <f t="shared" si="175"/>
        <v>#N/A</v>
      </c>
      <c r="AM460" s="7" t="e">
        <f t="shared" si="176"/>
        <v>#N/A</v>
      </c>
      <c r="AN460" s="7" t="e">
        <f t="shared" si="177"/>
        <v>#N/A</v>
      </c>
      <c r="AO460" s="7">
        <f t="shared" si="178"/>
        <v>0</v>
      </c>
      <c r="AP460" s="7" t="e">
        <f t="shared" si="187"/>
        <v>#N/A</v>
      </c>
      <c r="AQ460" s="7" t="str">
        <f t="shared" si="179"/>
        <v/>
      </c>
      <c r="AR460" s="7" t="str">
        <f t="shared" si="180"/>
        <v/>
      </c>
      <c r="AS460" s="7" t="str">
        <f t="shared" si="181"/>
        <v/>
      </c>
      <c r="AT460" s="97"/>
      <c r="AZ460" s="477" t="s">
        <v>2549</v>
      </c>
      <c r="CF460" s="586" t="str">
        <f t="shared" si="188"/>
        <v/>
      </c>
      <c r="CG460"/>
      <c r="CH460"/>
    </row>
    <row r="461" spans="1:86" s="13" customFormat="1" ht="13.75" customHeight="1">
      <c r="A461" s="137">
        <v>446</v>
      </c>
      <c r="B461" s="138"/>
      <c r="C461" s="139"/>
      <c r="D461" s="140"/>
      <c r="E461" s="139"/>
      <c r="F461" s="139"/>
      <c r="G461" s="191"/>
      <c r="H461" s="139"/>
      <c r="I461" s="141"/>
      <c r="J461" s="142"/>
      <c r="K461" s="139"/>
      <c r="L461" s="147"/>
      <c r="M461" s="148"/>
      <c r="N461" s="583"/>
      <c r="O461" s="229" t="str">
        <f t="shared" si="182"/>
        <v/>
      </c>
      <c r="P461" s="229" t="str">
        <f t="shared" si="183"/>
        <v/>
      </c>
      <c r="Q461" s="230" t="str">
        <f t="shared" si="184"/>
        <v/>
      </c>
      <c r="R461" s="323" t="str">
        <f t="shared" si="185"/>
        <v/>
      </c>
      <c r="S461" s="350"/>
      <c r="T461" s="43"/>
      <c r="U461" s="347" t="str">
        <f t="shared" si="162"/>
        <v/>
      </c>
      <c r="V461" s="7" t="e">
        <f t="shared" si="163"/>
        <v>#N/A</v>
      </c>
      <c r="W461" s="7" t="e">
        <f t="shared" si="164"/>
        <v>#N/A</v>
      </c>
      <c r="X461" s="7" t="e">
        <f t="shared" si="165"/>
        <v>#N/A</v>
      </c>
      <c r="Y461" s="7" t="str">
        <f t="shared" si="166"/>
        <v/>
      </c>
      <c r="Z461" s="11">
        <f t="shared" si="167"/>
        <v>1</v>
      </c>
      <c r="AA461" s="7" t="e">
        <f t="shared" si="168"/>
        <v>#N/A</v>
      </c>
      <c r="AB461" s="7" t="e">
        <f t="shared" si="169"/>
        <v>#N/A</v>
      </c>
      <c r="AC461" s="7" t="e">
        <f t="shared" si="170"/>
        <v>#N/A</v>
      </c>
      <c r="AD461" s="472" t="e">
        <f>VLOOKUP(AF461,'排出係数(2017)'!$A$4:$I$1151,9,FALSE)</f>
        <v>#N/A</v>
      </c>
      <c r="AE461" s="12" t="str">
        <f t="shared" si="171"/>
        <v xml:space="preserve"> </v>
      </c>
      <c r="AF461" s="7" t="e">
        <f t="shared" si="186"/>
        <v>#N/A</v>
      </c>
      <c r="AG461" s="7" t="e">
        <f t="shared" si="172"/>
        <v>#N/A</v>
      </c>
      <c r="AH461" s="472" t="e">
        <f>VLOOKUP(AF461,'排出係数(2017)'!$A$4:$I$1151,6,FALSE)</f>
        <v>#N/A</v>
      </c>
      <c r="AI461" s="7" t="e">
        <f t="shared" si="173"/>
        <v>#N/A</v>
      </c>
      <c r="AJ461" s="7" t="e">
        <f t="shared" si="174"/>
        <v>#N/A</v>
      </c>
      <c r="AK461" s="472" t="e">
        <f>VLOOKUP(AF461,'排出係数(2017)'!$A$4:$I$1151,7,FALSE)</f>
        <v>#N/A</v>
      </c>
      <c r="AL461" s="7" t="e">
        <f t="shared" si="175"/>
        <v>#N/A</v>
      </c>
      <c r="AM461" s="7" t="e">
        <f t="shared" si="176"/>
        <v>#N/A</v>
      </c>
      <c r="AN461" s="7" t="e">
        <f t="shared" si="177"/>
        <v>#N/A</v>
      </c>
      <c r="AO461" s="7">
        <f t="shared" si="178"/>
        <v>0</v>
      </c>
      <c r="AP461" s="7" t="e">
        <f t="shared" si="187"/>
        <v>#N/A</v>
      </c>
      <c r="AQ461" s="7" t="str">
        <f t="shared" si="179"/>
        <v/>
      </c>
      <c r="AR461" s="7" t="str">
        <f t="shared" si="180"/>
        <v/>
      </c>
      <c r="AS461" s="7" t="str">
        <f t="shared" si="181"/>
        <v/>
      </c>
      <c r="AT461" s="97"/>
      <c r="AZ461" s="477" t="s">
        <v>2550</v>
      </c>
      <c r="CF461" s="586" t="str">
        <f t="shared" si="188"/>
        <v/>
      </c>
      <c r="CG461"/>
      <c r="CH461"/>
    </row>
    <row r="462" spans="1:86" s="13" customFormat="1" ht="13.75" customHeight="1">
      <c r="A462" s="137">
        <v>447</v>
      </c>
      <c r="B462" s="138"/>
      <c r="C462" s="139"/>
      <c r="D462" s="140"/>
      <c r="E462" s="139"/>
      <c r="F462" s="139"/>
      <c r="G462" s="191"/>
      <c r="H462" s="139"/>
      <c r="I462" s="141"/>
      <c r="J462" s="142"/>
      <c r="K462" s="139"/>
      <c r="L462" s="147"/>
      <c r="M462" s="148"/>
      <c r="N462" s="583"/>
      <c r="O462" s="229" t="str">
        <f t="shared" si="182"/>
        <v/>
      </c>
      <c r="P462" s="229" t="str">
        <f t="shared" si="183"/>
        <v/>
      </c>
      <c r="Q462" s="230" t="str">
        <f t="shared" si="184"/>
        <v/>
      </c>
      <c r="R462" s="323" t="str">
        <f t="shared" si="185"/>
        <v/>
      </c>
      <c r="S462" s="350"/>
      <c r="T462" s="43"/>
      <c r="U462" s="347" t="str">
        <f t="shared" si="162"/>
        <v/>
      </c>
      <c r="V462" s="7" t="e">
        <f t="shared" si="163"/>
        <v>#N/A</v>
      </c>
      <c r="W462" s="7" t="e">
        <f t="shared" si="164"/>
        <v>#N/A</v>
      </c>
      <c r="X462" s="7" t="e">
        <f t="shared" si="165"/>
        <v>#N/A</v>
      </c>
      <c r="Y462" s="7" t="str">
        <f t="shared" si="166"/>
        <v/>
      </c>
      <c r="Z462" s="11">
        <f t="shared" si="167"/>
        <v>1</v>
      </c>
      <c r="AA462" s="7" t="e">
        <f t="shared" si="168"/>
        <v>#N/A</v>
      </c>
      <c r="AB462" s="7" t="e">
        <f t="shared" si="169"/>
        <v>#N/A</v>
      </c>
      <c r="AC462" s="7" t="e">
        <f t="shared" si="170"/>
        <v>#N/A</v>
      </c>
      <c r="AD462" s="472" t="e">
        <f>VLOOKUP(AF462,'排出係数(2017)'!$A$4:$I$1151,9,FALSE)</f>
        <v>#N/A</v>
      </c>
      <c r="AE462" s="12" t="str">
        <f t="shared" si="171"/>
        <v xml:space="preserve"> </v>
      </c>
      <c r="AF462" s="7" t="e">
        <f t="shared" si="186"/>
        <v>#N/A</v>
      </c>
      <c r="AG462" s="7" t="e">
        <f t="shared" si="172"/>
        <v>#N/A</v>
      </c>
      <c r="AH462" s="472" t="e">
        <f>VLOOKUP(AF462,'排出係数(2017)'!$A$4:$I$1151,6,FALSE)</f>
        <v>#N/A</v>
      </c>
      <c r="AI462" s="7" t="e">
        <f t="shared" si="173"/>
        <v>#N/A</v>
      </c>
      <c r="AJ462" s="7" t="e">
        <f t="shared" si="174"/>
        <v>#N/A</v>
      </c>
      <c r="AK462" s="472" t="e">
        <f>VLOOKUP(AF462,'排出係数(2017)'!$A$4:$I$1151,7,FALSE)</f>
        <v>#N/A</v>
      </c>
      <c r="AL462" s="7" t="e">
        <f t="shared" si="175"/>
        <v>#N/A</v>
      </c>
      <c r="AM462" s="7" t="e">
        <f t="shared" si="176"/>
        <v>#N/A</v>
      </c>
      <c r="AN462" s="7" t="e">
        <f t="shared" si="177"/>
        <v>#N/A</v>
      </c>
      <c r="AO462" s="7">
        <f t="shared" si="178"/>
        <v>0</v>
      </c>
      <c r="AP462" s="7" t="e">
        <f t="shared" si="187"/>
        <v>#N/A</v>
      </c>
      <c r="AQ462" s="7" t="str">
        <f t="shared" si="179"/>
        <v/>
      </c>
      <c r="AR462" s="7" t="str">
        <f t="shared" si="180"/>
        <v/>
      </c>
      <c r="AS462" s="7" t="str">
        <f t="shared" si="181"/>
        <v/>
      </c>
      <c r="AT462" s="97"/>
      <c r="AZ462" s="477" t="s">
        <v>2551</v>
      </c>
      <c r="CF462" s="586" t="str">
        <f t="shared" si="188"/>
        <v/>
      </c>
      <c r="CG462"/>
      <c r="CH462"/>
    </row>
    <row r="463" spans="1:86" s="13" customFormat="1" ht="13.75" customHeight="1">
      <c r="A463" s="137">
        <v>448</v>
      </c>
      <c r="B463" s="138"/>
      <c r="C463" s="139"/>
      <c r="D463" s="140"/>
      <c r="E463" s="139"/>
      <c r="F463" s="139"/>
      <c r="G463" s="191"/>
      <c r="H463" s="139"/>
      <c r="I463" s="141"/>
      <c r="J463" s="142"/>
      <c r="K463" s="139"/>
      <c r="L463" s="147"/>
      <c r="M463" s="148"/>
      <c r="N463" s="583"/>
      <c r="O463" s="229" t="str">
        <f t="shared" si="182"/>
        <v/>
      </c>
      <c r="P463" s="229" t="str">
        <f t="shared" si="183"/>
        <v/>
      </c>
      <c r="Q463" s="230" t="str">
        <f t="shared" si="184"/>
        <v/>
      </c>
      <c r="R463" s="323" t="str">
        <f t="shared" si="185"/>
        <v/>
      </c>
      <c r="S463" s="350"/>
      <c r="T463" s="43"/>
      <c r="U463" s="347" t="str">
        <f t="shared" si="162"/>
        <v/>
      </c>
      <c r="V463" s="7" t="e">
        <f t="shared" si="163"/>
        <v>#N/A</v>
      </c>
      <c r="W463" s="7" t="e">
        <f t="shared" si="164"/>
        <v>#N/A</v>
      </c>
      <c r="X463" s="7" t="e">
        <f t="shared" si="165"/>
        <v>#N/A</v>
      </c>
      <c r="Y463" s="7" t="str">
        <f t="shared" si="166"/>
        <v/>
      </c>
      <c r="Z463" s="11">
        <f t="shared" si="167"/>
        <v>1</v>
      </c>
      <c r="AA463" s="7" t="e">
        <f t="shared" si="168"/>
        <v>#N/A</v>
      </c>
      <c r="AB463" s="7" t="e">
        <f t="shared" si="169"/>
        <v>#N/A</v>
      </c>
      <c r="AC463" s="7" t="e">
        <f t="shared" si="170"/>
        <v>#N/A</v>
      </c>
      <c r="AD463" s="472" t="e">
        <f>VLOOKUP(AF463,'排出係数(2017)'!$A$4:$I$1151,9,FALSE)</f>
        <v>#N/A</v>
      </c>
      <c r="AE463" s="12" t="str">
        <f t="shared" si="171"/>
        <v xml:space="preserve"> </v>
      </c>
      <c r="AF463" s="7" t="e">
        <f t="shared" si="186"/>
        <v>#N/A</v>
      </c>
      <c r="AG463" s="7" t="e">
        <f t="shared" si="172"/>
        <v>#N/A</v>
      </c>
      <c r="AH463" s="472" t="e">
        <f>VLOOKUP(AF463,'排出係数(2017)'!$A$4:$I$1151,6,FALSE)</f>
        <v>#N/A</v>
      </c>
      <c r="AI463" s="7" t="e">
        <f t="shared" si="173"/>
        <v>#N/A</v>
      </c>
      <c r="AJ463" s="7" t="e">
        <f t="shared" si="174"/>
        <v>#N/A</v>
      </c>
      <c r="AK463" s="472" t="e">
        <f>VLOOKUP(AF463,'排出係数(2017)'!$A$4:$I$1151,7,FALSE)</f>
        <v>#N/A</v>
      </c>
      <c r="AL463" s="7" t="e">
        <f t="shared" si="175"/>
        <v>#N/A</v>
      </c>
      <c r="AM463" s="7" t="e">
        <f t="shared" si="176"/>
        <v>#N/A</v>
      </c>
      <c r="AN463" s="7" t="e">
        <f t="shared" si="177"/>
        <v>#N/A</v>
      </c>
      <c r="AO463" s="7">
        <f t="shared" si="178"/>
        <v>0</v>
      </c>
      <c r="AP463" s="7" t="e">
        <f t="shared" si="187"/>
        <v>#N/A</v>
      </c>
      <c r="AQ463" s="7" t="str">
        <f t="shared" si="179"/>
        <v/>
      </c>
      <c r="AR463" s="7" t="str">
        <f t="shared" si="180"/>
        <v/>
      </c>
      <c r="AS463" s="7" t="str">
        <f t="shared" si="181"/>
        <v/>
      </c>
      <c r="AT463" s="97"/>
      <c r="AZ463" s="477" t="s">
        <v>1636</v>
      </c>
      <c r="CF463" s="586" t="str">
        <f t="shared" si="188"/>
        <v/>
      </c>
      <c r="CG463"/>
      <c r="CH463"/>
    </row>
    <row r="464" spans="1:86" s="13" customFormat="1" ht="13.75" customHeight="1">
      <c r="A464" s="137">
        <v>449</v>
      </c>
      <c r="B464" s="138"/>
      <c r="C464" s="139"/>
      <c r="D464" s="140"/>
      <c r="E464" s="139"/>
      <c r="F464" s="139"/>
      <c r="G464" s="191"/>
      <c r="H464" s="139"/>
      <c r="I464" s="141"/>
      <c r="J464" s="142"/>
      <c r="K464" s="139"/>
      <c r="L464" s="147"/>
      <c r="M464" s="148"/>
      <c r="N464" s="583"/>
      <c r="O464" s="229" t="str">
        <f t="shared" si="182"/>
        <v/>
      </c>
      <c r="P464" s="229" t="str">
        <f t="shared" si="183"/>
        <v/>
      </c>
      <c r="Q464" s="230" t="str">
        <f t="shared" si="184"/>
        <v/>
      </c>
      <c r="R464" s="323" t="str">
        <f t="shared" si="185"/>
        <v/>
      </c>
      <c r="S464" s="350"/>
      <c r="T464" s="43"/>
      <c r="U464" s="347" t="str">
        <f t="shared" ref="U464:U515" si="189">IF(ISBLANK(H464)=TRUE,"",IF(OR(ISBLANK(B464)=TRUE),1,""))</f>
        <v/>
      </c>
      <c r="V464" s="7" t="e">
        <f t="shared" ref="V464:V515" si="190">VLOOKUP(H464,$AU$17:$AX$23,2,FALSE)</f>
        <v>#N/A</v>
      </c>
      <c r="W464" s="7" t="e">
        <f t="shared" ref="W464:W515" si="191">VLOOKUP(H464,$AU$17:$AX$23,3,FALSE)</f>
        <v>#N/A</v>
      </c>
      <c r="X464" s="7" t="e">
        <f t="shared" ref="X464:X515" si="192">VLOOKUP(H464,$AU$17:$AX$23,4,FALSE)</f>
        <v>#N/A</v>
      </c>
      <c r="Y464" s="7" t="str">
        <f t="shared" ref="Y464:Y515" si="193">IF(ISERROR(SEARCH("-",I464,1))=TRUE,ASC(UPPER(I464)),ASC(UPPER(LEFT(I464,SEARCH("-",I464,1)-1))))</f>
        <v/>
      </c>
      <c r="Z464" s="11">
        <f t="shared" ref="Z464:Z515" si="194">IF(J464&gt;3500,J464/1000,1)</f>
        <v>1</v>
      </c>
      <c r="AA464" s="7" t="e">
        <f t="shared" ref="AA464:AA515" si="195">IF(X464=9,0,IF(J464&lt;=1700,1,IF(J464&lt;=2500,2,IF(J464&lt;=3500,3,4))))</f>
        <v>#N/A</v>
      </c>
      <c r="AB464" s="7" t="e">
        <f t="shared" ref="AB464:AB515" si="196">IF(X464=5,0,IF(X464=9,0,IF(J464&lt;=1700,1,IF(J464&lt;=2500,2,IF(J464&lt;=3500,3,4)))))</f>
        <v>#N/A</v>
      </c>
      <c r="AC464" s="7" t="e">
        <f t="shared" ref="AC464:AC515" si="197">VLOOKUP(K464,$BC$17:$BD$25,2,FALSE)</f>
        <v>#N/A</v>
      </c>
      <c r="AD464" s="472" t="e">
        <f>VLOOKUP(AF464,'排出係数(2017)'!$A$4:$I$1151,9,FALSE)</f>
        <v>#N/A</v>
      </c>
      <c r="AE464" s="12" t="str">
        <f t="shared" ref="AE464:AE515" si="198">IF(OR(ISBLANK(K464)=TRUE,ISBLANK(B464)=TRUE)," ",CONCATENATE(B464,X464,AA464))</f>
        <v xml:space="preserve"> </v>
      </c>
      <c r="AF464" s="7" t="e">
        <f t="shared" si="186"/>
        <v>#N/A</v>
      </c>
      <c r="AG464" s="7" t="e">
        <f t="shared" ref="AG464:AG515" si="199">IF(AND(L464="あり",AC464="軽"),AI464,AH464)</f>
        <v>#N/A</v>
      </c>
      <c r="AH464" s="472" t="e">
        <f>VLOOKUP(AF464,'排出係数(2017)'!$A$4:$I$1151,6,FALSE)</f>
        <v>#N/A</v>
      </c>
      <c r="AI464" s="7" t="e">
        <f t="shared" ref="AI464:AI515" si="200">VLOOKUP(AB464,$BQ$17:$BU$21,2,FALSE)</f>
        <v>#N/A</v>
      </c>
      <c r="AJ464" s="7" t="e">
        <f t="shared" ref="AJ464:AJ515" si="201">IF(AND(L464="あり",M464="なし",AC464="軽"),AL464,IF(AND(L464="あり",M464="あり(H17なし)",AC464="軽"),AL464,IF(AND(L464="あり",M464="",AC464="軽"),AL464,IF(AND(L464="なし",M464="あり(H17なし)",AC464="軽"),AM464,IF(AND(L464="",M464="あり(H17なし)",AC464="軽"),AM464,IF(AND(M464="あり(H17あり)",AC464="軽"),AN464,AK464))))))</f>
        <v>#N/A</v>
      </c>
      <c r="AK464" s="472" t="e">
        <f>VLOOKUP(AF464,'排出係数(2017)'!$A$4:$I$1151,7,FALSE)</f>
        <v>#N/A</v>
      </c>
      <c r="AL464" s="7" t="e">
        <f t="shared" ref="AL464:AL515" si="202">VLOOKUP(AB464,$BQ$17:$BU$21,3,FALSE)</f>
        <v>#N/A</v>
      </c>
      <c r="AM464" s="7" t="e">
        <f t="shared" ref="AM464:AM515" si="203">VLOOKUP(AB464,$BQ$17:$BU$21,4,FALSE)</f>
        <v>#N/A</v>
      </c>
      <c r="AN464" s="7" t="e">
        <f t="shared" ref="AN464:AN515" si="204">VLOOKUP(AB464,$BQ$17:$BU$21,5,FALSE)</f>
        <v>#N/A</v>
      </c>
      <c r="AO464" s="7">
        <f t="shared" ref="AO464:AO515" si="205">IF(AND(L464="なし",M464="なし"),0,IF(AND(L464="",M464=""),0,IF(AND(L464="",M464="なし"),0,IF(AND(L464="なし",M464=""),0,1))))</f>
        <v>0</v>
      </c>
      <c r="AP464" s="7" t="e">
        <f t="shared" si="187"/>
        <v>#N/A</v>
      </c>
      <c r="AQ464" s="7" t="str">
        <f t="shared" ref="AQ464:AQ515" si="206">IF(H464="","",VLOOKUP(H464,$AU$17:$AY$25,5,FALSE))</f>
        <v/>
      </c>
      <c r="AR464" s="7" t="str">
        <f t="shared" ref="AR464:AR515" si="207">IF(D464="","",VLOOKUP(CONCATENATE("A",LEFT(D464)),$BN$17:$BO$26,2,FALSE))</f>
        <v/>
      </c>
      <c r="AS464" s="7" t="str">
        <f t="shared" ref="AS464:AS515" si="208">IF(AQ464=AR464,"",1)</f>
        <v/>
      </c>
      <c r="AT464" s="97"/>
      <c r="AZ464" s="477" t="s">
        <v>2552</v>
      </c>
      <c r="CF464" s="586" t="str">
        <f t="shared" si="188"/>
        <v/>
      </c>
      <c r="CG464"/>
      <c r="CH464"/>
    </row>
    <row r="465" spans="1:86" s="13" customFormat="1" ht="13.75" customHeight="1">
      <c r="A465" s="137">
        <v>450</v>
      </c>
      <c r="B465" s="138"/>
      <c r="C465" s="139"/>
      <c r="D465" s="140"/>
      <c r="E465" s="139"/>
      <c r="F465" s="139"/>
      <c r="G465" s="191"/>
      <c r="H465" s="139"/>
      <c r="I465" s="141"/>
      <c r="J465" s="142"/>
      <c r="K465" s="139"/>
      <c r="L465" s="147"/>
      <c r="M465" s="148"/>
      <c r="N465" s="583"/>
      <c r="O465" s="229" t="str">
        <f t="shared" ref="O465:O515" si="209">IF(ISBLANK(K465)=TRUE,"",IF(ISNUMBER(AG465)=TRUE,AG465,"0"))</f>
        <v/>
      </c>
      <c r="P465" s="229" t="str">
        <f t="shared" ref="P465:P515" si="210">IF(ISBLANK($K465)=TRUE,"",IF(ISNUMBER(AJ465)=TRUE,AJ465,"0"))</f>
        <v/>
      </c>
      <c r="Q465" s="230" t="str">
        <f t="shared" ref="Q465:Q515" si="211">IF(O465="","",IF(ISERROR(O465*N465*Z465),"0",IF(ISBLANK(O465)=TRUE,"0",IF(ISBLANK(N465)=TRUE,"0",IF(AS465=1,"0",O465*N465*Z465/1000)))))</f>
        <v/>
      </c>
      <c r="R465" s="323" t="str">
        <f t="shared" ref="R465:R515" si="212">IF(P465="","",IF(ISERROR(P465*N465*Z465),"0",IF(ISBLANK(P465)=TRUE,"0",IF(ISBLANK(N465)=TRUE,"0",IF(AS465=1,"0",P465*N465*Z465/1000)))))</f>
        <v/>
      </c>
      <c r="S465" s="350"/>
      <c r="T465" s="43"/>
      <c r="U465" s="347" t="str">
        <f t="shared" si="189"/>
        <v/>
      </c>
      <c r="V465" s="7" t="e">
        <f t="shared" si="190"/>
        <v>#N/A</v>
      </c>
      <c r="W465" s="7" t="e">
        <f t="shared" si="191"/>
        <v>#N/A</v>
      </c>
      <c r="X465" s="7" t="e">
        <f t="shared" si="192"/>
        <v>#N/A</v>
      </c>
      <c r="Y465" s="7" t="str">
        <f t="shared" si="193"/>
        <v/>
      </c>
      <c r="Z465" s="11">
        <f t="shared" si="194"/>
        <v>1</v>
      </c>
      <c r="AA465" s="7" t="e">
        <f t="shared" si="195"/>
        <v>#N/A</v>
      </c>
      <c r="AB465" s="7" t="e">
        <f t="shared" si="196"/>
        <v>#N/A</v>
      </c>
      <c r="AC465" s="7" t="e">
        <f t="shared" si="197"/>
        <v>#N/A</v>
      </c>
      <c r="AD465" s="472" t="e">
        <f>VLOOKUP(AF465,'排出係数(2017)'!$A$4:$I$1151,9,FALSE)</f>
        <v>#N/A</v>
      </c>
      <c r="AE465" s="12" t="str">
        <f t="shared" si="198"/>
        <v xml:space="preserve"> </v>
      </c>
      <c r="AF465" s="7" t="e">
        <f t="shared" ref="AF465:AF515" si="213">CONCATENATE(V465,AB465,AC465,Y465)</f>
        <v>#N/A</v>
      </c>
      <c r="AG465" s="7" t="e">
        <f t="shared" si="199"/>
        <v>#N/A</v>
      </c>
      <c r="AH465" s="472" t="e">
        <f>VLOOKUP(AF465,'排出係数(2017)'!$A$4:$I$1151,6,FALSE)</f>
        <v>#N/A</v>
      </c>
      <c r="AI465" s="7" t="e">
        <f t="shared" si="200"/>
        <v>#N/A</v>
      </c>
      <c r="AJ465" s="7" t="e">
        <f t="shared" si="201"/>
        <v>#N/A</v>
      </c>
      <c r="AK465" s="472" t="e">
        <f>VLOOKUP(AF465,'排出係数(2017)'!$A$4:$I$1151,7,FALSE)</f>
        <v>#N/A</v>
      </c>
      <c r="AL465" s="7" t="e">
        <f t="shared" si="202"/>
        <v>#N/A</v>
      </c>
      <c r="AM465" s="7" t="e">
        <f t="shared" si="203"/>
        <v>#N/A</v>
      </c>
      <c r="AN465" s="7" t="e">
        <f t="shared" si="204"/>
        <v>#N/A</v>
      </c>
      <c r="AO465" s="7">
        <f t="shared" si="205"/>
        <v>0</v>
      </c>
      <c r="AP465" s="7" t="e">
        <f t="shared" ref="AP465:AP515" si="214">VLOOKUP(AF465,排出係数表,8,FALSE)</f>
        <v>#N/A</v>
      </c>
      <c r="AQ465" s="7" t="str">
        <f t="shared" si="206"/>
        <v/>
      </c>
      <c r="AR465" s="7" t="str">
        <f t="shared" si="207"/>
        <v/>
      </c>
      <c r="AS465" s="7" t="str">
        <f t="shared" si="208"/>
        <v/>
      </c>
      <c r="AT465" s="97"/>
      <c r="AZ465" s="477" t="s">
        <v>2553</v>
      </c>
      <c r="CF465" s="586" t="str">
        <f t="shared" ref="CF465:CF515" si="215">IF(COUNTA(B465:F465,H465:K465)&gt;0,IF(OR(ISNUMBER(AH465)=FALSE,ISNUMBER(AK465)=FALSE,COUNTA(B465:F465,H465:K465)&lt;9),"×","〇"),"")</f>
        <v/>
      </c>
      <c r="CG465"/>
      <c r="CH465"/>
    </row>
    <row r="466" spans="1:86" s="13" customFormat="1" ht="13.75" customHeight="1">
      <c r="A466" s="137">
        <v>451</v>
      </c>
      <c r="B466" s="138"/>
      <c r="C466" s="139"/>
      <c r="D466" s="140"/>
      <c r="E466" s="139"/>
      <c r="F466" s="139"/>
      <c r="G466" s="191"/>
      <c r="H466" s="139"/>
      <c r="I466" s="141"/>
      <c r="J466" s="142"/>
      <c r="K466" s="139"/>
      <c r="L466" s="147"/>
      <c r="M466" s="148"/>
      <c r="N466" s="583"/>
      <c r="O466" s="229" t="str">
        <f t="shared" si="209"/>
        <v/>
      </c>
      <c r="P466" s="229" t="str">
        <f t="shared" si="210"/>
        <v/>
      </c>
      <c r="Q466" s="230" t="str">
        <f t="shared" si="211"/>
        <v/>
      </c>
      <c r="R466" s="323" t="str">
        <f t="shared" si="212"/>
        <v/>
      </c>
      <c r="S466" s="350"/>
      <c r="T466" s="43"/>
      <c r="U466" s="347" t="str">
        <f t="shared" si="189"/>
        <v/>
      </c>
      <c r="V466" s="7" t="e">
        <f t="shared" si="190"/>
        <v>#N/A</v>
      </c>
      <c r="W466" s="7" t="e">
        <f t="shared" si="191"/>
        <v>#N/A</v>
      </c>
      <c r="X466" s="7" t="e">
        <f t="shared" si="192"/>
        <v>#N/A</v>
      </c>
      <c r="Y466" s="7" t="str">
        <f t="shared" si="193"/>
        <v/>
      </c>
      <c r="Z466" s="11">
        <f t="shared" si="194"/>
        <v>1</v>
      </c>
      <c r="AA466" s="7" t="e">
        <f t="shared" si="195"/>
        <v>#N/A</v>
      </c>
      <c r="AB466" s="7" t="e">
        <f t="shared" si="196"/>
        <v>#N/A</v>
      </c>
      <c r="AC466" s="7" t="e">
        <f t="shared" si="197"/>
        <v>#N/A</v>
      </c>
      <c r="AD466" s="472" t="e">
        <f>VLOOKUP(AF466,'排出係数(2017)'!$A$4:$I$1151,9,FALSE)</f>
        <v>#N/A</v>
      </c>
      <c r="AE466" s="12" t="str">
        <f t="shared" si="198"/>
        <v xml:space="preserve"> </v>
      </c>
      <c r="AF466" s="7" t="e">
        <f t="shared" si="213"/>
        <v>#N/A</v>
      </c>
      <c r="AG466" s="7" t="e">
        <f t="shared" si="199"/>
        <v>#N/A</v>
      </c>
      <c r="AH466" s="472" t="e">
        <f>VLOOKUP(AF466,'排出係数(2017)'!$A$4:$I$1151,6,FALSE)</f>
        <v>#N/A</v>
      </c>
      <c r="AI466" s="7" t="e">
        <f t="shared" si="200"/>
        <v>#N/A</v>
      </c>
      <c r="AJ466" s="7" t="e">
        <f t="shared" si="201"/>
        <v>#N/A</v>
      </c>
      <c r="AK466" s="472" t="e">
        <f>VLOOKUP(AF466,'排出係数(2017)'!$A$4:$I$1151,7,FALSE)</f>
        <v>#N/A</v>
      </c>
      <c r="AL466" s="7" t="e">
        <f t="shared" si="202"/>
        <v>#N/A</v>
      </c>
      <c r="AM466" s="7" t="e">
        <f t="shared" si="203"/>
        <v>#N/A</v>
      </c>
      <c r="AN466" s="7" t="e">
        <f t="shared" si="204"/>
        <v>#N/A</v>
      </c>
      <c r="AO466" s="7">
        <f t="shared" si="205"/>
        <v>0</v>
      </c>
      <c r="AP466" s="7" t="e">
        <f t="shared" si="214"/>
        <v>#N/A</v>
      </c>
      <c r="AQ466" s="7" t="str">
        <f t="shared" si="206"/>
        <v/>
      </c>
      <c r="AR466" s="7" t="str">
        <f t="shared" si="207"/>
        <v/>
      </c>
      <c r="AS466" s="7" t="str">
        <f t="shared" si="208"/>
        <v/>
      </c>
      <c r="AT466" s="97"/>
      <c r="AZ466" s="477" t="s">
        <v>2554</v>
      </c>
      <c r="CF466" s="586" t="str">
        <f t="shared" si="215"/>
        <v/>
      </c>
      <c r="CG466"/>
      <c r="CH466"/>
    </row>
    <row r="467" spans="1:86" s="13" customFormat="1" ht="13.75" customHeight="1">
      <c r="A467" s="137">
        <v>452</v>
      </c>
      <c r="B467" s="138"/>
      <c r="C467" s="139"/>
      <c r="D467" s="140"/>
      <c r="E467" s="139"/>
      <c r="F467" s="139"/>
      <c r="G467" s="191"/>
      <c r="H467" s="139"/>
      <c r="I467" s="141"/>
      <c r="J467" s="142"/>
      <c r="K467" s="139"/>
      <c r="L467" s="147"/>
      <c r="M467" s="148"/>
      <c r="N467" s="583"/>
      <c r="O467" s="229" t="str">
        <f t="shared" si="209"/>
        <v/>
      </c>
      <c r="P467" s="229" t="str">
        <f t="shared" si="210"/>
        <v/>
      </c>
      <c r="Q467" s="230" t="str">
        <f t="shared" si="211"/>
        <v/>
      </c>
      <c r="R467" s="323" t="str">
        <f t="shared" si="212"/>
        <v/>
      </c>
      <c r="S467" s="350"/>
      <c r="T467" s="43"/>
      <c r="U467" s="347" t="str">
        <f t="shared" si="189"/>
        <v/>
      </c>
      <c r="V467" s="7" t="e">
        <f t="shared" si="190"/>
        <v>#N/A</v>
      </c>
      <c r="W467" s="7" t="e">
        <f t="shared" si="191"/>
        <v>#N/A</v>
      </c>
      <c r="X467" s="7" t="e">
        <f t="shared" si="192"/>
        <v>#N/A</v>
      </c>
      <c r="Y467" s="7" t="str">
        <f t="shared" si="193"/>
        <v/>
      </c>
      <c r="Z467" s="11">
        <f t="shared" si="194"/>
        <v>1</v>
      </c>
      <c r="AA467" s="7" t="e">
        <f t="shared" si="195"/>
        <v>#N/A</v>
      </c>
      <c r="AB467" s="7" t="e">
        <f t="shared" si="196"/>
        <v>#N/A</v>
      </c>
      <c r="AC467" s="7" t="e">
        <f t="shared" si="197"/>
        <v>#N/A</v>
      </c>
      <c r="AD467" s="472" t="e">
        <f>VLOOKUP(AF467,'排出係数(2017)'!$A$4:$I$1151,9,FALSE)</f>
        <v>#N/A</v>
      </c>
      <c r="AE467" s="12" t="str">
        <f t="shared" si="198"/>
        <v xml:space="preserve"> </v>
      </c>
      <c r="AF467" s="7" t="e">
        <f t="shared" si="213"/>
        <v>#N/A</v>
      </c>
      <c r="AG467" s="7" t="e">
        <f t="shared" si="199"/>
        <v>#N/A</v>
      </c>
      <c r="AH467" s="472" t="e">
        <f>VLOOKUP(AF467,'排出係数(2017)'!$A$4:$I$1151,6,FALSE)</f>
        <v>#N/A</v>
      </c>
      <c r="AI467" s="7" t="e">
        <f t="shared" si="200"/>
        <v>#N/A</v>
      </c>
      <c r="AJ467" s="7" t="e">
        <f t="shared" si="201"/>
        <v>#N/A</v>
      </c>
      <c r="AK467" s="472" t="e">
        <f>VLOOKUP(AF467,'排出係数(2017)'!$A$4:$I$1151,7,FALSE)</f>
        <v>#N/A</v>
      </c>
      <c r="AL467" s="7" t="e">
        <f t="shared" si="202"/>
        <v>#N/A</v>
      </c>
      <c r="AM467" s="7" t="e">
        <f t="shared" si="203"/>
        <v>#N/A</v>
      </c>
      <c r="AN467" s="7" t="e">
        <f t="shared" si="204"/>
        <v>#N/A</v>
      </c>
      <c r="AO467" s="7">
        <f t="shared" si="205"/>
        <v>0</v>
      </c>
      <c r="AP467" s="7" t="e">
        <f t="shared" si="214"/>
        <v>#N/A</v>
      </c>
      <c r="AQ467" s="7" t="str">
        <f t="shared" si="206"/>
        <v/>
      </c>
      <c r="AR467" s="7" t="str">
        <f t="shared" si="207"/>
        <v/>
      </c>
      <c r="AS467" s="7" t="str">
        <f t="shared" si="208"/>
        <v/>
      </c>
      <c r="AT467" s="97"/>
      <c r="AZ467" s="477" t="s">
        <v>1091</v>
      </c>
      <c r="CF467" s="586" t="str">
        <f t="shared" si="215"/>
        <v/>
      </c>
      <c r="CG467"/>
      <c r="CH467"/>
    </row>
    <row r="468" spans="1:86" s="13" customFormat="1" ht="13.75" customHeight="1">
      <c r="A468" s="137">
        <v>453</v>
      </c>
      <c r="B468" s="138"/>
      <c r="C468" s="139"/>
      <c r="D468" s="140"/>
      <c r="E468" s="139"/>
      <c r="F468" s="139"/>
      <c r="G468" s="191"/>
      <c r="H468" s="139"/>
      <c r="I468" s="141"/>
      <c r="J468" s="142"/>
      <c r="K468" s="139"/>
      <c r="L468" s="147"/>
      <c r="M468" s="148"/>
      <c r="N468" s="583"/>
      <c r="O468" s="229" t="str">
        <f t="shared" si="209"/>
        <v/>
      </c>
      <c r="P468" s="229" t="str">
        <f t="shared" si="210"/>
        <v/>
      </c>
      <c r="Q468" s="230" t="str">
        <f t="shared" si="211"/>
        <v/>
      </c>
      <c r="R468" s="323" t="str">
        <f t="shared" si="212"/>
        <v/>
      </c>
      <c r="S468" s="350"/>
      <c r="T468" s="43"/>
      <c r="U468" s="347" t="str">
        <f t="shared" si="189"/>
        <v/>
      </c>
      <c r="V468" s="7" t="e">
        <f t="shared" si="190"/>
        <v>#N/A</v>
      </c>
      <c r="W468" s="7" t="e">
        <f t="shared" si="191"/>
        <v>#N/A</v>
      </c>
      <c r="X468" s="7" t="e">
        <f t="shared" si="192"/>
        <v>#N/A</v>
      </c>
      <c r="Y468" s="7" t="str">
        <f t="shared" si="193"/>
        <v/>
      </c>
      <c r="Z468" s="11">
        <f t="shared" si="194"/>
        <v>1</v>
      </c>
      <c r="AA468" s="7" t="e">
        <f t="shared" si="195"/>
        <v>#N/A</v>
      </c>
      <c r="AB468" s="7" t="e">
        <f t="shared" si="196"/>
        <v>#N/A</v>
      </c>
      <c r="AC468" s="7" t="e">
        <f t="shared" si="197"/>
        <v>#N/A</v>
      </c>
      <c r="AD468" s="472" t="e">
        <f>VLOOKUP(AF468,'排出係数(2017)'!$A$4:$I$1151,9,FALSE)</f>
        <v>#N/A</v>
      </c>
      <c r="AE468" s="12" t="str">
        <f t="shared" si="198"/>
        <v xml:space="preserve"> </v>
      </c>
      <c r="AF468" s="7" t="e">
        <f t="shared" si="213"/>
        <v>#N/A</v>
      </c>
      <c r="AG468" s="7" t="e">
        <f t="shared" si="199"/>
        <v>#N/A</v>
      </c>
      <c r="AH468" s="472" t="e">
        <f>VLOOKUP(AF468,'排出係数(2017)'!$A$4:$I$1151,6,FALSE)</f>
        <v>#N/A</v>
      </c>
      <c r="AI468" s="7" t="e">
        <f t="shared" si="200"/>
        <v>#N/A</v>
      </c>
      <c r="AJ468" s="7" t="e">
        <f t="shared" si="201"/>
        <v>#N/A</v>
      </c>
      <c r="AK468" s="472" t="e">
        <f>VLOOKUP(AF468,'排出係数(2017)'!$A$4:$I$1151,7,FALSE)</f>
        <v>#N/A</v>
      </c>
      <c r="AL468" s="7" t="e">
        <f t="shared" si="202"/>
        <v>#N/A</v>
      </c>
      <c r="AM468" s="7" t="e">
        <f t="shared" si="203"/>
        <v>#N/A</v>
      </c>
      <c r="AN468" s="7" t="e">
        <f t="shared" si="204"/>
        <v>#N/A</v>
      </c>
      <c r="AO468" s="7">
        <f t="shared" si="205"/>
        <v>0</v>
      </c>
      <c r="AP468" s="7" t="e">
        <f t="shared" si="214"/>
        <v>#N/A</v>
      </c>
      <c r="AQ468" s="7" t="str">
        <f t="shared" si="206"/>
        <v/>
      </c>
      <c r="AR468" s="7" t="str">
        <f t="shared" si="207"/>
        <v/>
      </c>
      <c r="AS468" s="7" t="str">
        <f t="shared" si="208"/>
        <v/>
      </c>
      <c r="AT468" s="97"/>
      <c r="AZ468" s="477" t="s">
        <v>1083</v>
      </c>
      <c r="CF468" s="586" t="str">
        <f t="shared" si="215"/>
        <v/>
      </c>
      <c r="CG468"/>
      <c r="CH468"/>
    </row>
    <row r="469" spans="1:86" s="13" customFormat="1" ht="13.75" customHeight="1">
      <c r="A469" s="137">
        <v>454</v>
      </c>
      <c r="B469" s="138"/>
      <c r="C469" s="139"/>
      <c r="D469" s="140"/>
      <c r="E469" s="139"/>
      <c r="F469" s="139"/>
      <c r="G469" s="191"/>
      <c r="H469" s="139"/>
      <c r="I469" s="141"/>
      <c r="J469" s="142"/>
      <c r="K469" s="139"/>
      <c r="L469" s="147"/>
      <c r="M469" s="148"/>
      <c r="N469" s="583"/>
      <c r="O469" s="229" t="str">
        <f t="shared" si="209"/>
        <v/>
      </c>
      <c r="P469" s="229" t="str">
        <f t="shared" si="210"/>
        <v/>
      </c>
      <c r="Q469" s="230" t="str">
        <f t="shared" si="211"/>
        <v/>
      </c>
      <c r="R469" s="323" t="str">
        <f t="shared" si="212"/>
        <v/>
      </c>
      <c r="S469" s="350"/>
      <c r="T469" s="43"/>
      <c r="U469" s="347" t="str">
        <f t="shared" si="189"/>
        <v/>
      </c>
      <c r="V469" s="7" t="e">
        <f t="shared" si="190"/>
        <v>#N/A</v>
      </c>
      <c r="W469" s="7" t="e">
        <f t="shared" si="191"/>
        <v>#N/A</v>
      </c>
      <c r="X469" s="7" t="e">
        <f t="shared" si="192"/>
        <v>#N/A</v>
      </c>
      <c r="Y469" s="7" t="str">
        <f t="shared" si="193"/>
        <v/>
      </c>
      <c r="Z469" s="11">
        <f t="shared" si="194"/>
        <v>1</v>
      </c>
      <c r="AA469" s="7" t="e">
        <f t="shared" si="195"/>
        <v>#N/A</v>
      </c>
      <c r="AB469" s="7" t="e">
        <f t="shared" si="196"/>
        <v>#N/A</v>
      </c>
      <c r="AC469" s="7" t="e">
        <f t="shared" si="197"/>
        <v>#N/A</v>
      </c>
      <c r="AD469" s="472" t="e">
        <f>VLOOKUP(AF469,'排出係数(2017)'!$A$4:$I$1151,9,FALSE)</f>
        <v>#N/A</v>
      </c>
      <c r="AE469" s="12" t="str">
        <f t="shared" si="198"/>
        <v xml:space="preserve"> </v>
      </c>
      <c r="AF469" s="7" t="e">
        <f t="shared" si="213"/>
        <v>#N/A</v>
      </c>
      <c r="AG469" s="7" t="e">
        <f t="shared" si="199"/>
        <v>#N/A</v>
      </c>
      <c r="AH469" s="472" t="e">
        <f>VLOOKUP(AF469,'排出係数(2017)'!$A$4:$I$1151,6,FALSE)</f>
        <v>#N/A</v>
      </c>
      <c r="AI469" s="7" t="e">
        <f t="shared" si="200"/>
        <v>#N/A</v>
      </c>
      <c r="AJ469" s="7" t="e">
        <f t="shared" si="201"/>
        <v>#N/A</v>
      </c>
      <c r="AK469" s="472" t="e">
        <f>VLOOKUP(AF469,'排出係数(2017)'!$A$4:$I$1151,7,FALSE)</f>
        <v>#N/A</v>
      </c>
      <c r="AL469" s="7" t="e">
        <f t="shared" si="202"/>
        <v>#N/A</v>
      </c>
      <c r="AM469" s="7" t="e">
        <f t="shared" si="203"/>
        <v>#N/A</v>
      </c>
      <c r="AN469" s="7" t="e">
        <f t="shared" si="204"/>
        <v>#N/A</v>
      </c>
      <c r="AO469" s="7">
        <f t="shared" si="205"/>
        <v>0</v>
      </c>
      <c r="AP469" s="7" t="e">
        <f t="shared" si="214"/>
        <v>#N/A</v>
      </c>
      <c r="AQ469" s="7" t="str">
        <f t="shared" si="206"/>
        <v/>
      </c>
      <c r="AR469" s="7" t="str">
        <f t="shared" si="207"/>
        <v/>
      </c>
      <c r="AS469" s="7" t="str">
        <f t="shared" si="208"/>
        <v/>
      </c>
      <c r="AT469" s="97"/>
      <c r="AZ469" s="477" t="s">
        <v>1093</v>
      </c>
      <c r="CF469" s="586" t="str">
        <f t="shared" si="215"/>
        <v/>
      </c>
      <c r="CG469"/>
      <c r="CH469"/>
    </row>
    <row r="470" spans="1:86" s="13" customFormat="1" ht="13.75" customHeight="1">
      <c r="A470" s="137">
        <v>455</v>
      </c>
      <c r="B470" s="138"/>
      <c r="C470" s="139"/>
      <c r="D470" s="140"/>
      <c r="E470" s="139"/>
      <c r="F470" s="139"/>
      <c r="G470" s="191"/>
      <c r="H470" s="139"/>
      <c r="I470" s="141"/>
      <c r="J470" s="142"/>
      <c r="K470" s="139"/>
      <c r="L470" s="147"/>
      <c r="M470" s="148"/>
      <c r="N470" s="583"/>
      <c r="O470" s="229" t="str">
        <f t="shared" si="209"/>
        <v/>
      </c>
      <c r="P470" s="229" t="str">
        <f t="shared" si="210"/>
        <v/>
      </c>
      <c r="Q470" s="230" t="str">
        <f t="shared" si="211"/>
        <v/>
      </c>
      <c r="R470" s="323" t="str">
        <f t="shared" si="212"/>
        <v/>
      </c>
      <c r="S470" s="350"/>
      <c r="T470" s="43"/>
      <c r="U470" s="347" t="str">
        <f t="shared" si="189"/>
        <v/>
      </c>
      <c r="V470" s="7" t="e">
        <f t="shared" si="190"/>
        <v>#N/A</v>
      </c>
      <c r="W470" s="7" t="e">
        <f t="shared" si="191"/>
        <v>#N/A</v>
      </c>
      <c r="X470" s="7" t="e">
        <f t="shared" si="192"/>
        <v>#N/A</v>
      </c>
      <c r="Y470" s="7" t="str">
        <f t="shared" si="193"/>
        <v/>
      </c>
      <c r="Z470" s="11">
        <f t="shared" si="194"/>
        <v>1</v>
      </c>
      <c r="AA470" s="7" t="e">
        <f t="shared" si="195"/>
        <v>#N/A</v>
      </c>
      <c r="AB470" s="7" t="e">
        <f t="shared" si="196"/>
        <v>#N/A</v>
      </c>
      <c r="AC470" s="7" t="e">
        <f t="shared" si="197"/>
        <v>#N/A</v>
      </c>
      <c r="AD470" s="472" t="e">
        <f>VLOOKUP(AF470,'排出係数(2017)'!$A$4:$I$1151,9,FALSE)</f>
        <v>#N/A</v>
      </c>
      <c r="AE470" s="12" t="str">
        <f t="shared" si="198"/>
        <v xml:space="preserve"> </v>
      </c>
      <c r="AF470" s="7" t="e">
        <f t="shared" si="213"/>
        <v>#N/A</v>
      </c>
      <c r="AG470" s="7" t="e">
        <f t="shared" si="199"/>
        <v>#N/A</v>
      </c>
      <c r="AH470" s="472" t="e">
        <f>VLOOKUP(AF470,'排出係数(2017)'!$A$4:$I$1151,6,FALSE)</f>
        <v>#N/A</v>
      </c>
      <c r="AI470" s="7" t="e">
        <f t="shared" si="200"/>
        <v>#N/A</v>
      </c>
      <c r="AJ470" s="7" t="e">
        <f t="shared" si="201"/>
        <v>#N/A</v>
      </c>
      <c r="AK470" s="472" t="e">
        <f>VLOOKUP(AF470,'排出係数(2017)'!$A$4:$I$1151,7,FALSE)</f>
        <v>#N/A</v>
      </c>
      <c r="AL470" s="7" t="e">
        <f t="shared" si="202"/>
        <v>#N/A</v>
      </c>
      <c r="AM470" s="7" t="e">
        <f t="shared" si="203"/>
        <v>#N/A</v>
      </c>
      <c r="AN470" s="7" t="e">
        <f t="shared" si="204"/>
        <v>#N/A</v>
      </c>
      <c r="AO470" s="7">
        <f t="shared" si="205"/>
        <v>0</v>
      </c>
      <c r="AP470" s="7" t="e">
        <f t="shared" si="214"/>
        <v>#N/A</v>
      </c>
      <c r="AQ470" s="7" t="str">
        <f t="shared" si="206"/>
        <v/>
      </c>
      <c r="AR470" s="7" t="str">
        <f t="shared" si="207"/>
        <v/>
      </c>
      <c r="AS470" s="7" t="str">
        <f t="shared" si="208"/>
        <v/>
      </c>
      <c r="AT470" s="97"/>
      <c r="AZ470" s="477" t="s">
        <v>1085</v>
      </c>
      <c r="CF470" s="586" t="str">
        <f t="shared" si="215"/>
        <v/>
      </c>
      <c r="CG470"/>
      <c r="CH470"/>
    </row>
    <row r="471" spans="1:86" s="13" customFormat="1" ht="13.75" customHeight="1">
      <c r="A471" s="137">
        <v>456</v>
      </c>
      <c r="B471" s="138"/>
      <c r="C471" s="139"/>
      <c r="D471" s="140"/>
      <c r="E471" s="139"/>
      <c r="F471" s="139"/>
      <c r="G471" s="191"/>
      <c r="H471" s="139"/>
      <c r="I471" s="141"/>
      <c r="J471" s="142"/>
      <c r="K471" s="139"/>
      <c r="L471" s="147"/>
      <c r="M471" s="148"/>
      <c r="N471" s="583"/>
      <c r="O471" s="229" t="str">
        <f t="shared" si="209"/>
        <v/>
      </c>
      <c r="P471" s="229" t="str">
        <f t="shared" si="210"/>
        <v/>
      </c>
      <c r="Q471" s="230" t="str">
        <f t="shared" si="211"/>
        <v/>
      </c>
      <c r="R471" s="323" t="str">
        <f t="shared" si="212"/>
        <v/>
      </c>
      <c r="S471" s="350"/>
      <c r="T471" s="43"/>
      <c r="U471" s="347" t="str">
        <f t="shared" si="189"/>
        <v/>
      </c>
      <c r="V471" s="7" t="e">
        <f t="shared" si="190"/>
        <v>#N/A</v>
      </c>
      <c r="W471" s="7" t="e">
        <f t="shared" si="191"/>
        <v>#N/A</v>
      </c>
      <c r="X471" s="7" t="e">
        <f t="shared" si="192"/>
        <v>#N/A</v>
      </c>
      <c r="Y471" s="7" t="str">
        <f t="shared" si="193"/>
        <v/>
      </c>
      <c r="Z471" s="11">
        <f t="shared" si="194"/>
        <v>1</v>
      </c>
      <c r="AA471" s="7" t="e">
        <f t="shared" si="195"/>
        <v>#N/A</v>
      </c>
      <c r="AB471" s="7" t="e">
        <f t="shared" si="196"/>
        <v>#N/A</v>
      </c>
      <c r="AC471" s="7" t="e">
        <f t="shared" si="197"/>
        <v>#N/A</v>
      </c>
      <c r="AD471" s="472" t="e">
        <f>VLOOKUP(AF471,'排出係数(2017)'!$A$4:$I$1151,9,FALSE)</f>
        <v>#N/A</v>
      </c>
      <c r="AE471" s="12" t="str">
        <f t="shared" si="198"/>
        <v xml:space="preserve"> </v>
      </c>
      <c r="AF471" s="7" t="e">
        <f t="shared" si="213"/>
        <v>#N/A</v>
      </c>
      <c r="AG471" s="7" t="e">
        <f t="shared" si="199"/>
        <v>#N/A</v>
      </c>
      <c r="AH471" s="472" t="e">
        <f>VLOOKUP(AF471,'排出係数(2017)'!$A$4:$I$1151,6,FALSE)</f>
        <v>#N/A</v>
      </c>
      <c r="AI471" s="7" t="e">
        <f t="shared" si="200"/>
        <v>#N/A</v>
      </c>
      <c r="AJ471" s="7" t="e">
        <f t="shared" si="201"/>
        <v>#N/A</v>
      </c>
      <c r="AK471" s="472" t="e">
        <f>VLOOKUP(AF471,'排出係数(2017)'!$A$4:$I$1151,7,FALSE)</f>
        <v>#N/A</v>
      </c>
      <c r="AL471" s="7" t="e">
        <f t="shared" si="202"/>
        <v>#N/A</v>
      </c>
      <c r="AM471" s="7" t="e">
        <f t="shared" si="203"/>
        <v>#N/A</v>
      </c>
      <c r="AN471" s="7" t="e">
        <f t="shared" si="204"/>
        <v>#N/A</v>
      </c>
      <c r="AO471" s="7">
        <f t="shared" si="205"/>
        <v>0</v>
      </c>
      <c r="AP471" s="7" t="e">
        <f t="shared" si="214"/>
        <v>#N/A</v>
      </c>
      <c r="AQ471" s="7" t="str">
        <f t="shared" si="206"/>
        <v/>
      </c>
      <c r="AR471" s="7" t="str">
        <f t="shared" si="207"/>
        <v/>
      </c>
      <c r="AS471" s="7" t="str">
        <f t="shared" si="208"/>
        <v/>
      </c>
      <c r="AT471" s="97"/>
      <c r="AZ471" s="477" t="s">
        <v>12</v>
      </c>
      <c r="CF471" s="586" t="str">
        <f t="shared" si="215"/>
        <v/>
      </c>
      <c r="CG471"/>
      <c r="CH471"/>
    </row>
    <row r="472" spans="1:86" s="13" customFormat="1" ht="13.75" customHeight="1">
      <c r="A472" s="137">
        <v>457</v>
      </c>
      <c r="B472" s="138"/>
      <c r="C472" s="139"/>
      <c r="D472" s="140"/>
      <c r="E472" s="139"/>
      <c r="F472" s="139"/>
      <c r="G472" s="191"/>
      <c r="H472" s="139"/>
      <c r="I472" s="141"/>
      <c r="J472" s="142"/>
      <c r="K472" s="139"/>
      <c r="L472" s="147"/>
      <c r="M472" s="148"/>
      <c r="N472" s="583"/>
      <c r="O472" s="229" t="str">
        <f t="shared" si="209"/>
        <v/>
      </c>
      <c r="P472" s="229" t="str">
        <f t="shared" si="210"/>
        <v/>
      </c>
      <c r="Q472" s="230" t="str">
        <f t="shared" si="211"/>
        <v/>
      </c>
      <c r="R472" s="323" t="str">
        <f t="shared" si="212"/>
        <v/>
      </c>
      <c r="S472" s="350"/>
      <c r="T472" s="43"/>
      <c r="U472" s="347" t="str">
        <f t="shared" si="189"/>
        <v/>
      </c>
      <c r="V472" s="7" t="e">
        <f t="shared" si="190"/>
        <v>#N/A</v>
      </c>
      <c r="W472" s="7" t="e">
        <f t="shared" si="191"/>
        <v>#N/A</v>
      </c>
      <c r="X472" s="7" t="e">
        <f t="shared" si="192"/>
        <v>#N/A</v>
      </c>
      <c r="Y472" s="7" t="str">
        <f t="shared" si="193"/>
        <v/>
      </c>
      <c r="Z472" s="11">
        <f t="shared" si="194"/>
        <v>1</v>
      </c>
      <c r="AA472" s="7" t="e">
        <f t="shared" si="195"/>
        <v>#N/A</v>
      </c>
      <c r="AB472" s="7" t="e">
        <f t="shared" si="196"/>
        <v>#N/A</v>
      </c>
      <c r="AC472" s="7" t="e">
        <f t="shared" si="197"/>
        <v>#N/A</v>
      </c>
      <c r="AD472" s="472" t="e">
        <f>VLOOKUP(AF472,'排出係数(2017)'!$A$4:$I$1151,9,FALSE)</f>
        <v>#N/A</v>
      </c>
      <c r="AE472" s="12" t="str">
        <f t="shared" si="198"/>
        <v xml:space="preserve"> </v>
      </c>
      <c r="AF472" s="7" t="e">
        <f t="shared" si="213"/>
        <v>#N/A</v>
      </c>
      <c r="AG472" s="7" t="e">
        <f t="shared" si="199"/>
        <v>#N/A</v>
      </c>
      <c r="AH472" s="472" t="e">
        <f>VLOOKUP(AF472,'排出係数(2017)'!$A$4:$I$1151,6,FALSE)</f>
        <v>#N/A</v>
      </c>
      <c r="AI472" s="7" t="e">
        <f t="shared" si="200"/>
        <v>#N/A</v>
      </c>
      <c r="AJ472" s="7" t="e">
        <f t="shared" si="201"/>
        <v>#N/A</v>
      </c>
      <c r="AK472" s="472" t="e">
        <f>VLOOKUP(AF472,'排出係数(2017)'!$A$4:$I$1151,7,FALSE)</f>
        <v>#N/A</v>
      </c>
      <c r="AL472" s="7" t="e">
        <f t="shared" si="202"/>
        <v>#N/A</v>
      </c>
      <c r="AM472" s="7" t="e">
        <f t="shared" si="203"/>
        <v>#N/A</v>
      </c>
      <c r="AN472" s="7" t="e">
        <f t="shared" si="204"/>
        <v>#N/A</v>
      </c>
      <c r="AO472" s="7">
        <f t="shared" si="205"/>
        <v>0</v>
      </c>
      <c r="AP472" s="7" t="e">
        <f t="shared" si="214"/>
        <v>#N/A</v>
      </c>
      <c r="AQ472" s="7" t="str">
        <f t="shared" si="206"/>
        <v/>
      </c>
      <c r="AR472" s="7" t="str">
        <f t="shared" si="207"/>
        <v/>
      </c>
      <c r="AS472" s="7" t="str">
        <f t="shared" si="208"/>
        <v/>
      </c>
      <c r="AT472" s="97"/>
      <c r="AZ472" s="477" t="s">
        <v>763</v>
      </c>
      <c r="CF472" s="586" t="str">
        <f t="shared" si="215"/>
        <v/>
      </c>
      <c r="CG472"/>
      <c r="CH472"/>
    </row>
    <row r="473" spans="1:86" s="13" customFormat="1" ht="13.75" customHeight="1">
      <c r="A473" s="137">
        <v>458</v>
      </c>
      <c r="B473" s="138"/>
      <c r="C473" s="139"/>
      <c r="D473" s="140"/>
      <c r="E473" s="139"/>
      <c r="F473" s="139"/>
      <c r="G473" s="191"/>
      <c r="H473" s="139"/>
      <c r="I473" s="141"/>
      <c r="J473" s="142"/>
      <c r="K473" s="139"/>
      <c r="L473" s="147"/>
      <c r="M473" s="148"/>
      <c r="N473" s="583"/>
      <c r="O473" s="229" t="str">
        <f t="shared" si="209"/>
        <v/>
      </c>
      <c r="P473" s="229" t="str">
        <f t="shared" si="210"/>
        <v/>
      </c>
      <c r="Q473" s="230" t="str">
        <f t="shared" si="211"/>
        <v/>
      </c>
      <c r="R473" s="323" t="str">
        <f t="shared" si="212"/>
        <v/>
      </c>
      <c r="S473" s="350"/>
      <c r="T473" s="43"/>
      <c r="U473" s="347" t="str">
        <f t="shared" si="189"/>
        <v/>
      </c>
      <c r="V473" s="7" t="e">
        <f t="shared" si="190"/>
        <v>#N/A</v>
      </c>
      <c r="W473" s="7" t="e">
        <f t="shared" si="191"/>
        <v>#N/A</v>
      </c>
      <c r="X473" s="7" t="e">
        <f t="shared" si="192"/>
        <v>#N/A</v>
      </c>
      <c r="Y473" s="7" t="str">
        <f t="shared" si="193"/>
        <v/>
      </c>
      <c r="Z473" s="11">
        <f t="shared" si="194"/>
        <v>1</v>
      </c>
      <c r="AA473" s="7" t="e">
        <f t="shared" si="195"/>
        <v>#N/A</v>
      </c>
      <c r="AB473" s="7" t="e">
        <f t="shared" si="196"/>
        <v>#N/A</v>
      </c>
      <c r="AC473" s="7" t="e">
        <f t="shared" si="197"/>
        <v>#N/A</v>
      </c>
      <c r="AD473" s="472" t="e">
        <f>VLOOKUP(AF473,'排出係数(2017)'!$A$4:$I$1151,9,FALSE)</f>
        <v>#N/A</v>
      </c>
      <c r="AE473" s="12" t="str">
        <f t="shared" si="198"/>
        <v xml:space="preserve"> </v>
      </c>
      <c r="AF473" s="7" t="e">
        <f t="shared" si="213"/>
        <v>#N/A</v>
      </c>
      <c r="AG473" s="7" t="e">
        <f t="shared" si="199"/>
        <v>#N/A</v>
      </c>
      <c r="AH473" s="472" t="e">
        <f>VLOOKUP(AF473,'排出係数(2017)'!$A$4:$I$1151,6,FALSE)</f>
        <v>#N/A</v>
      </c>
      <c r="AI473" s="7" t="e">
        <f t="shared" si="200"/>
        <v>#N/A</v>
      </c>
      <c r="AJ473" s="7" t="e">
        <f t="shared" si="201"/>
        <v>#N/A</v>
      </c>
      <c r="AK473" s="472" t="e">
        <f>VLOOKUP(AF473,'排出係数(2017)'!$A$4:$I$1151,7,FALSE)</f>
        <v>#N/A</v>
      </c>
      <c r="AL473" s="7" t="e">
        <f t="shared" si="202"/>
        <v>#N/A</v>
      </c>
      <c r="AM473" s="7" t="e">
        <f t="shared" si="203"/>
        <v>#N/A</v>
      </c>
      <c r="AN473" s="7" t="e">
        <f t="shared" si="204"/>
        <v>#N/A</v>
      </c>
      <c r="AO473" s="7">
        <f t="shared" si="205"/>
        <v>0</v>
      </c>
      <c r="AP473" s="7" t="e">
        <f t="shared" si="214"/>
        <v>#N/A</v>
      </c>
      <c r="AQ473" s="7" t="str">
        <f t="shared" si="206"/>
        <v/>
      </c>
      <c r="AR473" s="7" t="str">
        <f t="shared" si="207"/>
        <v/>
      </c>
      <c r="AS473" s="7" t="str">
        <f t="shared" si="208"/>
        <v/>
      </c>
      <c r="AT473" s="97"/>
      <c r="AZ473" s="477" t="s">
        <v>1103</v>
      </c>
      <c r="CF473" s="586" t="str">
        <f t="shared" si="215"/>
        <v/>
      </c>
      <c r="CG473"/>
      <c r="CH473"/>
    </row>
    <row r="474" spans="1:86" s="13" customFormat="1" ht="13.75" customHeight="1">
      <c r="A474" s="137">
        <v>459</v>
      </c>
      <c r="B474" s="138"/>
      <c r="C474" s="139"/>
      <c r="D474" s="140"/>
      <c r="E474" s="139"/>
      <c r="F474" s="139"/>
      <c r="G474" s="191"/>
      <c r="H474" s="139"/>
      <c r="I474" s="141"/>
      <c r="J474" s="142"/>
      <c r="K474" s="139"/>
      <c r="L474" s="147"/>
      <c r="M474" s="148"/>
      <c r="N474" s="583"/>
      <c r="O474" s="229" t="str">
        <f t="shared" si="209"/>
        <v/>
      </c>
      <c r="P474" s="229" t="str">
        <f t="shared" si="210"/>
        <v/>
      </c>
      <c r="Q474" s="230" t="str">
        <f t="shared" si="211"/>
        <v/>
      </c>
      <c r="R474" s="323" t="str">
        <f t="shared" si="212"/>
        <v/>
      </c>
      <c r="S474" s="350"/>
      <c r="T474" s="43"/>
      <c r="U474" s="347" t="str">
        <f t="shared" si="189"/>
        <v/>
      </c>
      <c r="V474" s="7" t="e">
        <f t="shared" si="190"/>
        <v>#N/A</v>
      </c>
      <c r="W474" s="7" t="e">
        <f t="shared" si="191"/>
        <v>#N/A</v>
      </c>
      <c r="X474" s="7" t="e">
        <f t="shared" si="192"/>
        <v>#N/A</v>
      </c>
      <c r="Y474" s="7" t="str">
        <f t="shared" si="193"/>
        <v/>
      </c>
      <c r="Z474" s="11">
        <f t="shared" si="194"/>
        <v>1</v>
      </c>
      <c r="AA474" s="7" t="e">
        <f t="shared" si="195"/>
        <v>#N/A</v>
      </c>
      <c r="AB474" s="7" t="e">
        <f t="shared" si="196"/>
        <v>#N/A</v>
      </c>
      <c r="AC474" s="7" t="e">
        <f t="shared" si="197"/>
        <v>#N/A</v>
      </c>
      <c r="AD474" s="472" t="e">
        <f>VLOOKUP(AF474,'排出係数(2017)'!$A$4:$I$1151,9,FALSE)</f>
        <v>#N/A</v>
      </c>
      <c r="AE474" s="12" t="str">
        <f t="shared" si="198"/>
        <v xml:space="preserve"> </v>
      </c>
      <c r="AF474" s="7" t="e">
        <f t="shared" si="213"/>
        <v>#N/A</v>
      </c>
      <c r="AG474" s="7" t="e">
        <f t="shared" si="199"/>
        <v>#N/A</v>
      </c>
      <c r="AH474" s="472" t="e">
        <f>VLOOKUP(AF474,'排出係数(2017)'!$A$4:$I$1151,6,FALSE)</f>
        <v>#N/A</v>
      </c>
      <c r="AI474" s="7" t="e">
        <f t="shared" si="200"/>
        <v>#N/A</v>
      </c>
      <c r="AJ474" s="7" t="e">
        <f t="shared" si="201"/>
        <v>#N/A</v>
      </c>
      <c r="AK474" s="472" t="e">
        <f>VLOOKUP(AF474,'排出係数(2017)'!$A$4:$I$1151,7,FALSE)</f>
        <v>#N/A</v>
      </c>
      <c r="AL474" s="7" t="e">
        <f t="shared" si="202"/>
        <v>#N/A</v>
      </c>
      <c r="AM474" s="7" t="e">
        <f t="shared" si="203"/>
        <v>#N/A</v>
      </c>
      <c r="AN474" s="7" t="e">
        <f t="shared" si="204"/>
        <v>#N/A</v>
      </c>
      <c r="AO474" s="7">
        <f t="shared" si="205"/>
        <v>0</v>
      </c>
      <c r="AP474" s="7" t="e">
        <f t="shared" si="214"/>
        <v>#N/A</v>
      </c>
      <c r="AQ474" s="7" t="str">
        <f t="shared" si="206"/>
        <v/>
      </c>
      <c r="AR474" s="7" t="str">
        <f t="shared" si="207"/>
        <v/>
      </c>
      <c r="AS474" s="7" t="str">
        <f t="shared" si="208"/>
        <v/>
      </c>
      <c r="AT474" s="97"/>
      <c r="AZ474" s="477" t="s">
        <v>755</v>
      </c>
      <c r="CF474" s="586" t="str">
        <f t="shared" si="215"/>
        <v/>
      </c>
      <c r="CG474"/>
      <c r="CH474"/>
    </row>
    <row r="475" spans="1:86" s="13" customFormat="1" ht="13.75" customHeight="1">
      <c r="A475" s="137">
        <v>460</v>
      </c>
      <c r="B475" s="138"/>
      <c r="C475" s="139"/>
      <c r="D475" s="140"/>
      <c r="E475" s="139"/>
      <c r="F475" s="139"/>
      <c r="G475" s="191"/>
      <c r="H475" s="139"/>
      <c r="I475" s="141"/>
      <c r="J475" s="142"/>
      <c r="K475" s="139"/>
      <c r="L475" s="147"/>
      <c r="M475" s="148"/>
      <c r="N475" s="583"/>
      <c r="O475" s="229" t="str">
        <f t="shared" si="209"/>
        <v/>
      </c>
      <c r="P475" s="229" t="str">
        <f t="shared" si="210"/>
        <v/>
      </c>
      <c r="Q475" s="230" t="str">
        <f t="shared" si="211"/>
        <v/>
      </c>
      <c r="R475" s="323" t="str">
        <f t="shared" si="212"/>
        <v/>
      </c>
      <c r="S475" s="350"/>
      <c r="T475" s="43"/>
      <c r="U475" s="347" t="str">
        <f t="shared" si="189"/>
        <v/>
      </c>
      <c r="V475" s="7" t="e">
        <f t="shared" si="190"/>
        <v>#N/A</v>
      </c>
      <c r="W475" s="7" t="e">
        <f t="shared" si="191"/>
        <v>#N/A</v>
      </c>
      <c r="X475" s="7" t="e">
        <f t="shared" si="192"/>
        <v>#N/A</v>
      </c>
      <c r="Y475" s="7" t="str">
        <f t="shared" si="193"/>
        <v/>
      </c>
      <c r="Z475" s="11">
        <f t="shared" si="194"/>
        <v>1</v>
      </c>
      <c r="AA475" s="7" t="e">
        <f t="shared" si="195"/>
        <v>#N/A</v>
      </c>
      <c r="AB475" s="7" t="e">
        <f t="shared" si="196"/>
        <v>#N/A</v>
      </c>
      <c r="AC475" s="7" t="e">
        <f t="shared" si="197"/>
        <v>#N/A</v>
      </c>
      <c r="AD475" s="472" t="e">
        <f>VLOOKUP(AF475,'排出係数(2017)'!$A$4:$I$1151,9,FALSE)</f>
        <v>#N/A</v>
      </c>
      <c r="AE475" s="12" t="str">
        <f t="shared" si="198"/>
        <v xml:space="preserve"> </v>
      </c>
      <c r="AF475" s="7" t="e">
        <f t="shared" si="213"/>
        <v>#N/A</v>
      </c>
      <c r="AG475" s="7" t="e">
        <f t="shared" si="199"/>
        <v>#N/A</v>
      </c>
      <c r="AH475" s="472" t="e">
        <f>VLOOKUP(AF475,'排出係数(2017)'!$A$4:$I$1151,6,FALSE)</f>
        <v>#N/A</v>
      </c>
      <c r="AI475" s="7" t="e">
        <f t="shared" si="200"/>
        <v>#N/A</v>
      </c>
      <c r="AJ475" s="7" t="e">
        <f t="shared" si="201"/>
        <v>#N/A</v>
      </c>
      <c r="AK475" s="472" t="e">
        <f>VLOOKUP(AF475,'排出係数(2017)'!$A$4:$I$1151,7,FALSE)</f>
        <v>#N/A</v>
      </c>
      <c r="AL475" s="7" t="e">
        <f t="shared" si="202"/>
        <v>#N/A</v>
      </c>
      <c r="AM475" s="7" t="e">
        <f t="shared" si="203"/>
        <v>#N/A</v>
      </c>
      <c r="AN475" s="7" t="e">
        <f t="shared" si="204"/>
        <v>#N/A</v>
      </c>
      <c r="AO475" s="7">
        <f t="shared" si="205"/>
        <v>0</v>
      </c>
      <c r="AP475" s="7" t="e">
        <f t="shared" si="214"/>
        <v>#N/A</v>
      </c>
      <c r="AQ475" s="7" t="str">
        <f t="shared" si="206"/>
        <v/>
      </c>
      <c r="AR475" s="7" t="str">
        <f t="shared" si="207"/>
        <v/>
      </c>
      <c r="AS475" s="7" t="str">
        <f t="shared" si="208"/>
        <v/>
      </c>
      <c r="AT475" s="97"/>
      <c r="AZ475" s="477" t="s">
        <v>1095</v>
      </c>
      <c r="CF475" s="586" t="str">
        <f t="shared" si="215"/>
        <v/>
      </c>
      <c r="CG475"/>
      <c r="CH475"/>
    </row>
    <row r="476" spans="1:86" s="13" customFormat="1" ht="13.75" customHeight="1">
      <c r="A476" s="137">
        <v>461</v>
      </c>
      <c r="B476" s="138"/>
      <c r="C476" s="139"/>
      <c r="D476" s="140"/>
      <c r="E476" s="139"/>
      <c r="F476" s="139"/>
      <c r="G476" s="191"/>
      <c r="H476" s="139"/>
      <c r="I476" s="141"/>
      <c r="J476" s="142"/>
      <c r="K476" s="139"/>
      <c r="L476" s="147"/>
      <c r="M476" s="148"/>
      <c r="N476" s="583"/>
      <c r="O476" s="229" t="str">
        <f t="shared" si="209"/>
        <v/>
      </c>
      <c r="P476" s="229" t="str">
        <f t="shared" si="210"/>
        <v/>
      </c>
      <c r="Q476" s="230" t="str">
        <f t="shared" si="211"/>
        <v/>
      </c>
      <c r="R476" s="323" t="str">
        <f t="shared" si="212"/>
        <v/>
      </c>
      <c r="S476" s="350"/>
      <c r="T476" s="43"/>
      <c r="U476" s="347" t="str">
        <f t="shared" si="189"/>
        <v/>
      </c>
      <c r="V476" s="7" t="e">
        <f t="shared" si="190"/>
        <v>#N/A</v>
      </c>
      <c r="W476" s="7" t="e">
        <f t="shared" si="191"/>
        <v>#N/A</v>
      </c>
      <c r="X476" s="7" t="e">
        <f t="shared" si="192"/>
        <v>#N/A</v>
      </c>
      <c r="Y476" s="7" t="str">
        <f t="shared" si="193"/>
        <v/>
      </c>
      <c r="Z476" s="11">
        <f t="shared" si="194"/>
        <v>1</v>
      </c>
      <c r="AA476" s="7" t="e">
        <f t="shared" si="195"/>
        <v>#N/A</v>
      </c>
      <c r="AB476" s="7" t="e">
        <f t="shared" si="196"/>
        <v>#N/A</v>
      </c>
      <c r="AC476" s="7" t="e">
        <f t="shared" si="197"/>
        <v>#N/A</v>
      </c>
      <c r="AD476" s="472" t="e">
        <f>VLOOKUP(AF476,'排出係数(2017)'!$A$4:$I$1151,9,FALSE)</f>
        <v>#N/A</v>
      </c>
      <c r="AE476" s="12" t="str">
        <f t="shared" si="198"/>
        <v xml:space="preserve"> </v>
      </c>
      <c r="AF476" s="7" t="e">
        <f t="shared" si="213"/>
        <v>#N/A</v>
      </c>
      <c r="AG476" s="7" t="e">
        <f t="shared" si="199"/>
        <v>#N/A</v>
      </c>
      <c r="AH476" s="472" t="e">
        <f>VLOOKUP(AF476,'排出係数(2017)'!$A$4:$I$1151,6,FALSE)</f>
        <v>#N/A</v>
      </c>
      <c r="AI476" s="7" t="e">
        <f t="shared" si="200"/>
        <v>#N/A</v>
      </c>
      <c r="AJ476" s="7" t="e">
        <f t="shared" si="201"/>
        <v>#N/A</v>
      </c>
      <c r="AK476" s="472" t="e">
        <f>VLOOKUP(AF476,'排出係数(2017)'!$A$4:$I$1151,7,FALSE)</f>
        <v>#N/A</v>
      </c>
      <c r="AL476" s="7" t="e">
        <f t="shared" si="202"/>
        <v>#N/A</v>
      </c>
      <c r="AM476" s="7" t="e">
        <f t="shared" si="203"/>
        <v>#N/A</v>
      </c>
      <c r="AN476" s="7" t="e">
        <f t="shared" si="204"/>
        <v>#N/A</v>
      </c>
      <c r="AO476" s="7">
        <f t="shared" si="205"/>
        <v>0</v>
      </c>
      <c r="AP476" s="7" t="e">
        <f t="shared" si="214"/>
        <v>#N/A</v>
      </c>
      <c r="AQ476" s="7" t="str">
        <f t="shared" si="206"/>
        <v/>
      </c>
      <c r="AR476" s="7" t="str">
        <f t="shared" si="207"/>
        <v/>
      </c>
      <c r="AS476" s="7" t="str">
        <f t="shared" si="208"/>
        <v/>
      </c>
      <c r="AT476" s="97"/>
      <c r="AZ476" s="477" t="s">
        <v>1253</v>
      </c>
      <c r="CF476" s="586" t="str">
        <f t="shared" si="215"/>
        <v/>
      </c>
      <c r="CG476"/>
      <c r="CH476"/>
    </row>
    <row r="477" spans="1:86" s="13" customFormat="1" ht="13.75" customHeight="1">
      <c r="A477" s="137">
        <v>462</v>
      </c>
      <c r="B477" s="138"/>
      <c r="C477" s="139"/>
      <c r="D477" s="140"/>
      <c r="E477" s="139"/>
      <c r="F477" s="139"/>
      <c r="G477" s="191"/>
      <c r="H477" s="139"/>
      <c r="I477" s="141"/>
      <c r="J477" s="142"/>
      <c r="K477" s="139"/>
      <c r="L477" s="147"/>
      <c r="M477" s="148"/>
      <c r="N477" s="583"/>
      <c r="O477" s="229" t="str">
        <f t="shared" si="209"/>
        <v/>
      </c>
      <c r="P477" s="229" t="str">
        <f t="shared" si="210"/>
        <v/>
      </c>
      <c r="Q477" s="230" t="str">
        <f t="shared" si="211"/>
        <v/>
      </c>
      <c r="R477" s="323" t="str">
        <f t="shared" si="212"/>
        <v/>
      </c>
      <c r="S477" s="350"/>
      <c r="T477" s="43"/>
      <c r="U477" s="347" t="str">
        <f t="shared" si="189"/>
        <v/>
      </c>
      <c r="V477" s="7" t="e">
        <f t="shared" si="190"/>
        <v>#N/A</v>
      </c>
      <c r="W477" s="7" t="e">
        <f t="shared" si="191"/>
        <v>#N/A</v>
      </c>
      <c r="X477" s="7" t="e">
        <f t="shared" si="192"/>
        <v>#N/A</v>
      </c>
      <c r="Y477" s="7" t="str">
        <f t="shared" si="193"/>
        <v/>
      </c>
      <c r="Z477" s="11">
        <f t="shared" si="194"/>
        <v>1</v>
      </c>
      <c r="AA477" s="7" t="e">
        <f t="shared" si="195"/>
        <v>#N/A</v>
      </c>
      <c r="AB477" s="7" t="e">
        <f t="shared" si="196"/>
        <v>#N/A</v>
      </c>
      <c r="AC477" s="7" t="e">
        <f t="shared" si="197"/>
        <v>#N/A</v>
      </c>
      <c r="AD477" s="472" t="e">
        <f>VLOOKUP(AF477,'排出係数(2017)'!$A$4:$I$1151,9,FALSE)</f>
        <v>#N/A</v>
      </c>
      <c r="AE477" s="12" t="str">
        <f t="shared" si="198"/>
        <v xml:space="preserve"> </v>
      </c>
      <c r="AF477" s="7" t="e">
        <f t="shared" si="213"/>
        <v>#N/A</v>
      </c>
      <c r="AG477" s="7" t="e">
        <f t="shared" si="199"/>
        <v>#N/A</v>
      </c>
      <c r="AH477" s="472" t="e">
        <f>VLOOKUP(AF477,'排出係数(2017)'!$A$4:$I$1151,6,FALSE)</f>
        <v>#N/A</v>
      </c>
      <c r="AI477" s="7" t="e">
        <f t="shared" si="200"/>
        <v>#N/A</v>
      </c>
      <c r="AJ477" s="7" t="e">
        <f t="shared" si="201"/>
        <v>#N/A</v>
      </c>
      <c r="AK477" s="472" t="e">
        <f>VLOOKUP(AF477,'排出係数(2017)'!$A$4:$I$1151,7,FALSE)</f>
        <v>#N/A</v>
      </c>
      <c r="AL477" s="7" t="e">
        <f t="shared" si="202"/>
        <v>#N/A</v>
      </c>
      <c r="AM477" s="7" t="e">
        <f t="shared" si="203"/>
        <v>#N/A</v>
      </c>
      <c r="AN477" s="7" t="e">
        <f t="shared" si="204"/>
        <v>#N/A</v>
      </c>
      <c r="AO477" s="7">
        <f t="shared" si="205"/>
        <v>0</v>
      </c>
      <c r="AP477" s="7" t="e">
        <f t="shared" si="214"/>
        <v>#N/A</v>
      </c>
      <c r="AQ477" s="7" t="str">
        <f t="shared" si="206"/>
        <v/>
      </c>
      <c r="AR477" s="7" t="str">
        <f t="shared" si="207"/>
        <v/>
      </c>
      <c r="AS477" s="7" t="str">
        <f t="shared" si="208"/>
        <v/>
      </c>
      <c r="AT477" s="97"/>
      <c r="AZ477" s="477" t="s">
        <v>1251</v>
      </c>
      <c r="CF477" s="586" t="str">
        <f t="shared" si="215"/>
        <v/>
      </c>
      <c r="CG477"/>
      <c r="CH477"/>
    </row>
    <row r="478" spans="1:86" s="13" customFormat="1" ht="13.75" customHeight="1">
      <c r="A478" s="137">
        <v>463</v>
      </c>
      <c r="B478" s="138"/>
      <c r="C478" s="139"/>
      <c r="D478" s="140"/>
      <c r="E478" s="139"/>
      <c r="F478" s="139"/>
      <c r="G478" s="191"/>
      <c r="H478" s="139"/>
      <c r="I478" s="141"/>
      <c r="J478" s="142"/>
      <c r="K478" s="139"/>
      <c r="L478" s="147"/>
      <c r="M478" s="148"/>
      <c r="N478" s="583"/>
      <c r="O478" s="229" t="str">
        <f t="shared" si="209"/>
        <v/>
      </c>
      <c r="P478" s="229" t="str">
        <f t="shared" si="210"/>
        <v/>
      </c>
      <c r="Q478" s="230" t="str">
        <f t="shared" si="211"/>
        <v/>
      </c>
      <c r="R478" s="323" t="str">
        <f t="shared" si="212"/>
        <v/>
      </c>
      <c r="S478" s="350"/>
      <c r="T478" s="43"/>
      <c r="U478" s="347" t="str">
        <f t="shared" si="189"/>
        <v/>
      </c>
      <c r="V478" s="7" t="e">
        <f t="shared" si="190"/>
        <v>#N/A</v>
      </c>
      <c r="W478" s="7" t="e">
        <f t="shared" si="191"/>
        <v>#N/A</v>
      </c>
      <c r="X478" s="7" t="e">
        <f t="shared" si="192"/>
        <v>#N/A</v>
      </c>
      <c r="Y478" s="7" t="str">
        <f t="shared" si="193"/>
        <v/>
      </c>
      <c r="Z478" s="11">
        <f t="shared" si="194"/>
        <v>1</v>
      </c>
      <c r="AA478" s="7" t="e">
        <f t="shared" si="195"/>
        <v>#N/A</v>
      </c>
      <c r="AB478" s="7" t="e">
        <f t="shared" si="196"/>
        <v>#N/A</v>
      </c>
      <c r="AC478" s="7" t="e">
        <f t="shared" si="197"/>
        <v>#N/A</v>
      </c>
      <c r="AD478" s="472" t="e">
        <f>VLOOKUP(AF478,'排出係数(2017)'!$A$4:$I$1151,9,FALSE)</f>
        <v>#N/A</v>
      </c>
      <c r="AE478" s="12" t="str">
        <f t="shared" si="198"/>
        <v xml:space="preserve"> </v>
      </c>
      <c r="AF478" s="7" t="e">
        <f t="shared" si="213"/>
        <v>#N/A</v>
      </c>
      <c r="AG478" s="7" t="e">
        <f t="shared" si="199"/>
        <v>#N/A</v>
      </c>
      <c r="AH478" s="472" t="e">
        <f>VLOOKUP(AF478,'排出係数(2017)'!$A$4:$I$1151,6,FALSE)</f>
        <v>#N/A</v>
      </c>
      <c r="AI478" s="7" t="e">
        <f t="shared" si="200"/>
        <v>#N/A</v>
      </c>
      <c r="AJ478" s="7" t="e">
        <f t="shared" si="201"/>
        <v>#N/A</v>
      </c>
      <c r="AK478" s="472" t="e">
        <f>VLOOKUP(AF478,'排出係数(2017)'!$A$4:$I$1151,7,FALSE)</f>
        <v>#N/A</v>
      </c>
      <c r="AL478" s="7" t="e">
        <f t="shared" si="202"/>
        <v>#N/A</v>
      </c>
      <c r="AM478" s="7" t="e">
        <f t="shared" si="203"/>
        <v>#N/A</v>
      </c>
      <c r="AN478" s="7" t="e">
        <f t="shared" si="204"/>
        <v>#N/A</v>
      </c>
      <c r="AO478" s="7">
        <f t="shared" si="205"/>
        <v>0</v>
      </c>
      <c r="AP478" s="7" t="e">
        <f t="shared" si="214"/>
        <v>#N/A</v>
      </c>
      <c r="AQ478" s="7" t="str">
        <f t="shared" si="206"/>
        <v/>
      </c>
      <c r="AR478" s="7" t="str">
        <f t="shared" si="207"/>
        <v/>
      </c>
      <c r="AS478" s="7" t="str">
        <f t="shared" si="208"/>
        <v/>
      </c>
      <c r="AT478" s="97"/>
      <c r="AZ478" s="477" t="s">
        <v>1379</v>
      </c>
      <c r="CF478" s="586" t="str">
        <f t="shared" si="215"/>
        <v/>
      </c>
      <c r="CG478"/>
      <c r="CH478"/>
    </row>
    <row r="479" spans="1:86" s="13" customFormat="1" ht="13.75" customHeight="1">
      <c r="A479" s="137">
        <v>464</v>
      </c>
      <c r="B479" s="138"/>
      <c r="C479" s="139"/>
      <c r="D479" s="140"/>
      <c r="E479" s="139"/>
      <c r="F479" s="139"/>
      <c r="G479" s="191"/>
      <c r="H479" s="139"/>
      <c r="I479" s="141"/>
      <c r="J479" s="142"/>
      <c r="K479" s="139"/>
      <c r="L479" s="147"/>
      <c r="M479" s="148"/>
      <c r="N479" s="583"/>
      <c r="O479" s="229" t="str">
        <f t="shared" si="209"/>
        <v/>
      </c>
      <c r="P479" s="229" t="str">
        <f t="shared" si="210"/>
        <v/>
      </c>
      <c r="Q479" s="230" t="str">
        <f t="shared" si="211"/>
        <v/>
      </c>
      <c r="R479" s="323" t="str">
        <f t="shared" si="212"/>
        <v/>
      </c>
      <c r="S479" s="350"/>
      <c r="T479" s="43"/>
      <c r="U479" s="347" t="str">
        <f t="shared" si="189"/>
        <v/>
      </c>
      <c r="V479" s="7" t="e">
        <f t="shared" si="190"/>
        <v>#N/A</v>
      </c>
      <c r="W479" s="7" t="e">
        <f t="shared" si="191"/>
        <v>#N/A</v>
      </c>
      <c r="X479" s="7" t="e">
        <f t="shared" si="192"/>
        <v>#N/A</v>
      </c>
      <c r="Y479" s="7" t="str">
        <f t="shared" si="193"/>
        <v/>
      </c>
      <c r="Z479" s="11">
        <f t="shared" si="194"/>
        <v>1</v>
      </c>
      <c r="AA479" s="7" t="e">
        <f t="shared" si="195"/>
        <v>#N/A</v>
      </c>
      <c r="AB479" s="7" t="e">
        <f t="shared" si="196"/>
        <v>#N/A</v>
      </c>
      <c r="AC479" s="7" t="e">
        <f t="shared" si="197"/>
        <v>#N/A</v>
      </c>
      <c r="AD479" s="472" t="e">
        <f>VLOOKUP(AF479,'排出係数(2017)'!$A$4:$I$1151,9,FALSE)</f>
        <v>#N/A</v>
      </c>
      <c r="AE479" s="12" t="str">
        <f t="shared" si="198"/>
        <v xml:space="preserve"> </v>
      </c>
      <c r="AF479" s="7" t="e">
        <f t="shared" si="213"/>
        <v>#N/A</v>
      </c>
      <c r="AG479" s="7" t="e">
        <f t="shared" si="199"/>
        <v>#N/A</v>
      </c>
      <c r="AH479" s="472" t="e">
        <f>VLOOKUP(AF479,'排出係数(2017)'!$A$4:$I$1151,6,FALSE)</f>
        <v>#N/A</v>
      </c>
      <c r="AI479" s="7" t="e">
        <f t="shared" si="200"/>
        <v>#N/A</v>
      </c>
      <c r="AJ479" s="7" t="e">
        <f t="shared" si="201"/>
        <v>#N/A</v>
      </c>
      <c r="AK479" s="472" t="e">
        <f>VLOOKUP(AF479,'排出係数(2017)'!$A$4:$I$1151,7,FALSE)</f>
        <v>#N/A</v>
      </c>
      <c r="AL479" s="7" t="e">
        <f t="shared" si="202"/>
        <v>#N/A</v>
      </c>
      <c r="AM479" s="7" t="e">
        <f t="shared" si="203"/>
        <v>#N/A</v>
      </c>
      <c r="AN479" s="7" t="e">
        <f t="shared" si="204"/>
        <v>#N/A</v>
      </c>
      <c r="AO479" s="7">
        <f t="shared" si="205"/>
        <v>0</v>
      </c>
      <c r="AP479" s="7" t="e">
        <f t="shared" si="214"/>
        <v>#N/A</v>
      </c>
      <c r="AQ479" s="7" t="str">
        <f t="shared" si="206"/>
        <v/>
      </c>
      <c r="AR479" s="7" t="str">
        <f t="shared" si="207"/>
        <v/>
      </c>
      <c r="AS479" s="7" t="str">
        <f t="shared" si="208"/>
        <v/>
      </c>
      <c r="AT479" s="97"/>
      <c r="AZ479" s="477" t="s">
        <v>1377</v>
      </c>
      <c r="CF479" s="586" t="str">
        <f t="shared" si="215"/>
        <v/>
      </c>
      <c r="CG479"/>
      <c r="CH479"/>
    </row>
    <row r="480" spans="1:86" s="13" customFormat="1" ht="13.75" customHeight="1">
      <c r="A480" s="137">
        <v>465</v>
      </c>
      <c r="B480" s="138"/>
      <c r="C480" s="139"/>
      <c r="D480" s="140"/>
      <c r="E480" s="139"/>
      <c r="F480" s="139"/>
      <c r="G480" s="191"/>
      <c r="H480" s="139"/>
      <c r="I480" s="141"/>
      <c r="J480" s="142"/>
      <c r="K480" s="139"/>
      <c r="L480" s="147"/>
      <c r="M480" s="148"/>
      <c r="N480" s="583"/>
      <c r="O480" s="229" t="str">
        <f t="shared" si="209"/>
        <v/>
      </c>
      <c r="P480" s="229" t="str">
        <f t="shared" si="210"/>
        <v/>
      </c>
      <c r="Q480" s="230" t="str">
        <f t="shared" si="211"/>
        <v/>
      </c>
      <c r="R480" s="323" t="str">
        <f t="shared" si="212"/>
        <v/>
      </c>
      <c r="S480" s="350"/>
      <c r="T480" s="43"/>
      <c r="U480" s="347" t="str">
        <f t="shared" si="189"/>
        <v/>
      </c>
      <c r="V480" s="7" t="e">
        <f t="shared" si="190"/>
        <v>#N/A</v>
      </c>
      <c r="W480" s="7" t="e">
        <f t="shared" si="191"/>
        <v>#N/A</v>
      </c>
      <c r="X480" s="7" t="e">
        <f t="shared" si="192"/>
        <v>#N/A</v>
      </c>
      <c r="Y480" s="7" t="str">
        <f t="shared" si="193"/>
        <v/>
      </c>
      <c r="Z480" s="11">
        <f t="shared" si="194"/>
        <v>1</v>
      </c>
      <c r="AA480" s="7" t="e">
        <f t="shared" si="195"/>
        <v>#N/A</v>
      </c>
      <c r="AB480" s="7" t="e">
        <f t="shared" si="196"/>
        <v>#N/A</v>
      </c>
      <c r="AC480" s="7" t="e">
        <f t="shared" si="197"/>
        <v>#N/A</v>
      </c>
      <c r="AD480" s="472" t="e">
        <f>VLOOKUP(AF480,'排出係数(2017)'!$A$4:$I$1151,9,FALSE)</f>
        <v>#N/A</v>
      </c>
      <c r="AE480" s="12" t="str">
        <f t="shared" si="198"/>
        <v xml:space="preserve"> </v>
      </c>
      <c r="AF480" s="7" t="e">
        <f t="shared" si="213"/>
        <v>#N/A</v>
      </c>
      <c r="AG480" s="7" t="e">
        <f t="shared" si="199"/>
        <v>#N/A</v>
      </c>
      <c r="AH480" s="472" t="e">
        <f>VLOOKUP(AF480,'排出係数(2017)'!$A$4:$I$1151,6,FALSE)</f>
        <v>#N/A</v>
      </c>
      <c r="AI480" s="7" t="e">
        <f t="shared" si="200"/>
        <v>#N/A</v>
      </c>
      <c r="AJ480" s="7" t="e">
        <f t="shared" si="201"/>
        <v>#N/A</v>
      </c>
      <c r="AK480" s="472" t="e">
        <f>VLOOKUP(AF480,'排出係数(2017)'!$A$4:$I$1151,7,FALSE)</f>
        <v>#N/A</v>
      </c>
      <c r="AL480" s="7" t="e">
        <f t="shared" si="202"/>
        <v>#N/A</v>
      </c>
      <c r="AM480" s="7" t="e">
        <f t="shared" si="203"/>
        <v>#N/A</v>
      </c>
      <c r="AN480" s="7" t="e">
        <f t="shared" si="204"/>
        <v>#N/A</v>
      </c>
      <c r="AO480" s="7">
        <f t="shared" si="205"/>
        <v>0</v>
      </c>
      <c r="AP480" s="7" t="e">
        <f t="shared" si="214"/>
        <v>#N/A</v>
      </c>
      <c r="AQ480" s="7" t="str">
        <f t="shared" si="206"/>
        <v/>
      </c>
      <c r="AR480" s="7" t="str">
        <f t="shared" si="207"/>
        <v/>
      </c>
      <c r="AS480" s="7" t="str">
        <f t="shared" si="208"/>
        <v/>
      </c>
      <c r="AT480" s="97"/>
      <c r="AZ480" s="477" t="s">
        <v>1105</v>
      </c>
      <c r="CF480" s="586" t="str">
        <f t="shared" si="215"/>
        <v/>
      </c>
      <c r="CG480"/>
      <c r="CH480"/>
    </row>
    <row r="481" spans="1:86" s="13" customFormat="1" ht="13.75" customHeight="1">
      <c r="A481" s="137">
        <v>466</v>
      </c>
      <c r="B481" s="138"/>
      <c r="C481" s="139"/>
      <c r="D481" s="140"/>
      <c r="E481" s="139"/>
      <c r="F481" s="139"/>
      <c r="G481" s="191"/>
      <c r="H481" s="139"/>
      <c r="I481" s="141"/>
      <c r="J481" s="142"/>
      <c r="K481" s="139"/>
      <c r="L481" s="147"/>
      <c r="M481" s="148"/>
      <c r="N481" s="583"/>
      <c r="O481" s="229" t="str">
        <f t="shared" si="209"/>
        <v/>
      </c>
      <c r="P481" s="229" t="str">
        <f t="shared" si="210"/>
        <v/>
      </c>
      <c r="Q481" s="230" t="str">
        <f t="shared" si="211"/>
        <v/>
      </c>
      <c r="R481" s="323" t="str">
        <f t="shared" si="212"/>
        <v/>
      </c>
      <c r="S481" s="350"/>
      <c r="T481" s="43"/>
      <c r="U481" s="347" t="str">
        <f t="shared" si="189"/>
        <v/>
      </c>
      <c r="V481" s="7" t="e">
        <f t="shared" si="190"/>
        <v>#N/A</v>
      </c>
      <c r="W481" s="7" t="e">
        <f t="shared" si="191"/>
        <v>#N/A</v>
      </c>
      <c r="X481" s="7" t="e">
        <f t="shared" si="192"/>
        <v>#N/A</v>
      </c>
      <c r="Y481" s="7" t="str">
        <f t="shared" si="193"/>
        <v/>
      </c>
      <c r="Z481" s="11">
        <f t="shared" si="194"/>
        <v>1</v>
      </c>
      <c r="AA481" s="7" t="e">
        <f t="shared" si="195"/>
        <v>#N/A</v>
      </c>
      <c r="AB481" s="7" t="e">
        <f t="shared" si="196"/>
        <v>#N/A</v>
      </c>
      <c r="AC481" s="7" t="e">
        <f t="shared" si="197"/>
        <v>#N/A</v>
      </c>
      <c r="AD481" s="472" t="e">
        <f>VLOOKUP(AF481,'排出係数(2017)'!$A$4:$I$1151,9,FALSE)</f>
        <v>#N/A</v>
      </c>
      <c r="AE481" s="12" t="str">
        <f t="shared" si="198"/>
        <v xml:space="preserve"> </v>
      </c>
      <c r="AF481" s="7" t="e">
        <f t="shared" si="213"/>
        <v>#N/A</v>
      </c>
      <c r="AG481" s="7" t="e">
        <f t="shared" si="199"/>
        <v>#N/A</v>
      </c>
      <c r="AH481" s="472" t="e">
        <f>VLOOKUP(AF481,'排出係数(2017)'!$A$4:$I$1151,6,FALSE)</f>
        <v>#N/A</v>
      </c>
      <c r="AI481" s="7" t="e">
        <f t="shared" si="200"/>
        <v>#N/A</v>
      </c>
      <c r="AJ481" s="7" t="e">
        <f t="shared" si="201"/>
        <v>#N/A</v>
      </c>
      <c r="AK481" s="472" t="e">
        <f>VLOOKUP(AF481,'排出係数(2017)'!$A$4:$I$1151,7,FALSE)</f>
        <v>#N/A</v>
      </c>
      <c r="AL481" s="7" t="e">
        <f t="shared" si="202"/>
        <v>#N/A</v>
      </c>
      <c r="AM481" s="7" t="e">
        <f t="shared" si="203"/>
        <v>#N/A</v>
      </c>
      <c r="AN481" s="7" t="e">
        <f t="shared" si="204"/>
        <v>#N/A</v>
      </c>
      <c r="AO481" s="7">
        <f t="shared" si="205"/>
        <v>0</v>
      </c>
      <c r="AP481" s="7" t="e">
        <f t="shared" si="214"/>
        <v>#N/A</v>
      </c>
      <c r="AQ481" s="7" t="str">
        <f t="shared" si="206"/>
        <v/>
      </c>
      <c r="AR481" s="7" t="str">
        <f t="shared" si="207"/>
        <v/>
      </c>
      <c r="AS481" s="7" t="str">
        <f t="shared" si="208"/>
        <v/>
      </c>
      <c r="AT481" s="97"/>
      <c r="AZ481" s="477" t="s">
        <v>1097</v>
      </c>
      <c r="CF481" s="586" t="str">
        <f t="shared" si="215"/>
        <v/>
      </c>
      <c r="CG481"/>
      <c r="CH481"/>
    </row>
    <row r="482" spans="1:86" s="13" customFormat="1" ht="13.75" customHeight="1">
      <c r="A482" s="137">
        <v>467</v>
      </c>
      <c r="B482" s="138"/>
      <c r="C482" s="139"/>
      <c r="D482" s="140"/>
      <c r="E482" s="139"/>
      <c r="F482" s="139"/>
      <c r="G482" s="191"/>
      <c r="H482" s="139"/>
      <c r="I482" s="141"/>
      <c r="J482" s="142"/>
      <c r="K482" s="139"/>
      <c r="L482" s="147"/>
      <c r="M482" s="148"/>
      <c r="N482" s="583"/>
      <c r="O482" s="229" t="str">
        <f t="shared" si="209"/>
        <v/>
      </c>
      <c r="P482" s="229" t="str">
        <f t="shared" si="210"/>
        <v/>
      </c>
      <c r="Q482" s="230" t="str">
        <f t="shared" si="211"/>
        <v/>
      </c>
      <c r="R482" s="323" t="str">
        <f t="shared" si="212"/>
        <v/>
      </c>
      <c r="S482" s="350"/>
      <c r="T482" s="43"/>
      <c r="U482" s="347" t="str">
        <f t="shared" si="189"/>
        <v/>
      </c>
      <c r="V482" s="7" t="e">
        <f t="shared" si="190"/>
        <v>#N/A</v>
      </c>
      <c r="W482" s="7" t="e">
        <f t="shared" si="191"/>
        <v>#N/A</v>
      </c>
      <c r="X482" s="7" t="e">
        <f t="shared" si="192"/>
        <v>#N/A</v>
      </c>
      <c r="Y482" s="7" t="str">
        <f t="shared" si="193"/>
        <v/>
      </c>
      <c r="Z482" s="11">
        <f t="shared" si="194"/>
        <v>1</v>
      </c>
      <c r="AA482" s="7" t="e">
        <f t="shared" si="195"/>
        <v>#N/A</v>
      </c>
      <c r="AB482" s="7" t="e">
        <f t="shared" si="196"/>
        <v>#N/A</v>
      </c>
      <c r="AC482" s="7" t="e">
        <f t="shared" si="197"/>
        <v>#N/A</v>
      </c>
      <c r="AD482" s="472" t="e">
        <f>VLOOKUP(AF482,'排出係数(2017)'!$A$4:$I$1151,9,FALSE)</f>
        <v>#N/A</v>
      </c>
      <c r="AE482" s="12" t="str">
        <f t="shared" si="198"/>
        <v xml:space="preserve"> </v>
      </c>
      <c r="AF482" s="7" t="e">
        <f t="shared" si="213"/>
        <v>#N/A</v>
      </c>
      <c r="AG482" s="7" t="e">
        <f t="shared" si="199"/>
        <v>#N/A</v>
      </c>
      <c r="AH482" s="472" t="e">
        <f>VLOOKUP(AF482,'排出係数(2017)'!$A$4:$I$1151,6,FALSE)</f>
        <v>#N/A</v>
      </c>
      <c r="AI482" s="7" t="e">
        <f t="shared" si="200"/>
        <v>#N/A</v>
      </c>
      <c r="AJ482" s="7" t="e">
        <f t="shared" si="201"/>
        <v>#N/A</v>
      </c>
      <c r="AK482" s="472" t="e">
        <f>VLOOKUP(AF482,'排出係数(2017)'!$A$4:$I$1151,7,FALSE)</f>
        <v>#N/A</v>
      </c>
      <c r="AL482" s="7" t="e">
        <f t="shared" si="202"/>
        <v>#N/A</v>
      </c>
      <c r="AM482" s="7" t="e">
        <f t="shared" si="203"/>
        <v>#N/A</v>
      </c>
      <c r="AN482" s="7" t="e">
        <f t="shared" si="204"/>
        <v>#N/A</v>
      </c>
      <c r="AO482" s="7">
        <f t="shared" si="205"/>
        <v>0</v>
      </c>
      <c r="AP482" s="7" t="e">
        <f t="shared" si="214"/>
        <v>#N/A</v>
      </c>
      <c r="AQ482" s="7" t="str">
        <f t="shared" si="206"/>
        <v/>
      </c>
      <c r="AR482" s="7" t="str">
        <f t="shared" si="207"/>
        <v/>
      </c>
      <c r="AS482" s="7" t="str">
        <f t="shared" si="208"/>
        <v/>
      </c>
      <c r="AT482" s="97"/>
      <c r="AZ482" s="477" t="s">
        <v>2555</v>
      </c>
      <c r="CF482" s="586" t="str">
        <f t="shared" si="215"/>
        <v/>
      </c>
      <c r="CG482"/>
      <c r="CH482"/>
    </row>
    <row r="483" spans="1:86" s="13" customFormat="1" ht="13.75" customHeight="1">
      <c r="A483" s="137">
        <v>468</v>
      </c>
      <c r="B483" s="138"/>
      <c r="C483" s="139"/>
      <c r="D483" s="140"/>
      <c r="E483" s="139"/>
      <c r="F483" s="139"/>
      <c r="G483" s="191"/>
      <c r="H483" s="139"/>
      <c r="I483" s="141"/>
      <c r="J483" s="142"/>
      <c r="K483" s="139"/>
      <c r="L483" s="147"/>
      <c r="M483" s="148"/>
      <c r="N483" s="583"/>
      <c r="O483" s="229" t="str">
        <f t="shared" si="209"/>
        <v/>
      </c>
      <c r="P483" s="229" t="str">
        <f t="shared" si="210"/>
        <v/>
      </c>
      <c r="Q483" s="230" t="str">
        <f t="shared" si="211"/>
        <v/>
      </c>
      <c r="R483" s="323" t="str">
        <f t="shared" si="212"/>
        <v/>
      </c>
      <c r="S483" s="350"/>
      <c r="T483" s="43"/>
      <c r="U483" s="347" t="str">
        <f t="shared" si="189"/>
        <v/>
      </c>
      <c r="V483" s="7" t="e">
        <f t="shared" si="190"/>
        <v>#N/A</v>
      </c>
      <c r="W483" s="7" t="e">
        <f t="shared" si="191"/>
        <v>#N/A</v>
      </c>
      <c r="X483" s="7" t="e">
        <f t="shared" si="192"/>
        <v>#N/A</v>
      </c>
      <c r="Y483" s="7" t="str">
        <f t="shared" si="193"/>
        <v/>
      </c>
      <c r="Z483" s="11">
        <f t="shared" si="194"/>
        <v>1</v>
      </c>
      <c r="AA483" s="7" t="e">
        <f t="shared" si="195"/>
        <v>#N/A</v>
      </c>
      <c r="AB483" s="7" t="e">
        <f t="shared" si="196"/>
        <v>#N/A</v>
      </c>
      <c r="AC483" s="7" t="e">
        <f t="shared" si="197"/>
        <v>#N/A</v>
      </c>
      <c r="AD483" s="472" t="e">
        <f>VLOOKUP(AF483,'排出係数(2017)'!$A$4:$I$1151,9,FALSE)</f>
        <v>#N/A</v>
      </c>
      <c r="AE483" s="12" t="str">
        <f t="shared" si="198"/>
        <v xml:space="preserve"> </v>
      </c>
      <c r="AF483" s="7" t="e">
        <f t="shared" si="213"/>
        <v>#N/A</v>
      </c>
      <c r="AG483" s="7" t="e">
        <f t="shared" si="199"/>
        <v>#N/A</v>
      </c>
      <c r="AH483" s="472" t="e">
        <f>VLOOKUP(AF483,'排出係数(2017)'!$A$4:$I$1151,6,FALSE)</f>
        <v>#N/A</v>
      </c>
      <c r="AI483" s="7" t="e">
        <f t="shared" si="200"/>
        <v>#N/A</v>
      </c>
      <c r="AJ483" s="7" t="e">
        <f t="shared" si="201"/>
        <v>#N/A</v>
      </c>
      <c r="AK483" s="472" t="e">
        <f>VLOOKUP(AF483,'排出係数(2017)'!$A$4:$I$1151,7,FALSE)</f>
        <v>#N/A</v>
      </c>
      <c r="AL483" s="7" t="e">
        <f t="shared" si="202"/>
        <v>#N/A</v>
      </c>
      <c r="AM483" s="7" t="e">
        <f t="shared" si="203"/>
        <v>#N/A</v>
      </c>
      <c r="AN483" s="7" t="e">
        <f t="shared" si="204"/>
        <v>#N/A</v>
      </c>
      <c r="AO483" s="7">
        <f t="shared" si="205"/>
        <v>0</v>
      </c>
      <c r="AP483" s="7" t="e">
        <f t="shared" si="214"/>
        <v>#N/A</v>
      </c>
      <c r="AQ483" s="7" t="str">
        <f t="shared" si="206"/>
        <v/>
      </c>
      <c r="AR483" s="7" t="str">
        <f t="shared" si="207"/>
        <v/>
      </c>
      <c r="AS483" s="7" t="str">
        <f t="shared" si="208"/>
        <v/>
      </c>
      <c r="AT483" s="97"/>
      <c r="AZ483" s="477" t="s">
        <v>2556</v>
      </c>
      <c r="CF483" s="586" t="str">
        <f t="shared" si="215"/>
        <v/>
      </c>
      <c r="CG483"/>
      <c r="CH483"/>
    </row>
    <row r="484" spans="1:86" s="13" customFormat="1" ht="13.75" customHeight="1">
      <c r="A484" s="137">
        <v>469</v>
      </c>
      <c r="B484" s="138"/>
      <c r="C484" s="139"/>
      <c r="D484" s="140"/>
      <c r="E484" s="139"/>
      <c r="F484" s="139"/>
      <c r="G484" s="191"/>
      <c r="H484" s="139"/>
      <c r="I484" s="141"/>
      <c r="J484" s="142"/>
      <c r="K484" s="139"/>
      <c r="L484" s="147"/>
      <c r="M484" s="148"/>
      <c r="N484" s="583"/>
      <c r="O484" s="229" t="str">
        <f t="shared" si="209"/>
        <v/>
      </c>
      <c r="P484" s="229" t="str">
        <f t="shared" si="210"/>
        <v/>
      </c>
      <c r="Q484" s="230" t="str">
        <f t="shared" si="211"/>
        <v/>
      </c>
      <c r="R484" s="323" t="str">
        <f t="shared" si="212"/>
        <v/>
      </c>
      <c r="S484" s="350"/>
      <c r="T484" s="43"/>
      <c r="U484" s="347" t="str">
        <f t="shared" si="189"/>
        <v/>
      </c>
      <c r="V484" s="7" t="e">
        <f t="shared" si="190"/>
        <v>#N/A</v>
      </c>
      <c r="W484" s="7" t="e">
        <f t="shared" si="191"/>
        <v>#N/A</v>
      </c>
      <c r="X484" s="7" t="e">
        <f t="shared" si="192"/>
        <v>#N/A</v>
      </c>
      <c r="Y484" s="7" t="str">
        <f t="shared" si="193"/>
        <v/>
      </c>
      <c r="Z484" s="11">
        <f t="shared" si="194"/>
        <v>1</v>
      </c>
      <c r="AA484" s="7" t="e">
        <f t="shared" si="195"/>
        <v>#N/A</v>
      </c>
      <c r="AB484" s="7" t="e">
        <f t="shared" si="196"/>
        <v>#N/A</v>
      </c>
      <c r="AC484" s="7" t="e">
        <f t="shared" si="197"/>
        <v>#N/A</v>
      </c>
      <c r="AD484" s="472" t="e">
        <f>VLOOKUP(AF484,'排出係数(2017)'!$A$4:$I$1151,9,FALSE)</f>
        <v>#N/A</v>
      </c>
      <c r="AE484" s="12" t="str">
        <f t="shared" si="198"/>
        <v xml:space="preserve"> </v>
      </c>
      <c r="AF484" s="7" t="e">
        <f t="shared" si="213"/>
        <v>#N/A</v>
      </c>
      <c r="AG484" s="7" t="e">
        <f t="shared" si="199"/>
        <v>#N/A</v>
      </c>
      <c r="AH484" s="472" t="e">
        <f>VLOOKUP(AF484,'排出係数(2017)'!$A$4:$I$1151,6,FALSE)</f>
        <v>#N/A</v>
      </c>
      <c r="AI484" s="7" t="e">
        <f t="shared" si="200"/>
        <v>#N/A</v>
      </c>
      <c r="AJ484" s="7" t="e">
        <f t="shared" si="201"/>
        <v>#N/A</v>
      </c>
      <c r="AK484" s="472" t="e">
        <f>VLOOKUP(AF484,'排出係数(2017)'!$A$4:$I$1151,7,FALSE)</f>
        <v>#N/A</v>
      </c>
      <c r="AL484" s="7" t="e">
        <f t="shared" si="202"/>
        <v>#N/A</v>
      </c>
      <c r="AM484" s="7" t="e">
        <f t="shared" si="203"/>
        <v>#N/A</v>
      </c>
      <c r="AN484" s="7" t="e">
        <f t="shared" si="204"/>
        <v>#N/A</v>
      </c>
      <c r="AO484" s="7">
        <f t="shared" si="205"/>
        <v>0</v>
      </c>
      <c r="AP484" s="7" t="e">
        <f t="shared" si="214"/>
        <v>#N/A</v>
      </c>
      <c r="AQ484" s="7" t="str">
        <f t="shared" si="206"/>
        <v/>
      </c>
      <c r="AR484" s="7" t="str">
        <f t="shared" si="207"/>
        <v/>
      </c>
      <c r="AS484" s="7" t="str">
        <f t="shared" si="208"/>
        <v/>
      </c>
      <c r="AT484" s="97"/>
      <c r="AZ484" s="477" t="s">
        <v>1107</v>
      </c>
      <c r="CF484" s="586" t="str">
        <f t="shared" si="215"/>
        <v/>
      </c>
      <c r="CG484"/>
      <c r="CH484"/>
    </row>
    <row r="485" spans="1:86" s="13" customFormat="1" ht="13.75" customHeight="1">
      <c r="A485" s="137">
        <v>470</v>
      </c>
      <c r="B485" s="138"/>
      <c r="C485" s="139"/>
      <c r="D485" s="140"/>
      <c r="E485" s="139"/>
      <c r="F485" s="139"/>
      <c r="G485" s="191"/>
      <c r="H485" s="139"/>
      <c r="I485" s="141"/>
      <c r="J485" s="142"/>
      <c r="K485" s="139"/>
      <c r="L485" s="147"/>
      <c r="M485" s="148"/>
      <c r="N485" s="583"/>
      <c r="O485" s="229" t="str">
        <f t="shared" si="209"/>
        <v/>
      </c>
      <c r="P485" s="229" t="str">
        <f t="shared" si="210"/>
        <v/>
      </c>
      <c r="Q485" s="230" t="str">
        <f t="shared" si="211"/>
        <v/>
      </c>
      <c r="R485" s="323" t="str">
        <f t="shared" si="212"/>
        <v/>
      </c>
      <c r="S485" s="350"/>
      <c r="T485" s="43"/>
      <c r="U485" s="347" t="str">
        <f t="shared" si="189"/>
        <v/>
      </c>
      <c r="V485" s="7" t="e">
        <f t="shared" si="190"/>
        <v>#N/A</v>
      </c>
      <c r="W485" s="7" t="e">
        <f t="shared" si="191"/>
        <v>#N/A</v>
      </c>
      <c r="X485" s="7" t="e">
        <f t="shared" si="192"/>
        <v>#N/A</v>
      </c>
      <c r="Y485" s="7" t="str">
        <f t="shared" si="193"/>
        <v/>
      </c>
      <c r="Z485" s="11">
        <f t="shared" si="194"/>
        <v>1</v>
      </c>
      <c r="AA485" s="7" t="e">
        <f t="shared" si="195"/>
        <v>#N/A</v>
      </c>
      <c r="AB485" s="7" t="e">
        <f t="shared" si="196"/>
        <v>#N/A</v>
      </c>
      <c r="AC485" s="7" t="e">
        <f t="shared" si="197"/>
        <v>#N/A</v>
      </c>
      <c r="AD485" s="472" t="e">
        <f>VLOOKUP(AF485,'排出係数(2017)'!$A$4:$I$1151,9,FALSE)</f>
        <v>#N/A</v>
      </c>
      <c r="AE485" s="12" t="str">
        <f t="shared" si="198"/>
        <v xml:space="preserve"> </v>
      </c>
      <c r="AF485" s="7" t="e">
        <f t="shared" si="213"/>
        <v>#N/A</v>
      </c>
      <c r="AG485" s="7" t="e">
        <f t="shared" si="199"/>
        <v>#N/A</v>
      </c>
      <c r="AH485" s="472" t="e">
        <f>VLOOKUP(AF485,'排出係数(2017)'!$A$4:$I$1151,6,FALSE)</f>
        <v>#N/A</v>
      </c>
      <c r="AI485" s="7" t="e">
        <f t="shared" si="200"/>
        <v>#N/A</v>
      </c>
      <c r="AJ485" s="7" t="e">
        <f t="shared" si="201"/>
        <v>#N/A</v>
      </c>
      <c r="AK485" s="472" t="e">
        <f>VLOOKUP(AF485,'排出係数(2017)'!$A$4:$I$1151,7,FALSE)</f>
        <v>#N/A</v>
      </c>
      <c r="AL485" s="7" t="e">
        <f t="shared" si="202"/>
        <v>#N/A</v>
      </c>
      <c r="AM485" s="7" t="e">
        <f t="shared" si="203"/>
        <v>#N/A</v>
      </c>
      <c r="AN485" s="7" t="e">
        <f t="shared" si="204"/>
        <v>#N/A</v>
      </c>
      <c r="AO485" s="7">
        <f t="shared" si="205"/>
        <v>0</v>
      </c>
      <c r="AP485" s="7" t="e">
        <f t="shared" si="214"/>
        <v>#N/A</v>
      </c>
      <c r="AQ485" s="7" t="str">
        <f t="shared" si="206"/>
        <v/>
      </c>
      <c r="AR485" s="7" t="str">
        <f t="shared" si="207"/>
        <v/>
      </c>
      <c r="AS485" s="7" t="str">
        <f t="shared" si="208"/>
        <v/>
      </c>
      <c r="AT485" s="97"/>
      <c r="AZ485" s="477" t="s">
        <v>1099</v>
      </c>
      <c r="CF485" s="586" t="str">
        <f t="shared" si="215"/>
        <v/>
      </c>
      <c r="CG485"/>
      <c r="CH485"/>
    </row>
    <row r="486" spans="1:86" s="13" customFormat="1" ht="13.75" customHeight="1">
      <c r="A486" s="137">
        <v>471</v>
      </c>
      <c r="B486" s="138"/>
      <c r="C486" s="139"/>
      <c r="D486" s="140"/>
      <c r="E486" s="139"/>
      <c r="F486" s="139"/>
      <c r="G486" s="191"/>
      <c r="H486" s="139"/>
      <c r="I486" s="141"/>
      <c r="J486" s="142"/>
      <c r="K486" s="139"/>
      <c r="L486" s="147"/>
      <c r="M486" s="148"/>
      <c r="N486" s="583"/>
      <c r="O486" s="229" t="str">
        <f t="shared" si="209"/>
        <v/>
      </c>
      <c r="P486" s="229" t="str">
        <f t="shared" si="210"/>
        <v/>
      </c>
      <c r="Q486" s="230" t="str">
        <f t="shared" si="211"/>
        <v/>
      </c>
      <c r="R486" s="323" t="str">
        <f t="shared" si="212"/>
        <v/>
      </c>
      <c r="S486" s="350"/>
      <c r="T486" s="43"/>
      <c r="U486" s="347" t="str">
        <f t="shared" si="189"/>
        <v/>
      </c>
      <c r="V486" s="7" t="e">
        <f t="shared" si="190"/>
        <v>#N/A</v>
      </c>
      <c r="W486" s="7" t="e">
        <f t="shared" si="191"/>
        <v>#N/A</v>
      </c>
      <c r="X486" s="7" t="e">
        <f t="shared" si="192"/>
        <v>#N/A</v>
      </c>
      <c r="Y486" s="7" t="str">
        <f t="shared" si="193"/>
        <v/>
      </c>
      <c r="Z486" s="11">
        <f t="shared" si="194"/>
        <v>1</v>
      </c>
      <c r="AA486" s="7" t="e">
        <f t="shared" si="195"/>
        <v>#N/A</v>
      </c>
      <c r="AB486" s="7" t="e">
        <f t="shared" si="196"/>
        <v>#N/A</v>
      </c>
      <c r="AC486" s="7" t="e">
        <f t="shared" si="197"/>
        <v>#N/A</v>
      </c>
      <c r="AD486" s="472" t="e">
        <f>VLOOKUP(AF486,'排出係数(2017)'!$A$4:$I$1151,9,FALSE)</f>
        <v>#N/A</v>
      </c>
      <c r="AE486" s="12" t="str">
        <f t="shared" si="198"/>
        <v xml:space="preserve"> </v>
      </c>
      <c r="AF486" s="7" t="e">
        <f t="shared" si="213"/>
        <v>#N/A</v>
      </c>
      <c r="AG486" s="7" t="e">
        <f t="shared" si="199"/>
        <v>#N/A</v>
      </c>
      <c r="AH486" s="472" t="e">
        <f>VLOOKUP(AF486,'排出係数(2017)'!$A$4:$I$1151,6,FALSE)</f>
        <v>#N/A</v>
      </c>
      <c r="AI486" s="7" t="e">
        <f t="shared" si="200"/>
        <v>#N/A</v>
      </c>
      <c r="AJ486" s="7" t="e">
        <f t="shared" si="201"/>
        <v>#N/A</v>
      </c>
      <c r="AK486" s="472" t="e">
        <f>VLOOKUP(AF486,'排出係数(2017)'!$A$4:$I$1151,7,FALSE)</f>
        <v>#N/A</v>
      </c>
      <c r="AL486" s="7" t="e">
        <f t="shared" si="202"/>
        <v>#N/A</v>
      </c>
      <c r="AM486" s="7" t="e">
        <f t="shared" si="203"/>
        <v>#N/A</v>
      </c>
      <c r="AN486" s="7" t="e">
        <f t="shared" si="204"/>
        <v>#N/A</v>
      </c>
      <c r="AO486" s="7">
        <f t="shared" si="205"/>
        <v>0</v>
      </c>
      <c r="AP486" s="7" t="e">
        <f t="shared" si="214"/>
        <v>#N/A</v>
      </c>
      <c r="AQ486" s="7" t="str">
        <f t="shared" si="206"/>
        <v/>
      </c>
      <c r="AR486" s="7" t="str">
        <f t="shared" si="207"/>
        <v/>
      </c>
      <c r="AS486" s="7" t="str">
        <f t="shared" si="208"/>
        <v/>
      </c>
      <c r="AT486" s="97"/>
      <c r="AZ486" s="477" t="s">
        <v>1109</v>
      </c>
      <c r="CF486" s="586" t="str">
        <f t="shared" si="215"/>
        <v/>
      </c>
      <c r="CG486"/>
      <c r="CH486"/>
    </row>
    <row r="487" spans="1:86" s="13" customFormat="1" ht="13.75" customHeight="1">
      <c r="A487" s="137">
        <v>472</v>
      </c>
      <c r="B487" s="138"/>
      <c r="C487" s="139"/>
      <c r="D487" s="140"/>
      <c r="E487" s="139"/>
      <c r="F487" s="139"/>
      <c r="G487" s="191"/>
      <c r="H487" s="139"/>
      <c r="I487" s="141"/>
      <c r="J487" s="142"/>
      <c r="K487" s="139"/>
      <c r="L487" s="147"/>
      <c r="M487" s="148"/>
      <c r="N487" s="583"/>
      <c r="O487" s="229" t="str">
        <f t="shared" si="209"/>
        <v/>
      </c>
      <c r="P487" s="229" t="str">
        <f t="shared" si="210"/>
        <v/>
      </c>
      <c r="Q487" s="230" t="str">
        <f t="shared" si="211"/>
        <v/>
      </c>
      <c r="R487" s="323" t="str">
        <f t="shared" si="212"/>
        <v/>
      </c>
      <c r="S487" s="350"/>
      <c r="T487" s="43"/>
      <c r="U487" s="347" t="str">
        <f t="shared" si="189"/>
        <v/>
      </c>
      <c r="V487" s="7" t="e">
        <f t="shared" si="190"/>
        <v>#N/A</v>
      </c>
      <c r="W487" s="7" t="e">
        <f t="shared" si="191"/>
        <v>#N/A</v>
      </c>
      <c r="X487" s="7" t="e">
        <f t="shared" si="192"/>
        <v>#N/A</v>
      </c>
      <c r="Y487" s="7" t="str">
        <f t="shared" si="193"/>
        <v/>
      </c>
      <c r="Z487" s="11">
        <f t="shared" si="194"/>
        <v>1</v>
      </c>
      <c r="AA487" s="7" t="e">
        <f t="shared" si="195"/>
        <v>#N/A</v>
      </c>
      <c r="AB487" s="7" t="e">
        <f t="shared" si="196"/>
        <v>#N/A</v>
      </c>
      <c r="AC487" s="7" t="e">
        <f t="shared" si="197"/>
        <v>#N/A</v>
      </c>
      <c r="AD487" s="472" t="e">
        <f>VLOOKUP(AF487,'排出係数(2017)'!$A$4:$I$1151,9,FALSE)</f>
        <v>#N/A</v>
      </c>
      <c r="AE487" s="12" t="str">
        <f t="shared" si="198"/>
        <v xml:space="preserve"> </v>
      </c>
      <c r="AF487" s="7" t="e">
        <f t="shared" si="213"/>
        <v>#N/A</v>
      </c>
      <c r="AG487" s="7" t="e">
        <f t="shared" si="199"/>
        <v>#N/A</v>
      </c>
      <c r="AH487" s="472" t="e">
        <f>VLOOKUP(AF487,'排出係数(2017)'!$A$4:$I$1151,6,FALSE)</f>
        <v>#N/A</v>
      </c>
      <c r="AI487" s="7" t="e">
        <f t="shared" si="200"/>
        <v>#N/A</v>
      </c>
      <c r="AJ487" s="7" t="e">
        <f t="shared" si="201"/>
        <v>#N/A</v>
      </c>
      <c r="AK487" s="472" t="e">
        <f>VLOOKUP(AF487,'排出係数(2017)'!$A$4:$I$1151,7,FALSE)</f>
        <v>#N/A</v>
      </c>
      <c r="AL487" s="7" t="e">
        <f t="shared" si="202"/>
        <v>#N/A</v>
      </c>
      <c r="AM487" s="7" t="e">
        <f t="shared" si="203"/>
        <v>#N/A</v>
      </c>
      <c r="AN487" s="7" t="e">
        <f t="shared" si="204"/>
        <v>#N/A</v>
      </c>
      <c r="AO487" s="7">
        <f t="shared" si="205"/>
        <v>0</v>
      </c>
      <c r="AP487" s="7" t="e">
        <f t="shared" si="214"/>
        <v>#N/A</v>
      </c>
      <c r="AQ487" s="7" t="str">
        <f t="shared" si="206"/>
        <v/>
      </c>
      <c r="AR487" s="7" t="str">
        <f t="shared" si="207"/>
        <v/>
      </c>
      <c r="AS487" s="7" t="str">
        <f t="shared" si="208"/>
        <v/>
      </c>
      <c r="AT487" s="97"/>
      <c r="AZ487" s="477" t="s">
        <v>1101</v>
      </c>
      <c r="CF487" s="586" t="str">
        <f t="shared" si="215"/>
        <v/>
      </c>
      <c r="CG487"/>
      <c r="CH487"/>
    </row>
    <row r="488" spans="1:86" s="13" customFormat="1" ht="13.75" customHeight="1">
      <c r="A488" s="137">
        <v>473</v>
      </c>
      <c r="B488" s="138"/>
      <c r="C488" s="139"/>
      <c r="D488" s="140"/>
      <c r="E488" s="139"/>
      <c r="F488" s="139"/>
      <c r="G488" s="191"/>
      <c r="H488" s="139"/>
      <c r="I488" s="141"/>
      <c r="J488" s="142"/>
      <c r="K488" s="139"/>
      <c r="L488" s="147"/>
      <c r="M488" s="148"/>
      <c r="N488" s="583"/>
      <c r="O488" s="229" t="str">
        <f t="shared" si="209"/>
        <v/>
      </c>
      <c r="P488" s="229" t="str">
        <f t="shared" si="210"/>
        <v/>
      </c>
      <c r="Q488" s="230" t="str">
        <f t="shared" si="211"/>
        <v/>
      </c>
      <c r="R488" s="323" t="str">
        <f t="shared" si="212"/>
        <v/>
      </c>
      <c r="S488" s="350"/>
      <c r="T488" s="43"/>
      <c r="U488" s="347" t="str">
        <f t="shared" si="189"/>
        <v/>
      </c>
      <c r="V488" s="7" t="e">
        <f t="shared" si="190"/>
        <v>#N/A</v>
      </c>
      <c r="W488" s="7" t="e">
        <f t="shared" si="191"/>
        <v>#N/A</v>
      </c>
      <c r="X488" s="7" t="e">
        <f t="shared" si="192"/>
        <v>#N/A</v>
      </c>
      <c r="Y488" s="7" t="str">
        <f t="shared" si="193"/>
        <v/>
      </c>
      <c r="Z488" s="11">
        <f t="shared" si="194"/>
        <v>1</v>
      </c>
      <c r="AA488" s="7" t="e">
        <f t="shared" si="195"/>
        <v>#N/A</v>
      </c>
      <c r="AB488" s="7" t="e">
        <f t="shared" si="196"/>
        <v>#N/A</v>
      </c>
      <c r="AC488" s="7" t="e">
        <f t="shared" si="197"/>
        <v>#N/A</v>
      </c>
      <c r="AD488" s="472" t="e">
        <f>VLOOKUP(AF488,'排出係数(2017)'!$A$4:$I$1151,9,FALSE)</f>
        <v>#N/A</v>
      </c>
      <c r="AE488" s="12" t="str">
        <f t="shared" si="198"/>
        <v xml:space="preserve"> </v>
      </c>
      <c r="AF488" s="7" t="e">
        <f t="shared" si="213"/>
        <v>#N/A</v>
      </c>
      <c r="AG488" s="7" t="e">
        <f t="shared" si="199"/>
        <v>#N/A</v>
      </c>
      <c r="AH488" s="472" t="e">
        <f>VLOOKUP(AF488,'排出係数(2017)'!$A$4:$I$1151,6,FALSE)</f>
        <v>#N/A</v>
      </c>
      <c r="AI488" s="7" t="e">
        <f t="shared" si="200"/>
        <v>#N/A</v>
      </c>
      <c r="AJ488" s="7" t="e">
        <f t="shared" si="201"/>
        <v>#N/A</v>
      </c>
      <c r="AK488" s="472" t="e">
        <f>VLOOKUP(AF488,'排出係数(2017)'!$A$4:$I$1151,7,FALSE)</f>
        <v>#N/A</v>
      </c>
      <c r="AL488" s="7" t="e">
        <f t="shared" si="202"/>
        <v>#N/A</v>
      </c>
      <c r="AM488" s="7" t="e">
        <f t="shared" si="203"/>
        <v>#N/A</v>
      </c>
      <c r="AN488" s="7" t="e">
        <f t="shared" si="204"/>
        <v>#N/A</v>
      </c>
      <c r="AO488" s="7">
        <f t="shared" si="205"/>
        <v>0</v>
      </c>
      <c r="AP488" s="7" t="e">
        <f t="shared" si="214"/>
        <v>#N/A</v>
      </c>
      <c r="AQ488" s="7" t="str">
        <f t="shared" si="206"/>
        <v/>
      </c>
      <c r="AR488" s="7" t="str">
        <f t="shared" si="207"/>
        <v/>
      </c>
      <c r="AS488" s="7" t="str">
        <f t="shared" si="208"/>
        <v/>
      </c>
      <c r="AT488" s="97"/>
      <c r="AZ488" s="477" t="s">
        <v>2557</v>
      </c>
      <c r="CF488" s="586" t="str">
        <f t="shared" si="215"/>
        <v/>
      </c>
      <c r="CG488"/>
      <c r="CH488"/>
    </row>
    <row r="489" spans="1:86" s="13" customFormat="1" ht="13.75" customHeight="1">
      <c r="A489" s="137">
        <v>474</v>
      </c>
      <c r="B489" s="138"/>
      <c r="C489" s="139"/>
      <c r="D489" s="140"/>
      <c r="E489" s="139"/>
      <c r="F489" s="139"/>
      <c r="G489" s="191"/>
      <c r="H489" s="139"/>
      <c r="I489" s="141"/>
      <c r="J489" s="142"/>
      <c r="K489" s="139"/>
      <c r="L489" s="147"/>
      <c r="M489" s="148"/>
      <c r="N489" s="583"/>
      <c r="O489" s="229" t="str">
        <f t="shared" si="209"/>
        <v/>
      </c>
      <c r="P489" s="229" t="str">
        <f t="shared" si="210"/>
        <v/>
      </c>
      <c r="Q489" s="230" t="str">
        <f t="shared" si="211"/>
        <v/>
      </c>
      <c r="R489" s="323" t="str">
        <f t="shared" si="212"/>
        <v/>
      </c>
      <c r="S489" s="350"/>
      <c r="T489" s="43"/>
      <c r="U489" s="347" t="str">
        <f t="shared" si="189"/>
        <v/>
      </c>
      <c r="V489" s="7" t="e">
        <f t="shared" si="190"/>
        <v>#N/A</v>
      </c>
      <c r="W489" s="7" t="e">
        <f t="shared" si="191"/>
        <v>#N/A</v>
      </c>
      <c r="X489" s="7" t="e">
        <f t="shared" si="192"/>
        <v>#N/A</v>
      </c>
      <c r="Y489" s="7" t="str">
        <f t="shared" si="193"/>
        <v/>
      </c>
      <c r="Z489" s="11">
        <f t="shared" si="194"/>
        <v>1</v>
      </c>
      <c r="AA489" s="7" t="e">
        <f t="shared" si="195"/>
        <v>#N/A</v>
      </c>
      <c r="AB489" s="7" t="e">
        <f t="shared" si="196"/>
        <v>#N/A</v>
      </c>
      <c r="AC489" s="7" t="e">
        <f t="shared" si="197"/>
        <v>#N/A</v>
      </c>
      <c r="AD489" s="472" t="e">
        <f>VLOOKUP(AF489,'排出係数(2017)'!$A$4:$I$1151,9,FALSE)</f>
        <v>#N/A</v>
      </c>
      <c r="AE489" s="12" t="str">
        <f t="shared" si="198"/>
        <v xml:space="preserve"> </v>
      </c>
      <c r="AF489" s="7" t="e">
        <f t="shared" si="213"/>
        <v>#N/A</v>
      </c>
      <c r="AG489" s="7" t="e">
        <f t="shared" si="199"/>
        <v>#N/A</v>
      </c>
      <c r="AH489" s="472" t="e">
        <f>VLOOKUP(AF489,'排出係数(2017)'!$A$4:$I$1151,6,FALSE)</f>
        <v>#N/A</v>
      </c>
      <c r="AI489" s="7" t="e">
        <f t="shared" si="200"/>
        <v>#N/A</v>
      </c>
      <c r="AJ489" s="7" t="e">
        <f t="shared" si="201"/>
        <v>#N/A</v>
      </c>
      <c r="AK489" s="472" t="e">
        <f>VLOOKUP(AF489,'排出係数(2017)'!$A$4:$I$1151,7,FALSE)</f>
        <v>#N/A</v>
      </c>
      <c r="AL489" s="7" t="e">
        <f t="shared" si="202"/>
        <v>#N/A</v>
      </c>
      <c r="AM489" s="7" t="e">
        <f t="shared" si="203"/>
        <v>#N/A</v>
      </c>
      <c r="AN489" s="7" t="e">
        <f t="shared" si="204"/>
        <v>#N/A</v>
      </c>
      <c r="AO489" s="7">
        <f t="shared" si="205"/>
        <v>0</v>
      </c>
      <c r="AP489" s="7" t="e">
        <f t="shared" si="214"/>
        <v>#N/A</v>
      </c>
      <c r="AQ489" s="7" t="str">
        <f t="shared" si="206"/>
        <v/>
      </c>
      <c r="AR489" s="7" t="str">
        <f t="shared" si="207"/>
        <v/>
      </c>
      <c r="AS489" s="7" t="str">
        <f t="shared" si="208"/>
        <v/>
      </c>
      <c r="AT489" s="97"/>
      <c r="AZ489" s="477" t="s">
        <v>2558</v>
      </c>
      <c r="CF489" s="586" t="str">
        <f t="shared" si="215"/>
        <v/>
      </c>
      <c r="CG489"/>
      <c r="CH489"/>
    </row>
    <row r="490" spans="1:86" s="13" customFormat="1" ht="13.75" customHeight="1">
      <c r="A490" s="137">
        <v>475</v>
      </c>
      <c r="B490" s="138"/>
      <c r="C490" s="139"/>
      <c r="D490" s="140"/>
      <c r="E490" s="139"/>
      <c r="F490" s="139"/>
      <c r="G490" s="191"/>
      <c r="H490" s="139"/>
      <c r="I490" s="141"/>
      <c r="J490" s="142"/>
      <c r="K490" s="139"/>
      <c r="L490" s="147"/>
      <c r="M490" s="148"/>
      <c r="N490" s="583"/>
      <c r="O490" s="229" t="str">
        <f t="shared" si="209"/>
        <v/>
      </c>
      <c r="P490" s="229" t="str">
        <f t="shared" si="210"/>
        <v/>
      </c>
      <c r="Q490" s="230" t="str">
        <f t="shared" si="211"/>
        <v/>
      </c>
      <c r="R490" s="323" t="str">
        <f t="shared" si="212"/>
        <v/>
      </c>
      <c r="S490" s="350"/>
      <c r="T490" s="43"/>
      <c r="U490" s="347" t="str">
        <f t="shared" si="189"/>
        <v/>
      </c>
      <c r="V490" s="7" t="e">
        <f t="shared" si="190"/>
        <v>#N/A</v>
      </c>
      <c r="W490" s="7" t="e">
        <f t="shared" si="191"/>
        <v>#N/A</v>
      </c>
      <c r="X490" s="7" t="e">
        <f t="shared" si="192"/>
        <v>#N/A</v>
      </c>
      <c r="Y490" s="7" t="str">
        <f t="shared" si="193"/>
        <v/>
      </c>
      <c r="Z490" s="11">
        <f t="shared" si="194"/>
        <v>1</v>
      </c>
      <c r="AA490" s="7" t="e">
        <f t="shared" si="195"/>
        <v>#N/A</v>
      </c>
      <c r="AB490" s="7" t="e">
        <f t="shared" si="196"/>
        <v>#N/A</v>
      </c>
      <c r="AC490" s="7" t="e">
        <f t="shared" si="197"/>
        <v>#N/A</v>
      </c>
      <c r="AD490" s="472" t="e">
        <f>VLOOKUP(AF490,'排出係数(2017)'!$A$4:$I$1151,9,FALSE)</f>
        <v>#N/A</v>
      </c>
      <c r="AE490" s="12" t="str">
        <f t="shared" si="198"/>
        <v xml:space="preserve"> </v>
      </c>
      <c r="AF490" s="7" t="e">
        <f t="shared" si="213"/>
        <v>#N/A</v>
      </c>
      <c r="AG490" s="7" t="e">
        <f t="shared" si="199"/>
        <v>#N/A</v>
      </c>
      <c r="AH490" s="472" t="e">
        <f>VLOOKUP(AF490,'排出係数(2017)'!$A$4:$I$1151,6,FALSE)</f>
        <v>#N/A</v>
      </c>
      <c r="AI490" s="7" t="e">
        <f t="shared" si="200"/>
        <v>#N/A</v>
      </c>
      <c r="AJ490" s="7" t="e">
        <f t="shared" si="201"/>
        <v>#N/A</v>
      </c>
      <c r="AK490" s="472" t="e">
        <f>VLOOKUP(AF490,'排出係数(2017)'!$A$4:$I$1151,7,FALSE)</f>
        <v>#N/A</v>
      </c>
      <c r="AL490" s="7" t="e">
        <f t="shared" si="202"/>
        <v>#N/A</v>
      </c>
      <c r="AM490" s="7" t="e">
        <f t="shared" si="203"/>
        <v>#N/A</v>
      </c>
      <c r="AN490" s="7" t="e">
        <f t="shared" si="204"/>
        <v>#N/A</v>
      </c>
      <c r="AO490" s="7">
        <f t="shared" si="205"/>
        <v>0</v>
      </c>
      <c r="AP490" s="7" t="e">
        <f t="shared" si="214"/>
        <v>#N/A</v>
      </c>
      <c r="AQ490" s="7" t="str">
        <f t="shared" si="206"/>
        <v/>
      </c>
      <c r="AR490" s="7" t="str">
        <f t="shared" si="207"/>
        <v/>
      </c>
      <c r="AS490" s="7" t="str">
        <f t="shared" si="208"/>
        <v/>
      </c>
      <c r="AT490" s="97"/>
      <c r="AZ490" s="477" t="s">
        <v>19</v>
      </c>
      <c r="CF490" s="586" t="str">
        <f t="shared" si="215"/>
        <v/>
      </c>
      <c r="CG490"/>
      <c r="CH490"/>
    </row>
    <row r="491" spans="1:86" s="13" customFormat="1" ht="13.75" customHeight="1">
      <c r="A491" s="137">
        <v>476</v>
      </c>
      <c r="B491" s="138"/>
      <c r="C491" s="139"/>
      <c r="D491" s="140"/>
      <c r="E491" s="139"/>
      <c r="F491" s="139"/>
      <c r="G491" s="191"/>
      <c r="H491" s="139"/>
      <c r="I491" s="141"/>
      <c r="J491" s="142"/>
      <c r="K491" s="139"/>
      <c r="L491" s="147"/>
      <c r="M491" s="148"/>
      <c r="N491" s="583"/>
      <c r="O491" s="229" t="str">
        <f t="shared" si="209"/>
        <v/>
      </c>
      <c r="P491" s="229" t="str">
        <f t="shared" si="210"/>
        <v/>
      </c>
      <c r="Q491" s="230" t="str">
        <f t="shared" si="211"/>
        <v/>
      </c>
      <c r="R491" s="323" t="str">
        <f t="shared" si="212"/>
        <v/>
      </c>
      <c r="S491" s="350"/>
      <c r="T491" s="43"/>
      <c r="U491" s="347" t="str">
        <f t="shared" si="189"/>
        <v/>
      </c>
      <c r="V491" s="7" t="e">
        <f t="shared" si="190"/>
        <v>#N/A</v>
      </c>
      <c r="W491" s="7" t="e">
        <f t="shared" si="191"/>
        <v>#N/A</v>
      </c>
      <c r="X491" s="7" t="e">
        <f t="shared" si="192"/>
        <v>#N/A</v>
      </c>
      <c r="Y491" s="7" t="str">
        <f t="shared" si="193"/>
        <v/>
      </c>
      <c r="Z491" s="11">
        <f t="shared" si="194"/>
        <v>1</v>
      </c>
      <c r="AA491" s="7" t="e">
        <f t="shared" si="195"/>
        <v>#N/A</v>
      </c>
      <c r="AB491" s="7" t="e">
        <f t="shared" si="196"/>
        <v>#N/A</v>
      </c>
      <c r="AC491" s="7" t="e">
        <f t="shared" si="197"/>
        <v>#N/A</v>
      </c>
      <c r="AD491" s="472" t="e">
        <f>VLOOKUP(AF491,'排出係数(2017)'!$A$4:$I$1151,9,FALSE)</f>
        <v>#N/A</v>
      </c>
      <c r="AE491" s="12" t="str">
        <f t="shared" si="198"/>
        <v xml:space="preserve"> </v>
      </c>
      <c r="AF491" s="7" t="e">
        <f t="shared" si="213"/>
        <v>#N/A</v>
      </c>
      <c r="AG491" s="7" t="e">
        <f t="shared" si="199"/>
        <v>#N/A</v>
      </c>
      <c r="AH491" s="472" t="e">
        <f>VLOOKUP(AF491,'排出係数(2017)'!$A$4:$I$1151,6,FALSE)</f>
        <v>#N/A</v>
      </c>
      <c r="AI491" s="7" t="e">
        <f t="shared" si="200"/>
        <v>#N/A</v>
      </c>
      <c r="AJ491" s="7" t="e">
        <f t="shared" si="201"/>
        <v>#N/A</v>
      </c>
      <c r="AK491" s="472" t="e">
        <f>VLOOKUP(AF491,'排出係数(2017)'!$A$4:$I$1151,7,FALSE)</f>
        <v>#N/A</v>
      </c>
      <c r="AL491" s="7" t="e">
        <f t="shared" si="202"/>
        <v>#N/A</v>
      </c>
      <c r="AM491" s="7" t="e">
        <f t="shared" si="203"/>
        <v>#N/A</v>
      </c>
      <c r="AN491" s="7" t="e">
        <f t="shared" si="204"/>
        <v>#N/A</v>
      </c>
      <c r="AO491" s="7">
        <f t="shared" si="205"/>
        <v>0</v>
      </c>
      <c r="AP491" s="7" t="e">
        <f t="shared" si="214"/>
        <v>#N/A</v>
      </c>
      <c r="AQ491" s="7" t="str">
        <f t="shared" si="206"/>
        <v/>
      </c>
      <c r="AR491" s="7" t="str">
        <f t="shared" si="207"/>
        <v/>
      </c>
      <c r="AS491" s="7" t="str">
        <f t="shared" si="208"/>
        <v/>
      </c>
      <c r="AT491" s="97"/>
      <c r="AZ491" s="477" t="s">
        <v>79</v>
      </c>
      <c r="CF491" s="586" t="str">
        <f t="shared" si="215"/>
        <v/>
      </c>
      <c r="CG491"/>
      <c r="CH491"/>
    </row>
    <row r="492" spans="1:86" s="13" customFormat="1" ht="13.75" customHeight="1">
      <c r="A492" s="137">
        <v>477</v>
      </c>
      <c r="B492" s="138"/>
      <c r="C492" s="139"/>
      <c r="D492" s="140"/>
      <c r="E492" s="139"/>
      <c r="F492" s="139"/>
      <c r="G492" s="191"/>
      <c r="H492" s="139"/>
      <c r="I492" s="141"/>
      <c r="J492" s="142"/>
      <c r="K492" s="139"/>
      <c r="L492" s="147"/>
      <c r="M492" s="148"/>
      <c r="N492" s="583"/>
      <c r="O492" s="229" t="str">
        <f t="shared" si="209"/>
        <v/>
      </c>
      <c r="P492" s="229" t="str">
        <f t="shared" si="210"/>
        <v/>
      </c>
      <c r="Q492" s="230" t="str">
        <f t="shared" si="211"/>
        <v/>
      </c>
      <c r="R492" s="323" t="str">
        <f t="shared" si="212"/>
        <v/>
      </c>
      <c r="S492" s="350"/>
      <c r="T492" s="43"/>
      <c r="U492" s="347" t="str">
        <f t="shared" si="189"/>
        <v/>
      </c>
      <c r="V492" s="7" t="e">
        <f t="shared" si="190"/>
        <v>#N/A</v>
      </c>
      <c r="W492" s="7" t="e">
        <f t="shared" si="191"/>
        <v>#N/A</v>
      </c>
      <c r="X492" s="7" t="e">
        <f t="shared" si="192"/>
        <v>#N/A</v>
      </c>
      <c r="Y492" s="7" t="str">
        <f t="shared" si="193"/>
        <v/>
      </c>
      <c r="Z492" s="11">
        <f t="shared" si="194"/>
        <v>1</v>
      </c>
      <c r="AA492" s="7" t="e">
        <f t="shared" si="195"/>
        <v>#N/A</v>
      </c>
      <c r="AB492" s="7" t="e">
        <f t="shared" si="196"/>
        <v>#N/A</v>
      </c>
      <c r="AC492" s="7" t="e">
        <f t="shared" si="197"/>
        <v>#N/A</v>
      </c>
      <c r="AD492" s="472" t="e">
        <f>VLOOKUP(AF492,'排出係数(2017)'!$A$4:$I$1151,9,FALSE)</f>
        <v>#N/A</v>
      </c>
      <c r="AE492" s="12" t="str">
        <f t="shared" si="198"/>
        <v xml:space="preserve"> </v>
      </c>
      <c r="AF492" s="7" t="e">
        <f t="shared" si="213"/>
        <v>#N/A</v>
      </c>
      <c r="AG492" s="7" t="e">
        <f t="shared" si="199"/>
        <v>#N/A</v>
      </c>
      <c r="AH492" s="472" t="e">
        <f>VLOOKUP(AF492,'排出係数(2017)'!$A$4:$I$1151,6,FALSE)</f>
        <v>#N/A</v>
      </c>
      <c r="AI492" s="7" t="e">
        <f t="shared" si="200"/>
        <v>#N/A</v>
      </c>
      <c r="AJ492" s="7" t="e">
        <f t="shared" si="201"/>
        <v>#N/A</v>
      </c>
      <c r="AK492" s="472" t="e">
        <f>VLOOKUP(AF492,'排出係数(2017)'!$A$4:$I$1151,7,FALSE)</f>
        <v>#N/A</v>
      </c>
      <c r="AL492" s="7" t="e">
        <f t="shared" si="202"/>
        <v>#N/A</v>
      </c>
      <c r="AM492" s="7" t="e">
        <f t="shared" si="203"/>
        <v>#N/A</v>
      </c>
      <c r="AN492" s="7" t="e">
        <f t="shared" si="204"/>
        <v>#N/A</v>
      </c>
      <c r="AO492" s="7">
        <f t="shared" si="205"/>
        <v>0</v>
      </c>
      <c r="AP492" s="7" t="e">
        <f t="shared" si="214"/>
        <v>#N/A</v>
      </c>
      <c r="AQ492" s="7" t="str">
        <f t="shared" si="206"/>
        <v/>
      </c>
      <c r="AR492" s="7" t="str">
        <f t="shared" si="207"/>
        <v/>
      </c>
      <c r="AS492" s="7" t="str">
        <f t="shared" si="208"/>
        <v/>
      </c>
      <c r="AT492" s="97"/>
      <c r="AZ492" s="477" t="s">
        <v>80</v>
      </c>
      <c r="CF492" s="586" t="str">
        <f t="shared" si="215"/>
        <v/>
      </c>
      <c r="CG492"/>
      <c r="CH492"/>
    </row>
    <row r="493" spans="1:86" s="13" customFormat="1" ht="13.75" customHeight="1">
      <c r="A493" s="137">
        <v>478</v>
      </c>
      <c r="B493" s="138"/>
      <c r="C493" s="139"/>
      <c r="D493" s="140"/>
      <c r="E493" s="139"/>
      <c r="F493" s="139"/>
      <c r="G493" s="191"/>
      <c r="H493" s="139"/>
      <c r="I493" s="141"/>
      <c r="J493" s="142"/>
      <c r="K493" s="139"/>
      <c r="L493" s="147"/>
      <c r="M493" s="148"/>
      <c r="N493" s="583"/>
      <c r="O493" s="229" t="str">
        <f t="shared" si="209"/>
        <v/>
      </c>
      <c r="P493" s="229" t="str">
        <f t="shared" si="210"/>
        <v/>
      </c>
      <c r="Q493" s="230" t="str">
        <f t="shared" si="211"/>
        <v/>
      </c>
      <c r="R493" s="323" t="str">
        <f t="shared" si="212"/>
        <v/>
      </c>
      <c r="S493" s="350"/>
      <c r="T493" s="43"/>
      <c r="U493" s="347" t="str">
        <f t="shared" si="189"/>
        <v/>
      </c>
      <c r="V493" s="7" t="e">
        <f t="shared" si="190"/>
        <v>#N/A</v>
      </c>
      <c r="W493" s="7" t="e">
        <f t="shared" si="191"/>
        <v>#N/A</v>
      </c>
      <c r="X493" s="7" t="e">
        <f t="shared" si="192"/>
        <v>#N/A</v>
      </c>
      <c r="Y493" s="7" t="str">
        <f t="shared" si="193"/>
        <v/>
      </c>
      <c r="Z493" s="11">
        <f t="shared" si="194"/>
        <v>1</v>
      </c>
      <c r="AA493" s="7" t="e">
        <f t="shared" si="195"/>
        <v>#N/A</v>
      </c>
      <c r="AB493" s="7" t="e">
        <f t="shared" si="196"/>
        <v>#N/A</v>
      </c>
      <c r="AC493" s="7" t="e">
        <f t="shared" si="197"/>
        <v>#N/A</v>
      </c>
      <c r="AD493" s="472" t="e">
        <f>VLOOKUP(AF493,'排出係数(2017)'!$A$4:$I$1151,9,FALSE)</f>
        <v>#N/A</v>
      </c>
      <c r="AE493" s="12" t="str">
        <f t="shared" si="198"/>
        <v xml:space="preserve"> </v>
      </c>
      <c r="AF493" s="7" t="e">
        <f t="shared" si="213"/>
        <v>#N/A</v>
      </c>
      <c r="AG493" s="7" t="e">
        <f t="shared" si="199"/>
        <v>#N/A</v>
      </c>
      <c r="AH493" s="472" t="e">
        <f>VLOOKUP(AF493,'排出係数(2017)'!$A$4:$I$1151,6,FALSE)</f>
        <v>#N/A</v>
      </c>
      <c r="AI493" s="7" t="e">
        <f t="shared" si="200"/>
        <v>#N/A</v>
      </c>
      <c r="AJ493" s="7" t="e">
        <f t="shared" si="201"/>
        <v>#N/A</v>
      </c>
      <c r="AK493" s="472" t="e">
        <f>VLOOKUP(AF493,'排出係数(2017)'!$A$4:$I$1151,7,FALSE)</f>
        <v>#N/A</v>
      </c>
      <c r="AL493" s="7" t="e">
        <f t="shared" si="202"/>
        <v>#N/A</v>
      </c>
      <c r="AM493" s="7" t="e">
        <f t="shared" si="203"/>
        <v>#N/A</v>
      </c>
      <c r="AN493" s="7" t="e">
        <f t="shared" si="204"/>
        <v>#N/A</v>
      </c>
      <c r="AO493" s="7">
        <f t="shared" si="205"/>
        <v>0</v>
      </c>
      <c r="AP493" s="7" t="e">
        <f t="shared" si="214"/>
        <v>#N/A</v>
      </c>
      <c r="AQ493" s="7" t="str">
        <f t="shared" si="206"/>
        <v/>
      </c>
      <c r="AR493" s="7" t="str">
        <f t="shared" si="207"/>
        <v/>
      </c>
      <c r="AS493" s="7" t="str">
        <f t="shared" si="208"/>
        <v/>
      </c>
      <c r="AT493" s="97"/>
      <c r="AZ493" s="477" t="s">
        <v>81</v>
      </c>
      <c r="CF493" s="586" t="str">
        <f t="shared" si="215"/>
        <v/>
      </c>
      <c r="CG493"/>
      <c r="CH493"/>
    </row>
    <row r="494" spans="1:86" s="13" customFormat="1" ht="13.75" customHeight="1">
      <c r="A494" s="137">
        <v>479</v>
      </c>
      <c r="B494" s="138"/>
      <c r="C494" s="139"/>
      <c r="D494" s="140"/>
      <c r="E494" s="139"/>
      <c r="F494" s="139"/>
      <c r="G494" s="191"/>
      <c r="H494" s="139"/>
      <c r="I494" s="141"/>
      <c r="J494" s="142"/>
      <c r="K494" s="139"/>
      <c r="L494" s="147"/>
      <c r="M494" s="148"/>
      <c r="N494" s="583"/>
      <c r="O494" s="229" t="str">
        <f t="shared" si="209"/>
        <v/>
      </c>
      <c r="P494" s="229" t="str">
        <f t="shared" si="210"/>
        <v/>
      </c>
      <c r="Q494" s="230" t="str">
        <f t="shared" si="211"/>
        <v/>
      </c>
      <c r="R494" s="323" t="str">
        <f t="shared" si="212"/>
        <v/>
      </c>
      <c r="S494" s="350"/>
      <c r="T494" s="43"/>
      <c r="U494" s="347" t="str">
        <f t="shared" si="189"/>
        <v/>
      </c>
      <c r="V494" s="7" t="e">
        <f t="shared" si="190"/>
        <v>#N/A</v>
      </c>
      <c r="W494" s="7" t="e">
        <f t="shared" si="191"/>
        <v>#N/A</v>
      </c>
      <c r="X494" s="7" t="e">
        <f t="shared" si="192"/>
        <v>#N/A</v>
      </c>
      <c r="Y494" s="7" t="str">
        <f t="shared" si="193"/>
        <v/>
      </c>
      <c r="Z494" s="11">
        <f t="shared" si="194"/>
        <v>1</v>
      </c>
      <c r="AA494" s="7" t="e">
        <f t="shared" si="195"/>
        <v>#N/A</v>
      </c>
      <c r="AB494" s="7" t="e">
        <f t="shared" si="196"/>
        <v>#N/A</v>
      </c>
      <c r="AC494" s="7" t="e">
        <f t="shared" si="197"/>
        <v>#N/A</v>
      </c>
      <c r="AD494" s="472" t="e">
        <f>VLOOKUP(AF494,'排出係数(2017)'!$A$4:$I$1151,9,FALSE)</f>
        <v>#N/A</v>
      </c>
      <c r="AE494" s="12" t="str">
        <f t="shared" si="198"/>
        <v xml:space="preserve"> </v>
      </c>
      <c r="AF494" s="7" t="e">
        <f t="shared" si="213"/>
        <v>#N/A</v>
      </c>
      <c r="AG494" s="7" t="e">
        <f t="shared" si="199"/>
        <v>#N/A</v>
      </c>
      <c r="AH494" s="472" t="e">
        <f>VLOOKUP(AF494,'排出係数(2017)'!$A$4:$I$1151,6,FALSE)</f>
        <v>#N/A</v>
      </c>
      <c r="AI494" s="7" t="e">
        <f t="shared" si="200"/>
        <v>#N/A</v>
      </c>
      <c r="AJ494" s="7" t="e">
        <f t="shared" si="201"/>
        <v>#N/A</v>
      </c>
      <c r="AK494" s="472" t="e">
        <f>VLOOKUP(AF494,'排出係数(2017)'!$A$4:$I$1151,7,FALSE)</f>
        <v>#N/A</v>
      </c>
      <c r="AL494" s="7" t="e">
        <f t="shared" si="202"/>
        <v>#N/A</v>
      </c>
      <c r="AM494" s="7" t="e">
        <f t="shared" si="203"/>
        <v>#N/A</v>
      </c>
      <c r="AN494" s="7" t="e">
        <f t="shared" si="204"/>
        <v>#N/A</v>
      </c>
      <c r="AO494" s="7">
        <f t="shared" si="205"/>
        <v>0</v>
      </c>
      <c r="AP494" s="7" t="e">
        <f t="shared" si="214"/>
        <v>#N/A</v>
      </c>
      <c r="AQ494" s="7" t="str">
        <f t="shared" si="206"/>
        <v/>
      </c>
      <c r="AR494" s="7" t="str">
        <f t="shared" si="207"/>
        <v/>
      </c>
      <c r="AS494" s="7" t="str">
        <f t="shared" si="208"/>
        <v/>
      </c>
      <c r="AT494" s="97"/>
      <c r="AZ494" s="477" t="s">
        <v>779</v>
      </c>
      <c r="CF494" s="586" t="str">
        <f t="shared" si="215"/>
        <v/>
      </c>
      <c r="CG494"/>
      <c r="CH494"/>
    </row>
    <row r="495" spans="1:86" s="13" customFormat="1" ht="13.75" customHeight="1">
      <c r="A495" s="137">
        <v>480</v>
      </c>
      <c r="B495" s="138"/>
      <c r="C495" s="139"/>
      <c r="D495" s="140"/>
      <c r="E495" s="139"/>
      <c r="F495" s="139"/>
      <c r="G495" s="191"/>
      <c r="H495" s="139"/>
      <c r="I495" s="141"/>
      <c r="J495" s="142"/>
      <c r="K495" s="139"/>
      <c r="L495" s="147"/>
      <c r="M495" s="148"/>
      <c r="N495" s="583"/>
      <c r="O495" s="229" t="str">
        <f t="shared" si="209"/>
        <v/>
      </c>
      <c r="P495" s="229" t="str">
        <f t="shared" si="210"/>
        <v/>
      </c>
      <c r="Q495" s="230" t="str">
        <f t="shared" si="211"/>
        <v/>
      </c>
      <c r="R495" s="323" t="str">
        <f t="shared" si="212"/>
        <v/>
      </c>
      <c r="S495" s="350"/>
      <c r="T495" s="43"/>
      <c r="U495" s="347" t="str">
        <f t="shared" si="189"/>
        <v/>
      </c>
      <c r="V495" s="7" t="e">
        <f t="shared" si="190"/>
        <v>#N/A</v>
      </c>
      <c r="W495" s="7" t="e">
        <f t="shared" si="191"/>
        <v>#N/A</v>
      </c>
      <c r="X495" s="7" t="e">
        <f t="shared" si="192"/>
        <v>#N/A</v>
      </c>
      <c r="Y495" s="7" t="str">
        <f t="shared" si="193"/>
        <v/>
      </c>
      <c r="Z495" s="11">
        <f t="shared" si="194"/>
        <v>1</v>
      </c>
      <c r="AA495" s="7" t="e">
        <f t="shared" si="195"/>
        <v>#N/A</v>
      </c>
      <c r="AB495" s="7" t="e">
        <f t="shared" si="196"/>
        <v>#N/A</v>
      </c>
      <c r="AC495" s="7" t="e">
        <f t="shared" si="197"/>
        <v>#N/A</v>
      </c>
      <c r="AD495" s="472" t="e">
        <f>VLOOKUP(AF495,'排出係数(2017)'!$A$4:$I$1151,9,FALSE)</f>
        <v>#N/A</v>
      </c>
      <c r="AE495" s="12" t="str">
        <f t="shared" si="198"/>
        <v xml:space="preserve"> </v>
      </c>
      <c r="AF495" s="7" t="e">
        <f t="shared" si="213"/>
        <v>#N/A</v>
      </c>
      <c r="AG495" s="7" t="e">
        <f t="shared" si="199"/>
        <v>#N/A</v>
      </c>
      <c r="AH495" s="472" t="e">
        <f>VLOOKUP(AF495,'排出係数(2017)'!$A$4:$I$1151,6,FALSE)</f>
        <v>#N/A</v>
      </c>
      <c r="AI495" s="7" t="e">
        <f t="shared" si="200"/>
        <v>#N/A</v>
      </c>
      <c r="AJ495" s="7" t="e">
        <f t="shared" si="201"/>
        <v>#N/A</v>
      </c>
      <c r="AK495" s="472" t="e">
        <f>VLOOKUP(AF495,'排出係数(2017)'!$A$4:$I$1151,7,FALSE)</f>
        <v>#N/A</v>
      </c>
      <c r="AL495" s="7" t="e">
        <f t="shared" si="202"/>
        <v>#N/A</v>
      </c>
      <c r="AM495" s="7" t="e">
        <f t="shared" si="203"/>
        <v>#N/A</v>
      </c>
      <c r="AN495" s="7" t="e">
        <f t="shared" si="204"/>
        <v>#N/A</v>
      </c>
      <c r="AO495" s="7">
        <f t="shared" si="205"/>
        <v>0</v>
      </c>
      <c r="AP495" s="7" t="e">
        <f t="shared" si="214"/>
        <v>#N/A</v>
      </c>
      <c r="AQ495" s="7" t="str">
        <f t="shared" si="206"/>
        <v/>
      </c>
      <c r="AR495" s="7" t="str">
        <f t="shared" si="207"/>
        <v/>
      </c>
      <c r="AS495" s="7" t="str">
        <f t="shared" si="208"/>
        <v/>
      </c>
      <c r="AT495" s="97"/>
      <c r="AZ495" s="453" t="s">
        <v>1119</v>
      </c>
      <c r="CF495" s="586" t="str">
        <f t="shared" si="215"/>
        <v/>
      </c>
      <c r="CG495"/>
      <c r="CH495"/>
    </row>
    <row r="496" spans="1:86" s="13" customFormat="1" ht="13.75" customHeight="1">
      <c r="A496" s="137">
        <v>481</v>
      </c>
      <c r="B496" s="138"/>
      <c r="C496" s="139"/>
      <c r="D496" s="140"/>
      <c r="E496" s="139"/>
      <c r="F496" s="139"/>
      <c r="G496" s="191"/>
      <c r="H496" s="139"/>
      <c r="I496" s="141"/>
      <c r="J496" s="142"/>
      <c r="K496" s="139"/>
      <c r="L496" s="147"/>
      <c r="M496" s="148"/>
      <c r="N496" s="583"/>
      <c r="O496" s="229" t="str">
        <f t="shared" si="209"/>
        <v/>
      </c>
      <c r="P496" s="229" t="str">
        <f t="shared" si="210"/>
        <v/>
      </c>
      <c r="Q496" s="230" t="str">
        <f t="shared" si="211"/>
        <v/>
      </c>
      <c r="R496" s="323" t="str">
        <f t="shared" si="212"/>
        <v/>
      </c>
      <c r="S496" s="350"/>
      <c r="T496" s="43"/>
      <c r="U496" s="347" t="str">
        <f t="shared" si="189"/>
        <v/>
      </c>
      <c r="V496" s="7" t="e">
        <f t="shared" si="190"/>
        <v>#N/A</v>
      </c>
      <c r="W496" s="7" t="e">
        <f t="shared" si="191"/>
        <v>#N/A</v>
      </c>
      <c r="X496" s="7" t="e">
        <f t="shared" si="192"/>
        <v>#N/A</v>
      </c>
      <c r="Y496" s="7" t="str">
        <f t="shared" si="193"/>
        <v/>
      </c>
      <c r="Z496" s="11">
        <f t="shared" si="194"/>
        <v>1</v>
      </c>
      <c r="AA496" s="7" t="e">
        <f t="shared" si="195"/>
        <v>#N/A</v>
      </c>
      <c r="AB496" s="7" t="e">
        <f t="shared" si="196"/>
        <v>#N/A</v>
      </c>
      <c r="AC496" s="7" t="e">
        <f t="shared" si="197"/>
        <v>#N/A</v>
      </c>
      <c r="AD496" s="472" t="e">
        <f>VLOOKUP(AF496,'排出係数(2017)'!$A$4:$I$1151,9,FALSE)</f>
        <v>#N/A</v>
      </c>
      <c r="AE496" s="12" t="str">
        <f t="shared" si="198"/>
        <v xml:space="preserve"> </v>
      </c>
      <c r="AF496" s="7" t="e">
        <f t="shared" si="213"/>
        <v>#N/A</v>
      </c>
      <c r="AG496" s="7" t="e">
        <f t="shared" si="199"/>
        <v>#N/A</v>
      </c>
      <c r="AH496" s="472" t="e">
        <f>VLOOKUP(AF496,'排出係数(2017)'!$A$4:$I$1151,6,FALSE)</f>
        <v>#N/A</v>
      </c>
      <c r="AI496" s="7" t="e">
        <f t="shared" si="200"/>
        <v>#N/A</v>
      </c>
      <c r="AJ496" s="7" t="e">
        <f t="shared" si="201"/>
        <v>#N/A</v>
      </c>
      <c r="AK496" s="472" t="e">
        <f>VLOOKUP(AF496,'排出係数(2017)'!$A$4:$I$1151,7,FALSE)</f>
        <v>#N/A</v>
      </c>
      <c r="AL496" s="7" t="e">
        <f t="shared" si="202"/>
        <v>#N/A</v>
      </c>
      <c r="AM496" s="7" t="e">
        <f t="shared" si="203"/>
        <v>#N/A</v>
      </c>
      <c r="AN496" s="7" t="e">
        <f t="shared" si="204"/>
        <v>#N/A</v>
      </c>
      <c r="AO496" s="7">
        <f t="shared" si="205"/>
        <v>0</v>
      </c>
      <c r="AP496" s="7" t="e">
        <f t="shared" si="214"/>
        <v>#N/A</v>
      </c>
      <c r="AQ496" s="7" t="str">
        <f t="shared" si="206"/>
        <v/>
      </c>
      <c r="AR496" s="7" t="str">
        <f t="shared" si="207"/>
        <v/>
      </c>
      <c r="AS496" s="7" t="str">
        <f t="shared" si="208"/>
        <v/>
      </c>
      <c r="AT496" s="97"/>
      <c r="AZ496" s="477" t="s">
        <v>82</v>
      </c>
      <c r="CF496" s="586" t="str">
        <f t="shared" si="215"/>
        <v/>
      </c>
      <c r="CG496"/>
      <c r="CH496"/>
    </row>
    <row r="497" spans="1:86" s="13" customFormat="1" ht="13.75" customHeight="1">
      <c r="A497" s="137">
        <v>482</v>
      </c>
      <c r="B497" s="138"/>
      <c r="C497" s="139"/>
      <c r="D497" s="140"/>
      <c r="E497" s="139"/>
      <c r="F497" s="139"/>
      <c r="G497" s="191"/>
      <c r="H497" s="139"/>
      <c r="I497" s="141"/>
      <c r="J497" s="142"/>
      <c r="K497" s="139"/>
      <c r="L497" s="147"/>
      <c r="M497" s="148"/>
      <c r="N497" s="583"/>
      <c r="O497" s="229" t="str">
        <f t="shared" si="209"/>
        <v/>
      </c>
      <c r="P497" s="229" t="str">
        <f t="shared" si="210"/>
        <v/>
      </c>
      <c r="Q497" s="230" t="str">
        <f t="shared" si="211"/>
        <v/>
      </c>
      <c r="R497" s="323" t="str">
        <f t="shared" si="212"/>
        <v/>
      </c>
      <c r="S497" s="350"/>
      <c r="T497" s="43"/>
      <c r="U497" s="347" t="str">
        <f t="shared" si="189"/>
        <v/>
      </c>
      <c r="V497" s="7" t="e">
        <f t="shared" si="190"/>
        <v>#N/A</v>
      </c>
      <c r="W497" s="7" t="e">
        <f t="shared" si="191"/>
        <v>#N/A</v>
      </c>
      <c r="X497" s="7" t="e">
        <f t="shared" si="192"/>
        <v>#N/A</v>
      </c>
      <c r="Y497" s="7" t="str">
        <f t="shared" si="193"/>
        <v/>
      </c>
      <c r="Z497" s="11">
        <f t="shared" si="194"/>
        <v>1</v>
      </c>
      <c r="AA497" s="7" t="e">
        <f t="shared" si="195"/>
        <v>#N/A</v>
      </c>
      <c r="AB497" s="7" t="e">
        <f t="shared" si="196"/>
        <v>#N/A</v>
      </c>
      <c r="AC497" s="7" t="e">
        <f t="shared" si="197"/>
        <v>#N/A</v>
      </c>
      <c r="AD497" s="472" t="e">
        <f>VLOOKUP(AF497,'排出係数(2017)'!$A$4:$I$1151,9,FALSE)</f>
        <v>#N/A</v>
      </c>
      <c r="AE497" s="12" t="str">
        <f t="shared" si="198"/>
        <v xml:space="preserve"> </v>
      </c>
      <c r="AF497" s="7" t="e">
        <f t="shared" si="213"/>
        <v>#N/A</v>
      </c>
      <c r="AG497" s="7" t="e">
        <f t="shared" si="199"/>
        <v>#N/A</v>
      </c>
      <c r="AH497" s="472" t="e">
        <f>VLOOKUP(AF497,'排出係数(2017)'!$A$4:$I$1151,6,FALSE)</f>
        <v>#N/A</v>
      </c>
      <c r="AI497" s="7" t="e">
        <f t="shared" si="200"/>
        <v>#N/A</v>
      </c>
      <c r="AJ497" s="7" t="e">
        <f t="shared" si="201"/>
        <v>#N/A</v>
      </c>
      <c r="AK497" s="472" t="e">
        <f>VLOOKUP(AF497,'排出係数(2017)'!$A$4:$I$1151,7,FALSE)</f>
        <v>#N/A</v>
      </c>
      <c r="AL497" s="7" t="e">
        <f t="shared" si="202"/>
        <v>#N/A</v>
      </c>
      <c r="AM497" s="7" t="e">
        <f t="shared" si="203"/>
        <v>#N/A</v>
      </c>
      <c r="AN497" s="7" t="e">
        <f t="shared" si="204"/>
        <v>#N/A</v>
      </c>
      <c r="AO497" s="7">
        <f t="shared" si="205"/>
        <v>0</v>
      </c>
      <c r="AP497" s="7" t="e">
        <f t="shared" si="214"/>
        <v>#N/A</v>
      </c>
      <c r="AQ497" s="7" t="str">
        <f t="shared" si="206"/>
        <v/>
      </c>
      <c r="AR497" s="7" t="str">
        <f t="shared" si="207"/>
        <v/>
      </c>
      <c r="AS497" s="7" t="str">
        <f t="shared" si="208"/>
        <v/>
      </c>
      <c r="AT497" s="97"/>
      <c r="AZ497" s="477" t="s">
        <v>771</v>
      </c>
      <c r="CF497" s="586" t="str">
        <f t="shared" si="215"/>
        <v/>
      </c>
      <c r="CG497"/>
      <c r="CH497"/>
    </row>
    <row r="498" spans="1:86" s="13" customFormat="1" ht="13.75" customHeight="1">
      <c r="A498" s="137">
        <v>483</v>
      </c>
      <c r="B498" s="138"/>
      <c r="C498" s="139"/>
      <c r="D498" s="140"/>
      <c r="E498" s="139"/>
      <c r="F498" s="139"/>
      <c r="G498" s="191"/>
      <c r="H498" s="139"/>
      <c r="I498" s="141"/>
      <c r="J498" s="142"/>
      <c r="K498" s="139"/>
      <c r="L498" s="147"/>
      <c r="M498" s="148"/>
      <c r="N498" s="583"/>
      <c r="O498" s="229" t="str">
        <f t="shared" si="209"/>
        <v/>
      </c>
      <c r="P498" s="229" t="str">
        <f t="shared" si="210"/>
        <v/>
      </c>
      <c r="Q498" s="230" t="str">
        <f t="shared" si="211"/>
        <v/>
      </c>
      <c r="R498" s="323" t="str">
        <f t="shared" si="212"/>
        <v/>
      </c>
      <c r="S498" s="350"/>
      <c r="T498" s="43"/>
      <c r="U498" s="347" t="str">
        <f t="shared" si="189"/>
        <v/>
      </c>
      <c r="V498" s="7" t="e">
        <f t="shared" si="190"/>
        <v>#N/A</v>
      </c>
      <c r="W498" s="7" t="e">
        <f t="shared" si="191"/>
        <v>#N/A</v>
      </c>
      <c r="X498" s="7" t="e">
        <f t="shared" si="192"/>
        <v>#N/A</v>
      </c>
      <c r="Y498" s="7" t="str">
        <f t="shared" si="193"/>
        <v/>
      </c>
      <c r="Z498" s="11">
        <f t="shared" si="194"/>
        <v>1</v>
      </c>
      <c r="AA498" s="7" t="e">
        <f t="shared" si="195"/>
        <v>#N/A</v>
      </c>
      <c r="AB498" s="7" t="e">
        <f t="shared" si="196"/>
        <v>#N/A</v>
      </c>
      <c r="AC498" s="7" t="e">
        <f t="shared" si="197"/>
        <v>#N/A</v>
      </c>
      <c r="AD498" s="472" t="e">
        <f>VLOOKUP(AF498,'排出係数(2017)'!$A$4:$I$1151,9,FALSE)</f>
        <v>#N/A</v>
      </c>
      <c r="AE498" s="12" t="str">
        <f t="shared" si="198"/>
        <v xml:space="preserve"> </v>
      </c>
      <c r="AF498" s="7" t="e">
        <f t="shared" si="213"/>
        <v>#N/A</v>
      </c>
      <c r="AG498" s="7" t="e">
        <f t="shared" si="199"/>
        <v>#N/A</v>
      </c>
      <c r="AH498" s="472" t="e">
        <f>VLOOKUP(AF498,'排出係数(2017)'!$A$4:$I$1151,6,FALSE)</f>
        <v>#N/A</v>
      </c>
      <c r="AI498" s="7" t="e">
        <f t="shared" si="200"/>
        <v>#N/A</v>
      </c>
      <c r="AJ498" s="7" t="e">
        <f t="shared" si="201"/>
        <v>#N/A</v>
      </c>
      <c r="AK498" s="472" t="e">
        <f>VLOOKUP(AF498,'排出係数(2017)'!$A$4:$I$1151,7,FALSE)</f>
        <v>#N/A</v>
      </c>
      <c r="AL498" s="7" t="e">
        <f t="shared" si="202"/>
        <v>#N/A</v>
      </c>
      <c r="AM498" s="7" t="e">
        <f t="shared" si="203"/>
        <v>#N/A</v>
      </c>
      <c r="AN498" s="7" t="e">
        <f t="shared" si="204"/>
        <v>#N/A</v>
      </c>
      <c r="AO498" s="7">
        <f t="shared" si="205"/>
        <v>0</v>
      </c>
      <c r="AP498" s="7" t="e">
        <f t="shared" si="214"/>
        <v>#N/A</v>
      </c>
      <c r="AQ498" s="7" t="str">
        <f t="shared" si="206"/>
        <v/>
      </c>
      <c r="AR498" s="7" t="str">
        <f t="shared" si="207"/>
        <v/>
      </c>
      <c r="AS498" s="7" t="str">
        <f t="shared" si="208"/>
        <v/>
      </c>
      <c r="AT498" s="97"/>
      <c r="AZ498" s="477" t="s">
        <v>1111</v>
      </c>
      <c r="CF498" s="586" t="str">
        <f t="shared" si="215"/>
        <v/>
      </c>
      <c r="CG498"/>
      <c r="CH498"/>
    </row>
    <row r="499" spans="1:86" s="13" customFormat="1" ht="13.75" customHeight="1">
      <c r="A499" s="137">
        <v>484</v>
      </c>
      <c r="B499" s="138"/>
      <c r="C499" s="139"/>
      <c r="D499" s="140"/>
      <c r="E499" s="139"/>
      <c r="F499" s="139"/>
      <c r="G499" s="191"/>
      <c r="H499" s="139"/>
      <c r="I499" s="141"/>
      <c r="J499" s="142"/>
      <c r="K499" s="139"/>
      <c r="L499" s="147"/>
      <c r="M499" s="148"/>
      <c r="N499" s="583"/>
      <c r="O499" s="229" t="str">
        <f t="shared" si="209"/>
        <v/>
      </c>
      <c r="P499" s="229" t="str">
        <f t="shared" si="210"/>
        <v/>
      </c>
      <c r="Q499" s="230" t="str">
        <f t="shared" si="211"/>
        <v/>
      </c>
      <c r="R499" s="323" t="str">
        <f t="shared" si="212"/>
        <v/>
      </c>
      <c r="S499" s="350"/>
      <c r="T499" s="43"/>
      <c r="U499" s="347" t="str">
        <f t="shared" si="189"/>
        <v/>
      </c>
      <c r="V499" s="7" t="e">
        <f t="shared" si="190"/>
        <v>#N/A</v>
      </c>
      <c r="W499" s="7" t="e">
        <f t="shared" si="191"/>
        <v>#N/A</v>
      </c>
      <c r="X499" s="7" t="e">
        <f t="shared" si="192"/>
        <v>#N/A</v>
      </c>
      <c r="Y499" s="7" t="str">
        <f t="shared" si="193"/>
        <v/>
      </c>
      <c r="Z499" s="11">
        <f t="shared" si="194"/>
        <v>1</v>
      </c>
      <c r="AA499" s="7" t="e">
        <f t="shared" si="195"/>
        <v>#N/A</v>
      </c>
      <c r="AB499" s="7" t="e">
        <f t="shared" si="196"/>
        <v>#N/A</v>
      </c>
      <c r="AC499" s="7" t="e">
        <f t="shared" si="197"/>
        <v>#N/A</v>
      </c>
      <c r="AD499" s="472" t="e">
        <f>VLOOKUP(AF499,'排出係数(2017)'!$A$4:$I$1151,9,FALSE)</f>
        <v>#N/A</v>
      </c>
      <c r="AE499" s="12" t="str">
        <f t="shared" si="198"/>
        <v xml:space="preserve"> </v>
      </c>
      <c r="AF499" s="7" t="e">
        <f t="shared" si="213"/>
        <v>#N/A</v>
      </c>
      <c r="AG499" s="7" t="e">
        <f t="shared" si="199"/>
        <v>#N/A</v>
      </c>
      <c r="AH499" s="472" t="e">
        <f>VLOOKUP(AF499,'排出係数(2017)'!$A$4:$I$1151,6,FALSE)</f>
        <v>#N/A</v>
      </c>
      <c r="AI499" s="7" t="e">
        <f t="shared" si="200"/>
        <v>#N/A</v>
      </c>
      <c r="AJ499" s="7" t="e">
        <f t="shared" si="201"/>
        <v>#N/A</v>
      </c>
      <c r="AK499" s="472" t="e">
        <f>VLOOKUP(AF499,'排出係数(2017)'!$A$4:$I$1151,7,FALSE)</f>
        <v>#N/A</v>
      </c>
      <c r="AL499" s="7" t="e">
        <f t="shared" si="202"/>
        <v>#N/A</v>
      </c>
      <c r="AM499" s="7" t="e">
        <f t="shared" si="203"/>
        <v>#N/A</v>
      </c>
      <c r="AN499" s="7" t="e">
        <f t="shared" si="204"/>
        <v>#N/A</v>
      </c>
      <c r="AO499" s="7">
        <f t="shared" si="205"/>
        <v>0</v>
      </c>
      <c r="AP499" s="7" t="e">
        <f t="shared" si="214"/>
        <v>#N/A</v>
      </c>
      <c r="AQ499" s="7" t="str">
        <f t="shared" si="206"/>
        <v/>
      </c>
      <c r="AR499" s="7" t="str">
        <f t="shared" si="207"/>
        <v/>
      </c>
      <c r="AS499" s="7" t="str">
        <f t="shared" si="208"/>
        <v/>
      </c>
      <c r="AT499" s="97"/>
      <c r="AZ499" s="453" t="s">
        <v>1257</v>
      </c>
      <c r="CF499" s="586" t="str">
        <f t="shared" si="215"/>
        <v/>
      </c>
      <c r="CG499"/>
      <c r="CH499"/>
    </row>
    <row r="500" spans="1:86" s="13" customFormat="1" ht="13.75" customHeight="1">
      <c r="A500" s="137">
        <v>485</v>
      </c>
      <c r="B500" s="138"/>
      <c r="C500" s="139"/>
      <c r="D500" s="140"/>
      <c r="E500" s="139"/>
      <c r="F500" s="139"/>
      <c r="G500" s="191"/>
      <c r="H500" s="139"/>
      <c r="I500" s="141"/>
      <c r="J500" s="142"/>
      <c r="K500" s="139"/>
      <c r="L500" s="147"/>
      <c r="M500" s="148"/>
      <c r="N500" s="583"/>
      <c r="O500" s="229" t="str">
        <f t="shared" si="209"/>
        <v/>
      </c>
      <c r="P500" s="229" t="str">
        <f t="shared" si="210"/>
        <v/>
      </c>
      <c r="Q500" s="230" t="str">
        <f t="shared" si="211"/>
        <v/>
      </c>
      <c r="R500" s="323" t="str">
        <f t="shared" si="212"/>
        <v/>
      </c>
      <c r="S500" s="350"/>
      <c r="T500" s="43"/>
      <c r="U500" s="347" t="str">
        <f t="shared" si="189"/>
        <v/>
      </c>
      <c r="V500" s="7" t="e">
        <f t="shared" si="190"/>
        <v>#N/A</v>
      </c>
      <c r="W500" s="7" t="e">
        <f t="shared" si="191"/>
        <v>#N/A</v>
      </c>
      <c r="X500" s="7" t="e">
        <f t="shared" si="192"/>
        <v>#N/A</v>
      </c>
      <c r="Y500" s="7" t="str">
        <f t="shared" si="193"/>
        <v/>
      </c>
      <c r="Z500" s="11">
        <f t="shared" si="194"/>
        <v>1</v>
      </c>
      <c r="AA500" s="7" t="e">
        <f t="shared" si="195"/>
        <v>#N/A</v>
      </c>
      <c r="AB500" s="7" t="e">
        <f t="shared" si="196"/>
        <v>#N/A</v>
      </c>
      <c r="AC500" s="7" t="e">
        <f t="shared" si="197"/>
        <v>#N/A</v>
      </c>
      <c r="AD500" s="472" t="e">
        <f>VLOOKUP(AF500,'排出係数(2017)'!$A$4:$I$1151,9,FALSE)</f>
        <v>#N/A</v>
      </c>
      <c r="AE500" s="12" t="str">
        <f t="shared" si="198"/>
        <v xml:space="preserve"> </v>
      </c>
      <c r="AF500" s="7" t="e">
        <f t="shared" si="213"/>
        <v>#N/A</v>
      </c>
      <c r="AG500" s="7" t="e">
        <f t="shared" si="199"/>
        <v>#N/A</v>
      </c>
      <c r="AH500" s="472" t="e">
        <f>VLOOKUP(AF500,'排出係数(2017)'!$A$4:$I$1151,6,FALSE)</f>
        <v>#N/A</v>
      </c>
      <c r="AI500" s="7" t="e">
        <f t="shared" si="200"/>
        <v>#N/A</v>
      </c>
      <c r="AJ500" s="7" t="e">
        <f t="shared" si="201"/>
        <v>#N/A</v>
      </c>
      <c r="AK500" s="472" t="e">
        <f>VLOOKUP(AF500,'排出係数(2017)'!$A$4:$I$1151,7,FALSE)</f>
        <v>#N/A</v>
      </c>
      <c r="AL500" s="7" t="e">
        <f t="shared" si="202"/>
        <v>#N/A</v>
      </c>
      <c r="AM500" s="7" t="e">
        <f t="shared" si="203"/>
        <v>#N/A</v>
      </c>
      <c r="AN500" s="7" t="e">
        <f t="shared" si="204"/>
        <v>#N/A</v>
      </c>
      <c r="AO500" s="7">
        <f t="shared" si="205"/>
        <v>0</v>
      </c>
      <c r="AP500" s="7" t="e">
        <f t="shared" si="214"/>
        <v>#N/A</v>
      </c>
      <c r="AQ500" s="7" t="str">
        <f t="shared" si="206"/>
        <v/>
      </c>
      <c r="AR500" s="7" t="str">
        <f t="shared" si="207"/>
        <v/>
      </c>
      <c r="AS500" s="7" t="str">
        <f t="shared" si="208"/>
        <v/>
      </c>
      <c r="AT500" s="97"/>
      <c r="AZ500" s="477" t="s">
        <v>1518</v>
      </c>
      <c r="CF500" s="586" t="str">
        <f t="shared" si="215"/>
        <v/>
      </c>
      <c r="CG500"/>
      <c r="CH500"/>
    </row>
    <row r="501" spans="1:86" s="13" customFormat="1" ht="13.75" customHeight="1">
      <c r="A501" s="137">
        <v>486</v>
      </c>
      <c r="B501" s="138"/>
      <c r="C501" s="139"/>
      <c r="D501" s="140"/>
      <c r="E501" s="139"/>
      <c r="F501" s="139"/>
      <c r="G501" s="191"/>
      <c r="H501" s="139"/>
      <c r="I501" s="141"/>
      <c r="J501" s="142"/>
      <c r="K501" s="139"/>
      <c r="L501" s="147"/>
      <c r="M501" s="148"/>
      <c r="N501" s="583"/>
      <c r="O501" s="229" t="str">
        <f t="shared" si="209"/>
        <v/>
      </c>
      <c r="P501" s="229" t="str">
        <f t="shared" si="210"/>
        <v/>
      </c>
      <c r="Q501" s="230" t="str">
        <f t="shared" si="211"/>
        <v/>
      </c>
      <c r="R501" s="323" t="str">
        <f t="shared" si="212"/>
        <v/>
      </c>
      <c r="S501" s="350"/>
      <c r="T501" s="43"/>
      <c r="U501" s="347" t="str">
        <f t="shared" si="189"/>
        <v/>
      </c>
      <c r="V501" s="7" t="e">
        <f t="shared" si="190"/>
        <v>#N/A</v>
      </c>
      <c r="W501" s="7" t="e">
        <f t="shared" si="191"/>
        <v>#N/A</v>
      </c>
      <c r="X501" s="7" t="e">
        <f t="shared" si="192"/>
        <v>#N/A</v>
      </c>
      <c r="Y501" s="7" t="str">
        <f t="shared" si="193"/>
        <v/>
      </c>
      <c r="Z501" s="11">
        <f t="shared" si="194"/>
        <v>1</v>
      </c>
      <c r="AA501" s="7" t="e">
        <f t="shared" si="195"/>
        <v>#N/A</v>
      </c>
      <c r="AB501" s="7" t="e">
        <f t="shared" si="196"/>
        <v>#N/A</v>
      </c>
      <c r="AC501" s="7" t="e">
        <f t="shared" si="197"/>
        <v>#N/A</v>
      </c>
      <c r="AD501" s="472" t="e">
        <f>VLOOKUP(AF501,'排出係数(2017)'!$A$4:$I$1151,9,FALSE)</f>
        <v>#N/A</v>
      </c>
      <c r="AE501" s="12" t="str">
        <f t="shared" si="198"/>
        <v xml:space="preserve"> </v>
      </c>
      <c r="AF501" s="7" t="e">
        <f t="shared" si="213"/>
        <v>#N/A</v>
      </c>
      <c r="AG501" s="7" t="e">
        <f t="shared" si="199"/>
        <v>#N/A</v>
      </c>
      <c r="AH501" s="472" t="e">
        <f>VLOOKUP(AF501,'排出係数(2017)'!$A$4:$I$1151,6,FALSE)</f>
        <v>#N/A</v>
      </c>
      <c r="AI501" s="7" t="e">
        <f t="shared" si="200"/>
        <v>#N/A</v>
      </c>
      <c r="AJ501" s="7" t="e">
        <f t="shared" si="201"/>
        <v>#N/A</v>
      </c>
      <c r="AK501" s="472" t="e">
        <f>VLOOKUP(AF501,'排出係数(2017)'!$A$4:$I$1151,7,FALSE)</f>
        <v>#N/A</v>
      </c>
      <c r="AL501" s="7" t="e">
        <f t="shared" si="202"/>
        <v>#N/A</v>
      </c>
      <c r="AM501" s="7" t="e">
        <f t="shared" si="203"/>
        <v>#N/A</v>
      </c>
      <c r="AN501" s="7" t="e">
        <f t="shared" si="204"/>
        <v>#N/A</v>
      </c>
      <c r="AO501" s="7">
        <f t="shared" si="205"/>
        <v>0</v>
      </c>
      <c r="AP501" s="7" t="e">
        <f t="shared" si="214"/>
        <v>#N/A</v>
      </c>
      <c r="AQ501" s="7" t="str">
        <f t="shared" si="206"/>
        <v/>
      </c>
      <c r="AR501" s="7" t="str">
        <f t="shared" si="207"/>
        <v/>
      </c>
      <c r="AS501" s="7" t="str">
        <f t="shared" si="208"/>
        <v/>
      </c>
      <c r="AT501" s="97"/>
      <c r="AZ501" s="477" t="s">
        <v>1255</v>
      </c>
      <c r="CF501" s="586" t="str">
        <f t="shared" si="215"/>
        <v/>
      </c>
      <c r="CG501"/>
      <c r="CH501"/>
    </row>
    <row r="502" spans="1:86" s="13" customFormat="1" ht="13.75" customHeight="1">
      <c r="A502" s="137">
        <v>487</v>
      </c>
      <c r="B502" s="138"/>
      <c r="C502" s="139"/>
      <c r="D502" s="140"/>
      <c r="E502" s="139"/>
      <c r="F502" s="139"/>
      <c r="G502" s="191"/>
      <c r="H502" s="139"/>
      <c r="I502" s="141"/>
      <c r="J502" s="142"/>
      <c r="K502" s="139"/>
      <c r="L502" s="147"/>
      <c r="M502" s="148"/>
      <c r="N502" s="583"/>
      <c r="O502" s="229" t="str">
        <f t="shared" si="209"/>
        <v/>
      </c>
      <c r="P502" s="229" t="str">
        <f t="shared" si="210"/>
        <v/>
      </c>
      <c r="Q502" s="230" t="str">
        <f t="shared" si="211"/>
        <v/>
      </c>
      <c r="R502" s="323" t="str">
        <f t="shared" si="212"/>
        <v/>
      </c>
      <c r="S502" s="350"/>
      <c r="T502" s="43"/>
      <c r="U502" s="347" t="str">
        <f t="shared" si="189"/>
        <v/>
      </c>
      <c r="V502" s="7" t="e">
        <f t="shared" si="190"/>
        <v>#N/A</v>
      </c>
      <c r="W502" s="7" t="e">
        <f t="shared" si="191"/>
        <v>#N/A</v>
      </c>
      <c r="X502" s="7" t="e">
        <f t="shared" si="192"/>
        <v>#N/A</v>
      </c>
      <c r="Y502" s="7" t="str">
        <f t="shared" si="193"/>
        <v/>
      </c>
      <c r="Z502" s="11">
        <f t="shared" si="194"/>
        <v>1</v>
      </c>
      <c r="AA502" s="7" t="e">
        <f t="shared" si="195"/>
        <v>#N/A</v>
      </c>
      <c r="AB502" s="7" t="e">
        <f t="shared" si="196"/>
        <v>#N/A</v>
      </c>
      <c r="AC502" s="7" t="e">
        <f t="shared" si="197"/>
        <v>#N/A</v>
      </c>
      <c r="AD502" s="472" t="e">
        <f>VLOOKUP(AF502,'排出係数(2017)'!$A$4:$I$1151,9,FALSE)</f>
        <v>#N/A</v>
      </c>
      <c r="AE502" s="12" t="str">
        <f t="shared" si="198"/>
        <v xml:space="preserve"> </v>
      </c>
      <c r="AF502" s="7" t="e">
        <f t="shared" si="213"/>
        <v>#N/A</v>
      </c>
      <c r="AG502" s="7" t="e">
        <f t="shared" si="199"/>
        <v>#N/A</v>
      </c>
      <c r="AH502" s="472" t="e">
        <f>VLOOKUP(AF502,'排出係数(2017)'!$A$4:$I$1151,6,FALSE)</f>
        <v>#N/A</v>
      </c>
      <c r="AI502" s="7" t="e">
        <f t="shared" si="200"/>
        <v>#N/A</v>
      </c>
      <c r="AJ502" s="7" t="e">
        <f t="shared" si="201"/>
        <v>#N/A</v>
      </c>
      <c r="AK502" s="472" t="e">
        <f>VLOOKUP(AF502,'排出係数(2017)'!$A$4:$I$1151,7,FALSE)</f>
        <v>#N/A</v>
      </c>
      <c r="AL502" s="7" t="e">
        <f t="shared" si="202"/>
        <v>#N/A</v>
      </c>
      <c r="AM502" s="7" t="e">
        <f t="shared" si="203"/>
        <v>#N/A</v>
      </c>
      <c r="AN502" s="7" t="e">
        <f t="shared" si="204"/>
        <v>#N/A</v>
      </c>
      <c r="AO502" s="7">
        <f t="shared" si="205"/>
        <v>0</v>
      </c>
      <c r="AP502" s="7" t="e">
        <f t="shared" si="214"/>
        <v>#N/A</v>
      </c>
      <c r="AQ502" s="7" t="str">
        <f t="shared" si="206"/>
        <v/>
      </c>
      <c r="AR502" s="7" t="str">
        <f t="shared" si="207"/>
        <v/>
      </c>
      <c r="AS502" s="7" t="str">
        <f t="shared" si="208"/>
        <v/>
      </c>
      <c r="AT502" s="97"/>
      <c r="AZ502" s="477" t="s">
        <v>1522</v>
      </c>
      <c r="CF502" s="586" t="str">
        <f t="shared" si="215"/>
        <v/>
      </c>
      <c r="CG502"/>
      <c r="CH502"/>
    </row>
    <row r="503" spans="1:86" s="13" customFormat="1" ht="13.75" customHeight="1">
      <c r="A503" s="137">
        <v>488</v>
      </c>
      <c r="B503" s="138"/>
      <c r="C503" s="139"/>
      <c r="D503" s="140"/>
      <c r="E503" s="139"/>
      <c r="F503" s="139"/>
      <c r="G503" s="191"/>
      <c r="H503" s="139"/>
      <c r="I503" s="141"/>
      <c r="J503" s="142"/>
      <c r="K503" s="139"/>
      <c r="L503" s="147"/>
      <c r="M503" s="148"/>
      <c r="N503" s="583"/>
      <c r="O503" s="229" t="str">
        <f t="shared" si="209"/>
        <v/>
      </c>
      <c r="P503" s="229" t="str">
        <f t="shared" si="210"/>
        <v/>
      </c>
      <c r="Q503" s="230" t="str">
        <f t="shared" si="211"/>
        <v/>
      </c>
      <c r="R503" s="323" t="str">
        <f t="shared" si="212"/>
        <v/>
      </c>
      <c r="S503" s="350"/>
      <c r="T503" s="43"/>
      <c r="U503" s="347" t="str">
        <f t="shared" si="189"/>
        <v/>
      </c>
      <c r="V503" s="7" t="e">
        <f t="shared" si="190"/>
        <v>#N/A</v>
      </c>
      <c r="W503" s="7" t="e">
        <f t="shared" si="191"/>
        <v>#N/A</v>
      </c>
      <c r="X503" s="7" t="e">
        <f t="shared" si="192"/>
        <v>#N/A</v>
      </c>
      <c r="Y503" s="7" t="str">
        <f t="shared" si="193"/>
        <v/>
      </c>
      <c r="Z503" s="11">
        <f t="shared" si="194"/>
        <v>1</v>
      </c>
      <c r="AA503" s="7" t="e">
        <f t="shared" si="195"/>
        <v>#N/A</v>
      </c>
      <c r="AB503" s="7" t="e">
        <f t="shared" si="196"/>
        <v>#N/A</v>
      </c>
      <c r="AC503" s="7" t="e">
        <f t="shared" si="197"/>
        <v>#N/A</v>
      </c>
      <c r="AD503" s="472" t="e">
        <f>VLOOKUP(AF503,'排出係数(2017)'!$A$4:$I$1151,9,FALSE)</f>
        <v>#N/A</v>
      </c>
      <c r="AE503" s="12" t="str">
        <f t="shared" si="198"/>
        <v xml:space="preserve"> </v>
      </c>
      <c r="AF503" s="7" t="e">
        <f t="shared" si="213"/>
        <v>#N/A</v>
      </c>
      <c r="AG503" s="7" t="e">
        <f t="shared" si="199"/>
        <v>#N/A</v>
      </c>
      <c r="AH503" s="472" t="e">
        <f>VLOOKUP(AF503,'排出係数(2017)'!$A$4:$I$1151,6,FALSE)</f>
        <v>#N/A</v>
      </c>
      <c r="AI503" s="7" t="e">
        <f t="shared" si="200"/>
        <v>#N/A</v>
      </c>
      <c r="AJ503" s="7" t="e">
        <f t="shared" si="201"/>
        <v>#N/A</v>
      </c>
      <c r="AK503" s="472" t="e">
        <f>VLOOKUP(AF503,'排出係数(2017)'!$A$4:$I$1151,7,FALSE)</f>
        <v>#N/A</v>
      </c>
      <c r="AL503" s="7" t="e">
        <f t="shared" si="202"/>
        <v>#N/A</v>
      </c>
      <c r="AM503" s="7" t="e">
        <f t="shared" si="203"/>
        <v>#N/A</v>
      </c>
      <c r="AN503" s="7" t="e">
        <f t="shared" si="204"/>
        <v>#N/A</v>
      </c>
      <c r="AO503" s="7">
        <f t="shared" si="205"/>
        <v>0</v>
      </c>
      <c r="AP503" s="7" t="e">
        <f t="shared" si="214"/>
        <v>#N/A</v>
      </c>
      <c r="AQ503" s="7" t="str">
        <f t="shared" si="206"/>
        <v/>
      </c>
      <c r="AR503" s="7" t="str">
        <f t="shared" si="207"/>
        <v/>
      </c>
      <c r="AS503" s="7" t="str">
        <f t="shared" si="208"/>
        <v/>
      </c>
      <c r="AT503" s="97"/>
      <c r="AZ503" s="477" t="s">
        <v>1383</v>
      </c>
      <c r="CF503" s="586" t="str">
        <f t="shared" si="215"/>
        <v/>
      </c>
      <c r="CG503"/>
      <c r="CH503"/>
    </row>
    <row r="504" spans="1:86" s="13" customFormat="1" ht="13.75" customHeight="1">
      <c r="A504" s="137">
        <v>489</v>
      </c>
      <c r="B504" s="138"/>
      <c r="C504" s="139"/>
      <c r="D504" s="140"/>
      <c r="E504" s="139"/>
      <c r="F504" s="139"/>
      <c r="G504" s="191"/>
      <c r="H504" s="139"/>
      <c r="I504" s="141"/>
      <c r="J504" s="142"/>
      <c r="K504" s="139"/>
      <c r="L504" s="147"/>
      <c r="M504" s="148"/>
      <c r="N504" s="583"/>
      <c r="O504" s="229" t="str">
        <f t="shared" si="209"/>
        <v/>
      </c>
      <c r="P504" s="229" t="str">
        <f t="shared" si="210"/>
        <v/>
      </c>
      <c r="Q504" s="230" t="str">
        <f t="shared" si="211"/>
        <v/>
      </c>
      <c r="R504" s="323" t="str">
        <f t="shared" si="212"/>
        <v/>
      </c>
      <c r="S504" s="350"/>
      <c r="T504" s="43"/>
      <c r="U504" s="347" t="str">
        <f t="shared" si="189"/>
        <v/>
      </c>
      <c r="V504" s="7" t="e">
        <f t="shared" si="190"/>
        <v>#N/A</v>
      </c>
      <c r="W504" s="7" t="e">
        <f t="shared" si="191"/>
        <v>#N/A</v>
      </c>
      <c r="X504" s="7" t="e">
        <f t="shared" si="192"/>
        <v>#N/A</v>
      </c>
      <c r="Y504" s="7" t="str">
        <f t="shared" si="193"/>
        <v/>
      </c>
      <c r="Z504" s="11">
        <f t="shared" si="194"/>
        <v>1</v>
      </c>
      <c r="AA504" s="7" t="e">
        <f t="shared" si="195"/>
        <v>#N/A</v>
      </c>
      <c r="AB504" s="7" t="e">
        <f t="shared" si="196"/>
        <v>#N/A</v>
      </c>
      <c r="AC504" s="7" t="e">
        <f t="shared" si="197"/>
        <v>#N/A</v>
      </c>
      <c r="AD504" s="472" t="e">
        <f>VLOOKUP(AF504,'排出係数(2017)'!$A$4:$I$1151,9,FALSE)</f>
        <v>#N/A</v>
      </c>
      <c r="AE504" s="12" t="str">
        <f t="shared" si="198"/>
        <v xml:space="preserve"> </v>
      </c>
      <c r="AF504" s="7" t="e">
        <f t="shared" si="213"/>
        <v>#N/A</v>
      </c>
      <c r="AG504" s="7" t="e">
        <f t="shared" si="199"/>
        <v>#N/A</v>
      </c>
      <c r="AH504" s="472" t="e">
        <f>VLOOKUP(AF504,'排出係数(2017)'!$A$4:$I$1151,6,FALSE)</f>
        <v>#N/A</v>
      </c>
      <c r="AI504" s="7" t="e">
        <f t="shared" si="200"/>
        <v>#N/A</v>
      </c>
      <c r="AJ504" s="7" t="e">
        <f t="shared" si="201"/>
        <v>#N/A</v>
      </c>
      <c r="AK504" s="472" t="e">
        <f>VLOOKUP(AF504,'排出係数(2017)'!$A$4:$I$1151,7,FALSE)</f>
        <v>#N/A</v>
      </c>
      <c r="AL504" s="7" t="e">
        <f t="shared" si="202"/>
        <v>#N/A</v>
      </c>
      <c r="AM504" s="7" t="e">
        <f t="shared" si="203"/>
        <v>#N/A</v>
      </c>
      <c r="AN504" s="7" t="e">
        <f t="shared" si="204"/>
        <v>#N/A</v>
      </c>
      <c r="AO504" s="7">
        <f t="shared" si="205"/>
        <v>0</v>
      </c>
      <c r="AP504" s="7" t="e">
        <f t="shared" si="214"/>
        <v>#N/A</v>
      </c>
      <c r="AQ504" s="7" t="str">
        <f t="shared" si="206"/>
        <v/>
      </c>
      <c r="AR504" s="7" t="str">
        <f t="shared" si="207"/>
        <v/>
      </c>
      <c r="AS504" s="7" t="str">
        <f t="shared" si="208"/>
        <v/>
      </c>
      <c r="AT504" s="97"/>
      <c r="AZ504" s="477" t="s">
        <v>154</v>
      </c>
      <c r="CF504" s="586" t="str">
        <f t="shared" si="215"/>
        <v/>
      </c>
      <c r="CG504"/>
      <c r="CH504"/>
    </row>
    <row r="505" spans="1:86" s="13" customFormat="1" ht="13.75" customHeight="1">
      <c r="A505" s="137">
        <v>490</v>
      </c>
      <c r="B505" s="138"/>
      <c r="C505" s="139"/>
      <c r="D505" s="140"/>
      <c r="E505" s="139"/>
      <c r="F505" s="139"/>
      <c r="G505" s="191"/>
      <c r="H505" s="139"/>
      <c r="I505" s="141"/>
      <c r="J505" s="142"/>
      <c r="K505" s="139"/>
      <c r="L505" s="147"/>
      <c r="M505" s="148"/>
      <c r="N505" s="583"/>
      <c r="O505" s="229" t="str">
        <f t="shared" si="209"/>
        <v/>
      </c>
      <c r="P505" s="229" t="str">
        <f t="shared" si="210"/>
        <v/>
      </c>
      <c r="Q505" s="230" t="str">
        <f t="shared" si="211"/>
        <v/>
      </c>
      <c r="R505" s="323" t="str">
        <f t="shared" si="212"/>
        <v/>
      </c>
      <c r="S505" s="350"/>
      <c r="T505" s="43"/>
      <c r="U505" s="347" t="str">
        <f t="shared" si="189"/>
        <v/>
      </c>
      <c r="V505" s="7" t="e">
        <f t="shared" si="190"/>
        <v>#N/A</v>
      </c>
      <c r="W505" s="7" t="e">
        <f t="shared" si="191"/>
        <v>#N/A</v>
      </c>
      <c r="X505" s="7" t="e">
        <f t="shared" si="192"/>
        <v>#N/A</v>
      </c>
      <c r="Y505" s="7" t="str">
        <f t="shared" si="193"/>
        <v/>
      </c>
      <c r="Z505" s="11">
        <f t="shared" si="194"/>
        <v>1</v>
      </c>
      <c r="AA505" s="7" t="e">
        <f t="shared" si="195"/>
        <v>#N/A</v>
      </c>
      <c r="AB505" s="7" t="e">
        <f t="shared" si="196"/>
        <v>#N/A</v>
      </c>
      <c r="AC505" s="7" t="e">
        <f t="shared" si="197"/>
        <v>#N/A</v>
      </c>
      <c r="AD505" s="472" t="e">
        <f>VLOOKUP(AF505,'排出係数(2017)'!$A$4:$I$1151,9,FALSE)</f>
        <v>#N/A</v>
      </c>
      <c r="AE505" s="12" t="str">
        <f t="shared" si="198"/>
        <v xml:space="preserve"> </v>
      </c>
      <c r="AF505" s="7" t="e">
        <f t="shared" si="213"/>
        <v>#N/A</v>
      </c>
      <c r="AG505" s="7" t="e">
        <f t="shared" si="199"/>
        <v>#N/A</v>
      </c>
      <c r="AH505" s="472" t="e">
        <f>VLOOKUP(AF505,'排出係数(2017)'!$A$4:$I$1151,6,FALSE)</f>
        <v>#N/A</v>
      </c>
      <c r="AI505" s="7" t="e">
        <f t="shared" si="200"/>
        <v>#N/A</v>
      </c>
      <c r="AJ505" s="7" t="e">
        <f t="shared" si="201"/>
        <v>#N/A</v>
      </c>
      <c r="AK505" s="472" t="e">
        <f>VLOOKUP(AF505,'排出係数(2017)'!$A$4:$I$1151,7,FALSE)</f>
        <v>#N/A</v>
      </c>
      <c r="AL505" s="7" t="e">
        <f t="shared" si="202"/>
        <v>#N/A</v>
      </c>
      <c r="AM505" s="7" t="e">
        <f t="shared" si="203"/>
        <v>#N/A</v>
      </c>
      <c r="AN505" s="7" t="e">
        <f t="shared" si="204"/>
        <v>#N/A</v>
      </c>
      <c r="AO505" s="7">
        <f t="shared" si="205"/>
        <v>0</v>
      </c>
      <c r="AP505" s="7" t="e">
        <f t="shared" si="214"/>
        <v>#N/A</v>
      </c>
      <c r="AQ505" s="7" t="str">
        <f t="shared" si="206"/>
        <v/>
      </c>
      <c r="AR505" s="7" t="str">
        <f t="shared" si="207"/>
        <v/>
      </c>
      <c r="AS505" s="7" t="str">
        <f t="shared" si="208"/>
        <v/>
      </c>
      <c r="AT505" s="97"/>
      <c r="AZ505" s="477" t="s">
        <v>1381</v>
      </c>
      <c r="CF505" s="586" t="str">
        <f t="shared" si="215"/>
        <v/>
      </c>
      <c r="CG505"/>
      <c r="CH505"/>
    </row>
    <row r="506" spans="1:86" s="13" customFormat="1" ht="13.75" customHeight="1">
      <c r="A506" s="137">
        <v>491</v>
      </c>
      <c r="B506" s="138"/>
      <c r="C506" s="139"/>
      <c r="D506" s="140"/>
      <c r="E506" s="139"/>
      <c r="F506" s="139"/>
      <c r="G506" s="191"/>
      <c r="H506" s="139"/>
      <c r="I506" s="141"/>
      <c r="J506" s="142"/>
      <c r="K506" s="139"/>
      <c r="L506" s="147"/>
      <c r="M506" s="148"/>
      <c r="N506" s="583"/>
      <c r="O506" s="229" t="str">
        <f t="shared" si="209"/>
        <v/>
      </c>
      <c r="P506" s="229" t="str">
        <f t="shared" si="210"/>
        <v/>
      </c>
      <c r="Q506" s="230" t="str">
        <f t="shared" si="211"/>
        <v/>
      </c>
      <c r="R506" s="323" t="str">
        <f t="shared" si="212"/>
        <v/>
      </c>
      <c r="S506" s="350"/>
      <c r="T506" s="43"/>
      <c r="U506" s="347" t="str">
        <f t="shared" si="189"/>
        <v/>
      </c>
      <c r="V506" s="7" t="e">
        <f t="shared" si="190"/>
        <v>#N/A</v>
      </c>
      <c r="W506" s="7" t="e">
        <f t="shared" si="191"/>
        <v>#N/A</v>
      </c>
      <c r="X506" s="7" t="e">
        <f t="shared" si="192"/>
        <v>#N/A</v>
      </c>
      <c r="Y506" s="7" t="str">
        <f t="shared" si="193"/>
        <v/>
      </c>
      <c r="Z506" s="11">
        <f t="shared" si="194"/>
        <v>1</v>
      </c>
      <c r="AA506" s="7" t="e">
        <f t="shared" si="195"/>
        <v>#N/A</v>
      </c>
      <c r="AB506" s="7" t="e">
        <f t="shared" si="196"/>
        <v>#N/A</v>
      </c>
      <c r="AC506" s="7" t="e">
        <f t="shared" si="197"/>
        <v>#N/A</v>
      </c>
      <c r="AD506" s="472" t="e">
        <f>VLOOKUP(AF506,'排出係数(2017)'!$A$4:$I$1151,9,FALSE)</f>
        <v>#N/A</v>
      </c>
      <c r="AE506" s="12" t="str">
        <f t="shared" si="198"/>
        <v xml:space="preserve"> </v>
      </c>
      <c r="AF506" s="7" t="e">
        <f t="shared" si="213"/>
        <v>#N/A</v>
      </c>
      <c r="AG506" s="7" t="e">
        <f t="shared" si="199"/>
        <v>#N/A</v>
      </c>
      <c r="AH506" s="472" t="e">
        <f>VLOOKUP(AF506,'排出係数(2017)'!$A$4:$I$1151,6,FALSE)</f>
        <v>#N/A</v>
      </c>
      <c r="AI506" s="7" t="e">
        <f t="shared" si="200"/>
        <v>#N/A</v>
      </c>
      <c r="AJ506" s="7" t="e">
        <f t="shared" si="201"/>
        <v>#N/A</v>
      </c>
      <c r="AK506" s="472" t="e">
        <f>VLOOKUP(AF506,'排出係数(2017)'!$A$4:$I$1151,7,FALSE)</f>
        <v>#N/A</v>
      </c>
      <c r="AL506" s="7" t="e">
        <f t="shared" si="202"/>
        <v>#N/A</v>
      </c>
      <c r="AM506" s="7" t="e">
        <f t="shared" si="203"/>
        <v>#N/A</v>
      </c>
      <c r="AN506" s="7" t="e">
        <f t="shared" si="204"/>
        <v>#N/A</v>
      </c>
      <c r="AO506" s="7">
        <f t="shared" si="205"/>
        <v>0</v>
      </c>
      <c r="AP506" s="7" t="e">
        <f t="shared" si="214"/>
        <v>#N/A</v>
      </c>
      <c r="AQ506" s="7" t="str">
        <f t="shared" si="206"/>
        <v/>
      </c>
      <c r="AR506" s="7" t="str">
        <f t="shared" si="207"/>
        <v/>
      </c>
      <c r="AS506" s="7" t="str">
        <f t="shared" si="208"/>
        <v/>
      </c>
      <c r="AT506" s="97"/>
      <c r="AZ506" s="477" t="s">
        <v>155</v>
      </c>
      <c r="CF506" s="586" t="str">
        <f t="shared" si="215"/>
        <v/>
      </c>
      <c r="CG506"/>
      <c r="CH506"/>
    </row>
    <row r="507" spans="1:86" s="13" customFormat="1" ht="13.75" customHeight="1">
      <c r="A507" s="137">
        <v>492</v>
      </c>
      <c r="B507" s="138"/>
      <c r="C507" s="139"/>
      <c r="D507" s="140"/>
      <c r="E507" s="139"/>
      <c r="F507" s="139"/>
      <c r="G507" s="191"/>
      <c r="H507" s="139"/>
      <c r="I507" s="141"/>
      <c r="J507" s="142"/>
      <c r="K507" s="139"/>
      <c r="L507" s="147"/>
      <c r="M507" s="148"/>
      <c r="N507" s="583"/>
      <c r="O507" s="229" t="str">
        <f t="shared" si="209"/>
        <v/>
      </c>
      <c r="P507" s="229" t="str">
        <f t="shared" si="210"/>
        <v/>
      </c>
      <c r="Q507" s="230" t="str">
        <f t="shared" si="211"/>
        <v/>
      </c>
      <c r="R507" s="323" t="str">
        <f t="shared" si="212"/>
        <v/>
      </c>
      <c r="S507" s="350"/>
      <c r="T507" s="43"/>
      <c r="U507" s="347" t="str">
        <f t="shared" si="189"/>
        <v/>
      </c>
      <c r="V507" s="7" t="e">
        <f t="shared" si="190"/>
        <v>#N/A</v>
      </c>
      <c r="W507" s="7" t="e">
        <f t="shared" si="191"/>
        <v>#N/A</v>
      </c>
      <c r="X507" s="7" t="e">
        <f t="shared" si="192"/>
        <v>#N/A</v>
      </c>
      <c r="Y507" s="7" t="str">
        <f t="shared" si="193"/>
        <v/>
      </c>
      <c r="Z507" s="11">
        <f t="shared" si="194"/>
        <v>1</v>
      </c>
      <c r="AA507" s="7" t="e">
        <f t="shared" si="195"/>
        <v>#N/A</v>
      </c>
      <c r="AB507" s="7" t="e">
        <f t="shared" si="196"/>
        <v>#N/A</v>
      </c>
      <c r="AC507" s="7" t="e">
        <f t="shared" si="197"/>
        <v>#N/A</v>
      </c>
      <c r="AD507" s="472" t="e">
        <f>VLOOKUP(AF507,'排出係数(2017)'!$A$4:$I$1151,9,FALSE)</f>
        <v>#N/A</v>
      </c>
      <c r="AE507" s="12" t="str">
        <f t="shared" si="198"/>
        <v xml:space="preserve"> </v>
      </c>
      <c r="AF507" s="7" t="e">
        <f t="shared" si="213"/>
        <v>#N/A</v>
      </c>
      <c r="AG507" s="7" t="e">
        <f t="shared" si="199"/>
        <v>#N/A</v>
      </c>
      <c r="AH507" s="472" t="e">
        <f>VLOOKUP(AF507,'排出係数(2017)'!$A$4:$I$1151,6,FALSE)</f>
        <v>#N/A</v>
      </c>
      <c r="AI507" s="7" t="e">
        <f t="shared" si="200"/>
        <v>#N/A</v>
      </c>
      <c r="AJ507" s="7" t="e">
        <f t="shared" si="201"/>
        <v>#N/A</v>
      </c>
      <c r="AK507" s="472" t="e">
        <f>VLOOKUP(AF507,'排出係数(2017)'!$A$4:$I$1151,7,FALSE)</f>
        <v>#N/A</v>
      </c>
      <c r="AL507" s="7" t="e">
        <f t="shared" si="202"/>
        <v>#N/A</v>
      </c>
      <c r="AM507" s="7" t="e">
        <f t="shared" si="203"/>
        <v>#N/A</v>
      </c>
      <c r="AN507" s="7" t="e">
        <f t="shared" si="204"/>
        <v>#N/A</v>
      </c>
      <c r="AO507" s="7">
        <f t="shared" si="205"/>
        <v>0</v>
      </c>
      <c r="AP507" s="7" t="e">
        <f t="shared" si="214"/>
        <v>#N/A</v>
      </c>
      <c r="AQ507" s="7" t="str">
        <f t="shared" si="206"/>
        <v/>
      </c>
      <c r="AR507" s="7" t="str">
        <f t="shared" si="207"/>
        <v/>
      </c>
      <c r="AS507" s="7" t="str">
        <f t="shared" si="208"/>
        <v/>
      </c>
      <c r="AT507" s="97"/>
      <c r="AZ507" s="477" t="s">
        <v>1121</v>
      </c>
      <c r="CF507" s="586" t="str">
        <f t="shared" si="215"/>
        <v/>
      </c>
      <c r="CG507"/>
      <c r="CH507"/>
    </row>
    <row r="508" spans="1:86" s="13" customFormat="1" ht="13.75" customHeight="1">
      <c r="A508" s="137">
        <v>493</v>
      </c>
      <c r="B508" s="138"/>
      <c r="C508" s="139"/>
      <c r="D508" s="140"/>
      <c r="E508" s="139"/>
      <c r="F508" s="139"/>
      <c r="G508" s="191"/>
      <c r="H508" s="139"/>
      <c r="I508" s="141"/>
      <c r="J508" s="142"/>
      <c r="K508" s="139"/>
      <c r="L508" s="147"/>
      <c r="M508" s="148"/>
      <c r="N508" s="583"/>
      <c r="O508" s="229" t="str">
        <f t="shared" si="209"/>
        <v/>
      </c>
      <c r="P508" s="229" t="str">
        <f t="shared" si="210"/>
        <v/>
      </c>
      <c r="Q508" s="230" t="str">
        <f t="shared" si="211"/>
        <v/>
      </c>
      <c r="R508" s="323" t="str">
        <f t="shared" si="212"/>
        <v/>
      </c>
      <c r="S508" s="350"/>
      <c r="T508" s="43"/>
      <c r="U508" s="347" t="str">
        <f t="shared" si="189"/>
        <v/>
      </c>
      <c r="V508" s="7" t="e">
        <f t="shared" si="190"/>
        <v>#N/A</v>
      </c>
      <c r="W508" s="7" t="e">
        <f t="shared" si="191"/>
        <v>#N/A</v>
      </c>
      <c r="X508" s="7" t="e">
        <f t="shared" si="192"/>
        <v>#N/A</v>
      </c>
      <c r="Y508" s="7" t="str">
        <f t="shared" si="193"/>
        <v/>
      </c>
      <c r="Z508" s="11">
        <f t="shared" si="194"/>
        <v>1</v>
      </c>
      <c r="AA508" s="7" t="e">
        <f t="shared" si="195"/>
        <v>#N/A</v>
      </c>
      <c r="AB508" s="7" t="e">
        <f t="shared" si="196"/>
        <v>#N/A</v>
      </c>
      <c r="AC508" s="7" t="e">
        <f t="shared" si="197"/>
        <v>#N/A</v>
      </c>
      <c r="AD508" s="472" t="e">
        <f>VLOOKUP(AF508,'排出係数(2017)'!$A$4:$I$1151,9,FALSE)</f>
        <v>#N/A</v>
      </c>
      <c r="AE508" s="12" t="str">
        <f t="shared" si="198"/>
        <v xml:space="preserve"> </v>
      </c>
      <c r="AF508" s="7" t="e">
        <f t="shared" si="213"/>
        <v>#N/A</v>
      </c>
      <c r="AG508" s="7" t="e">
        <f t="shared" si="199"/>
        <v>#N/A</v>
      </c>
      <c r="AH508" s="472" t="e">
        <f>VLOOKUP(AF508,'排出係数(2017)'!$A$4:$I$1151,6,FALSE)</f>
        <v>#N/A</v>
      </c>
      <c r="AI508" s="7" t="e">
        <f t="shared" si="200"/>
        <v>#N/A</v>
      </c>
      <c r="AJ508" s="7" t="e">
        <f t="shared" si="201"/>
        <v>#N/A</v>
      </c>
      <c r="AK508" s="472" t="e">
        <f>VLOOKUP(AF508,'排出係数(2017)'!$A$4:$I$1151,7,FALSE)</f>
        <v>#N/A</v>
      </c>
      <c r="AL508" s="7" t="e">
        <f t="shared" si="202"/>
        <v>#N/A</v>
      </c>
      <c r="AM508" s="7" t="e">
        <f t="shared" si="203"/>
        <v>#N/A</v>
      </c>
      <c r="AN508" s="7" t="e">
        <f t="shared" si="204"/>
        <v>#N/A</v>
      </c>
      <c r="AO508" s="7">
        <f t="shared" si="205"/>
        <v>0</v>
      </c>
      <c r="AP508" s="7" t="e">
        <f t="shared" si="214"/>
        <v>#N/A</v>
      </c>
      <c r="AQ508" s="7" t="str">
        <f t="shared" si="206"/>
        <v/>
      </c>
      <c r="AR508" s="7" t="str">
        <f t="shared" si="207"/>
        <v/>
      </c>
      <c r="AS508" s="7" t="str">
        <f t="shared" si="208"/>
        <v/>
      </c>
      <c r="AT508" s="97"/>
      <c r="AZ508" s="477" t="s">
        <v>156</v>
      </c>
      <c r="CF508" s="586" t="str">
        <f t="shared" si="215"/>
        <v/>
      </c>
      <c r="CG508"/>
      <c r="CH508"/>
    </row>
    <row r="509" spans="1:86" s="13" customFormat="1" ht="13.75" customHeight="1">
      <c r="A509" s="137">
        <v>494</v>
      </c>
      <c r="B509" s="138"/>
      <c r="C509" s="139"/>
      <c r="D509" s="140"/>
      <c r="E509" s="139"/>
      <c r="F509" s="139"/>
      <c r="G509" s="191"/>
      <c r="H509" s="139"/>
      <c r="I509" s="141"/>
      <c r="J509" s="142"/>
      <c r="K509" s="139"/>
      <c r="L509" s="147"/>
      <c r="M509" s="148"/>
      <c r="N509" s="583"/>
      <c r="O509" s="229" t="str">
        <f t="shared" si="209"/>
        <v/>
      </c>
      <c r="P509" s="229" t="str">
        <f t="shared" si="210"/>
        <v/>
      </c>
      <c r="Q509" s="230" t="str">
        <f t="shared" si="211"/>
        <v/>
      </c>
      <c r="R509" s="323" t="str">
        <f t="shared" si="212"/>
        <v/>
      </c>
      <c r="S509" s="350"/>
      <c r="T509" s="43"/>
      <c r="U509" s="347" t="str">
        <f t="shared" si="189"/>
        <v/>
      </c>
      <c r="V509" s="7" t="e">
        <f t="shared" si="190"/>
        <v>#N/A</v>
      </c>
      <c r="W509" s="7" t="e">
        <f t="shared" si="191"/>
        <v>#N/A</v>
      </c>
      <c r="X509" s="7" t="e">
        <f t="shared" si="192"/>
        <v>#N/A</v>
      </c>
      <c r="Y509" s="7" t="str">
        <f t="shared" si="193"/>
        <v/>
      </c>
      <c r="Z509" s="11">
        <f t="shared" si="194"/>
        <v>1</v>
      </c>
      <c r="AA509" s="7" t="e">
        <f t="shared" si="195"/>
        <v>#N/A</v>
      </c>
      <c r="AB509" s="7" t="e">
        <f t="shared" si="196"/>
        <v>#N/A</v>
      </c>
      <c r="AC509" s="7" t="e">
        <f t="shared" si="197"/>
        <v>#N/A</v>
      </c>
      <c r="AD509" s="472" t="e">
        <f>VLOOKUP(AF509,'排出係数(2017)'!$A$4:$I$1151,9,FALSE)</f>
        <v>#N/A</v>
      </c>
      <c r="AE509" s="12" t="str">
        <f t="shared" si="198"/>
        <v xml:space="preserve"> </v>
      </c>
      <c r="AF509" s="7" t="e">
        <f t="shared" si="213"/>
        <v>#N/A</v>
      </c>
      <c r="AG509" s="7" t="e">
        <f t="shared" si="199"/>
        <v>#N/A</v>
      </c>
      <c r="AH509" s="472" t="e">
        <f>VLOOKUP(AF509,'排出係数(2017)'!$A$4:$I$1151,6,FALSE)</f>
        <v>#N/A</v>
      </c>
      <c r="AI509" s="7" t="e">
        <f t="shared" si="200"/>
        <v>#N/A</v>
      </c>
      <c r="AJ509" s="7" t="e">
        <f t="shared" si="201"/>
        <v>#N/A</v>
      </c>
      <c r="AK509" s="472" t="e">
        <f>VLOOKUP(AF509,'排出係数(2017)'!$A$4:$I$1151,7,FALSE)</f>
        <v>#N/A</v>
      </c>
      <c r="AL509" s="7" t="e">
        <f t="shared" si="202"/>
        <v>#N/A</v>
      </c>
      <c r="AM509" s="7" t="e">
        <f t="shared" si="203"/>
        <v>#N/A</v>
      </c>
      <c r="AN509" s="7" t="e">
        <f t="shared" si="204"/>
        <v>#N/A</v>
      </c>
      <c r="AO509" s="7">
        <f t="shared" si="205"/>
        <v>0</v>
      </c>
      <c r="AP509" s="7" t="e">
        <f t="shared" si="214"/>
        <v>#N/A</v>
      </c>
      <c r="AQ509" s="7" t="str">
        <f t="shared" si="206"/>
        <v/>
      </c>
      <c r="AR509" s="7" t="str">
        <f t="shared" si="207"/>
        <v/>
      </c>
      <c r="AS509" s="7" t="str">
        <f t="shared" si="208"/>
        <v/>
      </c>
      <c r="AT509" s="97"/>
      <c r="AZ509" s="477" t="s">
        <v>1113</v>
      </c>
      <c r="CF509" s="586" t="str">
        <f t="shared" si="215"/>
        <v/>
      </c>
      <c r="CG509"/>
      <c r="CH509"/>
    </row>
    <row r="510" spans="1:86" s="13" customFormat="1" ht="13.75" customHeight="1">
      <c r="A510" s="137">
        <v>495</v>
      </c>
      <c r="B510" s="138"/>
      <c r="C510" s="139"/>
      <c r="D510" s="140"/>
      <c r="E510" s="139"/>
      <c r="F510" s="139"/>
      <c r="G510" s="191"/>
      <c r="H510" s="139"/>
      <c r="I510" s="141"/>
      <c r="J510" s="142"/>
      <c r="K510" s="139"/>
      <c r="L510" s="147"/>
      <c r="M510" s="148"/>
      <c r="N510" s="583"/>
      <c r="O510" s="229" t="str">
        <f t="shared" si="209"/>
        <v/>
      </c>
      <c r="P510" s="229" t="str">
        <f t="shared" si="210"/>
        <v/>
      </c>
      <c r="Q510" s="230" t="str">
        <f t="shared" si="211"/>
        <v/>
      </c>
      <c r="R510" s="323" t="str">
        <f t="shared" si="212"/>
        <v/>
      </c>
      <c r="S510" s="350"/>
      <c r="T510" s="43"/>
      <c r="U510" s="347" t="str">
        <f t="shared" si="189"/>
        <v/>
      </c>
      <c r="V510" s="7" t="e">
        <f t="shared" si="190"/>
        <v>#N/A</v>
      </c>
      <c r="W510" s="7" t="e">
        <f t="shared" si="191"/>
        <v>#N/A</v>
      </c>
      <c r="X510" s="7" t="e">
        <f t="shared" si="192"/>
        <v>#N/A</v>
      </c>
      <c r="Y510" s="7" t="str">
        <f t="shared" si="193"/>
        <v/>
      </c>
      <c r="Z510" s="11">
        <f t="shared" si="194"/>
        <v>1</v>
      </c>
      <c r="AA510" s="7" t="e">
        <f t="shared" si="195"/>
        <v>#N/A</v>
      </c>
      <c r="AB510" s="7" t="e">
        <f t="shared" si="196"/>
        <v>#N/A</v>
      </c>
      <c r="AC510" s="7" t="e">
        <f t="shared" si="197"/>
        <v>#N/A</v>
      </c>
      <c r="AD510" s="472" t="e">
        <f>VLOOKUP(AF510,'排出係数(2017)'!$A$4:$I$1151,9,FALSE)</f>
        <v>#N/A</v>
      </c>
      <c r="AE510" s="12" t="str">
        <f t="shared" si="198"/>
        <v xml:space="preserve"> </v>
      </c>
      <c r="AF510" s="7" t="e">
        <f t="shared" si="213"/>
        <v>#N/A</v>
      </c>
      <c r="AG510" s="7" t="e">
        <f t="shared" si="199"/>
        <v>#N/A</v>
      </c>
      <c r="AH510" s="472" t="e">
        <f>VLOOKUP(AF510,'排出係数(2017)'!$A$4:$I$1151,6,FALSE)</f>
        <v>#N/A</v>
      </c>
      <c r="AI510" s="7" t="e">
        <f t="shared" si="200"/>
        <v>#N/A</v>
      </c>
      <c r="AJ510" s="7" t="e">
        <f t="shared" si="201"/>
        <v>#N/A</v>
      </c>
      <c r="AK510" s="472" t="e">
        <f>VLOOKUP(AF510,'排出係数(2017)'!$A$4:$I$1151,7,FALSE)</f>
        <v>#N/A</v>
      </c>
      <c r="AL510" s="7" t="e">
        <f t="shared" si="202"/>
        <v>#N/A</v>
      </c>
      <c r="AM510" s="7" t="e">
        <f t="shared" si="203"/>
        <v>#N/A</v>
      </c>
      <c r="AN510" s="7" t="e">
        <f t="shared" si="204"/>
        <v>#N/A</v>
      </c>
      <c r="AO510" s="7">
        <f t="shared" si="205"/>
        <v>0</v>
      </c>
      <c r="AP510" s="7" t="e">
        <f t="shared" si="214"/>
        <v>#N/A</v>
      </c>
      <c r="AQ510" s="7" t="str">
        <f t="shared" si="206"/>
        <v/>
      </c>
      <c r="AR510" s="7" t="str">
        <f t="shared" si="207"/>
        <v/>
      </c>
      <c r="AS510" s="7" t="str">
        <f t="shared" si="208"/>
        <v/>
      </c>
      <c r="AT510" s="97"/>
      <c r="AZ510" s="477" t="s">
        <v>157</v>
      </c>
      <c r="CF510" s="586" t="str">
        <f t="shared" si="215"/>
        <v/>
      </c>
      <c r="CG510"/>
      <c r="CH510"/>
    </row>
    <row r="511" spans="1:86" s="13" customFormat="1" ht="13.75" customHeight="1">
      <c r="A511" s="137">
        <v>496</v>
      </c>
      <c r="B511" s="138"/>
      <c r="C511" s="139"/>
      <c r="D511" s="140"/>
      <c r="E511" s="139"/>
      <c r="F511" s="139"/>
      <c r="G511" s="191"/>
      <c r="H511" s="139"/>
      <c r="I511" s="141"/>
      <c r="J511" s="142"/>
      <c r="K511" s="139"/>
      <c r="L511" s="147"/>
      <c r="M511" s="148"/>
      <c r="N511" s="583"/>
      <c r="O511" s="229" t="str">
        <f t="shared" si="209"/>
        <v/>
      </c>
      <c r="P511" s="229" t="str">
        <f t="shared" si="210"/>
        <v/>
      </c>
      <c r="Q511" s="230" t="str">
        <f t="shared" si="211"/>
        <v/>
      </c>
      <c r="R511" s="323" t="str">
        <f t="shared" si="212"/>
        <v/>
      </c>
      <c r="S511" s="350"/>
      <c r="T511" s="43"/>
      <c r="U511" s="347" t="str">
        <f t="shared" si="189"/>
        <v/>
      </c>
      <c r="V511" s="7" t="e">
        <f t="shared" si="190"/>
        <v>#N/A</v>
      </c>
      <c r="W511" s="7" t="e">
        <f t="shared" si="191"/>
        <v>#N/A</v>
      </c>
      <c r="X511" s="7" t="e">
        <f t="shared" si="192"/>
        <v>#N/A</v>
      </c>
      <c r="Y511" s="7" t="str">
        <f t="shared" si="193"/>
        <v/>
      </c>
      <c r="Z511" s="11">
        <f t="shared" si="194"/>
        <v>1</v>
      </c>
      <c r="AA511" s="7" t="e">
        <f t="shared" si="195"/>
        <v>#N/A</v>
      </c>
      <c r="AB511" s="7" t="e">
        <f t="shared" si="196"/>
        <v>#N/A</v>
      </c>
      <c r="AC511" s="7" t="e">
        <f t="shared" si="197"/>
        <v>#N/A</v>
      </c>
      <c r="AD511" s="472" t="e">
        <f>VLOOKUP(AF511,'排出係数(2017)'!$A$4:$I$1151,9,FALSE)</f>
        <v>#N/A</v>
      </c>
      <c r="AE511" s="12" t="str">
        <f t="shared" si="198"/>
        <v xml:space="preserve"> </v>
      </c>
      <c r="AF511" s="7" t="e">
        <f t="shared" si="213"/>
        <v>#N/A</v>
      </c>
      <c r="AG511" s="7" t="e">
        <f t="shared" si="199"/>
        <v>#N/A</v>
      </c>
      <c r="AH511" s="472" t="e">
        <f>VLOOKUP(AF511,'排出係数(2017)'!$A$4:$I$1151,6,FALSE)</f>
        <v>#N/A</v>
      </c>
      <c r="AI511" s="7" t="e">
        <f t="shared" si="200"/>
        <v>#N/A</v>
      </c>
      <c r="AJ511" s="7" t="e">
        <f t="shared" si="201"/>
        <v>#N/A</v>
      </c>
      <c r="AK511" s="472" t="e">
        <f>VLOOKUP(AF511,'排出係数(2017)'!$A$4:$I$1151,7,FALSE)</f>
        <v>#N/A</v>
      </c>
      <c r="AL511" s="7" t="e">
        <f t="shared" si="202"/>
        <v>#N/A</v>
      </c>
      <c r="AM511" s="7" t="e">
        <f t="shared" si="203"/>
        <v>#N/A</v>
      </c>
      <c r="AN511" s="7" t="e">
        <f t="shared" si="204"/>
        <v>#N/A</v>
      </c>
      <c r="AO511" s="7">
        <f t="shared" si="205"/>
        <v>0</v>
      </c>
      <c r="AP511" s="7" t="e">
        <f t="shared" si="214"/>
        <v>#N/A</v>
      </c>
      <c r="AQ511" s="7" t="str">
        <f t="shared" si="206"/>
        <v/>
      </c>
      <c r="AR511" s="7" t="str">
        <f t="shared" si="207"/>
        <v/>
      </c>
      <c r="AS511" s="7" t="str">
        <f t="shared" si="208"/>
        <v/>
      </c>
      <c r="AT511" s="97"/>
      <c r="AZ511" s="477" t="s">
        <v>158</v>
      </c>
      <c r="CF511" s="586" t="str">
        <f t="shared" si="215"/>
        <v/>
      </c>
      <c r="CG511"/>
      <c r="CH511"/>
    </row>
    <row r="512" spans="1:86" s="13" customFormat="1" ht="13.75" customHeight="1">
      <c r="A512" s="137">
        <v>497</v>
      </c>
      <c r="B512" s="138"/>
      <c r="C512" s="139"/>
      <c r="D512" s="140"/>
      <c r="E512" s="139"/>
      <c r="F512" s="139"/>
      <c r="G512" s="191"/>
      <c r="H512" s="139"/>
      <c r="I512" s="141"/>
      <c r="J512" s="142"/>
      <c r="K512" s="139"/>
      <c r="L512" s="147"/>
      <c r="M512" s="148"/>
      <c r="N512" s="583"/>
      <c r="O512" s="229" t="str">
        <f t="shared" si="209"/>
        <v/>
      </c>
      <c r="P512" s="229" t="str">
        <f t="shared" si="210"/>
        <v/>
      </c>
      <c r="Q512" s="230" t="str">
        <f t="shared" si="211"/>
        <v/>
      </c>
      <c r="R512" s="323" t="str">
        <f t="shared" si="212"/>
        <v/>
      </c>
      <c r="S512" s="350"/>
      <c r="T512" s="43"/>
      <c r="U512" s="347" t="str">
        <f t="shared" si="189"/>
        <v/>
      </c>
      <c r="V512" s="7" t="e">
        <f t="shared" si="190"/>
        <v>#N/A</v>
      </c>
      <c r="W512" s="7" t="e">
        <f t="shared" si="191"/>
        <v>#N/A</v>
      </c>
      <c r="X512" s="7" t="e">
        <f t="shared" si="192"/>
        <v>#N/A</v>
      </c>
      <c r="Y512" s="7" t="str">
        <f t="shared" si="193"/>
        <v/>
      </c>
      <c r="Z512" s="11">
        <f t="shared" si="194"/>
        <v>1</v>
      </c>
      <c r="AA512" s="7" t="e">
        <f t="shared" si="195"/>
        <v>#N/A</v>
      </c>
      <c r="AB512" s="7" t="e">
        <f t="shared" si="196"/>
        <v>#N/A</v>
      </c>
      <c r="AC512" s="7" t="e">
        <f t="shared" si="197"/>
        <v>#N/A</v>
      </c>
      <c r="AD512" s="472" t="e">
        <f>VLOOKUP(AF512,'排出係数(2017)'!$A$4:$I$1151,9,FALSE)</f>
        <v>#N/A</v>
      </c>
      <c r="AE512" s="12" t="str">
        <f t="shared" si="198"/>
        <v xml:space="preserve"> </v>
      </c>
      <c r="AF512" s="7" t="e">
        <f t="shared" si="213"/>
        <v>#N/A</v>
      </c>
      <c r="AG512" s="7" t="e">
        <f t="shared" si="199"/>
        <v>#N/A</v>
      </c>
      <c r="AH512" s="472" t="e">
        <f>VLOOKUP(AF512,'排出係数(2017)'!$A$4:$I$1151,6,FALSE)</f>
        <v>#N/A</v>
      </c>
      <c r="AI512" s="7" t="e">
        <f t="shared" si="200"/>
        <v>#N/A</v>
      </c>
      <c r="AJ512" s="7" t="e">
        <f t="shared" si="201"/>
        <v>#N/A</v>
      </c>
      <c r="AK512" s="472" t="e">
        <f>VLOOKUP(AF512,'排出係数(2017)'!$A$4:$I$1151,7,FALSE)</f>
        <v>#N/A</v>
      </c>
      <c r="AL512" s="7" t="e">
        <f t="shared" si="202"/>
        <v>#N/A</v>
      </c>
      <c r="AM512" s="7" t="e">
        <f t="shared" si="203"/>
        <v>#N/A</v>
      </c>
      <c r="AN512" s="7" t="e">
        <f t="shared" si="204"/>
        <v>#N/A</v>
      </c>
      <c r="AO512" s="7">
        <f t="shared" si="205"/>
        <v>0</v>
      </c>
      <c r="AP512" s="7" t="e">
        <f t="shared" si="214"/>
        <v>#N/A</v>
      </c>
      <c r="AQ512" s="7" t="str">
        <f t="shared" si="206"/>
        <v/>
      </c>
      <c r="AR512" s="7" t="str">
        <f t="shared" si="207"/>
        <v/>
      </c>
      <c r="AS512" s="7" t="str">
        <f t="shared" si="208"/>
        <v/>
      </c>
      <c r="AT512" s="97"/>
      <c r="AZ512" s="477" t="s">
        <v>2559</v>
      </c>
      <c r="CF512" s="586" t="str">
        <f t="shared" si="215"/>
        <v/>
      </c>
      <c r="CG512"/>
      <c r="CH512"/>
    </row>
    <row r="513" spans="1:86" s="13" customFormat="1" ht="13.75" customHeight="1">
      <c r="A513" s="137">
        <v>498</v>
      </c>
      <c r="B513" s="138"/>
      <c r="C513" s="139"/>
      <c r="D513" s="140"/>
      <c r="E513" s="139"/>
      <c r="F513" s="139"/>
      <c r="G513" s="191"/>
      <c r="H513" s="139"/>
      <c r="I513" s="141"/>
      <c r="J513" s="142"/>
      <c r="K513" s="139"/>
      <c r="L513" s="147"/>
      <c r="M513" s="148"/>
      <c r="N513" s="583"/>
      <c r="O513" s="229" t="str">
        <f t="shared" si="209"/>
        <v/>
      </c>
      <c r="P513" s="229" t="str">
        <f t="shared" si="210"/>
        <v/>
      </c>
      <c r="Q513" s="230" t="str">
        <f t="shared" si="211"/>
        <v/>
      </c>
      <c r="R513" s="323" t="str">
        <f t="shared" si="212"/>
        <v/>
      </c>
      <c r="S513" s="350"/>
      <c r="T513" s="43"/>
      <c r="U513" s="347" t="str">
        <f t="shared" si="189"/>
        <v/>
      </c>
      <c r="V513" s="7" t="e">
        <f t="shared" si="190"/>
        <v>#N/A</v>
      </c>
      <c r="W513" s="7" t="e">
        <f t="shared" si="191"/>
        <v>#N/A</v>
      </c>
      <c r="X513" s="7" t="e">
        <f t="shared" si="192"/>
        <v>#N/A</v>
      </c>
      <c r="Y513" s="7" t="str">
        <f t="shared" si="193"/>
        <v/>
      </c>
      <c r="Z513" s="11">
        <f t="shared" si="194"/>
        <v>1</v>
      </c>
      <c r="AA513" s="7" t="e">
        <f t="shared" si="195"/>
        <v>#N/A</v>
      </c>
      <c r="AB513" s="7" t="e">
        <f t="shared" si="196"/>
        <v>#N/A</v>
      </c>
      <c r="AC513" s="7" t="e">
        <f t="shared" si="197"/>
        <v>#N/A</v>
      </c>
      <c r="AD513" s="472" t="e">
        <f>VLOOKUP(AF513,'排出係数(2017)'!$A$4:$I$1151,9,FALSE)</f>
        <v>#N/A</v>
      </c>
      <c r="AE513" s="12" t="str">
        <f t="shared" si="198"/>
        <v xml:space="preserve"> </v>
      </c>
      <c r="AF513" s="7" t="e">
        <f t="shared" si="213"/>
        <v>#N/A</v>
      </c>
      <c r="AG513" s="7" t="e">
        <f t="shared" si="199"/>
        <v>#N/A</v>
      </c>
      <c r="AH513" s="472" t="e">
        <f>VLOOKUP(AF513,'排出係数(2017)'!$A$4:$I$1151,6,FALSE)</f>
        <v>#N/A</v>
      </c>
      <c r="AI513" s="7" t="e">
        <f t="shared" si="200"/>
        <v>#N/A</v>
      </c>
      <c r="AJ513" s="7" t="e">
        <f t="shared" si="201"/>
        <v>#N/A</v>
      </c>
      <c r="AK513" s="472" t="e">
        <f>VLOOKUP(AF513,'排出係数(2017)'!$A$4:$I$1151,7,FALSE)</f>
        <v>#N/A</v>
      </c>
      <c r="AL513" s="7" t="e">
        <f t="shared" si="202"/>
        <v>#N/A</v>
      </c>
      <c r="AM513" s="7" t="e">
        <f t="shared" si="203"/>
        <v>#N/A</v>
      </c>
      <c r="AN513" s="7" t="e">
        <f t="shared" si="204"/>
        <v>#N/A</v>
      </c>
      <c r="AO513" s="7">
        <f t="shared" si="205"/>
        <v>0</v>
      </c>
      <c r="AP513" s="7" t="e">
        <f t="shared" si="214"/>
        <v>#N/A</v>
      </c>
      <c r="AQ513" s="7" t="str">
        <f t="shared" si="206"/>
        <v/>
      </c>
      <c r="AR513" s="7" t="str">
        <f t="shared" si="207"/>
        <v/>
      </c>
      <c r="AS513" s="7" t="str">
        <f t="shared" si="208"/>
        <v/>
      </c>
      <c r="AT513" s="97"/>
      <c r="AZ513" s="477" t="s">
        <v>2560</v>
      </c>
      <c r="CF513" s="586" t="str">
        <f t="shared" si="215"/>
        <v/>
      </c>
      <c r="CG513"/>
      <c r="CH513"/>
    </row>
    <row r="514" spans="1:86" s="13" customFormat="1" ht="13.75" customHeight="1">
      <c r="A514" s="137">
        <v>499</v>
      </c>
      <c r="B514" s="138"/>
      <c r="C514" s="139"/>
      <c r="D514" s="140"/>
      <c r="E514" s="139"/>
      <c r="F514" s="139"/>
      <c r="G514" s="191"/>
      <c r="H514" s="139"/>
      <c r="I514" s="141"/>
      <c r="J514" s="142"/>
      <c r="K514" s="139"/>
      <c r="L514" s="147"/>
      <c r="M514" s="148"/>
      <c r="N514" s="583"/>
      <c r="O514" s="229" t="str">
        <f t="shared" si="209"/>
        <v/>
      </c>
      <c r="P514" s="229" t="str">
        <f t="shared" si="210"/>
        <v/>
      </c>
      <c r="Q514" s="230" t="str">
        <f t="shared" si="211"/>
        <v/>
      </c>
      <c r="R514" s="323" t="str">
        <f t="shared" si="212"/>
        <v/>
      </c>
      <c r="S514" s="350"/>
      <c r="T514" s="43"/>
      <c r="U514" s="347" t="str">
        <f t="shared" si="189"/>
        <v/>
      </c>
      <c r="V514" s="7" t="e">
        <f t="shared" si="190"/>
        <v>#N/A</v>
      </c>
      <c r="W514" s="7" t="e">
        <f t="shared" si="191"/>
        <v>#N/A</v>
      </c>
      <c r="X514" s="7" t="e">
        <f t="shared" si="192"/>
        <v>#N/A</v>
      </c>
      <c r="Y514" s="7" t="str">
        <f t="shared" si="193"/>
        <v/>
      </c>
      <c r="Z514" s="11">
        <f t="shared" si="194"/>
        <v>1</v>
      </c>
      <c r="AA514" s="7" t="e">
        <f t="shared" si="195"/>
        <v>#N/A</v>
      </c>
      <c r="AB514" s="7" t="e">
        <f t="shared" si="196"/>
        <v>#N/A</v>
      </c>
      <c r="AC514" s="7" t="e">
        <f t="shared" si="197"/>
        <v>#N/A</v>
      </c>
      <c r="AD514" s="472" t="e">
        <f>VLOOKUP(AF514,'排出係数(2017)'!$A$4:$I$1151,9,FALSE)</f>
        <v>#N/A</v>
      </c>
      <c r="AE514" s="12" t="str">
        <f t="shared" si="198"/>
        <v xml:space="preserve"> </v>
      </c>
      <c r="AF514" s="7" t="e">
        <f t="shared" si="213"/>
        <v>#N/A</v>
      </c>
      <c r="AG514" s="7" t="e">
        <f t="shared" si="199"/>
        <v>#N/A</v>
      </c>
      <c r="AH514" s="472" t="e">
        <f>VLOOKUP(AF514,'排出係数(2017)'!$A$4:$I$1151,6,FALSE)</f>
        <v>#N/A</v>
      </c>
      <c r="AI514" s="7" t="e">
        <f t="shared" si="200"/>
        <v>#N/A</v>
      </c>
      <c r="AJ514" s="7" t="e">
        <f t="shared" si="201"/>
        <v>#N/A</v>
      </c>
      <c r="AK514" s="472" t="e">
        <f>VLOOKUP(AF514,'排出係数(2017)'!$A$4:$I$1151,7,FALSE)</f>
        <v>#N/A</v>
      </c>
      <c r="AL514" s="7" t="e">
        <f t="shared" si="202"/>
        <v>#N/A</v>
      </c>
      <c r="AM514" s="7" t="e">
        <f t="shared" si="203"/>
        <v>#N/A</v>
      </c>
      <c r="AN514" s="7" t="e">
        <f t="shared" si="204"/>
        <v>#N/A</v>
      </c>
      <c r="AO514" s="7">
        <f t="shared" si="205"/>
        <v>0</v>
      </c>
      <c r="AP514" s="7" t="e">
        <f t="shared" si="214"/>
        <v>#N/A</v>
      </c>
      <c r="AQ514" s="7" t="str">
        <f t="shared" si="206"/>
        <v/>
      </c>
      <c r="AR514" s="7" t="str">
        <f t="shared" si="207"/>
        <v/>
      </c>
      <c r="AS514" s="7" t="str">
        <f t="shared" si="208"/>
        <v/>
      </c>
      <c r="AT514" s="97"/>
      <c r="AZ514" s="477" t="s">
        <v>83</v>
      </c>
      <c r="CF514" s="586" t="str">
        <f t="shared" si="215"/>
        <v/>
      </c>
      <c r="CG514"/>
      <c r="CH514"/>
    </row>
    <row r="515" spans="1:86" s="13" customFormat="1" ht="13.75" customHeight="1" thickBot="1">
      <c r="A515" s="348">
        <v>500</v>
      </c>
      <c r="B515" s="135"/>
      <c r="C515" s="35"/>
      <c r="D515" s="101"/>
      <c r="E515" s="35"/>
      <c r="F515" s="35"/>
      <c r="G515" s="192"/>
      <c r="H515" s="35"/>
      <c r="I515" s="36"/>
      <c r="J515" s="37"/>
      <c r="K515" s="35"/>
      <c r="L515" s="149"/>
      <c r="M515" s="150"/>
      <c r="N515" s="584"/>
      <c r="O515" s="231" t="str">
        <f t="shared" si="209"/>
        <v/>
      </c>
      <c r="P515" s="231" t="str">
        <f t="shared" si="210"/>
        <v/>
      </c>
      <c r="Q515" s="232" t="str">
        <f t="shared" si="211"/>
        <v/>
      </c>
      <c r="R515" s="349" t="str">
        <f t="shared" si="212"/>
        <v/>
      </c>
      <c r="S515" s="352"/>
      <c r="T515" s="43"/>
      <c r="U515" s="347" t="str">
        <f t="shared" si="189"/>
        <v/>
      </c>
      <c r="V515" s="7" t="e">
        <f t="shared" si="190"/>
        <v>#N/A</v>
      </c>
      <c r="W515" s="7" t="e">
        <f t="shared" si="191"/>
        <v>#N/A</v>
      </c>
      <c r="X515" s="7" t="e">
        <f t="shared" si="192"/>
        <v>#N/A</v>
      </c>
      <c r="Y515" s="7" t="str">
        <f t="shared" si="193"/>
        <v/>
      </c>
      <c r="Z515" s="11">
        <f t="shared" si="194"/>
        <v>1</v>
      </c>
      <c r="AA515" s="7" t="e">
        <f t="shared" si="195"/>
        <v>#N/A</v>
      </c>
      <c r="AB515" s="7" t="e">
        <f t="shared" si="196"/>
        <v>#N/A</v>
      </c>
      <c r="AC515" s="7" t="e">
        <f t="shared" si="197"/>
        <v>#N/A</v>
      </c>
      <c r="AD515" s="472" t="e">
        <f>VLOOKUP(AF515,'排出係数(2017)'!$A$4:$I$1151,9,FALSE)</f>
        <v>#N/A</v>
      </c>
      <c r="AE515" s="12" t="str">
        <f t="shared" si="198"/>
        <v xml:space="preserve"> </v>
      </c>
      <c r="AF515" s="7" t="e">
        <f t="shared" si="213"/>
        <v>#N/A</v>
      </c>
      <c r="AG515" s="7" t="e">
        <f t="shared" si="199"/>
        <v>#N/A</v>
      </c>
      <c r="AH515" s="472" t="e">
        <f>VLOOKUP(AF515,'排出係数(2017)'!$A$4:$I$1151,6,FALSE)</f>
        <v>#N/A</v>
      </c>
      <c r="AI515" s="7" t="e">
        <f t="shared" si="200"/>
        <v>#N/A</v>
      </c>
      <c r="AJ515" s="7" t="e">
        <f t="shared" si="201"/>
        <v>#N/A</v>
      </c>
      <c r="AK515" s="472" t="e">
        <f>VLOOKUP(AF515,'排出係数(2017)'!$A$4:$I$1151,7,FALSE)</f>
        <v>#N/A</v>
      </c>
      <c r="AL515" s="7" t="e">
        <f t="shared" si="202"/>
        <v>#N/A</v>
      </c>
      <c r="AM515" s="7" t="e">
        <f t="shared" si="203"/>
        <v>#N/A</v>
      </c>
      <c r="AN515" s="7" t="e">
        <f t="shared" si="204"/>
        <v>#N/A</v>
      </c>
      <c r="AO515" s="7">
        <f t="shared" si="205"/>
        <v>0</v>
      </c>
      <c r="AP515" s="7" t="e">
        <f t="shared" si="214"/>
        <v>#N/A</v>
      </c>
      <c r="AQ515" s="7" t="str">
        <f t="shared" si="206"/>
        <v/>
      </c>
      <c r="AR515" s="7" t="str">
        <f t="shared" si="207"/>
        <v/>
      </c>
      <c r="AS515" s="7" t="str">
        <f t="shared" si="208"/>
        <v/>
      </c>
      <c r="AT515" s="97"/>
      <c r="AZ515" s="477" t="s">
        <v>1123</v>
      </c>
      <c r="CF515" s="587" t="str">
        <f t="shared" si="215"/>
        <v/>
      </c>
      <c r="CG515"/>
      <c r="CH515"/>
    </row>
    <row r="516" spans="1:86">
      <c r="A516"/>
      <c r="Q516" s="16"/>
      <c r="R516" s="16"/>
      <c r="S516" s="16"/>
      <c r="T516" s="16"/>
      <c r="AT516" s="96"/>
      <c r="AU516" s="13"/>
      <c r="AV516" s="13"/>
      <c r="AW516" s="13"/>
      <c r="AX516" s="13"/>
      <c r="AY516" s="13"/>
      <c r="AZ516" s="477" t="s">
        <v>84</v>
      </c>
      <c r="BB516" s="13"/>
      <c r="BC516" s="13"/>
      <c r="BD516" s="13"/>
      <c r="BE516" s="13"/>
      <c r="BF516" s="13"/>
      <c r="BG516" s="13"/>
    </row>
    <row r="517" spans="1:86">
      <c r="A517"/>
      <c r="M517" s="13"/>
      <c r="N517" s="13"/>
      <c r="AT517" s="96"/>
      <c r="AU517" s="13"/>
      <c r="AV517" s="13"/>
      <c r="AW517" s="13"/>
      <c r="AX517" s="13"/>
      <c r="AY517" s="13"/>
      <c r="AZ517" s="477" t="s">
        <v>1115</v>
      </c>
      <c r="BB517" s="13"/>
      <c r="BC517" s="13"/>
      <c r="BD517" s="13"/>
    </row>
    <row r="518" spans="1:86">
      <c r="A518"/>
      <c r="M518" s="13"/>
      <c r="N518" s="13"/>
      <c r="AT518" s="96"/>
      <c r="AU518" s="13"/>
      <c r="AV518" s="13"/>
      <c r="AW518" s="13"/>
      <c r="AX518" s="13"/>
      <c r="AY518" s="13"/>
      <c r="AZ518" s="477" t="s">
        <v>85</v>
      </c>
    </row>
    <row r="519" spans="1:86">
      <c r="A519"/>
      <c r="M519" s="13"/>
      <c r="N519" s="13"/>
      <c r="AT519" s="96"/>
      <c r="AU519" s="13"/>
      <c r="AV519" s="13"/>
      <c r="AW519" s="13"/>
      <c r="AX519" s="13"/>
      <c r="AY519" s="13"/>
      <c r="AZ519" s="477" t="s">
        <v>1125</v>
      </c>
    </row>
    <row r="520" spans="1:86">
      <c r="AZ520" s="477" t="s">
        <v>1215</v>
      </c>
    </row>
    <row r="521" spans="1:86">
      <c r="AZ521" s="477" t="s">
        <v>1117</v>
      </c>
    </row>
    <row r="522" spans="1:86">
      <c r="AZ522" s="477" t="s">
        <v>2561</v>
      </c>
    </row>
    <row r="523" spans="1:86">
      <c r="AZ523" s="477" t="s">
        <v>2562</v>
      </c>
    </row>
    <row r="524" spans="1:86">
      <c r="AZ524" s="477" t="s">
        <v>159</v>
      </c>
    </row>
    <row r="525" spans="1:86">
      <c r="AZ525" s="477" t="s">
        <v>86</v>
      </c>
    </row>
    <row r="526" spans="1:86">
      <c r="AZ526" s="477" t="s">
        <v>87</v>
      </c>
    </row>
    <row r="527" spans="1:86">
      <c r="AZ527" s="477" t="s">
        <v>88</v>
      </c>
    </row>
    <row r="528" spans="1:86">
      <c r="AZ528" s="477" t="s">
        <v>89</v>
      </c>
    </row>
    <row r="529" spans="52:52">
      <c r="AZ529" s="477" t="s">
        <v>1534</v>
      </c>
    </row>
    <row r="530" spans="52:52">
      <c r="AZ530" s="477" t="s">
        <v>1538</v>
      </c>
    </row>
    <row r="531" spans="52:52">
      <c r="AZ531" s="477" t="s">
        <v>160</v>
      </c>
    </row>
    <row r="532" spans="52:52">
      <c r="AZ532" s="477" t="s">
        <v>161</v>
      </c>
    </row>
    <row r="533" spans="52:52">
      <c r="AZ533" s="477" t="s">
        <v>162</v>
      </c>
    </row>
    <row r="534" spans="52:52">
      <c r="AZ534" s="477" t="s">
        <v>163</v>
      </c>
    </row>
    <row r="535" spans="52:52">
      <c r="AZ535" s="477" t="s">
        <v>164</v>
      </c>
    </row>
    <row r="536" spans="52:52">
      <c r="AZ536" s="477" t="s">
        <v>90</v>
      </c>
    </row>
    <row r="537" spans="52:52">
      <c r="AZ537" s="477" t="s">
        <v>91</v>
      </c>
    </row>
    <row r="538" spans="52:52">
      <c r="AZ538" s="477" t="s">
        <v>92</v>
      </c>
    </row>
    <row r="539" spans="52:52">
      <c r="AZ539" s="477" t="s">
        <v>1219</v>
      </c>
    </row>
    <row r="540" spans="52:52">
      <c r="AZ540" s="477" t="s">
        <v>165</v>
      </c>
    </row>
    <row r="541" spans="52:52">
      <c r="AZ541" s="477" t="s">
        <v>166</v>
      </c>
    </row>
    <row r="542" spans="52:52">
      <c r="AZ542" s="477" t="s">
        <v>167</v>
      </c>
    </row>
    <row r="543" spans="52:52">
      <c r="AZ543" s="477" t="s">
        <v>168</v>
      </c>
    </row>
    <row r="544" spans="52:52">
      <c r="AZ544" s="477" t="s">
        <v>169</v>
      </c>
    </row>
    <row r="545" spans="52:52">
      <c r="AZ545" s="477" t="s">
        <v>170</v>
      </c>
    </row>
    <row r="546" spans="52:52">
      <c r="AZ546" s="477" t="s">
        <v>171</v>
      </c>
    </row>
    <row r="547" spans="52:52">
      <c r="AZ547" s="477" t="s">
        <v>172</v>
      </c>
    </row>
    <row r="548" spans="52:52">
      <c r="AZ548" s="477" t="s">
        <v>173</v>
      </c>
    </row>
    <row r="549" spans="52:52">
      <c r="AZ549" s="477" t="s">
        <v>174</v>
      </c>
    </row>
    <row r="550" spans="52:52">
      <c r="AZ550" s="477" t="s">
        <v>175</v>
      </c>
    </row>
    <row r="551" spans="52:52">
      <c r="AZ551" s="477" t="s">
        <v>176</v>
      </c>
    </row>
    <row r="552" spans="52:52">
      <c r="AZ552" s="477" t="s">
        <v>177</v>
      </c>
    </row>
    <row r="553" spans="52:52">
      <c r="AZ553" s="477" t="s">
        <v>178</v>
      </c>
    </row>
    <row r="554" spans="52:52">
      <c r="AZ554" s="477" t="s">
        <v>179</v>
      </c>
    </row>
    <row r="555" spans="52:52">
      <c r="AZ555" s="477" t="s">
        <v>180</v>
      </c>
    </row>
    <row r="556" spans="52:52">
      <c r="AZ556" s="477" t="s">
        <v>181</v>
      </c>
    </row>
    <row r="557" spans="52:52">
      <c r="AZ557" s="477" t="s">
        <v>1492</v>
      </c>
    </row>
    <row r="558" spans="52:52">
      <c r="AZ558" s="477" t="s">
        <v>1496</v>
      </c>
    </row>
    <row r="559" spans="52:52">
      <c r="AZ559" s="477" t="s">
        <v>1500</v>
      </c>
    </row>
    <row r="560" spans="52:52">
      <c r="AZ560" s="477" t="s">
        <v>683</v>
      </c>
    </row>
    <row r="561" spans="52:52">
      <c r="AZ561" s="477" t="s">
        <v>687</v>
      </c>
    </row>
    <row r="562" spans="52:52">
      <c r="AZ562" s="477" t="s">
        <v>691</v>
      </c>
    </row>
    <row r="563" spans="52:52">
      <c r="AZ563" s="477" t="s">
        <v>798</v>
      </c>
    </row>
    <row r="564" spans="52:52">
      <c r="AZ564" s="477" t="s">
        <v>802</v>
      </c>
    </row>
    <row r="565" spans="52:52">
      <c r="AZ565" s="477" t="s">
        <v>806</v>
      </c>
    </row>
    <row r="566" spans="52:52">
      <c r="AZ566" s="477" t="s">
        <v>1504</v>
      </c>
    </row>
    <row r="567" spans="52:52">
      <c r="AZ567" s="477" t="s">
        <v>1508</v>
      </c>
    </row>
    <row r="568" spans="52:52">
      <c r="AZ568" s="477" t="s">
        <v>1512</v>
      </c>
    </row>
    <row r="569" spans="52:52">
      <c r="AZ569" s="477" t="s">
        <v>695</v>
      </c>
    </row>
    <row r="570" spans="52:52">
      <c r="AZ570" s="477" t="s">
        <v>699</v>
      </c>
    </row>
    <row r="571" spans="52:52">
      <c r="AZ571" s="477" t="s">
        <v>703</v>
      </c>
    </row>
    <row r="572" spans="52:52">
      <c r="AZ572" s="477" t="s">
        <v>918</v>
      </c>
    </row>
    <row r="573" spans="52:52">
      <c r="AZ573" s="477" t="s">
        <v>922</v>
      </c>
    </row>
    <row r="574" spans="52:52">
      <c r="AZ574" s="477" t="s">
        <v>926</v>
      </c>
    </row>
    <row r="575" spans="52:52">
      <c r="AZ575" s="477" t="s">
        <v>931</v>
      </c>
    </row>
    <row r="576" spans="52:52">
      <c r="AZ576" s="477" t="s">
        <v>935</v>
      </c>
    </row>
    <row r="577" spans="52:52">
      <c r="AZ577" s="477" t="s">
        <v>939</v>
      </c>
    </row>
    <row r="578" spans="52:52">
      <c r="AZ578" s="477" t="s">
        <v>182</v>
      </c>
    </row>
    <row r="579" spans="52:52">
      <c r="AZ579" s="477" t="s">
        <v>93</v>
      </c>
    </row>
    <row r="580" spans="52:52">
      <c r="AZ580" s="477" t="s">
        <v>94</v>
      </c>
    </row>
    <row r="581" spans="52:52">
      <c r="AZ581" s="477" t="s">
        <v>95</v>
      </c>
    </row>
    <row r="582" spans="52:52">
      <c r="AZ582" s="477" t="s">
        <v>96</v>
      </c>
    </row>
    <row r="583" spans="52:52">
      <c r="AZ583" s="477" t="s">
        <v>1520</v>
      </c>
    </row>
    <row r="584" spans="52:52">
      <c r="AZ584" s="477" t="s">
        <v>1524</v>
      </c>
    </row>
    <row r="585" spans="52:52">
      <c r="AZ585" s="477" t="s">
        <v>183</v>
      </c>
    </row>
    <row r="586" spans="52:52">
      <c r="AZ586" s="477" t="s">
        <v>184</v>
      </c>
    </row>
    <row r="587" spans="52:52">
      <c r="AZ587" s="477" t="s">
        <v>185</v>
      </c>
    </row>
    <row r="588" spans="52:52">
      <c r="AZ588" s="477" t="s">
        <v>186</v>
      </c>
    </row>
    <row r="589" spans="52:52">
      <c r="AZ589" s="477" t="s">
        <v>187</v>
      </c>
    </row>
    <row r="590" spans="52:52">
      <c r="AZ590" s="477" t="s">
        <v>188</v>
      </c>
    </row>
    <row r="591" spans="52:52">
      <c r="AZ591" s="477" t="s">
        <v>97</v>
      </c>
    </row>
    <row r="592" spans="52:52">
      <c r="AZ592" s="477" t="s">
        <v>98</v>
      </c>
    </row>
    <row r="593" spans="52:52">
      <c r="AZ593" s="477" t="s">
        <v>99</v>
      </c>
    </row>
    <row r="594" spans="52:52">
      <c r="AZ594" s="477" t="s">
        <v>100</v>
      </c>
    </row>
    <row r="595" spans="52:52">
      <c r="AZ595" s="477" t="s">
        <v>1528</v>
      </c>
    </row>
    <row r="596" spans="52:52">
      <c r="AZ596" s="477" t="s">
        <v>1532</v>
      </c>
    </row>
    <row r="597" spans="52:52">
      <c r="AZ597" s="477" t="s">
        <v>189</v>
      </c>
    </row>
    <row r="598" spans="52:52">
      <c r="AZ598" s="477" t="s">
        <v>190</v>
      </c>
    </row>
    <row r="599" spans="52:52">
      <c r="AZ599" s="477" t="s">
        <v>191</v>
      </c>
    </row>
    <row r="600" spans="52:52">
      <c r="AZ600" s="477" t="s">
        <v>192</v>
      </c>
    </row>
    <row r="601" spans="52:52">
      <c r="AZ601" s="477" t="s">
        <v>193</v>
      </c>
    </row>
    <row r="602" spans="52:52">
      <c r="AZ602" s="477" t="s">
        <v>26</v>
      </c>
    </row>
    <row r="603" spans="52:52">
      <c r="AZ603" s="477" t="s">
        <v>101</v>
      </c>
    </row>
    <row r="604" spans="52:52">
      <c r="AZ604" s="477" t="s">
        <v>1733</v>
      </c>
    </row>
    <row r="605" spans="52:52">
      <c r="AZ605" s="477" t="s">
        <v>1735</v>
      </c>
    </row>
    <row r="606" spans="52:52">
      <c r="AZ606" s="477" t="s">
        <v>1740</v>
      </c>
    </row>
    <row r="607" spans="52:52">
      <c r="AZ607" s="477" t="s">
        <v>102</v>
      </c>
    </row>
    <row r="608" spans="52:52">
      <c r="AZ608" s="477" t="s">
        <v>1745</v>
      </c>
    </row>
    <row r="609" spans="52:52">
      <c r="AZ609" s="477" t="s">
        <v>1747</v>
      </c>
    </row>
    <row r="610" spans="52:52">
      <c r="AZ610" s="477" t="s">
        <v>1752</v>
      </c>
    </row>
    <row r="611" spans="52:52">
      <c r="AZ611" s="477" t="s">
        <v>103</v>
      </c>
    </row>
    <row r="612" spans="52:52">
      <c r="AZ612" s="477" t="s">
        <v>104</v>
      </c>
    </row>
    <row r="613" spans="52:52">
      <c r="AZ613" s="477" t="s">
        <v>1536</v>
      </c>
    </row>
    <row r="614" spans="52:52">
      <c r="AZ614" s="453" t="s">
        <v>1540</v>
      </c>
    </row>
    <row r="615" spans="52:52">
      <c r="AZ615" s="477" t="s">
        <v>194</v>
      </c>
    </row>
    <row r="616" spans="52:52">
      <c r="AZ616" s="477" t="s">
        <v>195</v>
      </c>
    </row>
    <row r="617" spans="52:52">
      <c r="AZ617" s="477" t="s">
        <v>196</v>
      </c>
    </row>
    <row r="618" spans="52:52">
      <c r="AZ618" s="477" t="s">
        <v>197</v>
      </c>
    </row>
    <row r="619" spans="52:52">
      <c r="AZ619" s="477" t="s">
        <v>198</v>
      </c>
    </row>
    <row r="620" spans="52:52">
      <c r="AZ620" s="477" t="s">
        <v>2563</v>
      </c>
    </row>
    <row r="621" spans="52:52">
      <c r="AZ621" s="477" t="s">
        <v>2564</v>
      </c>
    </row>
    <row r="622" spans="52:52">
      <c r="AZ622" s="477" t="s">
        <v>2565</v>
      </c>
    </row>
    <row r="623" spans="52:52">
      <c r="AZ623" s="477" t="s">
        <v>2566</v>
      </c>
    </row>
    <row r="624" spans="52:52">
      <c r="AZ624" s="477" t="s">
        <v>2567</v>
      </c>
    </row>
    <row r="625" spans="52:52">
      <c r="AZ625" s="477" t="s">
        <v>2568</v>
      </c>
    </row>
    <row r="626" spans="52:52">
      <c r="AZ626" s="477" t="s">
        <v>2569</v>
      </c>
    </row>
    <row r="627" spans="52:52">
      <c r="AZ627" s="477" t="s">
        <v>2570</v>
      </c>
    </row>
    <row r="628" spans="52:52">
      <c r="AZ628" s="477" t="s">
        <v>2571</v>
      </c>
    </row>
    <row r="629" spans="52:52">
      <c r="AZ629" s="477" t="s">
        <v>2572</v>
      </c>
    </row>
    <row r="630" spans="52:52">
      <c r="AZ630" s="477" t="s">
        <v>2573</v>
      </c>
    </row>
    <row r="631" spans="52:52">
      <c r="AZ631" s="477" t="s">
        <v>2574</v>
      </c>
    </row>
    <row r="632" spans="52:52">
      <c r="AZ632" s="477" t="s">
        <v>2575</v>
      </c>
    </row>
    <row r="633" spans="52:52">
      <c r="AZ633" s="477" t="s">
        <v>2576</v>
      </c>
    </row>
    <row r="634" spans="52:52">
      <c r="AZ634" s="477" t="s">
        <v>2577</v>
      </c>
    </row>
    <row r="635" spans="52:52">
      <c r="AZ635" s="477" t="s">
        <v>2578</v>
      </c>
    </row>
    <row r="636" spans="52:52">
      <c r="AZ636" s="477" t="s">
        <v>2579</v>
      </c>
    </row>
    <row r="637" spans="52:52">
      <c r="AZ637" s="477" t="s">
        <v>2580</v>
      </c>
    </row>
    <row r="638" spans="52:52">
      <c r="AZ638" s="477" t="s">
        <v>2581</v>
      </c>
    </row>
    <row r="639" spans="52:52">
      <c r="AZ639" s="477" t="s">
        <v>2582</v>
      </c>
    </row>
    <row r="640" spans="52:52">
      <c r="AZ640" s="477" t="s">
        <v>2583</v>
      </c>
    </row>
    <row r="641" spans="52:52">
      <c r="AZ641" s="477" t="s">
        <v>2584</v>
      </c>
    </row>
    <row r="642" spans="52:52">
      <c r="AZ642" s="477" t="s">
        <v>2585</v>
      </c>
    </row>
    <row r="643" spans="52:52">
      <c r="AZ643" s="477" t="s">
        <v>2586</v>
      </c>
    </row>
    <row r="644" spans="52:52">
      <c r="AZ644" s="477" t="s">
        <v>2587</v>
      </c>
    </row>
    <row r="645" spans="52:52">
      <c r="AZ645" s="477" t="s">
        <v>2588</v>
      </c>
    </row>
    <row r="646" spans="52:52">
      <c r="AZ646" s="477" t="s">
        <v>2589</v>
      </c>
    </row>
    <row r="647" spans="52:52">
      <c r="AZ647" s="477" t="s">
        <v>2590</v>
      </c>
    </row>
    <row r="648" spans="52:52">
      <c r="AZ648" s="477" t="s">
        <v>2591</v>
      </c>
    </row>
    <row r="649" spans="52:52">
      <c r="AZ649" s="477" t="s">
        <v>2592</v>
      </c>
    </row>
    <row r="650" spans="52:52">
      <c r="AZ650" s="477" t="s">
        <v>2593</v>
      </c>
    </row>
    <row r="651" spans="52:52">
      <c r="AZ651" s="453" t="s">
        <v>2594</v>
      </c>
    </row>
    <row r="652" spans="52:52">
      <c r="AZ652" s="477" t="s">
        <v>2595</v>
      </c>
    </row>
    <row r="653" spans="52:52">
      <c r="AZ653" s="477" t="s">
        <v>2596</v>
      </c>
    </row>
    <row r="654" spans="52:52">
      <c r="AZ654" s="477" t="s">
        <v>2597</v>
      </c>
    </row>
    <row r="655" spans="52:52">
      <c r="AZ655" s="477" t="s">
        <v>2598</v>
      </c>
    </row>
    <row r="656" spans="52:52">
      <c r="AZ656" s="477" t="s">
        <v>2599</v>
      </c>
    </row>
    <row r="657" spans="52:52">
      <c r="AZ657" s="477" t="s">
        <v>2600</v>
      </c>
    </row>
    <row r="658" spans="52:52">
      <c r="AZ658" s="477" t="s">
        <v>2601</v>
      </c>
    </row>
    <row r="659" spans="52:52">
      <c r="AZ659" s="477" t="s">
        <v>2602</v>
      </c>
    </row>
    <row r="660" spans="52:52">
      <c r="AZ660" s="477" t="s">
        <v>2603</v>
      </c>
    </row>
    <row r="661" spans="52:52">
      <c r="AZ661" s="477" t="s">
        <v>2604</v>
      </c>
    </row>
    <row r="662" spans="52:52">
      <c r="AZ662" s="477" t="s">
        <v>2605</v>
      </c>
    </row>
    <row r="663" spans="52:52">
      <c r="AZ663" s="477" t="s">
        <v>2606</v>
      </c>
    </row>
    <row r="664" spans="52:52">
      <c r="AZ664" s="477" t="s">
        <v>2607</v>
      </c>
    </row>
    <row r="665" spans="52:52">
      <c r="AZ665" s="477" t="s">
        <v>2608</v>
      </c>
    </row>
    <row r="666" spans="52:52">
      <c r="AZ666" s="477" t="s">
        <v>2609</v>
      </c>
    </row>
    <row r="667" spans="52:52">
      <c r="AZ667" s="477" t="s">
        <v>2610</v>
      </c>
    </row>
    <row r="668" spans="52:52">
      <c r="AZ668" s="477" t="s">
        <v>2611</v>
      </c>
    </row>
    <row r="669" spans="52:52">
      <c r="AZ669" s="477" t="s">
        <v>2612</v>
      </c>
    </row>
    <row r="670" spans="52:52">
      <c r="AZ670" s="477" t="s">
        <v>2613</v>
      </c>
    </row>
    <row r="671" spans="52:52">
      <c r="AZ671" s="477" t="s">
        <v>2614</v>
      </c>
    </row>
    <row r="672" spans="52:52">
      <c r="AZ672" s="477" t="s">
        <v>2615</v>
      </c>
    </row>
    <row r="673" spans="52:52">
      <c r="AZ673" s="477" t="s">
        <v>2616</v>
      </c>
    </row>
    <row r="674" spans="52:52">
      <c r="AZ674" s="477" t="s">
        <v>2617</v>
      </c>
    </row>
    <row r="675" spans="52:52">
      <c r="AZ675" s="477" t="s">
        <v>2618</v>
      </c>
    </row>
    <row r="676" spans="52:52">
      <c r="AZ676" s="477" t="s">
        <v>2619</v>
      </c>
    </row>
    <row r="677" spans="52:52">
      <c r="AZ677" s="477" t="s">
        <v>2620</v>
      </c>
    </row>
    <row r="678" spans="52:52">
      <c r="AZ678" s="477" t="s">
        <v>2621</v>
      </c>
    </row>
    <row r="679" spans="52:52">
      <c r="AZ679" s="477" t="s">
        <v>2622</v>
      </c>
    </row>
    <row r="680" spans="52:52">
      <c r="AZ680" s="477" t="s">
        <v>2623</v>
      </c>
    </row>
    <row r="681" spans="52:52">
      <c r="AZ681" s="477" t="s">
        <v>2624</v>
      </c>
    </row>
    <row r="682" spans="52:52">
      <c r="AZ682" s="477" t="s">
        <v>2625</v>
      </c>
    </row>
    <row r="683" spans="52:52">
      <c r="AZ683" s="477" t="s">
        <v>2626</v>
      </c>
    </row>
    <row r="684" spans="52:52">
      <c r="AZ684" s="477" t="s">
        <v>2627</v>
      </c>
    </row>
    <row r="685" spans="52:52">
      <c r="AZ685" s="477" t="s">
        <v>2628</v>
      </c>
    </row>
    <row r="686" spans="52:52">
      <c r="AZ686" s="477" t="s">
        <v>2629</v>
      </c>
    </row>
    <row r="687" spans="52:52">
      <c r="AZ687" s="477" t="s">
        <v>2630</v>
      </c>
    </row>
    <row r="688" spans="52:52">
      <c r="AZ688" s="477" t="s">
        <v>2631</v>
      </c>
    </row>
    <row r="689" spans="52:52">
      <c r="AZ689" s="477" t="s">
        <v>2632</v>
      </c>
    </row>
    <row r="690" spans="52:52">
      <c r="AZ690" s="477" t="s">
        <v>2633</v>
      </c>
    </row>
    <row r="691" spans="52:52">
      <c r="AZ691" s="477" t="s">
        <v>2634</v>
      </c>
    </row>
    <row r="692" spans="52:52">
      <c r="AZ692" s="477" t="s">
        <v>2635</v>
      </c>
    </row>
    <row r="693" spans="52:52">
      <c r="AZ693" s="477" t="s">
        <v>2636</v>
      </c>
    </row>
    <row r="694" spans="52:52">
      <c r="AZ694" s="477" t="s">
        <v>2637</v>
      </c>
    </row>
    <row r="695" spans="52:52">
      <c r="AZ695" s="477" t="s">
        <v>2638</v>
      </c>
    </row>
    <row r="696" spans="52:52">
      <c r="AZ696" s="477" t="s">
        <v>2639</v>
      </c>
    </row>
    <row r="697" spans="52:52">
      <c r="AZ697" s="477" t="s">
        <v>2640</v>
      </c>
    </row>
    <row r="698" spans="52:52">
      <c r="AZ698" s="477" t="s">
        <v>2641</v>
      </c>
    </row>
    <row r="699" spans="52:52">
      <c r="AZ699" s="477" t="s">
        <v>2642</v>
      </c>
    </row>
    <row r="700" spans="52:52">
      <c r="AZ700" s="477" t="s">
        <v>2643</v>
      </c>
    </row>
    <row r="701" spans="52:52">
      <c r="AZ701" s="477" t="s">
        <v>2644</v>
      </c>
    </row>
    <row r="702" spans="52:52">
      <c r="AZ702" s="477" t="s">
        <v>2645</v>
      </c>
    </row>
    <row r="703" spans="52:52">
      <c r="AZ703" s="477" t="s">
        <v>2646</v>
      </c>
    </row>
    <row r="704" spans="52:52">
      <c r="AZ704" s="477" t="s">
        <v>2647</v>
      </c>
    </row>
    <row r="705" spans="52:52">
      <c r="AZ705" s="477" t="s">
        <v>2648</v>
      </c>
    </row>
    <row r="706" spans="52:52">
      <c r="AZ706" s="477" t="s">
        <v>2649</v>
      </c>
    </row>
    <row r="707" spans="52:52">
      <c r="AZ707" s="477" t="s">
        <v>2650</v>
      </c>
    </row>
    <row r="708" spans="52:52">
      <c r="AZ708" s="477" t="s">
        <v>2651</v>
      </c>
    </row>
    <row r="709" spans="52:52">
      <c r="AZ709" s="477" t="s">
        <v>2652</v>
      </c>
    </row>
    <row r="710" spans="52:52">
      <c r="AZ710" s="477" t="s">
        <v>2653</v>
      </c>
    </row>
    <row r="711" spans="52:52">
      <c r="AZ711" s="477" t="s">
        <v>2654</v>
      </c>
    </row>
    <row r="712" spans="52:52">
      <c r="AZ712" s="477" t="s">
        <v>2655</v>
      </c>
    </row>
    <row r="713" spans="52:52">
      <c r="AZ713" s="477" t="s">
        <v>2656</v>
      </c>
    </row>
    <row r="714" spans="52:52">
      <c r="AZ714" s="477" t="s">
        <v>2657</v>
      </c>
    </row>
    <row r="715" spans="52:52">
      <c r="AZ715" s="477" t="s">
        <v>2658</v>
      </c>
    </row>
    <row r="716" spans="52:52">
      <c r="AZ716" s="477" t="s">
        <v>2659</v>
      </c>
    </row>
    <row r="717" spans="52:52">
      <c r="AZ717" s="477" t="s">
        <v>2660</v>
      </c>
    </row>
    <row r="718" spans="52:52">
      <c r="AZ718" s="477" t="s">
        <v>2661</v>
      </c>
    </row>
    <row r="719" spans="52:52">
      <c r="AZ719" s="477" t="s">
        <v>2662</v>
      </c>
    </row>
    <row r="720" spans="52:52">
      <c r="AZ720" s="477" t="s">
        <v>2663</v>
      </c>
    </row>
    <row r="721" spans="52:52">
      <c r="AZ721" s="477" t="s">
        <v>2664</v>
      </c>
    </row>
    <row r="722" spans="52:52">
      <c r="AZ722" s="477" t="s">
        <v>2665</v>
      </c>
    </row>
    <row r="723" spans="52:52">
      <c r="AZ723" s="477" t="s">
        <v>2666</v>
      </c>
    </row>
    <row r="724" spans="52:52">
      <c r="AZ724" s="477" t="s">
        <v>2667</v>
      </c>
    </row>
    <row r="725" spans="52:52">
      <c r="AZ725" s="477" t="s">
        <v>2668</v>
      </c>
    </row>
    <row r="726" spans="52:52">
      <c r="AZ726" s="477" t="s">
        <v>2669</v>
      </c>
    </row>
    <row r="727" spans="52:52">
      <c r="AZ727" s="477" t="s">
        <v>2670</v>
      </c>
    </row>
    <row r="728" spans="52:52">
      <c r="AZ728" s="477" t="s">
        <v>2671</v>
      </c>
    </row>
    <row r="729" spans="52:52">
      <c r="AZ729" s="477" t="s">
        <v>2672</v>
      </c>
    </row>
    <row r="730" spans="52:52">
      <c r="AZ730" s="477" t="s">
        <v>2673</v>
      </c>
    </row>
    <row r="731" spans="52:52">
      <c r="AZ731" s="477" t="s">
        <v>2674</v>
      </c>
    </row>
    <row r="732" spans="52:52">
      <c r="AZ732" s="477" t="s">
        <v>2675</v>
      </c>
    </row>
    <row r="733" spans="52:52">
      <c r="AZ733" s="477" t="s">
        <v>2676</v>
      </c>
    </row>
    <row r="734" spans="52:52">
      <c r="AZ734" s="477" t="s">
        <v>2677</v>
      </c>
    </row>
    <row r="735" spans="52:52">
      <c r="AZ735" s="477" t="s">
        <v>2678</v>
      </c>
    </row>
    <row r="736" spans="52:52">
      <c r="AZ736" s="477" t="s">
        <v>2679</v>
      </c>
    </row>
    <row r="737" spans="52:52">
      <c r="AZ737" s="477" t="s">
        <v>2680</v>
      </c>
    </row>
    <row r="738" spans="52:52">
      <c r="AZ738" s="477" t="s">
        <v>2681</v>
      </c>
    </row>
    <row r="739" spans="52:52">
      <c r="AZ739" s="477" t="s">
        <v>2682</v>
      </c>
    </row>
    <row r="740" spans="52:52">
      <c r="AZ740" s="477" t="s">
        <v>2683</v>
      </c>
    </row>
    <row r="741" spans="52:52">
      <c r="AZ741" s="477" t="s">
        <v>2684</v>
      </c>
    </row>
    <row r="742" spans="52:52">
      <c r="AZ742" s="477" t="s">
        <v>2685</v>
      </c>
    </row>
    <row r="743" spans="52:52">
      <c r="AZ743" s="477" t="s">
        <v>2686</v>
      </c>
    </row>
    <row r="744" spans="52:52">
      <c r="AZ744" s="477" t="s">
        <v>2687</v>
      </c>
    </row>
    <row r="745" spans="52:52">
      <c r="AZ745" s="477" t="s">
        <v>2688</v>
      </c>
    </row>
    <row r="746" spans="52:52">
      <c r="AZ746" s="477" t="s">
        <v>2689</v>
      </c>
    </row>
    <row r="747" spans="52:52">
      <c r="AZ747" s="477" t="s">
        <v>2690</v>
      </c>
    </row>
    <row r="748" spans="52:52">
      <c r="AZ748" s="477" t="s">
        <v>2691</v>
      </c>
    </row>
    <row r="749" spans="52:52">
      <c r="AZ749" s="477" t="s">
        <v>2692</v>
      </c>
    </row>
    <row r="750" spans="52:52">
      <c r="AZ750" s="477" t="s">
        <v>2693</v>
      </c>
    </row>
    <row r="751" spans="52:52">
      <c r="AZ751" s="477" t="s">
        <v>2694</v>
      </c>
    </row>
    <row r="752" spans="52:52">
      <c r="AZ752" s="477" t="s">
        <v>2695</v>
      </c>
    </row>
    <row r="753" spans="52:52">
      <c r="AZ753" s="477" t="s">
        <v>2696</v>
      </c>
    </row>
    <row r="754" spans="52:52">
      <c r="AZ754" s="477" t="s">
        <v>2697</v>
      </c>
    </row>
  </sheetData>
  <sheetProtection algorithmName="SHA-512" hashValue="w2D5bAYT4l665crPUwRW8bu/pEX9e3A01Iw1seQXqLdpUwN0IyxfK9IaxFGzdHwjV/RfmOGM0mRWrM7NDdLR3A==" saltValue="w9auEj3Evf5U+4i8qTxSgA==" spinCount="100000" sheet="1" objects="1" scenarios="1"/>
  <mergeCells count="16">
    <mergeCell ref="CF14:CF15"/>
    <mergeCell ref="B3:F5"/>
    <mergeCell ref="B6:F8"/>
    <mergeCell ref="A14:A15"/>
    <mergeCell ref="B14:B15"/>
    <mergeCell ref="C14:F14"/>
    <mergeCell ref="G14:G15"/>
    <mergeCell ref="H14:H15"/>
    <mergeCell ref="I14:I15"/>
    <mergeCell ref="AT14:AT15"/>
    <mergeCell ref="J14:J15"/>
    <mergeCell ref="K14:K15"/>
    <mergeCell ref="L14:M14"/>
    <mergeCell ref="O14:P14"/>
    <mergeCell ref="S14:S15"/>
    <mergeCell ref="Q14:R14"/>
  </mergeCells>
  <phoneticPr fontId="3"/>
  <conditionalFormatting sqref="N16:N515">
    <cfRule type="cellIs" dxfId="2" priority="1" stopIfTrue="1" operator="greaterThan">
      <formula>100000</formula>
    </cfRule>
  </conditionalFormatting>
  <dataValidations count="17">
    <dataValidation type="whole" imeMode="off" operator="greaterThanOrEqual" allowBlank="1" showInputMessage="1" showErrorMessage="1" sqref="J16:J515" xr:uid="{00000000-0002-0000-0200-000000000000}">
      <formula1>100</formula1>
    </dataValidation>
    <dataValidation type="textLength" imeMode="hiragana" operator="greaterThanOrEqual" allowBlank="1" showInputMessage="1" showErrorMessage="1" sqref="C16:C515" xr:uid="{00000000-0002-0000-0200-000001000000}">
      <formula1>1</formula1>
    </dataValidation>
    <dataValidation type="textLength" imeMode="hiragana" operator="lessThanOrEqual" allowBlank="1" showInputMessage="1" showErrorMessage="1" sqref="E16:E515" xr:uid="{00000000-0002-0000-0200-000002000000}">
      <formula1>1</formula1>
    </dataValidation>
    <dataValidation type="whole" imeMode="off" allowBlank="1" showInputMessage="1" showErrorMessage="1" sqref="F16:F515" xr:uid="{00000000-0002-0000-0200-000003000000}">
      <formula1>1</formula1>
      <formula2>9999</formula2>
    </dataValidation>
    <dataValidation type="whole" imeMode="off" allowBlank="1" showInputMessage="1" showErrorMessage="1" sqref="D16:D515" xr:uid="{00000000-0002-0000-0200-000004000000}">
      <formula1>1</formula1>
      <formula2>999</formula2>
    </dataValidation>
    <dataValidation imeMode="hiragana" allowBlank="1" showInputMessage="1" showErrorMessage="1" sqref="G16:G515" xr:uid="{00000000-0002-0000-0200-000005000000}"/>
    <dataValidation type="list" allowBlank="1" showInputMessage="1" showErrorMessage="1" sqref="AR16:AR515" xr:uid="{00000000-0002-0000-0200-000006000000}">
      <formula1>ナンバー分類</formula1>
    </dataValidation>
    <dataValidation type="list" imeMode="hiragana" allowBlank="1" showInputMessage="1" showErrorMessage="1" sqref="M16:M515" xr:uid="{00000000-0002-0000-0200-000007000000}">
      <formula1>$BH$17:$BH$19</formula1>
    </dataValidation>
    <dataValidation type="list" imeMode="hiragana" allowBlank="1" showInputMessage="1" showErrorMessage="1" sqref="L16:L515" xr:uid="{00000000-0002-0000-0200-000008000000}">
      <formula1>$BK$17:$BK$18</formula1>
    </dataValidation>
    <dataValidation type="list" imeMode="off" allowBlank="1" showInputMessage="1" showErrorMessage="1" sqref="B16:B515" xr:uid="{00000000-0002-0000-0200-000009000000}">
      <formula1>$BJ$17:$BJ$46</formula1>
    </dataValidation>
    <dataValidation type="list" imeMode="hiragana" allowBlank="1" showInputMessage="1" showErrorMessage="1" sqref="K16:K515" xr:uid="{00000000-0002-0000-0200-00000A000000}">
      <formula1>$BC$17:$BC$25</formula1>
    </dataValidation>
    <dataValidation type="whole" imeMode="halfAlpha" operator="greaterThan" allowBlank="1" showInputMessage="1" showErrorMessage="1" sqref="Z16:Z515" xr:uid="{00000000-0002-0000-0200-00000B000000}">
      <formula1>0</formula1>
    </dataValidation>
    <dataValidation imeMode="halfAlpha" allowBlank="1" showInputMessage="1" showErrorMessage="1" sqref="O16:P515 Y16:Y515 AE16:AP515" xr:uid="{00000000-0002-0000-0200-00000C000000}"/>
    <dataValidation type="decimal" allowBlank="1" showInputMessage="1" showErrorMessage="1" sqref="N16:N515" xr:uid="{00000000-0002-0000-0200-00000D000000}">
      <formula1>0</formula1>
      <formula2>999999</formula2>
    </dataValidation>
    <dataValidation type="list" allowBlank="1" showInputMessage="1" showErrorMessage="1" sqref="S16:S515" xr:uid="{00000000-0002-0000-0200-00000E000000}">
      <formula1>$CE$17:$CE$18</formula1>
    </dataValidation>
    <dataValidation type="list" allowBlank="1" showInputMessage="1" showErrorMessage="1" sqref="H16:H515" xr:uid="{00000000-0002-0000-0200-00000F000000}">
      <formula1>INDIRECT(AR16)</formula1>
    </dataValidation>
    <dataValidation type="list" imeMode="off" allowBlank="1" showInputMessage="1" showErrorMessage="1" sqref="I16:I515" xr:uid="{00000000-0002-0000-0200-000010000000}">
      <formula1>$AZ$17:$AZ$754</formula1>
    </dataValidation>
  </dataValidations>
  <pageMargins left="0.7" right="0.7" top="0.75" bottom="0.75" header="0.3" footer="0.3"/>
  <pageSetup paperSize="9" scale="66" fitToHeight="0" orientation="portrait" horizontalDpi="300" verticalDpi="300" r:id="rId1"/>
  <colBreaks count="1" manualBreakCount="1">
    <brk id="1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66"/>
    <pageSetUpPr fitToPage="1"/>
  </sheetPr>
  <dimension ref="A1:J63"/>
  <sheetViews>
    <sheetView zoomScale="75" zoomScaleNormal="75" workbookViewId="0">
      <selection activeCell="E40" sqref="E40"/>
    </sheetView>
  </sheetViews>
  <sheetFormatPr defaultColWidth="9" defaultRowHeight="16.5"/>
  <cols>
    <col min="1" max="1" width="4.08984375" style="73" customWidth="1"/>
    <col min="2" max="2" width="40.6328125" style="73" customWidth="1"/>
    <col min="3" max="3" width="8.6328125" style="73" customWidth="1"/>
    <col min="4" max="4" width="6.08984375" style="73" customWidth="1"/>
    <col min="5" max="5" width="78" style="73" bestFit="1" customWidth="1"/>
    <col min="6" max="6" width="0" style="73" hidden="1" customWidth="1"/>
    <col min="7" max="10" width="9" style="73" hidden="1" customWidth="1"/>
    <col min="11" max="16384" width="9" style="73"/>
  </cols>
  <sheetData>
    <row r="1" spans="1:10" ht="21.25" customHeight="1" thickBot="1">
      <c r="A1" s="314" t="s">
        <v>2488</v>
      </c>
      <c r="C1" s="81" t="s">
        <v>1908</v>
      </c>
    </row>
    <row r="2" spans="1:10" ht="48.75" customHeight="1" thickBot="1">
      <c r="A2" s="710" t="s">
        <v>1909</v>
      </c>
      <c r="B2" s="711"/>
      <c r="C2" s="127" t="s">
        <v>1910</v>
      </c>
      <c r="D2" s="126" t="s">
        <v>1911</v>
      </c>
      <c r="E2" s="125" t="s">
        <v>212</v>
      </c>
    </row>
    <row r="3" spans="1:10">
      <c r="A3" s="712" t="s">
        <v>1882</v>
      </c>
      <c r="B3" s="714" t="s">
        <v>211</v>
      </c>
      <c r="C3" s="716"/>
      <c r="D3" s="233"/>
      <c r="E3" s="128" t="s">
        <v>1857</v>
      </c>
      <c r="I3" s="73" t="s">
        <v>1855</v>
      </c>
      <c r="J3" s="73" t="s">
        <v>1862</v>
      </c>
    </row>
    <row r="4" spans="1:10">
      <c r="A4" s="713"/>
      <c r="B4" s="715"/>
      <c r="C4" s="717"/>
      <c r="D4" s="235"/>
      <c r="E4" s="200" t="s">
        <v>1858</v>
      </c>
      <c r="I4" s="73" t="s">
        <v>1856</v>
      </c>
    </row>
    <row r="5" spans="1:10">
      <c r="A5" s="713"/>
      <c r="B5" s="715"/>
      <c r="C5" s="717"/>
      <c r="D5" s="235"/>
      <c r="E5" s="200" t="s">
        <v>1846</v>
      </c>
    </row>
    <row r="6" spans="1:10">
      <c r="A6" s="713"/>
      <c r="B6" s="715"/>
      <c r="C6" s="717"/>
      <c r="D6" s="235"/>
      <c r="E6" s="200" t="s">
        <v>1849</v>
      </c>
    </row>
    <row r="7" spans="1:10">
      <c r="A7" s="713"/>
      <c r="B7" s="715"/>
      <c r="C7" s="717"/>
      <c r="D7" s="235"/>
      <c r="E7" s="200" t="s">
        <v>1859</v>
      </c>
    </row>
    <row r="8" spans="1:10">
      <c r="A8" s="713"/>
      <c r="B8" s="715"/>
      <c r="C8" s="717"/>
      <c r="D8" s="235"/>
      <c r="E8" s="200" t="s">
        <v>1860</v>
      </c>
    </row>
    <row r="9" spans="1:10">
      <c r="A9" s="713"/>
      <c r="B9" s="715"/>
      <c r="C9" s="717"/>
      <c r="D9" s="236"/>
      <c r="E9" s="171" t="s">
        <v>1861</v>
      </c>
    </row>
    <row r="10" spans="1:10">
      <c r="A10" s="713"/>
      <c r="B10" s="718" t="s">
        <v>1863</v>
      </c>
      <c r="C10" s="719"/>
      <c r="D10" s="234"/>
      <c r="E10" s="130" t="s">
        <v>1864</v>
      </c>
    </row>
    <row r="11" spans="1:10">
      <c r="A11" s="713"/>
      <c r="B11" s="715"/>
      <c r="C11" s="717"/>
      <c r="D11" s="235"/>
      <c r="E11" s="200" t="s">
        <v>1865</v>
      </c>
    </row>
    <row r="12" spans="1:10">
      <c r="A12" s="713"/>
      <c r="B12" s="715"/>
      <c r="C12" s="717"/>
      <c r="D12" s="235"/>
      <c r="E12" s="200" t="s">
        <v>1866</v>
      </c>
    </row>
    <row r="13" spans="1:10">
      <c r="A13" s="713"/>
      <c r="B13" s="715"/>
      <c r="C13" s="717"/>
      <c r="D13" s="235"/>
      <c r="E13" s="200" t="s">
        <v>1867</v>
      </c>
    </row>
    <row r="14" spans="1:10">
      <c r="A14" s="713"/>
      <c r="B14" s="715"/>
      <c r="C14" s="717"/>
      <c r="D14" s="235"/>
      <c r="E14" s="200" t="s">
        <v>1868</v>
      </c>
    </row>
    <row r="15" spans="1:10">
      <c r="A15" s="713"/>
      <c r="B15" s="715"/>
      <c r="C15" s="717"/>
      <c r="D15" s="236"/>
      <c r="E15" s="171" t="s">
        <v>1861</v>
      </c>
    </row>
    <row r="16" spans="1:10">
      <c r="A16" s="713"/>
      <c r="B16" s="718" t="s">
        <v>1869</v>
      </c>
      <c r="C16" s="719"/>
      <c r="D16" s="234"/>
      <c r="E16" s="130" t="s">
        <v>1883</v>
      </c>
    </row>
    <row r="17" spans="1:5">
      <c r="A17" s="713"/>
      <c r="B17" s="715"/>
      <c r="C17" s="717"/>
      <c r="D17" s="235"/>
      <c r="E17" s="200" t="s">
        <v>1884</v>
      </c>
    </row>
    <row r="18" spans="1:5">
      <c r="A18" s="713"/>
      <c r="B18" s="720"/>
      <c r="C18" s="721"/>
      <c r="D18" s="237"/>
      <c r="E18" s="171" t="s">
        <v>1861</v>
      </c>
    </row>
    <row r="19" spans="1:5">
      <c r="A19" s="713"/>
      <c r="B19" s="718" t="s">
        <v>1870</v>
      </c>
      <c r="C19" s="719"/>
      <c r="D19" s="234"/>
      <c r="E19" s="130" t="s">
        <v>1885</v>
      </c>
    </row>
    <row r="20" spans="1:5">
      <c r="A20" s="713"/>
      <c r="B20" s="715"/>
      <c r="C20" s="717"/>
      <c r="D20" s="238"/>
      <c r="E20" s="201" t="s">
        <v>1861</v>
      </c>
    </row>
    <row r="21" spans="1:5">
      <c r="A21" s="713"/>
      <c r="B21" s="718" t="s">
        <v>1871</v>
      </c>
      <c r="C21" s="719"/>
      <c r="D21" s="234"/>
      <c r="E21" s="130" t="s">
        <v>1886</v>
      </c>
    </row>
    <row r="22" spans="1:5">
      <c r="A22" s="713"/>
      <c r="B22" s="720"/>
      <c r="C22" s="721"/>
      <c r="D22" s="238"/>
      <c r="E22" s="201" t="s">
        <v>1861</v>
      </c>
    </row>
    <row r="23" spans="1:5">
      <c r="A23" s="713"/>
      <c r="B23" s="718" t="s">
        <v>1872</v>
      </c>
      <c r="C23" s="719"/>
      <c r="D23" s="234"/>
      <c r="E23" s="130" t="s">
        <v>1887</v>
      </c>
    </row>
    <row r="24" spans="1:5">
      <c r="A24" s="713"/>
      <c r="B24" s="715"/>
      <c r="C24" s="717"/>
      <c r="D24" s="235"/>
      <c r="E24" s="200" t="s">
        <v>1888</v>
      </c>
    </row>
    <row r="25" spans="1:5">
      <c r="A25" s="713"/>
      <c r="B25" s="720"/>
      <c r="C25" s="721"/>
      <c r="D25" s="237"/>
      <c r="E25" s="172" t="s">
        <v>1861</v>
      </c>
    </row>
    <row r="26" spans="1:5">
      <c r="A26" s="713"/>
      <c r="B26" s="722" t="s">
        <v>1873</v>
      </c>
      <c r="C26" s="723"/>
      <c r="D26" s="236"/>
      <c r="E26" s="129" t="s">
        <v>1889</v>
      </c>
    </row>
    <row r="27" spans="1:5">
      <c r="A27" s="713"/>
      <c r="B27" s="715"/>
      <c r="C27" s="717"/>
      <c r="D27" s="238"/>
      <c r="E27" s="201" t="s">
        <v>1861</v>
      </c>
    </row>
    <row r="28" spans="1:5">
      <c r="A28" s="713"/>
      <c r="B28" s="718" t="s">
        <v>1874</v>
      </c>
      <c r="C28" s="719"/>
      <c r="D28" s="234"/>
      <c r="E28" s="130" t="s">
        <v>1890</v>
      </c>
    </row>
    <row r="29" spans="1:5">
      <c r="A29" s="713"/>
      <c r="B29" s="715"/>
      <c r="C29" s="717"/>
      <c r="D29" s="235"/>
      <c r="E29" s="200" t="s">
        <v>1891</v>
      </c>
    </row>
    <row r="30" spans="1:5">
      <c r="A30" s="713"/>
      <c r="B30" s="720"/>
      <c r="C30" s="721"/>
      <c r="D30" s="237"/>
      <c r="E30" s="172" t="s">
        <v>1861</v>
      </c>
    </row>
    <row r="31" spans="1:5">
      <c r="A31" s="713"/>
      <c r="B31" s="722" t="s">
        <v>1875</v>
      </c>
      <c r="C31" s="723"/>
      <c r="D31" s="236"/>
      <c r="E31" s="129" t="s">
        <v>1892</v>
      </c>
    </row>
    <row r="32" spans="1:5">
      <c r="A32" s="713"/>
      <c r="B32" s="715"/>
      <c r="C32" s="717"/>
      <c r="D32" s="238"/>
      <c r="E32" s="201" t="s">
        <v>1861</v>
      </c>
    </row>
    <row r="33" spans="1:5">
      <c r="A33" s="724" t="s">
        <v>1876</v>
      </c>
      <c r="B33" s="633"/>
      <c r="C33" s="719"/>
      <c r="D33" s="234"/>
      <c r="E33" s="130" t="s">
        <v>1893</v>
      </c>
    </row>
    <row r="34" spans="1:5">
      <c r="A34" s="725"/>
      <c r="B34" s="726"/>
      <c r="C34" s="717"/>
      <c r="D34" s="235"/>
      <c r="E34" s="200" t="s">
        <v>1894</v>
      </c>
    </row>
    <row r="35" spans="1:5">
      <c r="A35" s="725"/>
      <c r="B35" s="726"/>
      <c r="C35" s="717"/>
      <c r="D35" s="236"/>
      <c r="E35" s="171" t="s">
        <v>1861</v>
      </c>
    </row>
    <row r="36" spans="1:5" ht="17.5" customHeight="1">
      <c r="A36" s="724" t="s">
        <v>1877</v>
      </c>
      <c r="B36" s="633"/>
      <c r="C36" s="740"/>
      <c r="D36" s="234"/>
      <c r="E36" s="130" t="s">
        <v>1895</v>
      </c>
    </row>
    <row r="37" spans="1:5">
      <c r="A37" s="725"/>
      <c r="B37" s="726"/>
      <c r="C37" s="741"/>
      <c r="D37" s="235"/>
      <c r="E37" s="200" t="s">
        <v>1896</v>
      </c>
    </row>
    <row r="38" spans="1:5">
      <c r="A38" s="725"/>
      <c r="B38" s="726"/>
      <c r="C38" s="741"/>
      <c r="D38" s="235"/>
      <c r="E38" s="200" t="s">
        <v>1897</v>
      </c>
    </row>
    <row r="39" spans="1:5">
      <c r="A39" s="725"/>
      <c r="B39" s="726"/>
      <c r="C39" s="741"/>
      <c r="D39" s="235"/>
      <c r="E39" s="200" t="s">
        <v>1847</v>
      </c>
    </row>
    <row r="40" spans="1:5">
      <c r="A40" s="725"/>
      <c r="B40" s="726"/>
      <c r="C40" s="742"/>
      <c r="D40" s="236"/>
      <c r="E40" s="171" t="s">
        <v>1861</v>
      </c>
    </row>
    <row r="41" spans="1:5">
      <c r="A41" s="724" t="s">
        <v>1878</v>
      </c>
      <c r="B41" s="633"/>
      <c r="C41" s="719"/>
      <c r="D41" s="234"/>
      <c r="E41" s="130" t="s">
        <v>1898</v>
      </c>
    </row>
    <row r="42" spans="1:5">
      <c r="A42" s="725"/>
      <c r="B42" s="726"/>
      <c r="C42" s="717"/>
      <c r="D42" s="235"/>
      <c r="E42" s="200" t="s">
        <v>1899</v>
      </c>
    </row>
    <row r="43" spans="1:5">
      <c r="A43" s="725"/>
      <c r="B43" s="726"/>
      <c r="C43" s="717"/>
      <c r="D43" s="235"/>
      <c r="E43" s="200" t="s">
        <v>1848</v>
      </c>
    </row>
    <row r="44" spans="1:5">
      <c r="A44" s="725"/>
      <c r="B44" s="726"/>
      <c r="C44" s="717"/>
      <c r="D44" s="235"/>
      <c r="E44" s="200" t="s">
        <v>1913</v>
      </c>
    </row>
    <row r="45" spans="1:5">
      <c r="A45" s="725"/>
      <c r="B45" s="726"/>
      <c r="C45" s="717"/>
      <c r="D45" s="236"/>
      <c r="E45" s="171" t="s">
        <v>1861</v>
      </c>
    </row>
    <row r="46" spans="1:5" ht="17.5" customHeight="1">
      <c r="A46" s="724" t="s">
        <v>1879</v>
      </c>
      <c r="B46" s="633"/>
      <c r="C46" s="719"/>
      <c r="D46" s="234"/>
      <c r="E46" s="130" t="s">
        <v>1900</v>
      </c>
    </row>
    <row r="47" spans="1:5">
      <c r="A47" s="725"/>
      <c r="B47" s="726"/>
      <c r="C47" s="717"/>
      <c r="D47" s="235"/>
      <c r="E47" s="200" t="s">
        <v>1901</v>
      </c>
    </row>
    <row r="48" spans="1:5">
      <c r="A48" s="725"/>
      <c r="B48" s="726"/>
      <c r="C48" s="717"/>
      <c r="D48" s="235"/>
      <c r="E48" s="200" t="s">
        <v>1902</v>
      </c>
    </row>
    <row r="49" spans="1:5">
      <c r="A49" s="725"/>
      <c r="B49" s="726"/>
      <c r="C49" s="717"/>
      <c r="D49" s="235"/>
      <c r="E49" s="200" t="s">
        <v>1903</v>
      </c>
    </row>
    <row r="50" spans="1:5">
      <c r="A50" s="725"/>
      <c r="B50" s="726"/>
      <c r="C50" s="717"/>
      <c r="D50" s="236"/>
      <c r="E50" s="171" t="s">
        <v>1861</v>
      </c>
    </row>
    <row r="51" spans="1:5">
      <c r="A51" s="724" t="s">
        <v>1880</v>
      </c>
      <c r="B51" s="633"/>
      <c r="C51" s="719"/>
      <c r="D51" s="234"/>
      <c r="E51" s="130" t="s">
        <v>1904</v>
      </c>
    </row>
    <row r="52" spans="1:5">
      <c r="A52" s="725"/>
      <c r="B52" s="726"/>
      <c r="C52" s="717"/>
      <c r="D52" s="235"/>
      <c r="E52" s="200" t="s">
        <v>1905</v>
      </c>
    </row>
    <row r="53" spans="1:5">
      <c r="A53" s="725"/>
      <c r="B53" s="726"/>
      <c r="C53" s="717"/>
      <c r="D53" s="235"/>
      <c r="E53" s="200" t="s">
        <v>1906</v>
      </c>
    </row>
    <row r="54" spans="1:5">
      <c r="A54" s="725"/>
      <c r="B54" s="726"/>
      <c r="C54" s="717"/>
      <c r="D54" s="235"/>
      <c r="E54" s="200" t="s">
        <v>1907</v>
      </c>
    </row>
    <row r="55" spans="1:5" ht="17" thickBot="1">
      <c r="A55" s="727"/>
      <c r="B55" s="728"/>
      <c r="C55" s="729"/>
      <c r="D55" s="239"/>
      <c r="E55" s="173" t="s">
        <v>1861</v>
      </c>
    </row>
    <row r="56" spans="1:5" ht="17" thickBot="1"/>
    <row r="57" spans="1:5" ht="17.5" customHeight="1">
      <c r="A57" s="712" t="s">
        <v>1881</v>
      </c>
      <c r="B57" s="730"/>
      <c r="C57" s="731"/>
      <c r="D57" s="732"/>
      <c r="E57" s="733"/>
    </row>
    <row r="58" spans="1:5">
      <c r="A58" s="725"/>
      <c r="B58" s="726"/>
      <c r="C58" s="734"/>
      <c r="D58" s="735"/>
      <c r="E58" s="736"/>
    </row>
    <row r="59" spans="1:5">
      <c r="A59" s="725"/>
      <c r="B59" s="726"/>
      <c r="C59" s="734"/>
      <c r="D59" s="735"/>
      <c r="E59" s="736"/>
    </row>
    <row r="60" spans="1:5">
      <c r="A60" s="725"/>
      <c r="B60" s="726"/>
      <c r="C60" s="734"/>
      <c r="D60" s="735"/>
      <c r="E60" s="736"/>
    </row>
    <row r="61" spans="1:5">
      <c r="A61" s="725"/>
      <c r="B61" s="726"/>
      <c r="C61" s="734"/>
      <c r="D61" s="735"/>
      <c r="E61" s="736"/>
    </row>
    <row r="62" spans="1:5">
      <c r="A62" s="725"/>
      <c r="B62" s="726"/>
      <c r="C62" s="734"/>
      <c r="D62" s="735"/>
      <c r="E62" s="736"/>
    </row>
    <row r="63" spans="1:5" ht="17" thickBot="1">
      <c r="A63" s="727"/>
      <c r="B63" s="728"/>
      <c r="C63" s="737"/>
      <c r="D63" s="738"/>
      <c r="E63" s="739"/>
    </row>
  </sheetData>
  <sheetProtection password="E798" sheet="1"/>
  <mergeCells count="32">
    <mergeCell ref="A51:B55"/>
    <mergeCell ref="C51:C55"/>
    <mergeCell ref="A57:B63"/>
    <mergeCell ref="C57:E63"/>
    <mergeCell ref="A36:B40"/>
    <mergeCell ref="C36:C40"/>
    <mergeCell ref="A41:B45"/>
    <mergeCell ref="C41:C45"/>
    <mergeCell ref="A46:B50"/>
    <mergeCell ref="C46:C50"/>
    <mergeCell ref="B28:B30"/>
    <mergeCell ref="C28:C30"/>
    <mergeCell ref="B31:B32"/>
    <mergeCell ref="C31:C32"/>
    <mergeCell ref="A33:B35"/>
    <mergeCell ref="C33:C35"/>
    <mergeCell ref="A2:B2"/>
    <mergeCell ref="A3:A32"/>
    <mergeCell ref="B3:B9"/>
    <mergeCell ref="C3:C9"/>
    <mergeCell ref="B10:B15"/>
    <mergeCell ref="C10:C15"/>
    <mergeCell ref="B16:B18"/>
    <mergeCell ref="C16:C18"/>
    <mergeCell ref="B19:B20"/>
    <mergeCell ref="C19:C20"/>
    <mergeCell ref="B21:B22"/>
    <mergeCell ref="C21:C22"/>
    <mergeCell ref="B23:B25"/>
    <mergeCell ref="C23:C25"/>
    <mergeCell ref="B26:B27"/>
    <mergeCell ref="C26:C27"/>
  </mergeCells>
  <phoneticPr fontId="3"/>
  <dataValidations count="4">
    <dataValidation imeMode="hiragana" allowBlank="1" showInputMessage="1" showErrorMessage="1" sqref="E9 E15 E18 E20 E22 E25 E27 E30 E32 E35 E40 E45 E50 E55 C57:E63" xr:uid="{00000000-0002-0000-0300-000000000000}"/>
    <dataValidation type="list" imeMode="hiragana" allowBlank="1" showInputMessage="1" showErrorMessage="1" sqref="C41:C55 C3:C35 C36:C40" xr:uid="{00000000-0002-0000-0300-000001000000}">
      <formula1>$I$3:$I$4</formula1>
    </dataValidation>
    <dataValidation type="list" imeMode="hiragana" allowBlank="1" showInputMessage="1" showErrorMessage="1" sqref="D3:D5 D7:D55" xr:uid="{00000000-0002-0000-0300-000002000000}">
      <formula1>$J$3:$J$4</formula1>
    </dataValidation>
    <dataValidation type="list" errorStyle="warning" imeMode="hiragana" allowBlank="1" showInputMessage="1" showErrorMessage="1" error="エラー" sqref="D6" xr:uid="{00000000-0002-0000-0300-000003000000}">
      <formula1>$J$3:$J$4</formula1>
    </dataValidation>
  </dataValidations>
  <pageMargins left="0.7" right="0.7" top="0.75" bottom="0.75" header="0.3" footer="0.3"/>
  <pageSetup paperSize="9" scale="6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66"/>
    <pageSetUpPr fitToPage="1"/>
  </sheetPr>
  <dimension ref="A1:AG43"/>
  <sheetViews>
    <sheetView zoomScaleNormal="100" zoomScaleSheetLayoutView="100" workbookViewId="0">
      <selection activeCell="T1" sqref="T1:T1048576"/>
    </sheetView>
  </sheetViews>
  <sheetFormatPr defaultColWidth="9" defaultRowHeight="12"/>
  <cols>
    <col min="1" max="2" width="4.6328125" style="1" customWidth="1"/>
    <col min="3" max="3" width="3.90625" style="1" bestFit="1" customWidth="1"/>
    <col min="4" max="4" width="8.26953125" style="1" customWidth="1"/>
    <col min="5" max="5" width="8.36328125" style="1" customWidth="1"/>
    <col min="6" max="6" width="5.08984375" style="1" customWidth="1"/>
    <col min="7" max="7" width="6.36328125" style="1" customWidth="1"/>
    <col min="8" max="8" width="5.08984375" style="1" customWidth="1"/>
    <col min="9" max="9" width="6.36328125" style="1" customWidth="1"/>
    <col min="10" max="10" width="5.08984375" style="1" customWidth="1"/>
    <col min="11" max="11" width="6.36328125" style="1" customWidth="1"/>
    <col min="12" max="12" width="5.08984375" style="1" customWidth="1"/>
    <col min="13" max="13" width="6.36328125" style="1" customWidth="1"/>
    <col min="14" max="14" width="5.08984375" style="1" customWidth="1"/>
    <col min="15" max="15" width="6.36328125" style="1" customWidth="1"/>
    <col min="16" max="16" width="5.08984375" style="1" customWidth="1"/>
    <col min="17" max="17" width="6.36328125" style="1" customWidth="1"/>
    <col min="18" max="18" width="11.26953125" style="1" customWidth="1"/>
    <col min="19" max="19" width="4.08984375" style="1" customWidth="1"/>
    <col min="20" max="20" width="4.08984375" style="1" hidden="1" customWidth="1"/>
    <col min="21" max="31" width="4.08984375" style="1" customWidth="1"/>
    <col min="32" max="32" width="0.7265625" style="1" customWidth="1"/>
    <col min="33" max="16384" width="9" style="1"/>
  </cols>
  <sheetData>
    <row r="1" spans="1:20" ht="21.25" customHeight="1" thickBot="1">
      <c r="A1" s="314" t="s">
        <v>2487</v>
      </c>
      <c r="B1" s="481"/>
      <c r="C1" s="481"/>
      <c r="D1" s="481"/>
      <c r="E1" s="82" t="s">
        <v>2341</v>
      </c>
      <c r="F1" s="481"/>
      <c r="G1" s="482"/>
      <c r="H1" s="19"/>
      <c r="I1" s="19"/>
      <c r="J1" s="19"/>
      <c r="K1" s="19"/>
      <c r="L1" s="19"/>
      <c r="M1" s="19"/>
      <c r="N1" s="19"/>
      <c r="O1" s="19"/>
      <c r="P1" s="19"/>
      <c r="Q1" s="19"/>
      <c r="R1" s="19"/>
      <c r="S1" s="19"/>
    </row>
    <row r="2" spans="1:20" ht="10.5" customHeight="1">
      <c r="A2" s="483"/>
      <c r="B2" s="484"/>
      <c r="C2" s="484"/>
      <c r="D2" s="485"/>
      <c r="E2" s="743" t="s">
        <v>2342</v>
      </c>
      <c r="F2" s="745" t="s">
        <v>2698</v>
      </c>
      <c r="G2" s="746"/>
      <c r="H2" s="745" t="s">
        <v>2699</v>
      </c>
      <c r="I2" s="746"/>
      <c r="J2" s="745" t="s">
        <v>2700</v>
      </c>
      <c r="K2" s="746"/>
      <c r="L2" s="745" t="s">
        <v>2701</v>
      </c>
      <c r="M2" s="746"/>
      <c r="N2" s="745" t="s">
        <v>2702</v>
      </c>
      <c r="O2" s="746"/>
      <c r="P2" s="745" t="s">
        <v>213</v>
      </c>
      <c r="Q2" s="749"/>
      <c r="R2" s="746"/>
    </row>
    <row r="3" spans="1:20" ht="18.75" customHeight="1">
      <c r="A3" s="486"/>
      <c r="B3" s="487"/>
      <c r="C3" s="487"/>
      <c r="D3" s="488"/>
      <c r="E3" s="744"/>
      <c r="F3" s="747"/>
      <c r="G3" s="748"/>
      <c r="H3" s="747"/>
      <c r="I3" s="748"/>
      <c r="J3" s="747"/>
      <c r="K3" s="748"/>
      <c r="L3" s="747"/>
      <c r="M3" s="748"/>
      <c r="N3" s="747"/>
      <c r="O3" s="748"/>
      <c r="P3" s="747"/>
      <c r="Q3" s="750"/>
      <c r="R3" s="748"/>
    </row>
    <row r="4" spans="1:20" ht="13.75" customHeight="1">
      <c r="A4" s="486"/>
      <c r="B4" s="487"/>
      <c r="C4" s="487"/>
      <c r="D4" s="488"/>
      <c r="E4" s="751" t="s">
        <v>2705</v>
      </c>
      <c r="F4" s="753" t="s">
        <v>2343</v>
      </c>
      <c r="G4" s="755" t="s">
        <v>214</v>
      </c>
      <c r="H4" s="757" t="s">
        <v>2343</v>
      </c>
      <c r="I4" s="759" t="s">
        <v>214</v>
      </c>
      <c r="J4" s="757" t="s">
        <v>2343</v>
      </c>
      <c r="K4" s="759" t="s">
        <v>214</v>
      </c>
      <c r="L4" s="757" t="s">
        <v>2343</v>
      </c>
      <c r="M4" s="759" t="s">
        <v>214</v>
      </c>
      <c r="N4" s="757" t="s">
        <v>2343</v>
      </c>
      <c r="O4" s="761" t="s">
        <v>214</v>
      </c>
      <c r="P4" s="763" t="s">
        <v>215</v>
      </c>
      <c r="Q4" s="761" t="s">
        <v>214</v>
      </c>
      <c r="R4" s="759" t="s">
        <v>2388</v>
      </c>
    </row>
    <row r="5" spans="1:20" ht="29.25" customHeight="1" thickBot="1">
      <c r="A5" s="489"/>
      <c r="B5" s="490"/>
      <c r="C5" s="490"/>
      <c r="D5" s="491"/>
      <c r="E5" s="752"/>
      <c r="F5" s="754"/>
      <c r="G5" s="756"/>
      <c r="H5" s="758"/>
      <c r="I5" s="760"/>
      <c r="J5" s="758"/>
      <c r="K5" s="760"/>
      <c r="L5" s="758"/>
      <c r="M5" s="760"/>
      <c r="N5" s="758"/>
      <c r="O5" s="762"/>
      <c r="P5" s="764"/>
      <c r="Q5" s="762"/>
      <c r="R5" s="765"/>
    </row>
    <row r="6" spans="1:20" ht="51" customHeight="1" thickTop="1">
      <c r="A6" s="766" t="s">
        <v>216</v>
      </c>
      <c r="B6" s="767"/>
      <c r="C6" s="767"/>
      <c r="D6" s="768"/>
      <c r="E6" s="543">
        <f>T6-COUNTIFS('様式1-2（計画排出量）'!$AD$16:$AD$515,"C",'様式1-2（計画排出量）'!$S$16:$S$515,"廃止")</f>
        <v>0</v>
      </c>
      <c r="F6" s="544"/>
      <c r="G6" s="545"/>
      <c r="H6" s="546"/>
      <c r="I6" s="545"/>
      <c r="J6" s="546"/>
      <c r="K6" s="545"/>
      <c r="L6" s="546"/>
      <c r="M6" s="545"/>
      <c r="N6" s="546"/>
      <c r="O6" s="547"/>
      <c r="P6" s="498">
        <f>F6+H6+J6+L6+N6</f>
        <v>0</v>
      </c>
      <c r="Q6" s="499">
        <f>G6+I6+K6+M6+O6</f>
        <v>0</v>
      </c>
      <c r="R6" s="500">
        <f>E6-P6+Q6</f>
        <v>0</v>
      </c>
      <c r="T6" s="543">
        <f>COUNTIF('様式1-2（計画排出量）'!$AD$16:$AD$515,"C")</f>
        <v>0</v>
      </c>
    </row>
    <row r="7" spans="1:20" ht="51" customHeight="1">
      <c r="A7" s="769" t="s">
        <v>2203</v>
      </c>
      <c r="B7" s="770"/>
      <c r="C7" s="770"/>
      <c r="D7" s="771"/>
      <c r="E7" s="548">
        <f>T7-COUNTIFS('様式1-2（計画排出量）'!$AD$16:$AD$515,"ハ",'様式1-2（計画排出量）'!$S$16:$S$515,"廃止")</f>
        <v>0</v>
      </c>
      <c r="F7" s="544"/>
      <c r="G7" s="545"/>
      <c r="H7" s="546"/>
      <c r="I7" s="545"/>
      <c r="J7" s="546"/>
      <c r="K7" s="545"/>
      <c r="L7" s="546"/>
      <c r="M7" s="545"/>
      <c r="N7" s="546"/>
      <c r="O7" s="545"/>
      <c r="P7" s="498">
        <f t="shared" ref="P7:Q18" si="0">F7+H7+J7+L7+N7</f>
        <v>0</v>
      </c>
      <c r="Q7" s="499">
        <f t="shared" si="0"/>
        <v>0</v>
      </c>
      <c r="R7" s="500">
        <f t="shared" ref="R7:R18" si="1">E7-P7+Q7</f>
        <v>0</v>
      </c>
      <c r="T7" s="548">
        <f>COUNTIF('様式1-2（計画排出量）'!$AD$16:$AD$515,"ハ")</f>
        <v>0</v>
      </c>
    </row>
    <row r="8" spans="1:20" ht="51" customHeight="1">
      <c r="A8" s="769" t="s">
        <v>2387</v>
      </c>
      <c r="B8" s="770"/>
      <c r="C8" s="770"/>
      <c r="D8" s="771"/>
      <c r="E8" s="548">
        <f>T8-COUNTIFS('様式1-2（計画排出量）'!$AD$16:$AD$515,"Pハ",'様式1-2（計画排出量）'!$S$16:$S$515,"廃止")</f>
        <v>0</v>
      </c>
      <c r="F8" s="544"/>
      <c r="G8" s="545"/>
      <c r="H8" s="546"/>
      <c r="I8" s="545"/>
      <c r="J8" s="546"/>
      <c r="K8" s="545"/>
      <c r="L8" s="546"/>
      <c r="M8" s="545"/>
      <c r="N8" s="546"/>
      <c r="O8" s="545"/>
      <c r="P8" s="498">
        <f>F8+H8+J8+L8+N8</f>
        <v>0</v>
      </c>
      <c r="Q8" s="499">
        <f>G8+I8+K8+M8+O8</f>
        <v>0</v>
      </c>
      <c r="R8" s="500">
        <f>E8-P8+Q8</f>
        <v>0</v>
      </c>
      <c r="T8" s="548">
        <f>COUNTIF('様式1-2（計画排出量）'!$AD$16:$AD$515,"Pハ")</f>
        <v>0</v>
      </c>
    </row>
    <row r="9" spans="1:20" ht="51" customHeight="1">
      <c r="A9" s="772" t="s">
        <v>2979</v>
      </c>
      <c r="B9" s="773"/>
      <c r="C9" s="778" t="s">
        <v>2261</v>
      </c>
      <c r="D9" s="779"/>
      <c r="E9" s="548">
        <f>T9-COUNTIFS('様式1-2（計画排出量）'!$AD$16:$AD$515,"ガL1",'様式1-2（計画排出量）'!$S$16:$S$515,"廃止")</f>
        <v>0</v>
      </c>
      <c r="F9" s="544"/>
      <c r="G9" s="545"/>
      <c r="H9" s="546"/>
      <c r="I9" s="545"/>
      <c r="J9" s="546"/>
      <c r="K9" s="545"/>
      <c r="L9" s="546"/>
      <c r="M9" s="545"/>
      <c r="N9" s="546"/>
      <c r="O9" s="545"/>
      <c r="P9" s="498">
        <f t="shared" si="0"/>
        <v>0</v>
      </c>
      <c r="Q9" s="499">
        <f t="shared" si="0"/>
        <v>0</v>
      </c>
      <c r="R9" s="500">
        <f t="shared" si="1"/>
        <v>0</v>
      </c>
      <c r="T9" s="548">
        <f>COUNTIF('様式1-2（計画排出量）'!$AD$16:$AD$515,"ガL1")</f>
        <v>0</v>
      </c>
    </row>
    <row r="10" spans="1:20" ht="51" customHeight="1">
      <c r="A10" s="774"/>
      <c r="B10" s="775"/>
      <c r="C10" s="778" t="s">
        <v>2703</v>
      </c>
      <c r="D10" s="779"/>
      <c r="E10" s="548">
        <f>T10-COUNTIFS('様式1-2（計画排出量）'!$AD$16:$AD$515,"ガL2",'様式1-2（計画排出量）'!$S$16:$S$515,"廃止")</f>
        <v>0</v>
      </c>
      <c r="F10" s="544"/>
      <c r="G10" s="545"/>
      <c r="H10" s="546"/>
      <c r="I10" s="545"/>
      <c r="J10" s="546"/>
      <c r="K10" s="545"/>
      <c r="L10" s="546"/>
      <c r="M10" s="545"/>
      <c r="N10" s="546"/>
      <c r="O10" s="545"/>
      <c r="P10" s="498">
        <f t="shared" si="0"/>
        <v>0</v>
      </c>
      <c r="Q10" s="499">
        <f t="shared" si="0"/>
        <v>0</v>
      </c>
      <c r="R10" s="500">
        <f t="shared" si="1"/>
        <v>0</v>
      </c>
      <c r="T10" s="548">
        <f>COUNTIF('様式1-2（計画排出量）'!$AD$16:$AD$515,"ガL2")</f>
        <v>0</v>
      </c>
    </row>
    <row r="11" spans="1:20" ht="51" customHeight="1">
      <c r="A11" s="776"/>
      <c r="B11" s="777"/>
      <c r="C11" s="780" t="s">
        <v>217</v>
      </c>
      <c r="D11" s="779"/>
      <c r="E11" s="548">
        <f>T11-COUNTIFS('様式1-2（計画排出量）'!$AD$16:$AD$515,"ガL3",'様式1-2（計画排出量）'!$S$16:$S$515,"廃止")</f>
        <v>0</v>
      </c>
      <c r="F11" s="544"/>
      <c r="G11" s="545"/>
      <c r="H11" s="546"/>
      <c r="I11" s="545"/>
      <c r="J11" s="546"/>
      <c r="K11" s="545"/>
      <c r="L11" s="546"/>
      <c r="M11" s="545"/>
      <c r="N11" s="546"/>
      <c r="O11" s="545"/>
      <c r="P11" s="498">
        <f t="shared" si="0"/>
        <v>0</v>
      </c>
      <c r="Q11" s="499">
        <f t="shared" si="0"/>
        <v>0</v>
      </c>
      <c r="R11" s="500">
        <f t="shared" si="1"/>
        <v>0</v>
      </c>
      <c r="T11" s="548">
        <f>COUNTIF('様式1-2（計画排出量）'!$AD$16:$AD$515,"ガL3")</f>
        <v>0</v>
      </c>
    </row>
    <row r="12" spans="1:20" ht="51" customHeight="1">
      <c r="A12" s="781" t="s">
        <v>2980</v>
      </c>
      <c r="B12" s="782"/>
      <c r="C12" s="780" t="s">
        <v>65</v>
      </c>
      <c r="D12" s="779"/>
      <c r="E12" s="548">
        <f>T12-COUNTIFS('様式1-2（計画排出量）'!$AD$16:$AD$515,"軽新長",'様式1-2（計画排出量）'!$S$16:$S$515,"廃止")</f>
        <v>0</v>
      </c>
      <c r="F12" s="544"/>
      <c r="G12" s="545"/>
      <c r="H12" s="546"/>
      <c r="I12" s="545"/>
      <c r="J12" s="546"/>
      <c r="K12" s="545"/>
      <c r="L12" s="546"/>
      <c r="M12" s="545"/>
      <c r="N12" s="546"/>
      <c r="O12" s="545"/>
      <c r="P12" s="498">
        <f t="shared" si="0"/>
        <v>0</v>
      </c>
      <c r="Q12" s="499">
        <f t="shared" si="0"/>
        <v>0</v>
      </c>
      <c r="R12" s="500">
        <f t="shared" si="1"/>
        <v>0</v>
      </c>
      <c r="T12" s="548">
        <f>COUNTIF('様式1-2（計画排出量）'!$AD$16:$AD$515,"軽新長")</f>
        <v>0</v>
      </c>
    </row>
    <row r="13" spans="1:20" ht="51" customHeight="1">
      <c r="A13" s="783"/>
      <c r="B13" s="784"/>
      <c r="C13" s="778" t="s">
        <v>2399</v>
      </c>
      <c r="D13" s="787"/>
      <c r="E13" s="548">
        <f>T13-COUNTIFS('様式1-2（計画排出量）'!$AD$16:$AD$515,"軽新長1",'様式1-2（計画排出量）'!$S$16:$S$515,"廃止")</f>
        <v>0</v>
      </c>
      <c r="F13" s="544"/>
      <c r="G13" s="545"/>
      <c r="H13" s="546"/>
      <c r="I13" s="545"/>
      <c r="J13" s="546"/>
      <c r="K13" s="545"/>
      <c r="L13" s="546"/>
      <c r="M13" s="545"/>
      <c r="N13" s="546"/>
      <c r="O13" s="545"/>
      <c r="P13" s="498">
        <f>F13+H13+J13+L13+N13</f>
        <v>0</v>
      </c>
      <c r="Q13" s="499">
        <f>G13+I13+K13+M13+O13</f>
        <v>0</v>
      </c>
      <c r="R13" s="500">
        <f>E13-P13+Q13</f>
        <v>0</v>
      </c>
      <c r="T13" s="548">
        <f>COUNTIF('様式1-2（計画排出量）'!$AD$16:$AD$515,"軽新長1")</f>
        <v>0</v>
      </c>
    </row>
    <row r="14" spans="1:20" ht="51" customHeight="1">
      <c r="A14" s="783"/>
      <c r="B14" s="784"/>
      <c r="C14" s="788" t="s">
        <v>2704</v>
      </c>
      <c r="D14" s="771"/>
      <c r="E14" s="575">
        <f>T14-COUNTIFS('様式1-2（計画排出量）'!$AD$16:$AD$515,"軽ポ",'様式1-2（計画排出量）'!$S$16:$S$515,"廃止")-COUNTIFS('様式1-2（計画排出量）'!$AD$16:$AD$515,"軽1",'様式1-2（計画排出量）'!$S$16:$S$515,"廃止")</f>
        <v>0</v>
      </c>
      <c r="F14" s="544"/>
      <c r="G14" s="545"/>
      <c r="H14" s="546"/>
      <c r="I14" s="545"/>
      <c r="J14" s="546"/>
      <c r="K14" s="545"/>
      <c r="L14" s="546"/>
      <c r="M14" s="545"/>
      <c r="N14" s="546"/>
      <c r="O14" s="545"/>
      <c r="P14" s="498">
        <f>F14+H14+J14+L14+N14</f>
        <v>0</v>
      </c>
      <c r="Q14" s="499">
        <f>G14+I14+K14+M14+O14</f>
        <v>0</v>
      </c>
      <c r="R14" s="500">
        <f>E14-P14+Q14</f>
        <v>0</v>
      </c>
      <c r="T14" s="575">
        <f>COUNTIF('様式1-2（計画排出量）'!$AD$16:$AD$515,"軽ポ")+COUNTIF('様式1-2（計画排出量）'!$AD$16:$AD$515,"軽1")</f>
        <v>0</v>
      </c>
    </row>
    <row r="15" spans="1:20" ht="51" customHeight="1">
      <c r="A15" s="785"/>
      <c r="B15" s="786"/>
      <c r="C15" s="788" t="s">
        <v>220</v>
      </c>
      <c r="D15" s="789"/>
      <c r="E15" s="548">
        <f>T15-COUNTIFS('様式1-2（計画排出量）'!$AD$16:$AD$515,"軽3",'様式1-2（計画排出量）'!$S$16:$S$515,"廃止")</f>
        <v>0</v>
      </c>
      <c r="F15" s="544"/>
      <c r="G15" s="545"/>
      <c r="H15" s="546"/>
      <c r="I15" s="545"/>
      <c r="J15" s="546"/>
      <c r="K15" s="545"/>
      <c r="L15" s="546"/>
      <c r="M15" s="545"/>
      <c r="N15" s="546"/>
      <c r="O15" s="545"/>
      <c r="P15" s="498">
        <f t="shared" si="0"/>
        <v>0</v>
      </c>
      <c r="Q15" s="499">
        <f t="shared" si="0"/>
        <v>0</v>
      </c>
      <c r="R15" s="500">
        <f t="shared" si="1"/>
        <v>0</v>
      </c>
      <c r="T15" s="548">
        <f>COUNTIF('様式1-2（計画排出量）'!$AD$16:$AD$515,"軽3")</f>
        <v>0</v>
      </c>
    </row>
    <row r="16" spans="1:20" ht="51" customHeight="1">
      <c r="A16" s="769" t="s">
        <v>201</v>
      </c>
      <c r="B16" s="770"/>
      <c r="C16" s="770"/>
      <c r="D16" s="771"/>
      <c r="E16" s="548">
        <f>T16-COUNTIFS('様式1-2（計画排出量）'!$AD$16:$AD$515,"電",'様式1-2（計画排出量）'!$S$16:$S$515,"廃止")</f>
        <v>0</v>
      </c>
      <c r="F16" s="544"/>
      <c r="G16" s="545"/>
      <c r="H16" s="546"/>
      <c r="I16" s="545"/>
      <c r="J16" s="546"/>
      <c r="K16" s="545"/>
      <c r="L16" s="546"/>
      <c r="M16" s="545"/>
      <c r="N16" s="546"/>
      <c r="O16" s="545"/>
      <c r="P16" s="498">
        <f t="shared" si="0"/>
        <v>0</v>
      </c>
      <c r="Q16" s="499">
        <f t="shared" si="0"/>
        <v>0</v>
      </c>
      <c r="R16" s="500">
        <f t="shared" si="1"/>
        <v>0</v>
      </c>
      <c r="T16" s="548">
        <f>COUNTIF('様式1-2（計画排出量）'!$AD$16:$AD$515,"電")</f>
        <v>0</v>
      </c>
    </row>
    <row r="17" spans="1:33" ht="51" customHeight="1">
      <c r="A17" s="769" t="s">
        <v>1791</v>
      </c>
      <c r="B17" s="770"/>
      <c r="C17" s="770"/>
      <c r="D17" s="771"/>
      <c r="E17" s="548">
        <f>T17-COUNTIFS('様式1-2（計画排出量）'!$AD$16:$AD$515,"メ",'様式1-2（計画排出量）'!$S$16:$S$515,"廃止")</f>
        <v>0</v>
      </c>
      <c r="F17" s="544"/>
      <c r="G17" s="545"/>
      <c r="H17" s="546"/>
      <c r="I17" s="545"/>
      <c r="J17" s="546"/>
      <c r="K17" s="545"/>
      <c r="L17" s="546"/>
      <c r="M17" s="545"/>
      <c r="N17" s="546"/>
      <c r="O17" s="545"/>
      <c r="P17" s="498">
        <f t="shared" si="0"/>
        <v>0</v>
      </c>
      <c r="Q17" s="499">
        <f t="shared" si="0"/>
        <v>0</v>
      </c>
      <c r="R17" s="500">
        <f t="shared" si="1"/>
        <v>0</v>
      </c>
      <c r="T17" s="548">
        <f>COUNTIF('様式1-2（計画排出量）'!$AD$16:$AD$515,"メ")</f>
        <v>0</v>
      </c>
    </row>
    <row r="18" spans="1:33" ht="51" customHeight="1" thickBot="1">
      <c r="A18" s="790" t="s">
        <v>1974</v>
      </c>
      <c r="B18" s="791"/>
      <c r="C18" s="791"/>
      <c r="D18" s="792"/>
      <c r="E18" s="549">
        <f>T18-COUNTIFS('様式1-2（計画排出量）'!$AD$16:$AD$515,"燃電",'様式1-2（計画排出量）'!$S$16:$S$515,"廃止")</f>
        <v>0</v>
      </c>
      <c r="F18" s="550"/>
      <c r="G18" s="551"/>
      <c r="H18" s="552"/>
      <c r="I18" s="551"/>
      <c r="J18" s="552"/>
      <c r="K18" s="553"/>
      <c r="L18" s="552"/>
      <c r="M18" s="553"/>
      <c r="N18" s="552"/>
      <c r="O18" s="553"/>
      <c r="P18" s="554">
        <f t="shared" si="0"/>
        <v>0</v>
      </c>
      <c r="Q18" s="555">
        <f t="shared" si="0"/>
        <v>0</v>
      </c>
      <c r="R18" s="500">
        <f t="shared" si="1"/>
        <v>0</v>
      </c>
      <c r="T18" s="548">
        <f>COUNTIF('様式1-2（計画排出量）'!$AD$16:$AD$515,"燃電")</f>
        <v>0</v>
      </c>
    </row>
    <row r="19" spans="1:33" ht="51" hidden="1" customHeight="1">
      <c r="A19" s="793" t="s">
        <v>218</v>
      </c>
      <c r="B19" s="794"/>
      <c r="C19" s="794"/>
      <c r="D19" s="795"/>
      <c r="E19" s="556">
        <f>SUM(E6:E18)</f>
        <v>0</v>
      </c>
      <c r="F19" s="557">
        <f t="shared" ref="F19:Q19" si="2">SUM(F6:F18)</f>
        <v>0</v>
      </c>
      <c r="G19" s="558">
        <f t="shared" si="2"/>
        <v>0</v>
      </c>
      <c r="H19" s="559">
        <f t="shared" si="2"/>
        <v>0</v>
      </c>
      <c r="I19" s="558">
        <f t="shared" si="2"/>
        <v>0</v>
      </c>
      <c r="J19" s="559">
        <f t="shared" si="2"/>
        <v>0</v>
      </c>
      <c r="K19" s="560">
        <f t="shared" si="2"/>
        <v>0</v>
      </c>
      <c r="L19" s="559">
        <f t="shared" si="2"/>
        <v>0</v>
      </c>
      <c r="M19" s="560">
        <f t="shared" si="2"/>
        <v>0</v>
      </c>
      <c r="N19" s="559">
        <f t="shared" si="2"/>
        <v>0</v>
      </c>
      <c r="O19" s="560">
        <f t="shared" si="2"/>
        <v>0</v>
      </c>
      <c r="P19" s="557">
        <f t="shared" si="2"/>
        <v>0</v>
      </c>
      <c r="Q19" s="561">
        <f t="shared" si="2"/>
        <v>0</v>
      </c>
      <c r="R19" s="562">
        <f>'様式1-1（計画表紙）'!I22</f>
        <v>0</v>
      </c>
    </row>
    <row r="20" spans="1:33" ht="51" hidden="1" customHeight="1">
      <c r="A20" s="769" t="s">
        <v>219</v>
      </c>
      <c r="B20" s="770"/>
      <c r="C20" s="770"/>
      <c r="D20" s="771"/>
      <c r="E20" s="563">
        <f t="shared" ref="E20:R20" si="3">E6+E7+E8+E9+E10+E12+E13+E14+E16+E17+E18</f>
        <v>0</v>
      </c>
      <c r="F20" s="564">
        <f t="shared" si="3"/>
        <v>0</v>
      </c>
      <c r="G20" s="565">
        <f t="shared" si="3"/>
        <v>0</v>
      </c>
      <c r="H20" s="566">
        <f t="shared" si="3"/>
        <v>0</v>
      </c>
      <c r="I20" s="565">
        <f t="shared" si="3"/>
        <v>0</v>
      </c>
      <c r="J20" s="566">
        <f t="shared" si="3"/>
        <v>0</v>
      </c>
      <c r="K20" s="567">
        <f t="shared" si="3"/>
        <v>0</v>
      </c>
      <c r="L20" s="566">
        <f t="shared" si="3"/>
        <v>0</v>
      </c>
      <c r="M20" s="567">
        <f t="shared" si="3"/>
        <v>0</v>
      </c>
      <c r="N20" s="566">
        <f t="shared" si="3"/>
        <v>0</v>
      </c>
      <c r="O20" s="567">
        <f t="shared" si="3"/>
        <v>0</v>
      </c>
      <c r="P20" s="564">
        <f t="shared" si="3"/>
        <v>0</v>
      </c>
      <c r="Q20" s="568">
        <f t="shared" si="3"/>
        <v>0</v>
      </c>
      <c r="R20" s="569">
        <f t="shared" si="3"/>
        <v>0</v>
      </c>
      <c r="T20" s="570"/>
    </row>
    <row r="21" spans="1:33" ht="51" hidden="1" customHeight="1" thickBot="1">
      <c r="A21" s="796" t="s">
        <v>2344</v>
      </c>
      <c r="B21" s="797"/>
      <c r="C21" s="797"/>
      <c r="D21" s="798"/>
      <c r="E21" s="571">
        <f>T21</f>
        <v>0</v>
      </c>
      <c r="F21" s="572"/>
      <c r="G21" s="539"/>
      <c r="H21" s="573"/>
      <c r="I21" s="539"/>
      <c r="J21" s="573"/>
      <c r="K21" s="542"/>
      <c r="L21" s="573"/>
      <c r="M21" s="542"/>
      <c r="N21" s="573"/>
      <c r="O21" s="542"/>
      <c r="P21" s="515">
        <f>F21+H21+J21+L21+N21</f>
        <v>0</v>
      </c>
      <c r="Q21" s="516">
        <f>G21+I21+K21+M21+O21</f>
        <v>0</v>
      </c>
      <c r="R21" s="540">
        <f>E21-P21+Q21</f>
        <v>0</v>
      </c>
      <c r="T21" s="574">
        <f>IF(SUM('様式1-2（計画排出量）'!$AO$16:$AO$515)&gt;0,SUM('様式1-2（計画排出量）'!$AO$16:$AO$515),0)</f>
        <v>0</v>
      </c>
    </row>
    <row r="22" spans="1:33">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1:33" ht="48.75" customHeight="1">
      <c r="A23" s="799" t="s">
        <v>2981</v>
      </c>
      <c r="B23" s="800"/>
      <c r="C23" s="800"/>
      <c r="D23" s="800"/>
      <c r="E23" s="800"/>
      <c r="F23" s="800"/>
      <c r="G23" s="800"/>
      <c r="H23" s="800"/>
      <c r="I23" s="800"/>
      <c r="J23" s="800"/>
      <c r="K23" s="800"/>
      <c r="L23" s="800"/>
      <c r="M23" s="800"/>
      <c r="N23" s="800"/>
      <c r="O23" s="800"/>
      <c r="P23" s="800"/>
      <c r="Q23" s="800"/>
      <c r="R23" s="801"/>
    </row>
    <row r="24" spans="1:33">
      <c r="A24" s="19"/>
      <c r="B24" s="19"/>
      <c r="C24" s="19"/>
      <c r="D24" s="19"/>
      <c r="E24" s="19"/>
      <c r="F24" s="19"/>
      <c r="G24" s="19"/>
      <c r="H24" s="19"/>
      <c r="I24" s="19"/>
      <c r="J24" s="19"/>
      <c r="K24" s="19"/>
      <c r="L24" s="19"/>
      <c r="M24" s="19"/>
      <c r="N24" s="19"/>
      <c r="O24" s="19"/>
      <c r="P24" s="19"/>
      <c r="Q24" s="19"/>
    </row>
    <row r="25" spans="1:33" customFormat="1" ht="23.15" customHeight="1"/>
    <row r="26" spans="1:33">
      <c r="A26" s="19"/>
      <c r="B26" s="19"/>
      <c r="C26" s="19"/>
      <c r="D26" s="19"/>
      <c r="E26" s="19"/>
      <c r="F26" s="19"/>
      <c r="G26" s="19"/>
      <c r="H26" s="19"/>
      <c r="I26" s="19"/>
      <c r="J26" s="19"/>
      <c r="K26" s="19"/>
      <c r="L26" s="19"/>
      <c r="M26" s="19"/>
      <c r="N26" s="19"/>
      <c r="O26" s="19"/>
      <c r="P26" s="19"/>
      <c r="Q26" s="19"/>
    </row>
    <row r="27" spans="1:33">
      <c r="A27" s="19"/>
      <c r="B27" s="19"/>
      <c r="C27" s="19"/>
      <c r="D27" s="19"/>
      <c r="E27" s="19"/>
      <c r="F27" s="19"/>
      <c r="G27" s="19"/>
      <c r="H27" s="19"/>
      <c r="I27" s="19"/>
      <c r="J27" s="19"/>
      <c r="K27" s="19"/>
      <c r="L27" s="19"/>
      <c r="M27" s="19"/>
      <c r="N27" s="19"/>
      <c r="O27" s="19"/>
      <c r="P27" s="19"/>
      <c r="Q27" s="19"/>
      <c r="R27" s="19"/>
    </row>
    <row r="28" spans="1:33">
      <c r="A28" s="19"/>
      <c r="B28" s="19"/>
      <c r="C28" s="19"/>
      <c r="D28" s="19"/>
      <c r="E28" s="19"/>
      <c r="F28" s="19"/>
      <c r="G28" s="19"/>
      <c r="H28" s="19"/>
      <c r="I28" s="19"/>
      <c r="J28" s="19"/>
      <c r="K28" s="19"/>
      <c r="L28" s="19"/>
      <c r="M28" s="19"/>
      <c r="N28" s="19"/>
      <c r="O28" s="19"/>
      <c r="P28" s="19"/>
      <c r="Q28" s="19"/>
      <c r="R28" s="19"/>
    </row>
    <row r="29" spans="1:33">
      <c r="A29" s="19"/>
      <c r="B29" s="19"/>
      <c r="C29" s="19"/>
      <c r="D29" s="19"/>
      <c r="E29" s="19"/>
      <c r="F29" s="19"/>
      <c r="G29" s="19"/>
      <c r="H29" s="19"/>
      <c r="I29" s="19"/>
      <c r="J29" s="19"/>
      <c r="K29" s="19"/>
      <c r="L29" s="19"/>
      <c r="M29" s="19"/>
      <c r="N29" s="19"/>
      <c r="O29" s="19"/>
      <c r="P29" s="19"/>
      <c r="Q29" s="19"/>
      <c r="R29" s="19"/>
    </row>
    <row r="30" spans="1:33">
      <c r="A30" s="19"/>
      <c r="B30" s="19"/>
      <c r="C30" s="19"/>
      <c r="D30" s="19"/>
      <c r="E30" s="19"/>
      <c r="F30" s="19"/>
      <c r="G30" s="19"/>
      <c r="H30" s="19"/>
      <c r="I30" s="19"/>
      <c r="J30" s="19"/>
      <c r="K30" s="19"/>
      <c r="L30" s="19"/>
      <c r="M30" s="19"/>
      <c r="N30" s="19"/>
      <c r="O30" s="19"/>
      <c r="P30" s="19"/>
      <c r="Q30" s="19"/>
      <c r="R30" s="19"/>
    </row>
    <row r="31" spans="1:33">
      <c r="A31" s="19"/>
      <c r="B31" s="19"/>
      <c r="C31" s="19"/>
      <c r="D31" s="19"/>
      <c r="E31" s="19"/>
      <c r="F31" s="19"/>
      <c r="G31" s="19"/>
      <c r="H31" s="19"/>
      <c r="I31" s="19"/>
      <c r="J31" s="19"/>
      <c r="K31" s="19"/>
      <c r="L31" s="19"/>
      <c r="M31" s="19"/>
      <c r="N31" s="19"/>
      <c r="O31" s="19"/>
      <c r="P31" s="19"/>
      <c r="Q31" s="19"/>
    </row>
    <row r="32" spans="1:33">
      <c r="A32" s="19"/>
      <c r="B32" s="19"/>
      <c r="C32" s="19"/>
      <c r="D32" s="19"/>
      <c r="E32" s="19"/>
      <c r="F32" s="19"/>
      <c r="G32" s="19"/>
      <c r="H32" s="19"/>
      <c r="I32" s="19"/>
      <c r="J32" s="19"/>
      <c r="K32" s="19"/>
      <c r="L32" s="19"/>
      <c r="M32" s="19"/>
      <c r="N32" s="19"/>
      <c r="O32" s="19"/>
      <c r="P32" s="19"/>
      <c r="Q32" s="19"/>
    </row>
    <row r="33" spans="1:17">
      <c r="A33" s="19"/>
      <c r="B33" s="19"/>
      <c r="C33" s="19"/>
      <c r="D33" s="19"/>
      <c r="E33" s="19"/>
      <c r="F33" s="19"/>
      <c r="G33" s="19"/>
      <c r="H33" s="19"/>
      <c r="I33" s="19"/>
      <c r="J33" s="19"/>
      <c r="K33" s="19"/>
      <c r="L33" s="19"/>
      <c r="M33" s="19"/>
      <c r="N33" s="19"/>
      <c r="O33" s="19"/>
      <c r="P33" s="19"/>
      <c r="Q33" s="19"/>
    </row>
    <row r="34" spans="1:17">
      <c r="A34" s="19"/>
      <c r="B34" s="19"/>
      <c r="C34" s="19"/>
      <c r="D34" s="19"/>
      <c r="E34" s="19"/>
      <c r="F34" s="19"/>
      <c r="G34" s="19"/>
      <c r="H34" s="19"/>
      <c r="I34" s="19"/>
      <c r="J34" s="19"/>
      <c r="K34" s="19"/>
      <c r="L34" s="19"/>
      <c r="M34" s="19"/>
      <c r="N34" s="19"/>
      <c r="O34" s="19"/>
      <c r="P34" s="19"/>
      <c r="Q34" s="19"/>
    </row>
    <row r="35" spans="1:17">
      <c r="A35" s="19"/>
      <c r="B35" s="19"/>
      <c r="C35" s="19"/>
      <c r="D35" s="19"/>
      <c r="E35" s="19"/>
      <c r="F35" s="19"/>
      <c r="G35" s="19"/>
      <c r="H35" s="19"/>
      <c r="I35" s="19"/>
      <c r="J35" s="19"/>
      <c r="K35" s="19"/>
      <c r="L35" s="19"/>
      <c r="M35" s="19"/>
      <c r="N35" s="19"/>
      <c r="O35" s="19"/>
      <c r="P35" s="19"/>
      <c r="Q35" s="19"/>
    </row>
    <row r="36" spans="1:17">
      <c r="A36" s="19"/>
      <c r="B36" s="19"/>
      <c r="C36" s="19"/>
      <c r="D36" s="19"/>
      <c r="E36" s="19"/>
      <c r="F36" s="19"/>
      <c r="G36" s="19"/>
      <c r="H36" s="19"/>
      <c r="I36" s="19"/>
      <c r="J36" s="19"/>
      <c r="K36" s="19"/>
      <c r="L36" s="19"/>
      <c r="M36" s="19"/>
      <c r="N36" s="19"/>
      <c r="O36" s="19"/>
      <c r="P36" s="19"/>
      <c r="Q36" s="19"/>
    </row>
    <row r="37" spans="1:17">
      <c r="A37" s="19"/>
      <c r="B37" s="19"/>
      <c r="C37" s="19"/>
      <c r="D37" s="19"/>
      <c r="E37" s="19"/>
      <c r="F37" s="19"/>
      <c r="G37" s="19"/>
      <c r="H37" s="19"/>
      <c r="I37" s="19"/>
      <c r="J37" s="19"/>
      <c r="K37" s="19"/>
      <c r="L37" s="19"/>
      <c r="M37" s="19"/>
      <c r="N37" s="19"/>
      <c r="O37" s="19"/>
      <c r="P37" s="19"/>
      <c r="Q37" s="19"/>
    </row>
    <row r="38" spans="1:17">
      <c r="A38" s="19"/>
      <c r="B38" s="19"/>
      <c r="C38" s="19"/>
      <c r="D38" s="19"/>
      <c r="E38" s="19"/>
      <c r="F38" s="19"/>
      <c r="G38" s="19"/>
      <c r="H38" s="19"/>
      <c r="I38" s="19"/>
      <c r="J38" s="19"/>
      <c r="K38" s="19"/>
      <c r="L38" s="19"/>
      <c r="M38" s="19"/>
      <c r="N38" s="19"/>
      <c r="O38" s="19"/>
      <c r="P38" s="19"/>
      <c r="Q38" s="19"/>
    </row>
    <row r="39" spans="1:17">
      <c r="A39" s="19"/>
      <c r="B39" s="19"/>
      <c r="C39" s="19"/>
      <c r="D39" s="19"/>
      <c r="E39" s="19"/>
      <c r="F39" s="19"/>
      <c r="G39" s="19"/>
      <c r="H39" s="19"/>
      <c r="I39" s="19"/>
      <c r="J39" s="19"/>
      <c r="K39" s="19"/>
      <c r="L39" s="19"/>
      <c r="M39" s="19"/>
      <c r="N39" s="19"/>
      <c r="O39" s="19"/>
      <c r="P39" s="19"/>
      <c r="Q39" s="19"/>
    </row>
    <row r="40" spans="1:17">
      <c r="A40" s="19"/>
      <c r="B40" s="19"/>
      <c r="C40" s="19"/>
      <c r="D40" s="19"/>
      <c r="E40" s="19"/>
      <c r="F40" s="19"/>
      <c r="G40" s="19"/>
      <c r="H40" s="19"/>
      <c r="I40" s="19"/>
      <c r="J40" s="19"/>
      <c r="K40" s="19"/>
      <c r="L40" s="19"/>
      <c r="M40" s="19"/>
      <c r="N40" s="19"/>
      <c r="O40" s="19"/>
      <c r="P40" s="19"/>
      <c r="Q40" s="19"/>
    </row>
    <row r="41" spans="1:17">
      <c r="A41" s="19"/>
      <c r="B41" s="19"/>
      <c r="C41" s="19"/>
      <c r="D41" s="19"/>
      <c r="E41" s="19"/>
      <c r="F41" s="19"/>
      <c r="G41" s="19"/>
      <c r="H41" s="19"/>
      <c r="I41" s="19"/>
      <c r="J41" s="19"/>
      <c r="K41" s="19"/>
      <c r="L41" s="19"/>
      <c r="M41" s="19"/>
      <c r="N41" s="19"/>
      <c r="O41" s="19"/>
      <c r="P41" s="19"/>
      <c r="Q41" s="19"/>
    </row>
    <row r="42" spans="1:17">
      <c r="A42" s="19"/>
      <c r="B42" s="19"/>
      <c r="C42" s="19"/>
      <c r="D42" s="19"/>
      <c r="E42" s="19"/>
      <c r="F42" s="19"/>
      <c r="G42" s="19"/>
      <c r="H42" s="19"/>
      <c r="I42" s="19"/>
      <c r="J42" s="19"/>
      <c r="K42" s="19"/>
      <c r="L42" s="19"/>
      <c r="M42" s="19"/>
      <c r="N42" s="19"/>
      <c r="O42" s="19"/>
      <c r="P42" s="19"/>
      <c r="Q42" s="19"/>
    </row>
    <row r="43" spans="1:17">
      <c r="A43" s="19"/>
      <c r="B43" s="19"/>
      <c r="C43" s="19"/>
      <c r="D43" s="19"/>
      <c r="E43" s="19"/>
      <c r="F43" s="19"/>
      <c r="G43" s="19"/>
      <c r="H43" s="19"/>
      <c r="I43" s="19"/>
      <c r="J43" s="19"/>
      <c r="K43" s="19"/>
      <c r="L43" s="19"/>
      <c r="M43" s="19"/>
      <c r="N43" s="19"/>
      <c r="O43" s="19"/>
      <c r="P43" s="19"/>
      <c r="Q43" s="19"/>
    </row>
  </sheetData>
  <sheetProtection algorithmName="SHA-512" hashValue="j5Q5Dx2kBJmXwYLyVlMC3dXVA0OOY2RWCPX+LyOL3zX7Qq/xHxsW6we4oPCtwjerm85hv0R63T8+sI6gPg2fVg==" saltValue="9ivxwYq+OC6U/nrixqwreA==" spinCount="100000" sheet="1" objects="1" scenarios="1"/>
  <mergeCells count="40">
    <mergeCell ref="A21:D21"/>
    <mergeCell ref="A23:R23"/>
    <mergeCell ref="A16:D16"/>
    <mergeCell ref="A17:D17"/>
    <mergeCell ref="A18:D18"/>
    <mergeCell ref="A19:D19"/>
    <mergeCell ref="A20:D20"/>
    <mergeCell ref="A12:B15"/>
    <mergeCell ref="C12:D12"/>
    <mergeCell ref="C13:D13"/>
    <mergeCell ref="C14:D14"/>
    <mergeCell ref="C15:D15"/>
    <mergeCell ref="A6:D6"/>
    <mergeCell ref="A7:D7"/>
    <mergeCell ref="A8:D8"/>
    <mergeCell ref="A9:B11"/>
    <mergeCell ref="C9:D9"/>
    <mergeCell ref="C10:D10"/>
    <mergeCell ref="C11:D11"/>
    <mergeCell ref="N2:O3"/>
    <mergeCell ref="P2:R3"/>
    <mergeCell ref="E4:E5"/>
    <mergeCell ref="F4:F5"/>
    <mergeCell ref="G4:G5"/>
    <mergeCell ref="H4:H5"/>
    <mergeCell ref="I4:I5"/>
    <mergeCell ref="J4:J5"/>
    <mergeCell ref="K4:K5"/>
    <mergeCell ref="L4:L5"/>
    <mergeCell ref="M4:M5"/>
    <mergeCell ref="N4:N5"/>
    <mergeCell ref="O4:O5"/>
    <mergeCell ref="P4:P5"/>
    <mergeCell ref="Q4:Q5"/>
    <mergeCell ref="R4:R5"/>
    <mergeCell ref="E2:E3"/>
    <mergeCell ref="F2:G3"/>
    <mergeCell ref="H2:I3"/>
    <mergeCell ref="J2:K3"/>
    <mergeCell ref="L2:M3"/>
  </mergeCells>
  <phoneticPr fontId="3"/>
  <dataValidations count="1">
    <dataValidation type="whole" imeMode="off" operator="greaterThanOrEqual" allowBlank="1" showInputMessage="1" showErrorMessage="1" sqref="F21:O21 F6:O18" xr:uid="{00000000-0002-0000-0400-000000000000}">
      <formula1>0</formula1>
    </dataValidation>
  </dataValidations>
  <pageMargins left="0.7" right="0.7" top="0.75" bottom="0.75" header="0.3" footer="0.3"/>
  <pageSetup paperSize="9" scale="83"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66"/>
    <pageSetUpPr fitToPage="1"/>
  </sheetPr>
  <dimension ref="A1:EX1073"/>
  <sheetViews>
    <sheetView zoomScaleNormal="100" workbookViewId="0">
      <pane ySplit="2" topLeftCell="A3" activePane="bottomLeft" state="frozen"/>
      <selection pane="bottomLeft" activeCell="K16" sqref="K16"/>
    </sheetView>
  </sheetViews>
  <sheetFormatPr defaultColWidth="9" defaultRowHeight="12"/>
  <cols>
    <col min="1" max="2" width="2.6328125" style="1" customWidth="1"/>
    <col min="3" max="4" width="6.453125" style="1" bestFit="1" customWidth="1"/>
    <col min="5" max="154" width="15.6328125" style="1" customWidth="1"/>
    <col min="155" max="16384" width="9" style="1"/>
  </cols>
  <sheetData>
    <row r="1" spans="1:154" ht="21.25" customHeight="1" thickBot="1">
      <c r="A1" s="314" t="s">
        <v>2486</v>
      </c>
      <c r="B1" s="313"/>
      <c r="C1" s="313"/>
      <c r="D1" s="313"/>
      <c r="F1" s="313" t="s">
        <v>2037</v>
      </c>
      <c r="I1" t="str">
        <f>'様式1-4（計画代替）'!E4</f>
        <v>令和　年　月　日
現在　　　　　</v>
      </c>
      <c r="J1" s="202"/>
      <c r="L1" s="203"/>
      <c r="M1" s="13"/>
    </row>
    <row r="2" spans="1:154" ht="21.25" customHeight="1" thickBot="1">
      <c r="A2" s="815" t="s">
        <v>2036</v>
      </c>
      <c r="B2" s="816"/>
      <c r="C2" s="817"/>
      <c r="D2" s="219"/>
      <c r="E2" s="213">
        <v>1</v>
      </c>
      <c r="F2" s="121">
        <v>2</v>
      </c>
      <c r="G2" s="121">
        <v>3</v>
      </c>
      <c r="H2" s="121">
        <v>4</v>
      </c>
      <c r="I2" s="121">
        <v>5</v>
      </c>
      <c r="J2" s="122">
        <v>6</v>
      </c>
      <c r="K2" s="122">
        <v>7</v>
      </c>
      <c r="L2" s="121">
        <v>8</v>
      </c>
      <c r="M2" s="121">
        <v>9</v>
      </c>
      <c r="N2" s="373">
        <v>10</v>
      </c>
      <c r="O2" s="400">
        <v>11</v>
      </c>
      <c r="P2" s="400">
        <v>12</v>
      </c>
      <c r="Q2" s="400">
        <v>13</v>
      </c>
      <c r="R2" s="400">
        <v>14</v>
      </c>
      <c r="S2" s="400">
        <v>15</v>
      </c>
      <c r="T2" s="400">
        <v>16</v>
      </c>
      <c r="U2" s="400">
        <v>17</v>
      </c>
      <c r="V2" s="400">
        <v>18</v>
      </c>
      <c r="W2" s="400">
        <v>19</v>
      </c>
      <c r="X2" s="400">
        <v>20</v>
      </c>
      <c r="Y2" s="400">
        <v>21</v>
      </c>
      <c r="Z2" s="400">
        <v>22</v>
      </c>
      <c r="AA2" s="400">
        <v>23</v>
      </c>
      <c r="AB2" s="400">
        <v>24</v>
      </c>
      <c r="AC2" s="400">
        <v>25</v>
      </c>
      <c r="AD2" s="400">
        <v>26</v>
      </c>
      <c r="AE2" s="400">
        <v>27</v>
      </c>
      <c r="AF2" s="400">
        <v>28</v>
      </c>
      <c r="AG2" s="400">
        <v>29</v>
      </c>
      <c r="AH2" s="401">
        <v>30</v>
      </c>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ht="30.25" customHeight="1">
      <c r="A3" s="818" t="s">
        <v>2479</v>
      </c>
      <c r="B3" s="819"/>
      <c r="C3" s="820"/>
      <c r="D3" s="219"/>
      <c r="E3" s="214"/>
      <c r="F3" s="174"/>
      <c r="G3" s="174"/>
      <c r="H3" s="174"/>
      <c r="I3" s="174"/>
      <c r="J3" s="175"/>
      <c r="K3" s="175"/>
      <c r="L3" s="174"/>
      <c r="M3" s="174"/>
      <c r="N3" s="374"/>
      <c r="O3" s="412"/>
      <c r="P3" s="412"/>
      <c r="Q3" s="412"/>
      <c r="R3" s="412"/>
      <c r="S3" s="412"/>
      <c r="T3" s="412"/>
      <c r="U3" s="412"/>
      <c r="V3" s="412"/>
      <c r="W3" s="412"/>
      <c r="X3" s="412"/>
      <c r="Y3" s="412"/>
      <c r="Z3" s="412"/>
      <c r="AA3" s="412"/>
      <c r="AB3" s="412"/>
      <c r="AC3" s="412"/>
      <c r="AD3" s="412"/>
      <c r="AE3" s="412"/>
      <c r="AF3" s="412"/>
      <c r="AG3" s="412"/>
      <c r="AH3" s="41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60" customHeight="1">
      <c r="A4" s="821" t="s">
        <v>2480</v>
      </c>
      <c r="B4" s="822"/>
      <c r="C4" s="823"/>
      <c r="D4" s="220"/>
      <c r="E4" s="215"/>
      <c r="F4" s="176"/>
      <c r="G4" s="176"/>
      <c r="H4" s="176"/>
      <c r="I4" s="176"/>
      <c r="J4" s="177"/>
      <c r="K4" s="177"/>
      <c r="L4" s="176"/>
      <c r="M4" s="176"/>
      <c r="N4" s="375"/>
      <c r="O4" s="414"/>
      <c r="P4" s="414"/>
      <c r="Q4" s="414"/>
      <c r="R4" s="414"/>
      <c r="S4" s="414"/>
      <c r="T4" s="414"/>
      <c r="U4" s="414"/>
      <c r="V4" s="414"/>
      <c r="W4" s="414"/>
      <c r="X4" s="414"/>
      <c r="Y4" s="414"/>
      <c r="Z4" s="414"/>
      <c r="AA4" s="414"/>
      <c r="AB4" s="414"/>
      <c r="AC4" s="414"/>
      <c r="AD4" s="414"/>
      <c r="AE4" s="414"/>
      <c r="AF4" s="414"/>
      <c r="AG4" s="414"/>
      <c r="AH4" s="415"/>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row>
    <row r="5" spans="1:154" ht="30.25" customHeight="1" thickBot="1">
      <c r="A5" s="821" t="s">
        <v>2481</v>
      </c>
      <c r="B5" s="822"/>
      <c r="C5" s="823"/>
      <c r="D5" s="221"/>
      <c r="E5" s="216"/>
      <c r="F5" s="204"/>
      <c r="G5" s="204"/>
      <c r="H5" s="204"/>
      <c r="I5" s="204"/>
      <c r="J5" s="205"/>
      <c r="K5" s="205"/>
      <c r="L5" s="204"/>
      <c r="M5" s="204"/>
      <c r="N5" s="408"/>
      <c r="O5" s="414"/>
      <c r="P5" s="414"/>
      <c r="Q5" s="414"/>
      <c r="R5" s="414"/>
      <c r="S5" s="414"/>
      <c r="T5" s="414"/>
      <c r="U5" s="414"/>
      <c r="V5" s="414"/>
      <c r="W5" s="414"/>
      <c r="X5" s="414"/>
      <c r="Y5" s="414"/>
      <c r="Z5" s="414"/>
      <c r="AA5" s="414"/>
      <c r="AB5" s="414"/>
      <c r="AC5" s="414"/>
      <c r="AD5" s="414"/>
      <c r="AE5" s="414"/>
      <c r="AF5" s="414"/>
      <c r="AG5" s="414"/>
      <c r="AH5" s="41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row>
    <row r="6" spans="1:154" ht="13.5" thickBot="1">
      <c r="A6" s="824" t="s">
        <v>222</v>
      </c>
      <c r="B6" s="825"/>
      <c r="C6" s="826"/>
      <c r="D6" s="77">
        <f>SUM(E6:AH6)</f>
        <v>0</v>
      </c>
      <c r="E6" s="217"/>
      <c r="F6" s="179"/>
      <c r="G6" s="179"/>
      <c r="H6" s="179"/>
      <c r="I6" s="179"/>
      <c r="J6" s="178"/>
      <c r="K6" s="178"/>
      <c r="L6" s="179"/>
      <c r="M6" s="179"/>
      <c r="N6" s="376"/>
      <c r="O6" s="409"/>
      <c r="P6" s="409"/>
      <c r="Q6" s="409"/>
      <c r="R6" s="409"/>
      <c r="S6" s="409"/>
      <c r="T6" s="409"/>
      <c r="U6" s="409"/>
      <c r="V6" s="409"/>
      <c r="W6" s="409"/>
      <c r="X6" s="409"/>
      <c r="Y6" s="409"/>
      <c r="Z6" s="409"/>
      <c r="AA6" s="409"/>
      <c r="AB6" s="409"/>
      <c r="AC6" s="409"/>
      <c r="AD6" s="409"/>
      <c r="AE6" s="409"/>
      <c r="AF6" s="409"/>
      <c r="AG6" s="409"/>
      <c r="AH6" s="410"/>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row>
    <row r="7" spans="1:154" ht="39.5" thickBot="1">
      <c r="A7" s="827" t="s">
        <v>202</v>
      </c>
      <c r="B7" s="828"/>
      <c r="C7" s="84" t="s">
        <v>203</v>
      </c>
      <c r="D7" s="85" t="s">
        <v>2453</v>
      </c>
      <c r="E7" s="218" t="s">
        <v>204</v>
      </c>
      <c r="F7" s="86" t="s">
        <v>204</v>
      </c>
      <c r="G7" s="86" t="s">
        <v>204</v>
      </c>
      <c r="H7" s="87" t="s">
        <v>204</v>
      </c>
      <c r="I7" s="86" t="s">
        <v>204</v>
      </c>
      <c r="J7" s="83" t="s">
        <v>204</v>
      </c>
      <c r="K7" s="83" t="s">
        <v>204</v>
      </c>
      <c r="L7" s="86" t="s">
        <v>204</v>
      </c>
      <c r="M7" s="87" t="s">
        <v>204</v>
      </c>
      <c r="N7" s="380" t="s">
        <v>204</v>
      </c>
      <c r="O7" s="380" t="s">
        <v>204</v>
      </c>
      <c r="P7" s="380" t="s">
        <v>204</v>
      </c>
      <c r="Q7" s="380" t="s">
        <v>204</v>
      </c>
      <c r="R7" s="380" t="s">
        <v>204</v>
      </c>
      <c r="S7" s="380" t="s">
        <v>204</v>
      </c>
      <c r="T7" s="380" t="s">
        <v>204</v>
      </c>
      <c r="U7" s="380" t="s">
        <v>204</v>
      </c>
      <c r="V7" s="380" t="s">
        <v>204</v>
      </c>
      <c r="W7" s="380" t="s">
        <v>204</v>
      </c>
      <c r="X7" s="380" t="s">
        <v>204</v>
      </c>
      <c r="Y7" s="380" t="s">
        <v>204</v>
      </c>
      <c r="Z7" s="380" t="s">
        <v>204</v>
      </c>
      <c r="AA7" s="380" t="s">
        <v>204</v>
      </c>
      <c r="AB7" s="380" t="s">
        <v>204</v>
      </c>
      <c r="AC7" s="380" t="s">
        <v>204</v>
      </c>
      <c r="AD7" s="380" t="s">
        <v>204</v>
      </c>
      <c r="AE7" s="380" t="s">
        <v>204</v>
      </c>
      <c r="AF7" s="380" t="s">
        <v>204</v>
      </c>
      <c r="AG7" s="380" t="s">
        <v>204</v>
      </c>
      <c r="AH7" s="381" t="s">
        <v>204</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row>
    <row r="8" spans="1:154" ht="26">
      <c r="A8" s="810" t="s">
        <v>205</v>
      </c>
      <c r="B8" s="696"/>
      <c r="C8" s="75" t="s">
        <v>2437</v>
      </c>
      <c r="D8" s="353">
        <f>SUM(E8:AH8)</f>
        <v>0</v>
      </c>
      <c r="E8" s="354" t="str">
        <f>IF($B$64=0,"",IF(SUMIF($A$34:$A$63,E$2,$B$34:$B$63)=0,"",(SUMIF($A$34:$A$63,E$2,$B$34:$B$63)-$B$70)))</f>
        <v/>
      </c>
      <c r="F8" s="355" t="str">
        <f>IF($B$64=0,"",IF(SUMIF($A$34:$A$63,F$2,$B$34:$B$63)=0,"",(SUMIF($A$34:$A$63,F$2,$B$34:$B$63)-$B$71)))</f>
        <v/>
      </c>
      <c r="G8" s="355" t="str">
        <f>IF($B$64=0,"",IF(SUMIF($A$34:$A$63,G$2,$B$34:$B$63)=0,"",(SUMIF($A$34:$A$63,G$2,$B$34:$B$63)-$B$72)))</f>
        <v/>
      </c>
      <c r="H8" s="355" t="str">
        <f>IF($B$64=0,"",IF(SUMIF($A$34:$A$63,H$2,$B$34:$B$63)=0,"",(SUMIF($A$34:$A$63,H$2,$B$34:$B$63)-$B$73)))</f>
        <v/>
      </c>
      <c r="I8" s="355" t="str">
        <f>IF($B$64=0,"",IF(SUMIF($A$34:$A$63,I$2,$B$34:$B$63)=0,"",(SUMIF($A$34:$A$63,I$2,$B$34:$B$63)-$B$74)))</f>
        <v/>
      </c>
      <c r="J8" s="356" t="str">
        <f>IF($B$64=0,"",IF(SUMIF($A$34:$A$63,J$2,$B$34:$B$63)=0,"",(SUMIF($A$34:$A$63,J$2,$B$34:$B$63)-$B$75)))</f>
        <v/>
      </c>
      <c r="K8" s="356" t="str">
        <f>IF($B$64=0,"",IF(SUMIF($A$34:$A$63,K$2,$B$34:$B$63)=0,"",(SUMIF($A$34:$A$63,K$2,$B$34:$B$63)-$B$76)))</f>
        <v/>
      </c>
      <c r="L8" s="355" t="str">
        <f>IF($B$64=0,"",IF(SUMIF($A$34:$A$63,L$2,$B$34:$B$63)=0,"",(SUMIF($A$34:$A$63,L$2,$B$34:$B$63)-$B$77)))</f>
        <v/>
      </c>
      <c r="M8" s="355" t="str">
        <f>IF($B$64=0,"",IF(SUMIF($A$34:$A$63,M$2,$B$34:$B$63)=0,"",(SUMIF($A$34:$A$63,M$2,$B$34:$B$63)-$B78)))</f>
        <v/>
      </c>
      <c r="N8" s="355" t="str">
        <f>IF($B$64=0,"",IF(SUMIF($A$34:$A$63,N$2,$B$34:$B$63)=0,"",(SUMIF($A$34:$A$63,N$2,$B$34:$B$63)-$B$79)))</f>
        <v/>
      </c>
      <c r="O8" s="377" t="str">
        <f>IF($B$64=0,"",IF(SUMIF($A$34:$A$63,O$2,$B$34:$B$63)=0,"",(SUMIF($A$34:$A$63,O$2,$B$34:$B$63)-$B$80)))</f>
        <v/>
      </c>
      <c r="P8" s="377" t="str">
        <f>IF($B$64=0,"",IF(SUMIF($A$34:$A$63,P$2,$B$34:$B$63)=0,"",(SUMIF($A$34:$A$63,P$2,$B$34:$B$63)-$B$81)))</f>
        <v/>
      </c>
      <c r="Q8" s="377" t="str">
        <f>IF($B$64=0,"",IF(SUMIF($A$34:$A$63,Q$2,$B$34:$B$63)=0,"",(SUMIF($A$34:$A$63,Q$2,$B$34:$B$63)-$B$82)))</f>
        <v/>
      </c>
      <c r="R8" s="377" t="str">
        <f>IF($B$64=0,"",IF(SUMIF($A$34:$A$63,R$2,$B$34:$B$63)=0,"",(SUMIF($A$34:$A$63,R$2,$B$34:$B$63)-$B$83)))</f>
        <v/>
      </c>
      <c r="S8" s="377" t="str">
        <f>IF($B$64=0,"",IF(SUMIF($A$34:$A$63,S$2,$B$34:$B$63)=0,"",(SUMIF($A$34:$A$63,S$2,$B$34:$B$63)-$B$84)))</f>
        <v/>
      </c>
      <c r="T8" s="377" t="str">
        <f>IF($B$64=0,"",IF(SUMIF($A$34:$A$63,T$2,$B$34:$B$63)=0,"",(SUMIF($A$34:$A$63,T$2,$B$34:$B$63)-$B$85)))</f>
        <v/>
      </c>
      <c r="U8" s="377" t="str">
        <f>IF($B$64=0,"",IF(SUMIF($A$34:$A$63,U$2,$B$34:$B$63)=0,"",(SUMIF($A$34:$A$63,U$2,$B$34:$B$63)-$B$86)))</f>
        <v/>
      </c>
      <c r="V8" s="377" t="str">
        <f>IF($B$64=0,"",IF(SUMIF($A$34:$A$63,V$2,$B$34:$B$63)=0,"",(SUMIF($A$34:$A$63,V$2,$B$34:$B$63)-$B$87)))</f>
        <v/>
      </c>
      <c r="W8" s="377" t="str">
        <f>IF($B$64=0,"",IF(SUMIF($A$34:$A$63,W$2,$B$34:$B$63)=0,"",(SUMIF($A$34:$A$63,W$2,$B$34:$B$63)-$B$88)))</f>
        <v/>
      </c>
      <c r="X8" s="377" t="str">
        <f>IF($B$64=0,"",IF(SUMIF($A$34:$A$63,X$2,$B$34:$B$63)=0,"",(SUMIF($A$34:$A$63,X$2,$B$34:$B$63)-$B$89)))</f>
        <v/>
      </c>
      <c r="Y8" s="377" t="str">
        <f>IF($B$64=0,"",IF(SUMIF($A$34:$A$63,Y$2,$B$34:$B$63)=0,"",(SUMIF($A$34:$A$63,Y$2,$B$34:$B$63)-$B$90)))</f>
        <v/>
      </c>
      <c r="Z8" s="377" t="str">
        <f>IF($B$64=0,"",IF(SUMIF($A$34:$A$63,Z$2,$B$34:$B$63)=0,"",(SUMIF($A$34:$A$63,Z$2,$B$34:$B$63)-$B$91)))</f>
        <v/>
      </c>
      <c r="AA8" s="377" t="str">
        <f>IF($B$64=0,"",IF(SUMIF($A$34:$A$63,AA$2,$B$34:$B$63)=0,"",(SUMIF($A$34:$A$63,AA$2,$B$34:$B$63)-$B$92)))</f>
        <v/>
      </c>
      <c r="AB8" s="377" t="str">
        <f>IF($B$64=0,"",IF(SUMIF($A$34:$A$63,AB$2,$B$34:$B$63)=0,"",(SUMIF($A$34:$A$63,AB$2,$B$34:$B$63)-$B$93)))</f>
        <v/>
      </c>
      <c r="AC8" s="377" t="str">
        <f>IF($B$64=0,"",IF(SUMIF($A$34:$A$63,AC$2,$B$34:$B$63)=0,"",(SUMIF($A$34:$A$63,AC$2,$B$34:$B$63)-$B$94)))</f>
        <v/>
      </c>
      <c r="AD8" s="377" t="str">
        <f>IF($B$64=0,"",IF(SUMIF($A$34:$A$63,AD$2,$B$34:$B$63)=0,"",(SUMIF($A$34:$A$63,AD$2,$B$34:$B$63)-$B$95)))</f>
        <v/>
      </c>
      <c r="AE8" s="377" t="str">
        <f>IF($B$64=0,"",IF(SUMIF($A$34:$A$63,AE$2,$B$34:$B$63)=0,"",(SUMIF($A$34:$A$63,AE$2,$B$34:$B$63)-$B$96)))</f>
        <v/>
      </c>
      <c r="AF8" s="377" t="str">
        <f>IF($B$64=0,"",IF(SUMIF($A$34:$A$63,AF$2,$B$34:$B$63)=0,"",(SUMIF($A$34:$A$63,AF$2,$B$34:$B$63)-$B$97)))</f>
        <v/>
      </c>
      <c r="AG8" s="377" t="str">
        <f>IF($B$64=0,"",IF(SUMIF($A$34:$A$63,AG$2,$B$34:$B$63)=0,"",(SUMIF($A$34:$A$63,AG$2,$B$34:$B$63)-$B$98)))</f>
        <v/>
      </c>
      <c r="AH8" s="357" t="str">
        <f>IF($B$64=0,"",IF(SUMIF($A$34:$A$63,AH$2,$B$34:$B$63)=0,"",(SUMIF($A$34:$A$63,AH$2,$B$34:$B$63)-$B$99)))</f>
        <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row>
    <row r="9" spans="1:154" ht="39">
      <c r="A9" s="811"/>
      <c r="B9" s="812"/>
      <c r="C9" s="76" t="s">
        <v>2438</v>
      </c>
      <c r="D9" s="358">
        <f>SUM(E9:AH9)</f>
        <v>0</v>
      </c>
      <c r="E9" s="359" t="str">
        <f>IF($C$64=0,"",IF(SUMIF($A$34:$A$63,E$2,$C$34:$C$63)=0,"",(SUMIF($A$34:$A$63,E$2,$C$34:$C$63)-$C$70)))</f>
        <v/>
      </c>
      <c r="F9" s="360" t="str">
        <f>IF($C$64=0,"",IF(SUMIF($A$34:$A$63,F$2,$C$34:$C$63)=0,"",(SUMIF($A$34:$A$63,F$2,$C$34:$C$63)-$C$71)))</f>
        <v/>
      </c>
      <c r="G9" s="361" t="str">
        <f>IF($C$64=0,"",IF(SUMIF($A$34:$A$63,G$2,$C$34:$C$63)=0,"",(SUMIF($A$34:$A$63,G$2,$C$34:$C$63)-$C$72)))</f>
        <v/>
      </c>
      <c r="H9" s="361" t="str">
        <f>IF($C$64=0,"",IF(SUMIF($A$34:$A$63,H$2,$C$34:$C$63)=0,"",(SUMIF($A$34:$A$63,H$2,$C$34:$C$63)-$C$73)))</f>
        <v/>
      </c>
      <c r="I9" s="361" t="str">
        <f>IF($C$64=0,"",IF(SUMIF($A$34:$A$63,I$2,$C$34:$C$63)=0,"",(SUMIF($A$34:$A$63,I$2,$C$34:$C$63)-$C$74)))</f>
        <v/>
      </c>
      <c r="J9" s="362" t="str">
        <f>IF($C$64=0,"",IF(SUMIF($A$34:$A$63,J$2,$C$34:$C$63)=0,"",(SUMIF($A$34:$A$63,J$2,$C$34:$C$63)-$C$75)))</f>
        <v/>
      </c>
      <c r="K9" s="360" t="str">
        <f>IF($C$64=0,"",IF(SUMIF($A$34:$A$63,K$2,$C$34:$C$63)=0,"",(SUMIF($A$34:$A$63,K$2,$C$34:$C$63)-$C$76)))</f>
        <v/>
      </c>
      <c r="L9" s="361" t="str">
        <f>IF($C$64=0,"",IF(SUMIF($A$34:$A$63,L$2,$C$34:$C$63)=0,"",(SUMIF($A$34:$A$63,L$2,$C$34:$C$63)-$C$77)))</f>
        <v/>
      </c>
      <c r="M9" s="361" t="str">
        <f>IF($C$64=0,"",IF(SUMIF($A$34:$A$63,M$2,$C$34:$C$63)=0,"",(SUMIF($A$34:$A$63,M$2,$C$34:$C$63)-$C$78)))</f>
        <v/>
      </c>
      <c r="N9" s="378" t="str">
        <f>IF($C$64=0,"",IF(SUMIF($A$34:$A$63,N$2,$C$34:$C$63)=0,"",(SUMIF($A$34:$A$63,N$2,$C$34:$C$63)-$C$79)))</f>
        <v/>
      </c>
      <c r="O9" s="378" t="str">
        <f>IF($C$64=0,"",IF(SUMIF($A$34:$A$63,O$2,$C$34:$C$63)=0,"",(SUMIF($A$34:$A$63,O$2,$C$34:$C$63)-$C$80)))</f>
        <v/>
      </c>
      <c r="P9" s="378" t="str">
        <f>IF($C$64=0,"",IF(SUMIF($A$34:$A$63,P$2,$C$34:$C$63)=0,"",(SUMIF($A$34:$A$63,P$2,$C$34:$C$63)-$C$81)))</f>
        <v/>
      </c>
      <c r="Q9" s="378" t="str">
        <f>IF($C$64=0,"",IF(SUMIF($A$34:$A$63,Q$2,$C$34:$C$63)=0,"",(SUMIF($A$34:$A$63,Q$2,$C$34:$C$63)-$C$82)))</f>
        <v/>
      </c>
      <c r="R9" s="378" t="str">
        <f>IF($C$64=0,"",IF(SUMIF($A$34:$A$63,R$2,$C$34:$C$63)=0,"",(SUMIF($A$34:$A$63,R$2,$C$34:$C$63)-$C$83)))</f>
        <v/>
      </c>
      <c r="S9" s="378" t="str">
        <f>IF($C$64=0,"",IF(SUMIF($A$34:$A$63,S$2,$C$34:$C$63)=0,"",(SUMIF($A$34:$A$63,S$2,$C$34:$C$63)-$C$84)))</f>
        <v/>
      </c>
      <c r="T9" s="378" t="str">
        <f>IF($C$64=0,"",IF(SUMIF($A$34:$A$63,T$2,$C$34:$C$63)=0,"",(SUMIF($A$34:$A$63,T$2,$C$34:$C$63)-$C$85)))</f>
        <v/>
      </c>
      <c r="U9" s="378" t="str">
        <f>IF($C$64=0,"",IF(SUMIF($A$34:$A$63,U$2,$C$34:$C$63)=0,"",(SUMIF($A$34:$A$63,U$2,$C$34:$C$63)-$C$86)))</f>
        <v/>
      </c>
      <c r="V9" s="378" t="str">
        <f>IF($C$64=0,"",IF(SUMIF($A$34:$A$63,V$2,$C$34:$C$63)=0,"",(SUMIF($A$34:$A$63,V$2,$C$34:$C$63)-$C$87)))</f>
        <v/>
      </c>
      <c r="W9" s="378" t="str">
        <f>IF($C$64=0,"",IF(SUMIF($A$34:$A$63,W$2,$C$34:$C$63)=0,"",(SUMIF($A$34:$A$63,W$2,$C$34:$C$63)-$C$88)))</f>
        <v/>
      </c>
      <c r="X9" s="378" t="str">
        <f>IF($C$64=0,"",IF(SUMIF($A$34:$A$63,X$2,$C$34:$C$63)=0,"",(SUMIF($A$34:$A$63,X$2,$C$34:$C$63)-$C$89)))</f>
        <v/>
      </c>
      <c r="Y9" s="378" t="str">
        <f>IF($C$64=0,"",IF(SUMIF($A$34:$A$63,Y$2,$C$34:$C$63)=0,"",(SUMIF($A$34:$A$63,Y$2,$C$34:$C$63)-$C$90)))</f>
        <v/>
      </c>
      <c r="Z9" s="378" t="str">
        <f>IF($C$64=0,"",IF(SUMIF($A$34:$A$63,Z$2,$C$34:$C$63)=0,"",(SUMIF($A$34:$A$63,Z$2,$C$34:$C$63)-$C$91)))</f>
        <v/>
      </c>
      <c r="AA9" s="378" t="str">
        <f>IF($C$64=0,"",IF(SUMIF($A$34:$A$63,AA$2,$C$34:$C$63)=0,"",(SUMIF($A$34:$A$63,AA$2,$C$34:$C$63)-$C$92)))</f>
        <v/>
      </c>
      <c r="AB9" s="378" t="str">
        <f>IF($C$64=0,"",IF(SUMIF($A$34:$A$63,AB$2,$C$34:$C$63)=0,"",(SUMIF($A$34:$A$63,AB$2,$C$34:$C$63)-$C$93)))</f>
        <v/>
      </c>
      <c r="AC9" s="378" t="str">
        <f>IF($C$64=0,"",IF(SUMIF($A$34:$A$63,AC$2,$C$34:$C$63)=0,"",(SUMIF($A$34:$A$63,AC$2,$C$34:$C$63)-$C$94)))</f>
        <v/>
      </c>
      <c r="AD9" s="378" t="str">
        <f>IF($C$64=0,"",IF(SUMIF($A$34:$A$63,AD$2,$C$34:$C$63)=0,"",(SUMIF($A$34:$A$63,AD$2,$C$34:$C$63)-$C$95)))</f>
        <v/>
      </c>
      <c r="AE9" s="378" t="str">
        <f>IF($C$64=0,"",IF(SUMIF($A$34:$A$63,AE$2,$C$34:$C$63)=0,"",(SUMIF($A$34:$A$63,AE$2,$C$34:$C$63)-$C$96)))</f>
        <v/>
      </c>
      <c r="AF9" s="378" t="str">
        <f>IF($C$64=0,"",IF(SUMIF($A$34:$A$63,AF$2,$C$34:$C$63)=0,"",(SUMIF($A$34:$A$63,AF$2,$C$34:$C$63)-$C$97)))</f>
        <v/>
      </c>
      <c r="AG9" s="378" t="str">
        <f>IF($C$64=0,"",IF(SUMIF($A$34:$A$63,AG$2,$C$34:$C$63)=0,"",(SUMIF($A$34:$A$63,AG$2,$C$34:$C$63)-$C$98)))</f>
        <v/>
      </c>
      <c r="AH9" s="363" t="str">
        <f>IF($C$64=0,"",IF(SUMIF($A$34:$A$63,AH$2,$C$34:$C$63)=0,"",(SUMIF($A$34:$A$63,AH$2,$C$34:$C$63)-$C$99)))</f>
        <v/>
      </c>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row>
    <row r="10" spans="1:154" ht="39">
      <c r="A10" s="811"/>
      <c r="B10" s="812"/>
      <c r="C10" s="76" t="s">
        <v>2439</v>
      </c>
      <c r="D10" s="358">
        <f t="shared" ref="D10:D29" si="0">SUM(E10:AH10)</f>
        <v>0</v>
      </c>
      <c r="E10" s="359" t="str">
        <f>IF($D$64=0,"",IF(SUMIF($A$34:$A$63,E$2,$D$34:$D$63)=0,"",(SUMIF($A$34:$A$63,E$2,$D$34:$D$63)-$D$70)))</f>
        <v/>
      </c>
      <c r="F10" s="360" t="str">
        <f>IF($D$64=0,"",IF(SUMIF($A$34:$A$63,F$2,$D$34:$D$63)=0,"",(SUMIF($A$34:$A$63,F$2,$D$34:$D$63)-$D$71)))</f>
        <v/>
      </c>
      <c r="G10" s="411" t="str">
        <f>IF($D$64=0,"",IF(SUMIF($A$34:$A$63,G$2,$D$34:$D$63)=0,"",(SUMIF($A$34:$A$63,G$2,$D$34:$D$63)-$D$72)))</f>
        <v/>
      </c>
      <c r="H10" s="361" t="str">
        <f>IF($D$64=0,"",IF(SUMIF($A$34:$A$63,H$2,$D$34:$D$63)=0,"",(SUMIF($A$34:$A$63,H$2,$D$34:$D$63)-$D$73)))</f>
        <v/>
      </c>
      <c r="I10" s="361" t="str">
        <f>IF($D$64=0,"",IF(SUMIF($A$34:$A$63,I$2,$D$34:$D$63)=0,"",(SUMIF($A$34:$A$63,I$2,$D$34:$D$63)-$D$74)))</f>
        <v/>
      </c>
      <c r="J10" s="362" t="str">
        <f>IF($D$64=0,"",IF(SUMIF($A$34:$A$63,J$2,$D$34:$D$63)=0,"",(SUMIF($A$34:$A$63,J$2,$D$34:$D$63)-$D$75)))</f>
        <v/>
      </c>
      <c r="K10" s="360" t="str">
        <f>IF($D$64=0,"",IF(SUMIF($A$34:$A$63,K$2,$D$34:$D$63)=0,"",(SUMIF($A$34:$A$63,K$2,$D$34:$D$63)-$D$76)))</f>
        <v/>
      </c>
      <c r="L10" s="361" t="str">
        <f>IF($D$64=0,"",IF(SUMIF($A$34:$A$63,L$2,$D$34:$D$63)=0,"",(SUMIF($A$34:$A$63,L$2,$D$34:$D$63)-$D$77)))</f>
        <v/>
      </c>
      <c r="M10" s="361" t="str">
        <f>IF($D$64=0,"",IF(SUMIF($A$34:$A$63,M$2,$D$34:$D$63)=0,"",(SUMIF($A$34:$A$63,M$2,$D$34:$D$63)-$D$78)))</f>
        <v/>
      </c>
      <c r="N10" s="378" t="str">
        <f>IF($D$64=0,"",IF(SUMIF($A$34:$A$63,N$2,$D$34:$D$63)=0,"",(SUMIF($A$34:$A$63,N$2,$D$34:$D$63)-$D$79)))</f>
        <v/>
      </c>
      <c r="O10" s="378" t="str">
        <f>IF($D$64=0,"",IF(SUMIF($A$34:$A$63,O$2,$D$34:$D$63)=0,"",(SUMIF($A$34:$A$63,O$2,$D$34:$D$63)-$D$80)))</f>
        <v/>
      </c>
      <c r="P10" s="378" t="str">
        <f>IF($D$64=0,"",IF(SUMIF($A$34:$A$63,P$2,$D$34:$D$63)=0,"",(SUMIF($A$34:$A$63,P$2,$D$34:$D$63)-$D$81)))</f>
        <v/>
      </c>
      <c r="Q10" s="378" t="str">
        <f>IF($D$64=0,"",IF(SUMIF($A$34:$A$63,Q$2,$D$34:$D$63)=0,"",(SUMIF($A$34:$A$63,Q$2,$D$34:$D$63)-$D$82)))</f>
        <v/>
      </c>
      <c r="R10" s="378" t="str">
        <f>IF($D$64=0,"",IF(SUMIF($A$34:$A$63,R$2,$D$34:$D$63)=0,"",(SUMIF($A$34:$A$63,R$2,$D$34:$D$63)-$D$83)))</f>
        <v/>
      </c>
      <c r="S10" s="378" t="str">
        <f>IF($D$64=0,"",IF(SUMIF($A$34:$A$63,S$2,$D$34:$D$63)=0,"",(SUMIF($A$34:$A$63,S$2,$D$34:$D$63)-$D$84)))</f>
        <v/>
      </c>
      <c r="T10" s="378" t="str">
        <f>IF($D$64=0,"",IF(SUMIF($A$34:$A$63,T$2,$D$34:$D$63)=0,"",(SUMIF($A$34:$A$63,T$2,$D$34:$D$63)-$D$85)))</f>
        <v/>
      </c>
      <c r="U10" s="378" t="str">
        <f>IF($D$64=0,"",IF(SUMIF($A$34:$A$63,U$2,$D$34:$D$63)=0,"",(SUMIF($A$34:$A$63,U$2,$D$34:$D$63)-$D$86)))</f>
        <v/>
      </c>
      <c r="V10" s="378" t="str">
        <f>IF($D$64=0,"",IF(SUMIF($A$34:$A$63,V$2,$D$34:$D$63)=0,"",(SUMIF($A$34:$A$63,V$2,$D$34:$D$63)-$D$87)))</f>
        <v/>
      </c>
      <c r="W10" s="378" t="str">
        <f>IF($D$64=0,"",IF(SUMIF($A$34:$A$63,W$2,$D$34:$D$63)=0,"",(SUMIF($A$34:$A$63,W$2,$D$34:$D$63)-$D$88)))</f>
        <v/>
      </c>
      <c r="X10" s="378" t="str">
        <f>IF($D$64=0,"",IF(SUMIF($A$34:$A$63,X$2,$D$34:$D$63)=0,"",(SUMIF($A$34:$A$63,X$2,$D$34:$D$63)-$D$89)))</f>
        <v/>
      </c>
      <c r="Y10" s="378" t="str">
        <f>IF($D$64=0,"",IF(SUMIF($A$34:$A$63,Y$2,$D$34:$D$63)=0,"",(SUMIF($A$34:$A$63,Y$2,$D$34:$D$63)-$D$90)))</f>
        <v/>
      </c>
      <c r="Z10" s="378" t="str">
        <f>IF($D$64=0,"",IF(SUMIF($A$34:$A$63,Z$2,$D$34:$D$63)=0,"",(SUMIF($A$34:$A$63,Z$2,$D$34:$D$63)-$D$91)))</f>
        <v/>
      </c>
      <c r="AA10" s="378" t="str">
        <f>IF($D$64=0,"",IF(SUMIF($A$34:$A$63,AA$2,$D$34:$D$63)=0,"",(SUMIF($A$34:$A$63,AA$2,$D$34:$D$63)-$D$92)))</f>
        <v/>
      </c>
      <c r="AB10" s="378" t="str">
        <f>IF($D$64=0,"",IF(SUMIF($A$34:$A$63,AB$2,$D$34:$D$63)=0,"",(SUMIF($A$34:$A$63,AB$2,$D$34:$D$63)-$D$93)))</f>
        <v/>
      </c>
      <c r="AC10" s="378" t="str">
        <f>IF($D$64=0,"",IF(SUMIF($A$34:$A$63,AC$2,$D$34:$D$63)=0,"",(SUMIF($A$34:$A$63,AC$2,$D$34:$D$63)-$D$94)))</f>
        <v/>
      </c>
      <c r="AD10" s="378" t="str">
        <f>IF($D$64=0,"",IF(SUMIF($A$34:$A$63,AD$2,$D$34:$D$63)=0,"",(SUMIF($A$34:$A$63,AD$2,$D$34:$D$63)-$D$95)))</f>
        <v/>
      </c>
      <c r="AE10" s="378" t="str">
        <f>IF($D$64=0,"",IF(SUMIF($A$34:$A$63,AE$2,$D$34:$D$63)=0,"",(SUMIF($A$34:$A$63,AE$2,$D$34:$D$63)-$D$96)))</f>
        <v/>
      </c>
      <c r="AF10" s="378" t="str">
        <f>IF($D$64=0,"",IF(SUMIF($A$34:$A$63,AF$2,$D$34:$D$63)=0,"",(SUMIF($A$34:$A$63,AF$2,$D$34:$D$63)-$D$97)))</f>
        <v/>
      </c>
      <c r="AG10" s="378" t="str">
        <f>IF($D$64=0,"",IF(SUMIF($A$34:$A$63,AG$2,$D$34:$D$63)=0,"",(SUMIF($A$34:$A$63,AG$2,$D$34:$D$63)-$D$98)))</f>
        <v/>
      </c>
      <c r="AH10" s="363" t="str">
        <f>IF($D$64=0,"",IF(SUMIF($A$34:$A$63,AH$2,$D$34:$D$63)=0,"",(SUMIF($A$34:$A$63,AH$2,$D$34:$D$63)-$D$99)))</f>
        <v/>
      </c>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row>
    <row r="11" spans="1:154" ht="13.5" thickBot="1">
      <c r="A11" s="813"/>
      <c r="B11" s="814"/>
      <c r="C11" s="76" t="s">
        <v>2440</v>
      </c>
      <c r="D11" s="358">
        <f t="shared" si="0"/>
        <v>0</v>
      </c>
      <c r="E11" s="364" t="str">
        <f>IF($E$64=0,"",IF(SUMIF($A$34:$A$63,E$2,$E$34:$E$63)=0,"",(SUMIF($A$34:$A$63,E$2,$E$34:$E$63)-$E$70)))</f>
        <v/>
      </c>
      <c r="F11" s="360" t="str">
        <f>IF($E$64=0,"",IF(SUMIF($A$34:$A$63,F$2,$E$34:$E$63)=0,"",(SUMIF($A$34:$A$63,F$2,$E$34:$E$63)-$E$71)))</f>
        <v/>
      </c>
      <c r="G11" s="361" t="str">
        <f>IF($E$64=0,"",IF(SUMIF($A$34:$A$63,G$2,$E$34:$E$63)=0,"",(SUMIF($A$34:$A$63,G$2,$E$34:$E$63)-$E$72)))</f>
        <v/>
      </c>
      <c r="H11" s="361" t="str">
        <f>IF($E$64=0,"",IF(SUMIF($A$34:$A$63,H$2,$E$34:$E$63)=0,"",(SUMIF($A$34:$A$63,H$2,$E$34:$E$63)-$E$73)))</f>
        <v/>
      </c>
      <c r="I11" s="361" t="str">
        <f>IF($E$64=0,"",IF(SUMIF($A$34:$A$63,I$2,$E$34:$E$63)=0,"",(SUMIF($A$34:$A$63,I$2,$E$34:$E$63)-$E$74)))</f>
        <v/>
      </c>
      <c r="J11" s="362" t="str">
        <f>IF($E$64=0,"",IF(SUMIF($A$34:$A$63,J$2,$E$34:$E$63)=0,"",(SUMIF($A$34:$A$63,J$2,$E$34:$E$63)-$E$75)))</f>
        <v/>
      </c>
      <c r="K11" s="360" t="str">
        <f>IF($E$64=0,"",IF(SUMIF($A$34:$A$63,K$2,$E$34:$E$63)=0,"",(SUMIF($A$34:$A$63,K$2,$E$34:$E$63)-$E$76)))</f>
        <v/>
      </c>
      <c r="L11" s="361" t="str">
        <f>IF($E$64=0,"",IF(SUMIF($A$34:$A$63,L$2,$E$34:$E$63)=0,"",(SUMIF($A$34:$A$63,L$2,$E$34:$E$63)-$E$77)))</f>
        <v/>
      </c>
      <c r="M11" s="361" t="str">
        <f>IF($E$64=0,"",IF(SUMIF($A$34:$A$63,M$2,$E$34:$E$63)=0,"",(SUMIF($A$34:$A$63,M$2,$E$34:$E$63)-$E$78)))</f>
        <v/>
      </c>
      <c r="N11" s="378" t="str">
        <f>IF($E$64=0,"",IF(SUMIF($A$34:$A$63,N$2,$E$34:$E$63)=0,"",(SUMIF($A$34:$A$63,N$2,$E$34:$E$63)-$E$79)))</f>
        <v/>
      </c>
      <c r="O11" s="378" t="str">
        <f>IF($E$64=0,"",IF(SUMIF($A$34:$A$63,O$2,$E$34:$E$63)=0,"",(SUMIF($A$34:$A$63,O$2,$E$34:$E$63)-$E$80)))</f>
        <v/>
      </c>
      <c r="P11" s="378" t="str">
        <f>IF($E$64=0,"",IF(SUMIF($A$34:$A$63,P$2,$E$34:$E$63)=0,"",(SUMIF($A$34:$A$63,P$2,$E$34:$E$63)-$E$81)))</f>
        <v/>
      </c>
      <c r="Q11" s="378" t="str">
        <f>IF($E$64=0,"",IF(SUMIF($A$34:$A$63,Q$2,$E$34:$E$63)=0,"",(SUMIF($A$34:$A$63,Q$2,$E$34:$E$63)-$E$82)))</f>
        <v/>
      </c>
      <c r="R11" s="378" t="str">
        <f>IF($E$64=0,"",IF(SUMIF($A$34:$A$63,R$2,$E$34:$E$63)=0,"",(SUMIF($A$34:$A$63,R$2,$E$34:$E$63)-$E$83)))</f>
        <v/>
      </c>
      <c r="S11" s="378" t="str">
        <f>IF($E$64=0,"",IF(SUMIF($A$34:$A$63,S$2,$E$34:$E$63)=0,"",(SUMIF($A$34:$A$63,S$2,$E$34:$E$63)-$E$84)))</f>
        <v/>
      </c>
      <c r="T11" s="378" t="str">
        <f>IF($E$64=0,"",IF(SUMIF($A$34:$A$63,T$2,$E$34:$E$63)=0,"",(SUMIF($A$34:$A$63,T$2,$E$34:$E$63)-$E$85)))</f>
        <v/>
      </c>
      <c r="U11" s="378" t="str">
        <f>IF($E$64=0,"",IF(SUMIF($A$34:$A$63,U$2,$E$34:$E$63)=0,"",(SUMIF($A$34:$A$63,U$2,$E$34:$E$63)-$E$86)))</f>
        <v/>
      </c>
      <c r="V11" s="378" t="str">
        <f>IF($E$64=0,"",IF(SUMIF($A$34:$A$63,V$2,$E$34:$E$63)=0,"",(SUMIF($A$34:$A$63,V$2,$E$34:$E$63)-$E$87)))</f>
        <v/>
      </c>
      <c r="W11" s="378" t="str">
        <f>IF($E$64=0,"",IF(SUMIF($A$34:$A$63,W$2,$E$34:$E$63)=0,"",(SUMIF($A$34:$A$63,W$2,$E$34:$E$63)-$E$88)))</f>
        <v/>
      </c>
      <c r="X11" s="378" t="str">
        <f>IF($E$64=0,"",IF(SUMIF($A$34:$A$63,X$2,$E$34:$E$63)=0,"",(SUMIF($A$34:$A$63,X$2,$E$34:$E$63)-$E$89)))</f>
        <v/>
      </c>
      <c r="Y11" s="378" t="str">
        <f>IF($E$64=0,"",IF(SUMIF($A$34:$A$63,Y$2,$E$34:$E$63)=0,"",(SUMIF($A$34:$A$63,Y$2,$E$34:$E$63)-$E$90)))</f>
        <v/>
      </c>
      <c r="Z11" s="378" t="str">
        <f>IF($E$64=0,"",IF(SUMIF($A$34:$A$63,Z$2,$E$34:$E$63)=0,"",(SUMIF($A$34:$A$63,Z$2,$E$34:$E$63)-$E$91)))</f>
        <v/>
      </c>
      <c r="AA11" s="378" t="str">
        <f>IF($E$64=0,"",IF(SUMIF($A$34:$A$63,AA$2,$E$34:$E$63)=0,"",(SUMIF($A$34:$A$63,AA$2,$E$34:$E$63)-$E$92)))</f>
        <v/>
      </c>
      <c r="AB11" s="378" t="str">
        <f>IF($E$64=0,"",IF(SUMIF($A$34:$A$63,AB$2,$E$34:$E$63)=0,"",(SUMIF($A$34:$A$63,AB$2,$E$34:$E$63)-$E$93)))</f>
        <v/>
      </c>
      <c r="AC11" s="378" t="str">
        <f>IF($E$64=0,"",IF(SUMIF($A$34:$A$63,AC$2,$E$34:$E$63)=0,"",(SUMIF($A$34:$A$63,AC$2,$E$34:$E$63)-$E$94)))</f>
        <v/>
      </c>
      <c r="AD11" s="378" t="str">
        <f>IF($E$64=0,"",IF(SUMIF($A$34:$A$63,AD$2,$E$34:$E$63)=0,"",(SUMIF($A$34:$A$63,AD$2,$E$34:$E$63)-$E$95)))</f>
        <v/>
      </c>
      <c r="AE11" s="378" t="str">
        <f>IF($E$64=0,"",IF(SUMIF($A$34:$A$63,AE$2,$E$34:$E$63)=0,"",(SUMIF($A$34:$A$63,AE$2,$E$34:$E$63)-$E$96)))</f>
        <v/>
      </c>
      <c r="AF11" s="378" t="str">
        <f>IF($E$64=0,"",IF(SUMIF($A$34:$A$63,AF$2,$E$34:$E$63)=0,"",(SUMIF($A$34:$A$63,AF$2,$E$34:$E$63)-$E$97)))</f>
        <v/>
      </c>
      <c r="AG11" s="378" t="str">
        <f>IF($E$64=0,"",IF(SUMIF($A$34:$A$63,AG$2,$E$34:$E$63)=0,"",(SUMIF($A$34:$A$63,AG$2,$E$34:$E$63)-$E$98)))</f>
        <v/>
      </c>
      <c r="AH11" s="363" t="str">
        <f>IF($E$64=0,"",IF(SUMIF($A$34:$A$63,AH$2,$E$34:$E$63)=0,"",(SUMIF($A$34:$A$63,AH$2,$E$34:$E$63)-$E$99)))</f>
        <v/>
      </c>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row>
    <row r="12" spans="1:154" ht="26">
      <c r="A12" s="810" t="s">
        <v>206</v>
      </c>
      <c r="B12" s="696"/>
      <c r="C12" s="75" t="s">
        <v>2437</v>
      </c>
      <c r="D12" s="354">
        <f t="shared" si="0"/>
        <v>0</v>
      </c>
      <c r="E12" s="354" t="str">
        <f>IF($F$64=0,"",IF(SUMIF($A$34:$A$63,E$2,$F$34:$F$63)=0,"",(SUMIF($A$34:$A$63,E$2,$F$34:$F$63)-$F$70)))</f>
        <v/>
      </c>
      <c r="F12" s="356" t="str">
        <f>IF($F$64=0,"",IF(SUMIF($A$34:$A$63,F$2,$F$34:$F$63)=0,"",(SUMIF($A$34:$A$63,F$2,$F$34:$F$63)-$F$71)))</f>
        <v/>
      </c>
      <c r="G12" s="355" t="str">
        <f>IF($F$64=0,"",IF(SUMIF($A$34:$A$63,G$2,$F$34:$F$63)=0,"",(SUMIF($A$34:$A$63,G$2,$F$34:$F$63)-$F$72)))</f>
        <v/>
      </c>
      <c r="H12" s="355" t="str">
        <f>IF($F$64=0,"",IF(SUMIF($A$34:$A$63,H$2,$F$34:$F$63)=0,"",(SUMIF($A$34:$A$63,H$2,$F$34:$F$63)-$F$73)))</f>
        <v/>
      </c>
      <c r="I12" s="355" t="str">
        <f>IF($F$64=0,"",IF(SUMIF($A$34:$A$63,I$2,$F$34:$F$63)=0,"",(SUMIF($A$34:$A$63,I$2,$F$34:$F$63)-$F$74)))</f>
        <v/>
      </c>
      <c r="J12" s="356" t="str">
        <f>IF($F$64=0,"",IF(SUMIF($A$34:$A$63,J$2,$F$34:$F$63)=0,"",(SUMIF($A$34:$A$63,J$2,$F$34:$F$63)-$F$75)))</f>
        <v/>
      </c>
      <c r="K12" s="356" t="str">
        <f>IF($F$64=0,"",IF(SUMIF($A$34:$A$63,K$2,$F$34:$F$63)=0,"",(SUMIF($A$34:$A$63,K$2,$F$34:$F$63)-$F$76)))</f>
        <v/>
      </c>
      <c r="L12" s="355" t="str">
        <f>IF($F$64=0,"",IF(SUMIF($A$34:$A$63,L$2,$F$34:$F$63)=0,"",(SUMIF($A$34:$A$63,L$2,$F$34:$F$63)-$F$77)))</f>
        <v/>
      </c>
      <c r="M12" s="355" t="str">
        <f>IF($F$64=0,"",IF(SUMIF($A$34:$A$63,M$2,$F$34:$F$63)=0,"",(SUMIF($A$34:$A$63,M$2,$F$34:$F$63)-$F$78)))</f>
        <v/>
      </c>
      <c r="N12" s="377" t="str">
        <f>IF($F$64=0,"",IF(SUMIF($A$34:$A$63,N$2,$F$34:$F$63)=0,"",(SUMIF($A$34:$A$63,N$2,$F$34:$F$63)-$F$79)))</f>
        <v/>
      </c>
      <c r="O12" s="377" t="str">
        <f>IF($F$64=0,"",IF(SUMIF($A$34:$A$63,O$2,$F$34:$F$63)=0,"",(SUMIF($A$34:$A$63,O$2,$F$34:$F$63)-$F$80)))</f>
        <v/>
      </c>
      <c r="P12" s="377" t="str">
        <f>IF($F$64=0,"",IF(SUMIF($A$34:$A$63,P$2,$F$34:$F$63)=0,"",(SUMIF($A$34:$A$63,P$2,$F$34:$F$63)-$F$81)))</f>
        <v/>
      </c>
      <c r="Q12" s="377" t="str">
        <f>IF($F$64=0,"",IF(SUMIF($A$34:$A$63,Q$2,$F$34:$F$63)=0,"",(SUMIF($A$34:$A$63,Q$2,$F$34:$F$63)-$F$82)))</f>
        <v/>
      </c>
      <c r="R12" s="377" t="str">
        <f>IF($F$64=0,"",IF(SUMIF($A$34:$A$63,R$2,$F$34:$F$63)=0,"",(SUMIF($A$34:$A$63,R$2,$F$34:$F$63)-$F$83)))</f>
        <v/>
      </c>
      <c r="S12" s="377" t="str">
        <f>IF($F$64=0,"",IF(SUMIF($A$34:$A$63,S$2,$F$34:$F$63)=0,"",(SUMIF($A$34:$A$63,S$2,$F$34:$F$63)-$F$84)))</f>
        <v/>
      </c>
      <c r="T12" s="377" t="str">
        <f>IF($F$64=0,"",IF(SUMIF($A$34:$A$63,T$2,$F$34:$F$63)=0,"",(SUMIF($A$34:$A$63,T$2,$F$34:$F$63)-$F$85)))</f>
        <v/>
      </c>
      <c r="U12" s="377" t="str">
        <f>IF($F$64=0,"",IF(SUMIF($A$34:$A$63,U$2,$F$34:$F$63)=0,"",(SUMIF($A$34:$A$63,U$2,$F$34:$F$63)-$F$86)))</f>
        <v/>
      </c>
      <c r="V12" s="377" t="str">
        <f>IF($F$64=0,"",IF(SUMIF($A$34:$A$63,V$2,$F$34:$F$63)=0,"",(SUMIF($A$34:$A$63,V$2,$F$34:$F$63)-$F$87)))</f>
        <v/>
      </c>
      <c r="W12" s="377" t="str">
        <f>IF($F$64=0,"",IF(SUMIF($A$34:$A$63,W$2,$F$34:$F$63)=0,"",(SUMIF($A$34:$A$63,W$2,$F$34:$F$63)-$F$88)))</f>
        <v/>
      </c>
      <c r="X12" s="377" t="str">
        <f>IF($F$64=0,"",IF(SUMIF($A$34:$A$63,X$2,$F$34:$F$63)=0,"",(SUMIF($A$34:$A$63,X$2,$F$34:$F$63)-$F$89)))</f>
        <v/>
      </c>
      <c r="Y12" s="377" t="str">
        <f>IF($F$64=0,"",IF(SUMIF($A$34:$A$63,Y$2,$F$34:$F$63)=0,"",(SUMIF($A$34:$A$63,Y$2,$F$34:$F$63)-$F$90)))</f>
        <v/>
      </c>
      <c r="Z12" s="377" t="str">
        <f>IF($F$64=0,"",IF(SUMIF($A$34:$A$63,Z$2,$F$34:$F$63)=0,"",(SUMIF($A$34:$A$63,Z$2,$F$34:$F$63)-$F$91)))</f>
        <v/>
      </c>
      <c r="AA12" s="377" t="str">
        <f>IF($F$64=0,"",IF(SUMIF($A$34:$A$63,AA$2,$F$34:$F$63)=0,"",(SUMIF($A$34:$A$63,AA$2,$F$34:$F$63)-$F$92)))</f>
        <v/>
      </c>
      <c r="AB12" s="377" t="str">
        <f>IF($F$64=0,"",IF(SUMIF($A$34:$A$63,AB$2,$F$34:$F$63)=0,"",(SUMIF($A$34:$A$63,AB$2,$F$34:$F$63)-$F$93)))</f>
        <v/>
      </c>
      <c r="AC12" s="377" t="str">
        <f>IF($F$64=0,"",IF(SUMIF($A$34:$A$63,AC$2,$F$34:$F$63)=0,"",(SUMIF($A$34:$A$63,AC$2,$F$34:$F$63)-$F$94)))</f>
        <v/>
      </c>
      <c r="AD12" s="377" t="str">
        <f>IF($F$64=0,"",IF(SUMIF($A$34:$A$63,AD$2,$F$34:$F$63)=0,"",(SUMIF($A$34:$A$63,AD$2,$F$34:$F$63)-$F$95)))</f>
        <v/>
      </c>
      <c r="AE12" s="377" t="str">
        <f>IF($F$64=0,"",IF(SUMIF($A$34:$A$63,AE$2,$F$34:$F$63)=0,"",(SUMIF($A$34:$A$63,AE$2,$F$34:$F$63)-$F$96)))</f>
        <v/>
      </c>
      <c r="AF12" s="377" t="str">
        <f>IF($F$64=0,"",IF(SUMIF($A$34:$A$63,AF$2,$F$34:$F$63)=0,"",(SUMIF($A$34:$A$63,AF$2,$F$34:$F$63)-$F$97)))</f>
        <v/>
      </c>
      <c r="AG12" s="377" t="str">
        <f>IF($F$64=0,"",IF(SUMIF($A$34:$A$63,AG$2,$F$34:$F$63)=0,"",(SUMIF($A$34:$A$63,AG$2,$F$34:$F$63)-$F$98)))</f>
        <v/>
      </c>
      <c r="AH12" s="357" t="str">
        <f>IF($F$64=0,"",IF(SUMIF($A$34:$A$63,AH$2,$F$34:$F$63)=0,"",(SUMIF($A$34:$A$63,AH$2,$F$34:$F$63)-$F$99)))</f>
        <v/>
      </c>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row>
    <row r="13" spans="1:154" ht="39">
      <c r="A13" s="811"/>
      <c r="B13" s="812"/>
      <c r="C13" s="76" t="s">
        <v>2438</v>
      </c>
      <c r="D13" s="365">
        <f t="shared" si="0"/>
        <v>0</v>
      </c>
      <c r="E13" s="365" t="str">
        <f>IF($G$64=0,"",IF(SUMIF($A$34:$A$63,E$2,$G$34:$G$63)=0,"",(SUMIF($A$34:$A$63,E$2,$G$34:$G$63)-$G$70)))</f>
        <v/>
      </c>
      <c r="F13" s="360" t="str">
        <f>IF($G$64=0,"",IF(SUMIF($A$34:$A$63,F$2,$G$34:$G$63)=0,"",(SUMIF($A$34:$A$63,F$2,$G$34:$G$63)-$G$71)))</f>
        <v/>
      </c>
      <c r="G13" s="361" t="str">
        <f>IF($G$64=0,"",IF(SUMIF($A$34:$A$63,G$2,$G$34:$G$63)=0,"",(SUMIF($A$34:$A$63,G$2,$G$34:$G$63)-$G$72)))</f>
        <v/>
      </c>
      <c r="H13" s="361" t="str">
        <f>IF($G$64=0,"",IF(SUMIF($A$34:$A$63,H$2,$G$34:$G$63)=0,"",(SUMIF($A$34:$A$63,H$2,$G$34:$G$63)-$G$73)))</f>
        <v/>
      </c>
      <c r="I13" s="361" t="str">
        <f>IF($G$64=0,"",IF(SUMIF($A$34:$A$63,I$2,$G$34:$G$63)=0,"",(SUMIF($A$34:$A$63,I$2,$G$34:$G$63)-$G$74)))</f>
        <v/>
      </c>
      <c r="J13" s="362" t="str">
        <f>IF($G$64=0,"",IF(SUMIF($A$34:$A$63,J$2,$G$34:$G$63)=0,"",(SUMIF($A$34:$A$63,J$2,$G$34:$G$63)-$G$75)))</f>
        <v/>
      </c>
      <c r="K13" s="360" t="str">
        <f>IF($G$64=0,"",IF(SUMIF($A$34:$A$63,K$2,$G$34:$G$63)=0,"",(SUMIF($A$34:$A$63,K$2,$G$34:$G$63)-$G$76)))</f>
        <v/>
      </c>
      <c r="L13" s="361" t="str">
        <f>IF($G$64=0,"",IF(SUMIF($A$34:$A$63,L$2,$G$34:$G$63)=0,"",(SUMIF($A$34:$A$63,L$2,$G$34:$G$63)-$G$77)))</f>
        <v/>
      </c>
      <c r="M13" s="361" t="str">
        <f>IF($G$64=0,"",IF(SUMIF($A$34:$A$63,M$2,$G$34:$G$63)=0,"",(SUMIF($A$34:$A$63,M$2,$G$34:$G$63)-$G$78)))</f>
        <v/>
      </c>
      <c r="N13" s="378" t="str">
        <f>IF($G$64=0,"",IF(SUMIF($A$34:$A$63,N$2,$G$34:$G$63)=0,"",(SUMIF($A$34:$A$63,N$2,$G$34:$G$63)-$G$79)))</f>
        <v/>
      </c>
      <c r="O13" s="378" t="str">
        <f>IF($G$64=0,"",IF(SUMIF($A$34:$A$63,O$2,$G$34:$G$63)=0,"",(SUMIF($A$34:$A$63,O$2,$G$34:$G$63)-$G$80)))</f>
        <v/>
      </c>
      <c r="P13" s="378" t="str">
        <f>IF($G$64=0,"",IF(SUMIF($A$34:$A$63,P$2,$G$34:$G$63)=0,"",(SUMIF($A$34:$A$63,P$2,$G$34:$G$63)-$G$81)))</f>
        <v/>
      </c>
      <c r="Q13" s="378" t="str">
        <f>IF($G$64=0,"",IF(SUMIF($A$34:$A$63,Q$2,$G$34:$G$63)=0,"",(SUMIF($A$34:$A$63,Q$2,$G$34:$G$63)-$G$82)))</f>
        <v/>
      </c>
      <c r="R13" s="378" t="str">
        <f>IF($G$64=0,"",IF(SUMIF($A$34:$A$63,R$2,$G$34:$G$63)=0,"",(SUMIF($A$34:$A$63,R$2,$G$34:$G$63)-$G$83)))</f>
        <v/>
      </c>
      <c r="S13" s="378" t="str">
        <f>IF($G$64=0,"",IF(SUMIF($A$34:$A$63,S$2,$G$34:$G$63)=0,"",(SUMIF($A$34:$A$63,S$2,$G$34:$G$63)-$G$84)))</f>
        <v/>
      </c>
      <c r="T13" s="378" t="str">
        <f>IF($G$64=0,"",IF(SUMIF($A$34:$A$63,T$2,$G$34:$G$63)=0,"",(SUMIF($A$34:$A$63,T$2,$G$34:$G$63)-$G$85)))</f>
        <v/>
      </c>
      <c r="U13" s="378" t="str">
        <f>IF($G$64=0,"",IF(SUMIF($A$34:$A$63,U$2,$G$34:$G$63)=0,"",(SUMIF($A$34:$A$63,U$2,$G$34:$G$63)-$G$86)))</f>
        <v/>
      </c>
      <c r="V13" s="378" t="str">
        <f>IF($G$64=0,"",IF(SUMIF($A$34:$A$63,V$2,$G$34:$G$63)=0,"",(SUMIF($A$34:$A$63,V$2,$G$34:$G$63)-$G$87)))</f>
        <v/>
      </c>
      <c r="W13" s="378" t="str">
        <f>IF($G$64=0,"",IF(SUMIF($A$34:$A$63,W$2,$G$34:$G$63)=0,"",(SUMIF($A$34:$A$63,W$2,$G$34:$G$63)-$G$88)))</f>
        <v/>
      </c>
      <c r="X13" s="378" t="str">
        <f>IF($G$64=0,"",IF(SUMIF($A$34:$A$63,X$2,$G$34:$G$63)=0,"",(SUMIF($A$34:$A$63,X$2,$G$34:$G$63)-$G$89)))</f>
        <v/>
      </c>
      <c r="Y13" s="378" t="str">
        <f>IF($G$64=0,"",IF(SUMIF($A$34:$A$63,Y$2,$G$34:$G$63)=0,"",(SUMIF($A$34:$A$63,Y$2,$G$34:$G$63)-$G$90)))</f>
        <v/>
      </c>
      <c r="Z13" s="378" t="str">
        <f>IF($G$64=0,"",IF(SUMIF($A$34:$A$63,Z$2,$G$34:$G$63)=0,"",(SUMIF($A$34:$A$63,Z$2,$G$34:$G$63)-$G$91)))</f>
        <v/>
      </c>
      <c r="AA13" s="378" t="str">
        <f>IF($G$64=0,"",IF(SUMIF($A$34:$A$63,AA$2,$G$34:$G$63)=0,"",(SUMIF($A$34:$A$63,AA$2,$G$34:$G$63)-$G$92)))</f>
        <v/>
      </c>
      <c r="AB13" s="378" t="str">
        <f>IF($G$64=0,"",IF(SUMIF($A$34:$A$63,AB$2,$G$34:$G$63)=0,"",(SUMIF($A$34:$A$63,AB$2,$G$34:$G$63)-$G$93)))</f>
        <v/>
      </c>
      <c r="AC13" s="378" t="str">
        <f>IF($G$64=0,"",IF(SUMIF($A$34:$A$63,AC$2,$G$34:$G$63)=0,"",(SUMIF($A$34:$A$63,AC$2,$G$34:$G$63)-$G$94)))</f>
        <v/>
      </c>
      <c r="AD13" s="378" t="str">
        <f>IF($G$64=0,"",IF(SUMIF($A$34:$A$63,AD$2,$G$34:$G$63)=0,"",(SUMIF($A$34:$A$63,AD$2,$G$34:$G$63)-$G$95)))</f>
        <v/>
      </c>
      <c r="AE13" s="378" t="str">
        <f>IF($G$64=0,"",IF(SUMIF($A$34:$A$63,AE$2,$G$34:$G$63)=0,"",(SUMIF($A$34:$A$63,AE$2,$G$34:$G$63)-$G$96)))</f>
        <v/>
      </c>
      <c r="AF13" s="378" t="str">
        <f>IF($G$64=0,"",IF(SUMIF($A$34:$A$63,AF$2,$G$34:$G$63)=0,"",(SUMIF($A$34:$A$63,AF$2,$G$34:$G$63)-$G$97)))</f>
        <v/>
      </c>
      <c r="AG13" s="378" t="str">
        <f>IF($G$64=0,"",IF(SUMIF($A$34:$A$63,AG$2,$G$34:$G$63)=0,"",(SUMIF($A$34:$A$63,AG$2,$G$34:$G$63)-$G$98)))</f>
        <v/>
      </c>
      <c r="AH13" s="363" t="str">
        <f>IF($G$64=0,"",IF(SUMIF($A$34:$A$63,AH$2,$G$34:$G$63)=0,"",(SUMIF($A$34:$A$63,AH$2,$G$34:$G$63)-$G$99)))</f>
        <v/>
      </c>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row>
    <row r="14" spans="1:154" ht="39">
      <c r="A14" s="811"/>
      <c r="B14" s="812"/>
      <c r="C14" s="76" t="s">
        <v>2439</v>
      </c>
      <c r="D14" s="365">
        <f t="shared" si="0"/>
        <v>0</v>
      </c>
      <c r="E14" s="365" t="str">
        <f>IF($H$64=0,"",IF(SUMIF($A$34:$A$63,E$2,$H$34:$H$63)=0,"",(SUMIF($A$34:$A$63,E$2,$H$34:$H$63)-$H$70)))</f>
        <v/>
      </c>
      <c r="F14" s="360" t="str">
        <f>IF($H$64=0,"",IF(SUMIF($A$34:$A$63,F$2,$H$34:$H$63)=0,"",(SUMIF($A$34:$A$63,F$2,$H$34:$H$63)-$H$71)))</f>
        <v/>
      </c>
      <c r="G14" s="361" t="str">
        <f>IF($H$64=0,"",IF(SUMIF($A$34:$A$63,G$2,$H$34:$H$63)=0,"",(SUMIF($A$34:$A$63,G$2,$H$34:$H$63)-$H$72)))</f>
        <v/>
      </c>
      <c r="H14" s="361" t="str">
        <f>IF($H$64=0,"",IF(SUMIF($A$34:$A$63,H$2,$H$34:$H$63)=0,"",(SUMIF($A$34:$A$63,H$2,$H$34:$H$63)-$H$73)))</f>
        <v/>
      </c>
      <c r="I14" s="361" t="str">
        <f>IF($H$64=0,"",IF(SUMIF($A$34:$A$63,I$2,$H$34:$H$63)=0,"",(SUMIF($A$34:$A$63,I$2,$H$34:$H$63)-$H$74)))</f>
        <v/>
      </c>
      <c r="J14" s="362" t="str">
        <f>IF($H$64=0,"",IF(SUMIF($A$34:$A$63,J$2,$H$34:$H$63)=0,"",(SUMIF($A$34:$A$63,J$2,$H$34:$H$63)-$H$75)))</f>
        <v/>
      </c>
      <c r="K14" s="360" t="str">
        <f>IF($H$64=0,"",IF(SUMIF($A$34:$A$63,K$2,$H$34:$H$63)=0,"",(SUMIF($A$34:$A$63,K$2,$H$34:$H$63)-$H$76)))</f>
        <v/>
      </c>
      <c r="L14" s="361" t="str">
        <f>IF($H$64=0,"",IF(SUMIF($A$34:$A$63,L$2,$H$34:$H$63)=0,"",(SUMIF($A$34:$A$63,L$2,$H$34:$H$63)-$H$77)))</f>
        <v/>
      </c>
      <c r="M14" s="361" t="str">
        <f>IF($H$64=0,"",IF(SUMIF($A$34:$A$63,M$2,$H$34:$H$63)=0,"",(SUMIF($A$34:$A$63,M$2,$H$34:$H$63)-$H$78)))</f>
        <v/>
      </c>
      <c r="N14" s="378" t="str">
        <f>IF($H$64=0,"",IF(SUMIF($A$34:$A$63,N$2,$H$34:$H$63)=0,"",(SUMIF($A$34:$A$63,N$2,$H$34:$H$63)-$H$79)))</f>
        <v/>
      </c>
      <c r="O14" s="378" t="str">
        <f>IF($H$64=0,"",IF(SUMIF($A$34:$A$63,O$2,$H$34:$H$63)=0,"",(SUMIF($A$34:$A$63,O$2,$H$34:$H$63)-$H$80)))</f>
        <v/>
      </c>
      <c r="P14" s="378" t="str">
        <f>IF($H$64=0,"",IF(SUMIF($A$34:$A$63,P$2,$H$34:$H$63)=0,"",(SUMIF($A$34:$A$63,P$2,$H$34:$H$63)-$H$81)))</f>
        <v/>
      </c>
      <c r="Q14" s="378" t="str">
        <f>IF($H$64=0,"",IF(SUMIF($A$34:$A$63,Q$2,$H$34:$H$63)=0,"",(SUMIF($A$34:$A$63,Q$2,$H$34:$H$63)-$H$82)))</f>
        <v/>
      </c>
      <c r="R14" s="378" t="str">
        <f>IF($H$64=0,"",IF(SUMIF($A$34:$A$63,R$2,$H$34:$H$63)=0,"",(SUMIF($A$34:$A$63,R$2,$H$34:$H$63)-$H$83)))</f>
        <v/>
      </c>
      <c r="S14" s="378" t="str">
        <f>IF($H$64=0,"",IF(SUMIF($A$34:$A$63,S$2,$H$34:$H$63)=0,"",(SUMIF($A$34:$A$63,S$2,$H$34:$H$63)-$H$84)))</f>
        <v/>
      </c>
      <c r="T14" s="378" t="str">
        <f>IF($H$64=0,"",IF(SUMIF($A$34:$A$63,T$2,$H$34:$H$63)=0,"",(SUMIF($A$34:$A$63,T$2,$H$34:$H$63)-$H$85)))</f>
        <v/>
      </c>
      <c r="U14" s="378" t="str">
        <f>IF($H$64=0,"",IF(SUMIF($A$34:$A$63,U$2,$H$34:$H$63)=0,"",(SUMIF($A$34:$A$63,U$2,$H$34:$H$63)-$H$86)))</f>
        <v/>
      </c>
      <c r="V14" s="378" t="str">
        <f>IF($H$64=0,"",IF(SUMIF($A$34:$A$63,V$2,$H$34:$H$63)=0,"",(SUMIF($A$34:$A$63,V$2,$H$34:$H$63)-$H$87)))</f>
        <v/>
      </c>
      <c r="W14" s="378" t="str">
        <f>IF($H$64=0,"",IF(SUMIF($A$34:$A$63,W$2,$H$34:$H$63)=0,"",(SUMIF($A$34:$A$63,W$2,$H$34:$H$63)-$H$88)))</f>
        <v/>
      </c>
      <c r="X14" s="378" t="str">
        <f>IF($H$64=0,"",IF(SUMIF($A$34:$A$63,X$2,$H$34:$H$63)=0,"",(SUMIF($A$34:$A$63,X$2,$H$34:$H$63)-$H$89)))</f>
        <v/>
      </c>
      <c r="Y14" s="378" t="str">
        <f>IF($H$64=0,"",IF(SUMIF($A$34:$A$63,Y$2,$H$34:$H$63)=0,"",(SUMIF($A$34:$A$63,Y$2,$H$34:$H$63)-$H$90)))</f>
        <v/>
      </c>
      <c r="Z14" s="378" t="str">
        <f>IF($H$64=0,"",IF(SUMIF($A$34:$A$63,Z$2,$H$34:$H$63)=0,"",(SUMIF($A$34:$A$63,Z$2,$H$34:$H$63)-$H$91)))</f>
        <v/>
      </c>
      <c r="AA14" s="378" t="str">
        <f>IF($H$64=0,"",IF(SUMIF($A$34:$A$63,AA$2,$H$34:$H$63)=0,"",(SUMIF($A$34:$A$63,AA$2,$H$34:$H$63)-$H$92)))</f>
        <v/>
      </c>
      <c r="AB14" s="378" t="str">
        <f>IF($H$64=0,"",IF(SUMIF($A$34:$A$63,AB$2,$H$34:$H$63)=0,"",(SUMIF($A$34:$A$63,AB$2,$H$34:$H$63)-$H$93)))</f>
        <v/>
      </c>
      <c r="AC14" s="378" t="str">
        <f>IF($H$64=0,"",IF(SUMIF($A$34:$A$63,AC$2,$H$34:$H$63)=0,"",(SUMIF($A$34:$A$63,AC$2,$H$34:$H$63)-$H$94)))</f>
        <v/>
      </c>
      <c r="AD14" s="378" t="str">
        <f>IF($H$64=0,"",IF(SUMIF($A$34:$A$63,AD$2,$H$34:$H$63)=0,"",(SUMIF($A$34:$A$63,AD$2,$H$34:$H$63)-$H$95)))</f>
        <v/>
      </c>
      <c r="AE14" s="378" t="str">
        <f>IF($H$64=0,"",IF(SUMIF($A$34:$A$63,AE$2,$H$34:$H$63)=0,"",(SUMIF($A$34:$A$63,AE$2,$H$34:$H$63)-$H$96)))</f>
        <v/>
      </c>
      <c r="AF14" s="378" t="str">
        <f>IF($H$64=0,"",IF(SUMIF($A$34:$A$63,AF$2,$H$34:$H$63)=0,"",(SUMIF($A$34:$A$63,AF$2,$H$34:$H$63)-$H$97)))</f>
        <v/>
      </c>
      <c r="AG14" s="378" t="str">
        <f>IF($H$64=0,"",IF(SUMIF($A$34:$A$63,AG$2,$H$34:$H$63)=0,"",(SUMIF($A$34:$A$63,AG$2,$H$34:$H$63)-$H$98)))</f>
        <v/>
      </c>
      <c r="AH14" s="363" t="str">
        <f>IF($H$64=0,"",IF(SUMIF($A$34:$A$63,AH$2,$H$34:$H$63)=0,"",(SUMIF($A$34:$A$63,AH$2,$H$34:$H$63)-$H$99)))</f>
        <v/>
      </c>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row>
    <row r="15" spans="1:154" ht="13.5" thickBot="1">
      <c r="A15" s="813"/>
      <c r="B15" s="814"/>
      <c r="C15" s="76" t="s">
        <v>2440</v>
      </c>
      <c r="D15" s="365">
        <f t="shared" si="0"/>
        <v>0</v>
      </c>
      <c r="E15" s="365" t="str">
        <f>IF($I$64=0,"",IF(SUMIF($A$34:$A$63,E$2,$I$34:$I$63)=0,"",(SUMIF($A$34:$A$63,E$2,$I$34:$I$63)-$I$70)))</f>
        <v/>
      </c>
      <c r="F15" s="360" t="str">
        <f>IF($I$64=0,"",IF(SUMIF($A$34:$A$63,F$2,$I$34:$I$63)=0,"",(SUMIF($A$34:$A$63,F$2,$I$34:$I$63)-$I$71)))</f>
        <v/>
      </c>
      <c r="G15" s="361" t="str">
        <f>IF($I$64=0,"",IF(SUMIF($A$34:$A$63,G$2,$I$34:$I$63)=0,"",(SUMIF($A$34:$A$63,G$2,$I$34:$I$63)-$I$72)))</f>
        <v/>
      </c>
      <c r="H15" s="361" t="str">
        <f>IF($I$64=0,"",IF(SUMIF($A$34:$A$63,H$2,$I$34:$I$63)=0,"",(SUMIF($A$34:$A$63,H$2,$I$34:$I$63)-$I$73)))</f>
        <v/>
      </c>
      <c r="I15" s="361" t="str">
        <f>IF($I$64=0,"",IF(SUMIF($A$34:$A$63,I$2,$I$34:$I$63)=0,"",(SUMIF($A$34:$A$63,I$2,$I$34:$I$63)-$I$74)))</f>
        <v/>
      </c>
      <c r="J15" s="362" t="str">
        <f>IF($I$64=0,"",IF(SUMIF($A$34:$A$63,J$2,$I$34:$I$63)=0,"",(SUMIF($A$34:$A$63,J$2,$I$34:$I$63)-$I$75)))</f>
        <v/>
      </c>
      <c r="K15" s="360" t="str">
        <f>IF($I$64=0,"",IF(SUMIF($A$34:$A$63,K$2,$I$34:$I$63)=0,"",(SUMIF($A$34:$A$63,K$2,$I$34:$I$63)-$I$76)))</f>
        <v/>
      </c>
      <c r="L15" s="361" t="str">
        <f>IF($I$64=0,"",IF(SUMIF($A$34:$A$63,L$2,$I$34:$I$63)=0,"",(SUMIF($A$34:$A$63,L$2,$I$34:$I$63)-$I$77)))</f>
        <v/>
      </c>
      <c r="M15" s="361" t="str">
        <f>IF($I$64=0,"",IF(SUMIF($A$34:$A$63,M$2,$I$34:$I$63)=0,"",(SUMIF($A$34:$A$63,M$2,$I$34:$I$63)-$I$78)))</f>
        <v/>
      </c>
      <c r="N15" s="378" t="str">
        <f>IF($I$64=0,"",IF(SUMIF($A$34:$A$63,N$2,$I$34:$I$63)=0,"",(SUMIF($A$34:$A$63,N$2,$I$34:$I$63)-$I$79)))</f>
        <v/>
      </c>
      <c r="O15" s="378" t="str">
        <f>IF($I$64=0,"",IF(SUMIF($A$34:$A$63,O$2,$I$34:$I$63)=0,"",(SUMIF($A$34:$A$63,O$2,$I$34:$I$63)-$I$80)))</f>
        <v/>
      </c>
      <c r="P15" s="378" t="str">
        <f>IF($I$64=0,"",IF(SUMIF($A$34:$A$63,P$2,$I$34:$I$63)=0,"",(SUMIF($A$34:$A$63,P$2,$I$34:$I$63)-$I$81)))</f>
        <v/>
      </c>
      <c r="Q15" s="378" t="str">
        <f>IF($I$64=0,"",IF(SUMIF($A$34:$A$63,Q$2,$I$34:$I$63)=0,"",(SUMIF($A$34:$A$63,Q$2,$I$34:$I$63)-$I$82)))</f>
        <v/>
      </c>
      <c r="R15" s="378" t="str">
        <f>IF($I$64=0,"",IF(SUMIF($A$34:$A$63,R$2,$I$34:$I$63)=0,"",(SUMIF($A$34:$A$63,R$2,$I$34:$I$63)-$I$83)))</f>
        <v/>
      </c>
      <c r="S15" s="378" t="str">
        <f>IF($I$64=0,"",IF(SUMIF($A$34:$A$63,S$2,$I$34:$I$63)=0,"",(SUMIF($A$34:$A$63,S$2,$I$34:$I$63)-$I$84)))</f>
        <v/>
      </c>
      <c r="T15" s="378" t="str">
        <f>IF($I$64=0,"",IF(SUMIF($A$34:$A$63,T$2,$I$34:$I$63)=0,"",(SUMIF($A$34:$A$63,T$2,$I$34:$I$63)-$I$85)))</f>
        <v/>
      </c>
      <c r="U15" s="378" t="str">
        <f>IF($I$64=0,"",IF(SUMIF($A$34:$A$63,U$2,$I$34:$I$63)=0,"",(SUMIF($A$34:$A$63,U$2,$I$34:$I$63)-$I$86)))</f>
        <v/>
      </c>
      <c r="V15" s="378" t="str">
        <f>IF($I$64=0,"",IF(SUMIF($A$34:$A$63,V$2,$I$34:$I$63)=0,"",(SUMIF($A$34:$A$63,V$2,$I$34:$I$63)-$I$87)))</f>
        <v/>
      </c>
      <c r="W15" s="378" t="str">
        <f>IF($I$64=0,"",IF(SUMIF($A$34:$A$63,W$2,$I$34:$I$63)=0,"",(SUMIF($A$34:$A$63,W$2,$I$34:$I$63)-$I$88)))</f>
        <v/>
      </c>
      <c r="X15" s="378" t="str">
        <f>IF($I$64=0,"",IF(SUMIF($A$34:$A$63,X$2,$I$34:$I$63)=0,"",(SUMIF($A$34:$A$63,X$2,$I$34:$I$63)-$I$89)))</f>
        <v/>
      </c>
      <c r="Y15" s="378" t="str">
        <f>IF($I$64=0,"",IF(SUMIF($A$34:$A$63,Y$2,$I$34:$I$63)=0,"",(SUMIF($A$34:$A$63,Y$2,$I$34:$I$63)-$I$90)))</f>
        <v/>
      </c>
      <c r="Z15" s="378" t="str">
        <f>IF($I$64=0,"",IF(SUMIF($A$34:$A$63,Z$2,$I$34:$I$63)=0,"",(SUMIF($A$34:$A$63,Z$2,$I$34:$I$63)-$I$91)))</f>
        <v/>
      </c>
      <c r="AA15" s="378" t="str">
        <f>IF($I$64=0,"",IF(SUMIF($A$34:$A$63,AA$2,$I$34:$I$63)=0,"",(SUMIF($A$34:$A$63,AA$2,$I$34:$I$63)-$I$92)))</f>
        <v/>
      </c>
      <c r="AB15" s="378" t="str">
        <f>IF($I$64=0,"",IF(SUMIF($A$34:$A$63,AB$2,$I$34:$I$63)=0,"",(SUMIF($A$34:$A$63,AB$2,$I$34:$I$63)-$I$93)))</f>
        <v/>
      </c>
      <c r="AC15" s="378" t="str">
        <f>IF($I$64=0,"",IF(SUMIF($A$34:$A$63,AC$2,$I$34:$I$63)=0,"",(SUMIF($A$34:$A$63,AC$2,$I$34:$I$63)-$I$94)))</f>
        <v/>
      </c>
      <c r="AD15" s="378" t="str">
        <f>IF($I$64=0,"",IF(SUMIF($A$34:$A$63,AD$2,$I$34:$I$63)=0,"",(SUMIF($A$34:$A$63,AD$2,$I$34:$I$63)-$I$95)))</f>
        <v/>
      </c>
      <c r="AE15" s="378" t="str">
        <f>IF($I$64=0,"",IF(SUMIF($A$34:$A$63,AE$2,$I$34:$I$63)=0,"",(SUMIF($A$34:$A$63,AE$2,$I$34:$I$63)-$I$96)))</f>
        <v/>
      </c>
      <c r="AF15" s="378" t="str">
        <f>IF($I$64=0,"",IF(SUMIF($A$34:$A$63,AF$2,$I$34:$I$63)=0,"",(SUMIF($A$34:$A$63,AF$2,$I$34:$I$63)-$I$97)))</f>
        <v/>
      </c>
      <c r="AG15" s="378" t="str">
        <f>IF($I$64=0,"",IF(SUMIF($A$34:$A$63,AG$2,$I$34:$I$63)=0,"",(SUMIF($A$34:$A$63,AG$2,$I$34:$I$63)-$I$98)))</f>
        <v/>
      </c>
      <c r="AH15" s="363" t="str">
        <f>IF($I$64=0,"",IF(SUMIF($A$34:$A$63,AH$2,$I$34:$I$63)=0,"",(SUMIF($A$34:$A$63,AH$2,$I$34:$I$63)-$I$99)))</f>
        <v/>
      </c>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row>
    <row r="16" spans="1:154" ht="26">
      <c r="A16" s="810" t="s">
        <v>207</v>
      </c>
      <c r="B16" s="696"/>
      <c r="C16" s="75" t="s">
        <v>2437</v>
      </c>
      <c r="D16" s="354">
        <f t="shared" si="0"/>
        <v>0</v>
      </c>
      <c r="E16" s="354" t="str">
        <f>IF($J$64=0,"",IF(SUMIF($A$34:$A$63,E$2,$J$34:$J$63)=0,"",(SUMIF($A$34:$A$63,E$2,$J$34:$J$63)-$J$70)))</f>
        <v/>
      </c>
      <c r="F16" s="356" t="str">
        <f>IF($J$64=0,"",IF(SUMIF($A$34:$A$63,F$2,$J$34:$J$63)=0,"",(SUMIF($A$34:$A$63,F$2,$J$34:$J$63)-$J$71)))</f>
        <v/>
      </c>
      <c r="G16" s="355" t="str">
        <f>IF($J$64=0,"",IF(SUMIF($A$34:$A$63,G$2,$J$34:$J$63)=0,"",(SUMIF($A$34:$A$63,G$2,$J$34:$J$63)-$J$72)))</f>
        <v/>
      </c>
      <c r="H16" s="355" t="str">
        <f>IF($J$64=0,"",IF(SUMIF($A$34:$A$63,H$2,$J$34:$J$63)=0,"",(SUMIF($A$34:$A$63,H$2,$J$34:$J$63)-$J$73)))</f>
        <v/>
      </c>
      <c r="I16" s="355" t="str">
        <f>IF($J$64=0,"",IF(SUMIF($A$34:$A$63,I$2,$J$34:$J$63)=0,"",(SUMIF($A$34:$A$63,I$2,$J$34:$J$63)-$J$74)))</f>
        <v/>
      </c>
      <c r="J16" s="356" t="str">
        <f>IF($J$64=0,"",IF(SUMIF($A$34:$A$63,J$2,$J$34:$J$63)=0,"",(SUMIF($A$34:$A$63,J$2,$J$34:$J$63)-$J$75)))</f>
        <v/>
      </c>
      <c r="K16" s="356" t="str">
        <f>IF($J$64=0,"",IF(SUMIF($A$34:$A$63,K$2,$J$34:$J$63)=0,"",(SUMIF($A$34:$A$63,K$2,$J$34:$J$63)-$J$76)))</f>
        <v/>
      </c>
      <c r="L16" s="355" t="str">
        <f>IF($J$64=0,"",IF(SUMIF($A$34:$A$63,L$2,$J$34:$J$63)=0,"",(SUMIF($A$34:$A$63,L$2,$J$34:$J$63)-$J$77)))</f>
        <v/>
      </c>
      <c r="M16" s="355" t="str">
        <f>IF($J$64=0,"",IF(SUMIF($A$34:$A$63,M$2,$J$34:$J$63)=0,"",(SUMIF($A$34:$A$63,M$2,$J$34:$J$63)-$J$78)))</f>
        <v/>
      </c>
      <c r="N16" s="377" t="str">
        <f>IF($J$64=0,"",IF(SUMIF($A$34:$A$63,N$2,$J$34:$J$63)=0,"",(SUMIF($A$34:$A$63,N$2,$J$34:$J$63)-$J$79)))</f>
        <v/>
      </c>
      <c r="O16" s="377" t="str">
        <f>IF($J$64=0,"",IF(SUMIF($A$34:$A$63,O$2,$J$34:$J$63)=0,"",(SUMIF($A$34:$A$63,O$2,$J$34:$J$63)-$J$80)))</f>
        <v/>
      </c>
      <c r="P16" s="377" t="str">
        <f>IF($J$64=0,"",IF(SUMIF($A$34:$A$63,P$2,$J$34:$J$63)=0,"",(SUMIF($A$34:$A$63,P$2,$J$34:$J$63)-$J$81)))</f>
        <v/>
      </c>
      <c r="Q16" s="377" t="str">
        <f>IF($J$64=0,"",IF(SUMIF($A$34:$A$63,Q$2,$J$34:$J$63)=0,"",(SUMIF($A$34:$A$63,Q$2,$J$34:$J$63)-$J$82)))</f>
        <v/>
      </c>
      <c r="R16" s="377" t="str">
        <f>IF($J$64=0,"",IF(SUMIF($A$34:$A$63,R$2,$J$34:$J$63)=0,"",(SUMIF($A$34:$A$63,R$2,$J$34:$J$63)-$J$83)))</f>
        <v/>
      </c>
      <c r="S16" s="377" t="str">
        <f>IF($J$64=0,"",IF(SUMIF($A$34:$A$63,S$2,$J$34:$J$63)=0,"",(SUMIF($A$34:$A$63,S$2,$J$34:$J$63)-$J$84)))</f>
        <v/>
      </c>
      <c r="T16" s="377" t="str">
        <f>IF($J$64=0,"",IF(SUMIF($A$34:$A$63,T$2,$J$34:$J$63)=0,"",(SUMIF($A$34:$A$63,T$2,$J$34:$J$63)-$J$85)))</f>
        <v/>
      </c>
      <c r="U16" s="377" t="str">
        <f>IF($J$64=0,"",IF(SUMIF($A$34:$A$63,U$2,$J$34:$J$63)=0,"",(SUMIF($A$34:$A$63,U$2,$J$34:$J$63)-$J$86)))</f>
        <v/>
      </c>
      <c r="V16" s="377" t="str">
        <f>IF($J$64=0,"",IF(SUMIF($A$34:$A$63,V$2,$J$34:$J$63)=0,"",(SUMIF($A$34:$A$63,V$2,$J$34:$J$63)-$J$87)))</f>
        <v/>
      </c>
      <c r="W16" s="377" t="str">
        <f>IF($J$64=0,"",IF(SUMIF($A$34:$A$63,W$2,$J$34:$J$63)=0,"",(SUMIF($A$34:$A$63,W$2,$J$34:$J$63)-$J$88)))</f>
        <v/>
      </c>
      <c r="X16" s="377" t="str">
        <f>IF($J$64=0,"",IF(SUMIF($A$34:$A$63,X$2,$J$34:$J$63)=0,"",(SUMIF($A$34:$A$63,X$2,$J$34:$J$63)-$J$89)))</f>
        <v/>
      </c>
      <c r="Y16" s="377" t="str">
        <f>IF($J$64=0,"",IF(SUMIF($A$34:$A$63,Y$2,$J$34:$J$63)=0,"",(SUMIF($A$34:$A$63,Y$2,$J$34:$J$63)-$J$90)))</f>
        <v/>
      </c>
      <c r="Z16" s="377" t="str">
        <f>IF($J$64=0,"",IF(SUMIF($A$34:$A$63,Z$2,$J$34:$J$63)=0,"",(SUMIF($A$34:$A$63,Z$2,$J$34:$J$63)-$J$91)))</f>
        <v/>
      </c>
      <c r="AA16" s="377" t="str">
        <f>IF($J$64=0,"",IF(SUMIF($A$34:$A$63,AA$2,$J$34:$J$63)=0,"",(SUMIF($A$34:$A$63,AA$2,$J$34:$J$63)-$J$92)))</f>
        <v/>
      </c>
      <c r="AB16" s="377" t="str">
        <f>IF($J$64=0,"",IF(SUMIF($A$34:$A$63,AB$2,$J$34:$J$63)=0,"",(SUMIF($A$34:$A$63,AB$2,$J$34:$J$63)-$J$93)))</f>
        <v/>
      </c>
      <c r="AC16" s="377" t="str">
        <f>IF($J$64=0,"",IF(SUMIF($A$34:$A$63,AC$2,$J$34:$J$63)=0,"",(SUMIF($A$34:$A$63,AC$2,$J$34:$J$63)-$J$94)))</f>
        <v/>
      </c>
      <c r="AD16" s="377" t="str">
        <f>IF($J$64=0,"",IF(SUMIF($A$34:$A$63,AD$2,$J$34:$J$63)=0,"",(SUMIF($A$34:$A$63,AD$2,$J$34:$J$63)-$J$95)))</f>
        <v/>
      </c>
      <c r="AE16" s="377" t="str">
        <f>IF($J$64=0,"",IF(SUMIF($A$34:$A$63,AE$2,$J$34:$J$63)=0,"",(SUMIF($A$34:$A$63,AE$2,$J$34:$J$63)-$J$96)))</f>
        <v/>
      </c>
      <c r="AF16" s="377" t="str">
        <f>IF($J$64=0,"",IF(SUMIF($A$34:$A$63,AF$2,$J$34:$J$63)=0,"",(SUMIF($A$34:$A$63,AF$2,$J$34:$J$63)-$J$97)))</f>
        <v/>
      </c>
      <c r="AG16" s="377" t="str">
        <f>IF($J$64=0,"",IF(SUMIF($A$34:$A$63,AG$2,$J$34:$J$63)=0,"",(SUMIF($A$34:$A$63,AG$2,$J$34:$J$63)-$J$98)))</f>
        <v/>
      </c>
      <c r="AH16" s="357" t="str">
        <f>IF($J$64=0,"",IF(SUMIF($A$34:$A$63,AH$2,$J$34:$J$63)=0,"",(SUMIF($A$34:$A$63,AH$2,$J$34:$J$63)-$J$99)))</f>
        <v/>
      </c>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row>
    <row r="17" spans="1:154" ht="39">
      <c r="A17" s="811"/>
      <c r="B17" s="812"/>
      <c r="C17" s="76" t="s">
        <v>2438</v>
      </c>
      <c r="D17" s="365">
        <f t="shared" si="0"/>
        <v>0</v>
      </c>
      <c r="E17" s="365" t="str">
        <f>IF($K$64=0,"",IF(SUMIF($A$34:$A$63,E$2,$K$34:$K$63)=0,"",(SUMIF($A$34:$A$63,E$2,$K$34:$K$63)-$K$70)))</f>
        <v/>
      </c>
      <c r="F17" s="360" t="str">
        <f>IF($K$64=0,"",IF(SUMIF($A$34:$A$63,F$2,$K$34:$K$63)=0,"",(SUMIF($A$34:$A$63,F$2,$K$34:$K$63)-$K$71)))</f>
        <v/>
      </c>
      <c r="G17" s="361" t="str">
        <f>IF($K$64=0,"",IF(SUMIF($A$34:$A$63,G$2,$K$34:$K$63)=0,"",(SUMIF($A$34:$A$63,G$2,$K$34:$K$63)-$K$72)))</f>
        <v/>
      </c>
      <c r="H17" s="361" t="str">
        <f>IF($K$64=0,"",IF(SUMIF($A$34:$A$63,H$2,$K$34:$K$63)=0,"",(SUMIF($A$34:$A$63,H$2,$K$34:$K$63)-$K$73)))</f>
        <v/>
      </c>
      <c r="I17" s="361" t="str">
        <f>IF($K$64=0,"",IF(SUMIF($A$34:$A$63,I$2,$K$34:$K$63)=0,"",(SUMIF($A$34:$A$63,I$2,$K$34:$K$63)-$K$74)))</f>
        <v/>
      </c>
      <c r="J17" s="362" t="str">
        <f>IF($K$64=0,"",IF(SUMIF($A$34:$A$63,J$2,$K$34:$K$63)=0,"",(SUMIF($A$34:$A$63,J$2,$K$34:$K$63)-$K$75)))</f>
        <v/>
      </c>
      <c r="K17" s="360" t="str">
        <f>IF($K$64=0,"",IF(SUMIF($A$34:$A$63,K$2,$K$34:$K$63)=0,"",(SUMIF($A$34:$A$63,K$2,$K$34:$K$63)-$K$76)))</f>
        <v/>
      </c>
      <c r="L17" s="361" t="str">
        <f>IF($K$64=0,"",IF(SUMIF($A$34:$A$63,L$2,$K$34:$K$63)=0,"",(SUMIF($A$34:$A$63,L$2,$K$34:$K$63)-$K$77)))</f>
        <v/>
      </c>
      <c r="M17" s="361" t="str">
        <f>IF($K$64=0,"",IF(SUMIF($A$34:$A$63,M$2,$K$34:$K$63)=0,"",(SUMIF($A$34:$A$63,M$2,$K$34:$K$63)-$K$78)))</f>
        <v/>
      </c>
      <c r="N17" s="378" t="str">
        <f>IF($K$64=0,"",IF(SUMIF($A$34:$A$63,N$2,$K$34:$K$63)=0,"",(SUMIF($A$34:$A$63,N$2,$K$34:$K$63)-$K$79)))</f>
        <v/>
      </c>
      <c r="O17" s="378" t="str">
        <f>IF($K$64=0,"",IF(SUMIF($A$34:$A$63,O$2,$K$34:$K$63)=0,"",(SUMIF($A$34:$A$63,O$2,$K$34:$K$63)-$K$80)))</f>
        <v/>
      </c>
      <c r="P17" s="378" t="str">
        <f>IF($K$64=0,"",IF(SUMIF($A$34:$A$63,P$2,$K$34:$K$63)=0,"",(SUMIF($A$34:$A$63,P$2,$K$34:$K$63)-$K$81)))</f>
        <v/>
      </c>
      <c r="Q17" s="378" t="str">
        <f>IF($K$64=0,"",IF(SUMIF($A$34:$A$63,Q$2,$K$34:$K$63)=0,"",(SUMIF($A$34:$A$63,Q$2,$K$34:$K$63)-$K$82)))</f>
        <v/>
      </c>
      <c r="R17" s="378" t="str">
        <f>IF($K$64=0,"",IF(SUMIF($A$34:$A$63,R$2,$K$34:$K$63)=0,"",(SUMIF($A$34:$A$63,R$2,$K$34:$K$63)-$K$83)))</f>
        <v/>
      </c>
      <c r="S17" s="378" t="str">
        <f>IF($K$64=0,"",IF(SUMIF($A$34:$A$63,S$2,$K$34:$K$63)=0,"",(SUMIF($A$34:$A$63,S$2,$K$34:$K$63)-$K$84)))</f>
        <v/>
      </c>
      <c r="T17" s="378" t="str">
        <f>IF($K$64=0,"",IF(SUMIF($A$34:$A$63,T$2,$K$34:$K$63)=0,"",(SUMIF($A$34:$A$63,T$2,$K$34:$K$63)-$K$85)))</f>
        <v/>
      </c>
      <c r="U17" s="378" t="str">
        <f>IF($K$64=0,"",IF(SUMIF($A$34:$A$63,U$2,$K$34:$K$63)=0,"",(SUMIF($A$34:$A$63,U$2,$K$34:$K$63)-$K$86)))</f>
        <v/>
      </c>
      <c r="V17" s="378" t="str">
        <f>IF($K$64=0,"",IF(SUMIF($A$34:$A$63,V$2,$K$34:$K$63)=0,"",(SUMIF($A$34:$A$63,V$2,$K$34:$K$63)-$K$87)))</f>
        <v/>
      </c>
      <c r="W17" s="378" t="str">
        <f>IF($K$64=0,"",IF(SUMIF($A$34:$A$63,W$2,$K$34:$K$63)=0,"",(SUMIF($A$34:$A$63,W$2,$K$34:$K$63)-$K$88)))</f>
        <v/>
      </c>
      <c r="X17" s="378" t="str">
        <f>IF($K$64=0,"",IF(SUMIF($A$34:$A$63,X$2,$K$34:$K$63)=0,"",(SUMIF($A$34:$A$63,X$2,$K$34:$K$63)-$K$89)))</f>
        <v/>
      </c>
      <c r="Y17" s="378" t="str">
        <f>IF($K$64=0,"",IF(SUMIF($A$34:$A$63,Y$2,$K$34:$K$63)=0,"",(SUMIF($A$34:$A$63,Y$2,$K$34:$K$63)-$K$90)))</f>
        <v/>
      </c>
      <c r="Z17" s="378" t="str">
        <f>IF($K$64=0,"",IF(SUMIF($A$34:$A$63,Z$2,$K$34:$K$63)=0,"",(SUMIF($A$34:$A$63,Z$2,$K$34:$K$63)-$K$91)))</f>
        <v/>
      </c>
      <c r="AA17" s="378" t="str">
        <f>IF($K$64=0,"",IF(SUMIF($A$34:$A$63,AA$2,$K$34:$K$63)=0,"",(SUMIF($A$34:$A$63,AA$2,$K$34:$K$63)-$K$92)))</f>
        <v/>
      </c>
      <c r="AB17" s="378" t="str">
        <f>IF($K$64=0,"",IF(SUMIF($A$34:$A$63,AB$2,$K$34:$K$63)=0,"",(SUMIF($A$34:$A$63,AB$2,$K$34:$K$63)-$K$93)))</f>
        <v/>
      </c>
      <c r="AC17" s="378" t="str">
        <f>IF($K$64=0,"",IF(SUMIF($A$34:$A$63,AC$2,$K$34:$K$63)=0,"",(SUMIF($A$34:$A$63,AC$2,$K$34:$K$63)-$K$94)))</f>
        <v/>
      </c>
      <c r="AD17" s="378" t="str">
        <f>IF($K$64=0,"",IF(SUMIF($A$34:$A$63,AD$2,$K$34:$K$63)=0,"",(SUMIF($A$34:$A$63,AD$2,$K$34:$K$63)-$K$95)))</f>
        <v/>
      </c>
      <c r="AE17" s="378" t="str">
        <f>IF($K$64=0,"",IF(SUMIF($A$34:$A$63,AE$2,$K$34:$K$63)=0,"",(SUMIF($A$34:$A$63,AE$2,$K$34:$K$63)-$K$96)))</f>
        <v/>
      </c>
      <c r="AF17" s="378" t="str">
        <f>IF($K$64=0,"",IF(SUMIF($A$34:$A$63,AF$2,$K$34:$K$63)=0,"",(SUMIF($A$34:$A$63,AF$2,$K$34:$K$63)-$K$97)))</f>
        <v/>
      </c>
      <c r="AG17" s="378" t="str">
        <f>IF($K$64=0,"",IF(SUMIF($A$34:$A$63,AG$2,$K$34:$K$63)=0,"",(SUMIF($A$34:$A$63,AG$2,$K$34:$K$63)-$K$98)))</f>
        <v/>
      </c>
      <c r="AH17" s="363" t="str">
        <f>IF($K$64=0,"",IF(SUMIF($A$34:$A$63,AH$2,$K$34:$K$63)=0,"",(SUMIF($A$34:$A$63,AH$2,$K$34:$K$63)-$K$99)))</f>
        <v/>
      </c>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row>
    <row r="18" spans="1:154" ht="39">
      <c r="A18" s="811"/>
      <c r="B18" s="812"/>
      <c r="C18" s="76" t="s">
        <v>2439</v>
      </c>
      <c r="D18" s="365">
        <f t="shared" si="0"/>
        <v>0</v>
      </c>
      <c r="E18" s="365" t="str">
        <f>IF($L$64=0,"",IF(SUMIF($A$34:$A$63,E$2,$L$34:$L$63)=0,"",(SUMIF($A$34:$A$63,E$2,$L$34:$L$63)-$L$70)))</f>
        <v/>
      </c>
      <c r="F18" s="360" t="str">
        <f>IF($L$64=0,"",IF(SUMIF($A$34:$A$63,F$2,$L$34:$L$63)=0,"",(SUMIF($A$34:$A$63,F$2,$L$34:$L$63)-$L$71)))</f>
        <v/>
      </c>
      <c r="G18" s="361" t="str">
        <f>IF($L$64=0,"",IF(SUMIF($A$34:$A$63,G$2,$L$34:$L$63)=0,"",(SUMIF($A$34:$A$63,G$2,$L$34:$L$63)-$L$72)))</f>
        <v/>
      </c>
      <c r="H18" s="361" t="str">
        <f>IF($L$64=0,"",IF(SUMIF($A$34:$A$63,H$2,$L$34:$L$63)=0,"",(SUMIF($A$34:$A$63,H$2,$L$34:$L$63)-$L$73)))</f>
        <v/>
      </c>
      <c r="I18" s="361" t="str">
        <f>IF($L$64=0,"",IF(SUMIF($A$34:$A$63,I$2,$L$34:$L$63)=0,"",(SUMIF($A$34:$A$63,I$2,$L$34:$L$63)-$L$74)))</f>
        <v/>
      </c>
      <c r="J18" s="362" t="str">
        <f>IF($L$64=0,"",IF(SUMIF($A$34:$A$63,J$2,$L$34:$L$63)=0,"",(SUMIF($A$34:$A$63,J$2,$L$34:$L$63)-$L$75)))</f>
        <v/>
      </c>
      <c r="K18" s="360" t="str">
        <f>IF($L$64=0,"",IF(SUMIF($A$34:$A$63,K$2,$L$34:$L$63)=0,"",(SUMIF($A$34:$A$63,K$2,$L$34:$L$63)-$L$76)))</f>
        <v/>
      </c>
      <c r="L18" s="361" t="str">
        <f>IF($L$64=0,"",IF(SUMIF($A$34:$A$63,L$2,$L$34:$L$63)=0,"",(SUMIF($A$34:$A$63,L$2,$L$34:$L$63)-$L$77)))</f>
        <v/>
      </c>
      <c r="M18" s="361" t="str">
        <f>IF($L$64=0,"",IF(SUMIF($A$34:$A$63,M$2,$L$34:$L$63)=0,"",(SUMIF($A$34:$A$63,M$2,$L$34:$L$63)-$L$78)))</f>
        <v/>
      </c>
      <c r="N18" s="378" t="str">
        <f>IF($L$64=0,"",IF(SUMIF($A$34:$A$63,N$2,$L$34:$L$63)=0,"",(SUMIF($A$34:$A$63,N$2,$L$34:$L$63)-$L$79)))</f>
        <v/>
      </c>
      <c r="O18" s="378" t="str">
        <f>IF($L$64=0,"",IF(SUMIF($A$34:$A$63,O$2,$L$34:$L$63)=0,"",(SUMIF($A$34:$A$63,O$2,$L$34:$L$63)-$L$80)))</f>
        <v/>
      </c>
      <c r="P18" s="378" t="str">
        <f>IF($L$64=0,"",IF(SUMIF($A$34:$A$63,P$2,$L$34:$L$63)=0,"",(SUMIF($A$34:$A$63,P$2,$L$34:$L$63)-$L$81)))</f>
        <v/>
      </c>
      <c r="Q18" s="378" t="str">
        <f>IF($L$64=0,"",IF(SUMIF($A$34:$A$63,Q$2,$L$34:$L$63)=0,"",(SUMIF($A$34:$A$63,Q$2,$L$34:$L$63)-$L$82)))</f>
        <v/>
      </c>
      <c r="R18" s="378" t="str">
        <f>IF($L$64=0,"",IF(SUMIF($A$34:$A$63,R$2,$L$34:$L$63)=0,"",(SUMIF($A$34:$A$63,R$2,$L$34:$L$63)-$L$83)))</f>
        <v/>
      </c>
      <c r="S18" s="378" t="str">
        <f>IF($L$64=0,"",IF(SUMIF($A$34:$A$63,S$2,$L$34:$L$63)=0,"",(SUMIF($A$34:$A$63,S$2,$L$34:$L$63)-$L$84)))</f>
        <v/>
      </c>
      <c r="T18" s="378" t="str">
        <f>IF($L$64=0,"",IF(SUMIF($A$34:$A$63,T$2,$L$34:$L$63)=0,"",(SUMIF($A$34:$A$63,T$2,$L$34:$L$63)-$L$85)))</f>
        <v/>
      </c>
      <c r="U18" s="378" t="str">
        <f>IF($L$64=0,"",IF(SUMIF($A$34:$A$63,U$2,$L$34:$L$63)=0,"",(SUMIF($A$34:$A$63,U$2,$L$34:$L$63)-$L$86)))</f>
        <v/>
      </c>
      <c r="V18" s="378" t="str">
        <f>IF($L$64=0,"",IF(SUMIF($A$34:$A$63,V$2,$L$34:$L$63)=0,"",(SUMIF($A$34:$A$63,V$2,$L$34:$L$63)-$L$87)))</f>
        <v/>
      </c>
      <c r="W18" s="378" t="str">
        <f>IF($L$64=0,"",IF(SUMIF($A$34:$A$63,W$2,$L$34:$L$63)=0,"",(SUMIF($A$34:$A$63,W$2,$L$34:$L$63)-$L$88)))</f>
        <v/>
      </c>
      <c r="X18" s="378" t="str">
        <f>IF($L$64=0,"",IF(SUMIF($A$34:$A$63,X$2,$L$34:$L$63)=0,"",(SUMIF($A$34:$A$63,X$2,$L$34:$L$63)-$L$89)))</f>
        <v/>
      </c>
      <c r="Y18" s="378" t="str">
        <f>IF($L$64=0,"",IF(SUMIF($A$34:$A$63,Y$2,$L$34:$L$63)=0,"",(SUMIF($A$34:$A$63,Y$2,$L$34:$L$63)-$L$90)))</f>
        <v/>
      </c>
      <c r="Z18" s="378" t="str">
        <f>IF($L$64=0,"",IF(SUMIF($A$34:$A$63,Z$2,$L$34:$L$63)=0,"",(SUMIF($A$34:$A$63,Z$2,$L$34:$L$63)-$L$91)))</f>
        <v/>
      </c>
      <c r="AA18" s="378" t="str">
        <f>IF($L$64=0,"",IF(SUMIF($A$34:$A$63,AA$2,$L$34:$L$63)=0,"",(SUMIF($A$34:$A$63,AA$2,$L$34:$L$63)-$L$92)))</f>
        <v/>
      </c>
      <c r="AB18" s="378" t="str">
        <f>IF($L$64=0,"",IF(SUMIF($A$34:$A$63,AB$2,$L$34:$L$63)=0,"",(SUMIF($A$34:$A$63,AB$2,$L$34:$L$63)-$L$93)))</f>
        <v/>
      </c>
      <c r="AC18" s="378" t="str">
        <f>IF($L$64=0,"",IF(SUMIF($A$34:$A$63,AC$2,$L$34:$L$63)=0,"",(SUMIF($A$34:$A$63,AC$2,$L$34:$L$63)-$L$94)))</f>
        <v/>
      </c>
      <c r="AD18" s="378" t="str">
        <f>IF($L$64=0,"",IF(SUMIF($A$34:$A$63,AD$2,$L$34:$L$63)=0,"",(SUMIF($A$34:$A$63,AD$2,$L$34:$L$63)-$L$95)))</f>
        <v/>
      </c>
      <c r="AE18" s="378" t="str">
        <f>IF($L$64=0,"",IF(SUMIF($A$34:$A$63,AE$2,$L$34:$L$63)=0,"",(SUMIF($A$34:$A$63,AE$2,$L$34:$L$63)-$L$96)))</f>
        <v/>
      </c>
      <c r="AF18" s="378" t="str">
        <f>IF($L$64=0,"",IF(SUMIF($A$34:$A$63,AF$2,$L$34:$L$63)=0,"",(SUMIF($A$34:$A$63,AF$2,$L$34:$L$63)-$L$97)))</f>
        <v/>
      </c>
      <c r="AG18" s="378" t="str">
        <f>IF($L$64=0,"",IF(SUMIF($A$34:$A$63,AG$2,$L$34:$L$63)=0,"",(SUMIF($A$34:$A$63,AG$2,$L$34:$L$63)-$L$98)))</f>
        <v/>
      </c>
      <c r="AH18" s="363" t="str">
        <f>IF($L$64=0,"",IF(SUMIF($A$34:$A$63,AH$2,$L$34:$L$63)=0,"",(SUMIF($A$34:$A$63,AH$2,$L$34:$L$63)-$L$99)))</f>
        <v/>
      </c>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row>
    <row r="19" spans="1:154" ht="13.5" thickBot="1">
      <c r="A19" s="813"/>
      <c r="B19" s="814"/>
      <c r="C19" s="76" t="s">
        <v>2440</v>
      </c>
      <c r="D19" s="365">
        <f t="shared" si="0"/>
        <v>0</v>
      </c>
      <c r="E19" s="365" t="str">
        <f>IF($M$64=0,"",IF(SUMIF($A$34:$A$63,E$2,$M$34:$M$63)=0,"",(SUMIF($A$34:$A$63,E$2,$M$34:$M$63)-$M$70)))</f>
        <v/>
      </c>
      <c r="F19" s="360" t="str">
        <f>IF($M$64=0,"",IF(SUMIF($A$34:$A$63,F$2,$M$34:$M$63)=0,"",(SUMIF($A$34:$A$63,F$2,$M$34:$M$63)-$M$71)))</f>
        <v/>
      </c>
      <c r="G19" s="361" t="str">
        <f>IF($M$64=0,"",IF(SUMIF($A$34:$A$63,G$2,$M$34:$M$63)=0,"",(SUMIF($A$34:$A$63,G$2,$M$34:$M$63)-$M$72)))</f>
        <v/>
      </c>
      <c r="H19" s="361" t="str">
        <f>IF($M$64=0,"",IF(SUMIF($A$34:$A$63,H$2,$M$34:$M$63)=0,"",(SUMIF($A$34:$A$63,H$2,$M$34:$M$63)-$M$73)))</f>
        <v/>
      </c>
      <c r="I19" s="361" t="str">
        <f>IF($M$64=0,"",IF(SUMIF($A$34:$A$63,I$2,$M$34:$M$63)=0,"",(SUMIF($A$34:$A$63,I$2,$M$34:$M$63)-$M$74)))</f>
        <v/>
      </c>
      <c r="J19" s="362" t="str">
        <f>IF($M$64=0,"",IF(SUMIF($A$34:$A$63,J$2,$M$34:$M$63)=0,"",(SUMIF($A$34:$A$63,J$2,$M$34:$M$63)-$M$75)))</f>
        <v/>
      </c>
      <c r="K19" s="360" t="str">
        <f>IF($M$64=0,"",IF(SUMIF($A$34:$A$63,K$2,$M$34:$M$63)=0,"",(SUMIF($A$34:$A$63,K$2,$M$34:$M$63)-$M$76)))</f>
        <v/>
      </c>
      <c r="L19" s="361" t="str">
        <f>IF($M$64=0,"",IF(SUMIF($A$34:$A$63,L$2,$M$34:$M$63)=0,"",(SUMIF($A$34:$A$63,L$2,$M$34:$M$63)-$M$77)))</f>
        <v/>
      </c>
      <c r="M19" s="361" t="str">
        <f>IF($M$64=0,"",IF(SUMIF($A$34:$A$63,M$2,$M$34:$M$63)=0,"",(SUMIF($A$34:$A$63,M$2,$M$34:$M$63)-$M$78)))</f>
        <v/>
      </c>
      <c r="N19" s="378" t="str">
        <f>IF($M$64=0,"",IF(SUMIF($A$34:$A$63,N$2,$M$34:$M$63)=0,"",(SUMIF($A$34:$A$63,N$2,$M$34:$M$63)-$M$79)))</f>
        <v/>
      </c>
      <c r="O19" s="378" t="str">
        <f>IF($M$64=0,"",IF(SUMIF($A$34:$A$63,O$2,$M$34:$M$63)=0,"",(SUMIF($A$34:$A$63,O$2,$M$34:$M$63)-$M$80)))</f>
        <v/>
      </c>
      <c r="P19" s="378" t="str">
        <f>IF($M$64=0,"",IF(SUMIF($A$34:$A$63,P$2,$M$34:$M$63)=0,"",(SUMIF($A$34:$A$63,P$2,$M$34:$M$63)-$M$81)))</f>
        <v/>
      </c>
      <c r="Q19" s="378" t="str">
        <f>IF($M$64=0,"",IF(SUMIF($A$34:$A$63,Q$2,$M$34:$M$63)=0,"",(SUMIF($A$34:$A$63,Q$2,$M$34:$M$63)-$M$82)))</f>
        <v/>
      </c>
      <c r="R19" s="378" t="str">
        <f>IF($M$64=0,"",IF(SUMIF($A$34:$A$63,R$2,$M$34:$M$63)=0,"",(SUMIF($A$34:$A$63,R$2,$M$34:$M$63)-$M$83)))</f>
        <v/>
      </c>
      <c r="S19" s="378" t="str">
        <f>IF($M$64=0,"",IF(SUMIF($A$34:$A$63,S$2,$M$34:$M$63)=0,"",(SUMIF($A$34:$A$63,S$2,$M$34:$M$63)-$M$84)))</f>
        <v/>
      </c>
      <c r="T19" s="378" t="str">
        <f>IF($M$64=0,"",IF(SUMIF($A$34:$A$63,T$2,$M$34:$M$63)=0,"",(SUMIF($A$34:$A$63,T$2,$M$34:$M$63)-$M$85)))</f>
        <v/>
      </c>
      <c r="U19" s="378" t="str">
        <f>IF($M$64=0,"",IF(SUMIF($A$34:$A$63,U$2,$M$34:$M$63)=0,"",(SUMIF($A$34:$A$63,U$2,$M$34:$M$63)-$M$86)))</f>
        <v/>
      </c>
      <c r="V19" s="378" t="str">
        <f>IF($M$64=0,"",IF(SUMIF($A$34:$A$63,V$2,$M$34:$M$63)=0,"",(SUMIF($A$34:$A$63,V$2,$M$34:$M$63)-$M$87)))</f>
        <v/>
      </c>
      <c r="W19" s="378" t="str">
        <f>IF($M$64=0,"",IF(SUMIF($A$34:$A$63,W$2,$M$34:$M$63)=0,"",(SUMIF($A$34:$A$63,W$2,$M$34:$M$63)-$M$88)))</f>
        <v/>
      </c>
      <c r="X19" s="378" t="str">
        <f>IF($M$64=0,"",IF(SUMIF($A$34:$A$63,X$2,$M$34:$M$63)=0,"",(SUMIF($A$34:$A$63,X$2,$M$34:$M$63)-$M$89)))</f>
        <v/>
      </c>
      <c r="Y19" s="378" t="str">
        <f>IF($M$64=0,"",IF(SUMIF($A$34:$A$63,Y$2,$M$34:$M$63)=0,"",(SUMIF($A$34:$A$63,Y$2,$M$34:$M$63)-$M$90)))</f>
        <v/>
      </c>
      <c r="Z19" s="378" t="str">
        <f>IF($M$64=0,"",IF(SUMIF($A$34:$A$63,Z$2,$M$34:$M$63)=0,"",(SUMIF($A$34:$A$63,Z$2,$M$34:$M$63)-$M$91)))</f>
        <v/>
      </c>
      <c r="AA19" s="378" t="str">
        <f>IF($M$64=0,"",IF(SUMIF($A$34:$A$63,AA$2,$M$34:$M$63)=0,"",(SUMIF($A$34:$A$63,AA$2,$M$34:$M$63)-$M$92)))</f>
        <v/>
      </c>
      <c r="AB19" s="378" t="str">
        <f>IF($M$64=0,"",IF(SUMIF($A$34:$A$63,AB$2,$M$34:$M$63)=0,"",(SUMIF($A$34:$A$63,AB$2,$M$34:$M$63)-$M$93)))</f>
        <v/>
      </c>
      <c r="AC19" s="378" t="str">
        <f>IF($M$64=0,"",IF(SUMIF($A$34:$A$63,AC$2,$M$34:$M$63)=0,"",(SUMIF($A$34:$A$63,AC$2,$M$34:$M$63)-$M$94)))</f>
        <v/>
      </c>
      <c r="AD19" s="378" t="str">
        <f>IF($M$64=0,"",IF(SUMIF($A$34:$A$63,AD$2,$M$34:$M$63)=0,"",(SUMIF($A$34:$A$63,AD$2,$M$34:$M$63)-$M$95)))</f>
        <v/>
      </c>
      <c r="AE19" s="378" t="str">
        <f>IF($M$64=0,"",IF(SUMIF($A$34:$A$63,AE$2,$M$34:$M$63)=0,"",(SUMIF($A$34:$A$63,AE$2,$M$34:$M$63)-$M$96)))</f>
        <v/>
      </c>
      <c r="AF19" s="378" t="str">
        <f>IF($M$64=0,"",IF(SUMIF($A$34:$A$63,AF$2,$M$34:$M$63)=0,"",(SUMIF($A$34:$A$63,AF$2,$M$34:$M$63)-$M$97)))</f>
        <v/>
      </c>
      <c r="AG19" s="378" t="str">
        <f>IF($M$64=0,"",IF(SUMIF($A$34:$A$63,AG$2,$M$34:$M$63)=0,"",(SUMIF($A$34:$A$63,AG$2,$M$34:$M$63)-$M$98)))</f>
        <v/>
      </c>
      <c r="AH19" s="363" t="str">
        <f>IF($M$64=0,"",IF(SUMIF($A$34:$A$63,AH$2,$M$34:$M$63)=0,"",(SUMIF($A$34:$A$63,AH$2,$M$34:$M$63)-$M$99)))</f>
        <v/>
      </c>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row>
    <row r="20" spans="1:154" ht="26">
      <c r="A20" s="810" t="s">
        <v>2038</v>
      </c>
      <c r="B20" s="696"/>
      <c r="C20" s="75" t="s">
        <v>2437</v>
      </c>
      <c r="D20" s="354">
        <f t="shared" si="0"/>
        <v>0</v>
      </c>
      <c r="E20" s="354" t="str">
        <f>IF($N$64=0,"",IF(SUMIF($A$34:$A$63,E$2,$N$34:$N$63)=0,"",(SUMIF($A$34:$A$63,E$2,$N$34:$N$63)-$N$70)))</f>
        <v/>
      </c>
      <c r="F20" s="356" t="str">
        <f>IF($N$64=0,"",IF(SUMIF($A$34:$A$63,F$2,$N$34:$N$63)=0,"",(SUMIF($A$34:$A$63,F$2,$N$34:$N$63)-$N$71)))</f>
        <v/>
      </c>
      <c r="G20" s="355" t="str">
        <f>IF($N$64=0,"",IF(SUMIF($A$34:$A$63,G$2,$N$34:$N$63)=0,"",(SUMIF($A$34:$A$63,G$2,$N$34:$N$63)-$N$72)))</f>
        <v/>
      </c>
      <c r="H20" s="355" t="str">
        <f>IF($N$64=0,"",IF(SUMIF($A$34:$A$63,H$2,$N$34:$N$63)=0,"",(SUMIF($A$34:$A$63,H$2,$N$34:$N$63)-$N$73)))</f>
        <v/>
      </c>
      <c r="I20" s="355" t="str">
        <f>IF($N$64=0,"",IF(SUMIF($A$34:$A$63,I$2,$N$34:$N$63)=0,"",(SUMIF($A$34:$A$63,I$2,$N$34:$N$63)-$N$74)))</f>
        <v/>
      </c>
      <c r="J20" s="356" t="str">
        <f>IF($N$64=0,"",IF(SUMIF($A$34:$A$63,J$2,$N$34:$N$63)=0,"",(SUMIF($A$34:$A$63,J$2,$N$34:$N$63)-$N$75)))</f>
        <v/>
      </c>
      <c r="K20" s="356" t="str">
        <f>IF($N$64=0,"",IF(SUMIF($A$34:$A$63,K$2,$N$34:$N$63)=0,"",(SUMIF($A$34:$A$63,K$2,$N$34:$N$63)-$N$76)))</f>
        <v/>
      </c>
      <c r="L20" s="355" t="str">
        <f>IF($N$64=0,"",IF(SUMIF($A$34:$A$63,L$2,$N$34:$N$63)=0,"",(SUMIF($A$34:$A$63,L$2,$N$34:$N$63)-$N$77)))</f>
        <v/>
      </c>
      <c r="M20" s="355" t="str">
        <f>IF($N$64=0,"",IF(SUMIF($A$34:$A$63,M$2,$N$34:$N$63)=0,"",(SUMIF($A$34:$A$63,M$2,$N$34:$N$63)-$N$78)))</f>
        <v/>
      </c>
      <c r="N20" s="377" t="str">
        <f>IF($N$64=0,"",IF(SUMIF($A$34:$A$63,N$2,$N$34:$N$63)=0,"",(SUMIF($A$34:$A$63,N$2,$N$34:$N$63)-$N$79)))</f>
        <v/>
      </c>
      <c r="O20" s="377" t="str">
        <f>IF($N$64=0,"",IF(SUMIF($A$34:$A$63,O$2,$N$34:$N$63)=0,"",(SUMIF($A$34:$A$63,O$2,$N$34:$N$63)-$N$80)))</f>
        <v/>
      </c>
      <c r="P20" s="377" t="str">
        <f>IF($N$64=0,"",IF(SUMIF($A$34:$A$63,P$2,$N$34:$N$63)=0,"",(SUMIF($A$34:$A$63,P$2,$N$34:$N$63)-$N$81)))</f>
        <v/>
      </c>
      <c r="Q20" s="377" t="str">
        <f>IF($N$64=0,"",IF(SUMIF($A$34:$A$63,Q$2,$N$34:$N$63)=0,"",(SUMIF($A$34:$A$63,Q$2,$N$34:$N$63)-$N$82)))</f>
        <v/>
      </c>
      <c r="R20" s="377" t="str">
        <f>IF($N$64=0,"",IF(SUMIF($A$34:$A$63,R$2,$N$34:$N$63)=0,"",(SUMIF($A$34:$A$63,R$2,$N$34:$N$63)-$N$83)))</f>
        <v/>
      </c>
      <c r="S20" s="377" t="str">
        <f>IF($N$64=0,"",IF(SUMIF($A$34:$A$63,S$2,$N$34:$N$63)=0,"",(SUMIF($A$34:$A$63,S$2,$N$34:$N$63)-$N$84)))</f>
        <v/>
      </c>
      <c r="T20" s="377" t="str">
        <f>IF($N$64=0,"",IF(SUMIF($A$34:$A$63,T$2,$N$34:$N$63)=0,"",(SUMIF($A$34:$A$63,T$2,$N$34:$N$63)-$N$85)))</f>
        <v/>
      </c>
      <c r="U20" s="377" t="str">
        <f>IF($N$64=0,"",IF(SUMIF($A$34:$A$63,U$2,$N$34:$N$63)=0,"",(SUMIF($A$34:$A$63,U$2,$N$34:$N$63)-$N$86)))</f>
        <v/>
      </c>
      <c r="V20" s="377" t="str">
        <f>IF($N$64=0,"",IF(SUMIF($A$34:$A$63,V$2,$N$34:$N$63)=0,"",(SUMIF($A$34:$A$63,V$2,$N$34:$N$63)-$N$87)))</f>
        <v/>
      </c>
      <c r="W20" s="377" t="str">
        <f>IF($N$64=0,"",IF(SUMIF($A$34:$A$63,W$2,$N$34:$N$63)=0,"",(SUMIF($A$34:$A$63,W$2,$N$34:$N$63)-$N$88)))</f>
        <v/>
      </c>
      <c r="X20" s="377" t="str">
        <f>IF($N$64=0,"",IF(SUMIF($A$34:$A$63,X$2,$N$34:$N$63)=0,"",(SUMIF($A$34:$A$63,X$2,$N$34:$N$63)-$N$89)))</f>
        <v/>
      </c>
      <c r="Y20" s="377" t="str">
        <f>IF($N$64=0,"",IF(SUMIF($A$34:$A$63,Y$2,$N$34:$N$63)=0,"",(SUMIF($A$34:$A$63,Y$2,$N$34:$N$63)-$N$90)))</f>
        <v/>
      </c>
      <c r="Z20" s="377" t="str">
        <f>IF($N$64=0,"",IF(SUMIF($A$34:$A$63,Z$2,$N$34:$N$63)=0,"",(SUMIF($A$34:$A$63,Z$2,$N$34:$N$63)-$N$91)))</f>
        <v/>
      </c>
      <c r="AA20" s="377" t="str">
        <f>IF($N$64=0,"",IF(SUMIF($A$34:$A$63,AA$2,$N$34:$N$63)=0,"",(SUMIF($A$34:$A$63,AA$2,$N$34:$N$63)-$N$92)))</f>
        <v/>
      </c>
      <c r="AB20" s="377" t="str">
        <f>IF($N$64=0,"",IF(SUMIF($A$34:$A$63,AB$2,$N$34:$N$63)=0,"",(SUMIF($A$34:$A$63,AB$2,$N$34:$N$63)-$N$93)))</f>
        <v/>
      </c>
      <c r="AC20" s="377" t="str">
        <f>IF($N$64=0,"",IF(SUMIF($A$34:$A$63,AC$2,$N$34:$N$63)=0,"",(SUMIF($A$34:$A$63,AC$2,$N$34:$N$63)-$N$94)))</f>
        <v/>
      </c>
      <c r="AD20" s="377" t="str">
        <f>IF($N$64=0,"",IF(SUMIF($A$34:$A$63,AD$2,$N$34:$N$63)=0,"",(SUMIF($A$34:$A$63,AD$2,$N$34:$N$63)-$N$95)))</f>
        <v/>
      </c>
      <c r="AE20" s="377" t="str">
        <f>IF($N$64=0,"",IF(SUMIF($A$34:$A$63,AE$2,$N$34:$N$63)=0,"",(SUMIF($A$34:$A$63,AE$2,$N$34:$N$63)-$N$96)))</f>
        <v/>
      </c>
      <c r="AF20" s="377" t="str">
        <f>IF($N$64=0,"",IF(SUMIF($A$34:$A$63,AF$2,$N$34:$N$63)=0,"",(SUMIF($A$34:$A$63,AF$2,$N$34:$N$63)-$N$97)))</f>
        <v/>
      </c>
      <c r="AG20" s="377" t="str">
        <f>IF($N$64=0,"",IF(SUMIF($A$34:$A$63,AG$2,$N$34:$N$63)=0,"",(SUMIF($A$34:$A$63,AG$2,$N$34:$N$63)-$N$98)))</f>
        <v/>
      </c>
      <c r="AH20" s="357" t="str">
        <f>IF($N$64=0,"",IF(SUMIF($A$34:$A$63,AH$2,$N$34:$N$63)=0,"",(SUMIF($A$34:$A$63,AH$2,$N$34:$N$63)-$N$99)))</f>
        <v/>
      </c>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row>
    <row r="21" spans="1:154" ht="39">
      <c r="A21" s="811"/>
      <c r="B21" s="812"/>
      <c r="C21" s="76" t="s">
        <v>2438</v>
      </c>
      <c r="D21" s="365">
        <f t="shared" si="0"/>
        <v>0</v>
      </c>
      <c r="E21" s="365" t="str">
        <f>IF($O$64=0,"",IF(SUMIF($A$34:$A$63,E$2,$O$34:$O$63)=0,"",(SUMIF($A$34:$A$63,E$2,$O$34:$O$63)-$O$70)))</f>
        <v/>
      </c>
      <c r="F21" s="360" t="str">
        <f>IF($O$64=0,"",IF(SUMIF($A$34:$A$63,F$2,$O$34:$O$63)=0,"",(SUMIF($A$34:$A$63,F$2,$O$34:$O$63)-$O$71)))</f>
        <v/>
      </c>
      <c r="G21" s="361" t="str">
        <f>IF($O$64=0,"",IF(SUMIF($A$34:$A$63,G$2,$O$34:$O$63)=0,"",(SUMIF($A$34:$A$63,G$2,$O$34:$O$63)-$O$72)))</f>
        <v/>
      </c>
      <c r="H21" s="361" t="str">
        <f>IF($O$64=0,"",IF(SUMIF($A$34:$A$63,H$2,$O$34:$O$63)=0,"",(SUMIF($A$34:$A$63,H$2,$O$34:$O$63)-$O$73)))</f>
        <v/>
      </c>
      <c r="I21" s="361" t="str">
        <f>IF($O$64=0,"",IF(SUMIF($A$34:$A$63,I$2,$O$34:$O$63)=0,"",(SUMIF($A$34:$A$63,I$2,$O$34:$O$63)-$O$74)))</f>
        <v/>
      </c>
      <c r="J21" s="362" t="str">
        <f>IF($O$64=0,"",IF(SUMIF($A$34:$A$63,J$2,$O$34:$O$63)=0,"",(SUMIF($A$34:$A$63,J$2,$O$34:$O$63)-$O$75)))</f>
        <v/>
      </c>
      <c r="K21" s="360" t="str">
        <f>IF($O$64=0,"",IF(SUMIF($A$34:$A$63,K$2,$O$34:$O$63)=0,"",(SUMIF($A$34:$A$63,K$2,$O$34:$O$63)-$O$76)))</f>
        <v/>
      </c>
      <c r="L21" s="361" t="str">
        <f>IF($O$64=0,"",IF(SUMIF($A$34:$A$63,L$2,$O$34:$O$63)=0,"",(SUMIF($A$34:$A$63,L$2,$O$34:$O$63)-$O$77)))</f>
        <v/>
      </c>
      <c r="M21" s="361" t="str">
        <f>IF($O$64=0,"",IF(SUMIF($A$34:$A$63,M$2,$O$34:$O$63)=0,"",(SUMIF($A$34:$A$63,M$2,$O$34:$O$63)-$O$78)))</f>
        <v/>
      </c>
      <c r="N21" s="378" t="str">
        <f>IF($O$64=0,"",IF(SUMIF($A$34:$A$63,N$2,$O$34:$O$63)=0,"",(SUMIF($A$34:$A$63,N$2,$O$34:$O$63)-$O$79)))</f>
        <v/>
      </c>
      <c r="O21" s="378" t="str">
        <f>IF($O$64=0,"",IF(SUMIF($A$34:$A$63,O$2,$O$34:$O$63)=0,"",(SUMIF($A$34:$A$63,O$2,$O$34:$O$63)-$O$80)))</f>
        <v/>
      </c>
      <c r="P21" s="378" t="str">
        <f>IF($O$64=0,"",IF(SUMIF($A$34:$A$63,P$2,$O$34:$O$63)=0,"",(SUMIF($A$34:$A$63,P$2,$O$34:$O$63)-$O$81)))</f>
        <v/>
      </c>
      <c r="Q21" s="378" t="str">
        <f>IF($O$64=0,"",IF(SUMIF($A$34:$A$63,Q$2,$O$34:$O$63)=0,"",(SUMIF($A$34:$A$63,Q$2,$O$34:$O$63)-$O$82)))</f>
        <v/>
      </c>
      <c r="R21" s="378" t="str">
        <f>IF($O$64=0,"",IF(SUMIF($A$34:$A$63,R$2,$O$34:$O$63)=0,"",(SUMIF($A$34:$A$63,R$2,$O$34:$O$63)-$O$83)))</f>
        <v/>
      </c>
      <c r="S21" s="378" t="str">
        <f>IF($O$64=0,"",IF(SUMIF($A$34:$A$63,S$2,$O$34:$O$63)=0,"",(SUMIF($A$34:$A$63,S$2,$O$34:$O$63)-$O$84)))</f>
        <v/>
      </c>
      <c r="T21" s="378" t="str">
        <f>IF($O$64=0,"",IF(SUMIF($A$34:$A$63,T$2,$O$34:$O$63)=0,"",(SUMIF($A$34:$A$63,T$2,$O$34:$O$63)-$O$85)))</f>
        <v/>
      </c>
      <c r="U21" s="378" t="str">
        <f>IF($O$64=0,"",IF(SUMIF($A$34:$A$63,U$2,$O$34:$O$63)=0,"",(SUMIF($A$34:$A$63,U$2,$O$34:$O$63)-$O$86)))</f>
        <v/>
      </c>
      <c r="V21" s="378" t="str">
        <f>IF($O$64=0,"",IF(SUMIF($A$34:$A$63,V$2,$O$34:$O$63)=0,"",(SUMIF($A$34:$A$63,V$2,$O$34:$O$63)-$O$87)))</f>
        <v/>
      </c>
      <c r="W21" s="378" t="str">
        <f>IF($O$64=0,"",IF(SUMIF($A$34:$A$63,W$2,$O$34:$O$63)=0,"",(SUMIF($A$34:$A$63,W$2,$O$34:$O$63)-$O$88)))</f>
        <v/>
      </c>
      <c r="X21" s="378" t="str">
        <f>IF($O$64=0,"",IF(SUMIF($A$34:$A$63,X$2,$O$34:$O$63)=0,"",(SUMIF($A$34:$A$63,X$2,$O$34:$O$63)-$O$89)))</f>
        <v/>
      </c>
      <c r="Y21" s="378" t="str">
        <f>IF($O$64=0,"",IF(SUMIF($A$34:$A$63,Y$2,$O$34:$O$63)=0,"",(SUMIF($A$34:$A$63,Y$2,$O$34:$O$63)-$O$90)))</f>
        <v/>
      </c>
      <c r="Z21" s="378" t="str">
        <f>IF($O$64=0,"",IF(SUMIF($A$34:$A$63,Z$2,$O$34:$O$63)=0,"",(SUMIF($A$34:$A$63,Z$2,$O$34:$O$63)-$O$91)))</f>
        <v/>
      </c>
      <c r="AA21" s="378" t="str">
        <f>IF($O$64=0,"",IF(SUMIF($A$34:$A$63,AA$2,$O$34:$O$63)=0,"",(SUMIF($A$34:$A$63,AA$2,$O$34:$O$63)-$O$92)))</f>
        <v/>
      </c>
      <c r="AB21" s="378" t="str">
        <f>IF($O$64=0,"",IF(SUMIF($A$34:$A$63,AB$2,$O$34:$O$63)=0,"",(SUMIF($A$34:$A$63,AB$2,$O$34:$O$63)-$O$93)))</f>
        <v/>
      </c>
      <c r="AC21" s="378" t="str">
        <f>IF($O$64=0,"",IF(SUMIF($A$34:$A$63,AC$2,$O$34:$O$63)=0,"",(SUMIF($A$34:$A$63,AC$2,$O$34:$O$63)-$O$94)))</f>
        <v/>
      </c>
      <c r="AD21" s="378" t="str">
        <f>IF($O$64=0,"",IF(SUMIF($A$34:$A$63,AD$2,$O$34:$O$63)=0,"",(SUMIF($A$34:$A$63,AD$2,$O$34:$O$63)-$O$95)))</f>
        <v/>
      </c>
      <c r="AE21" s="378" t="str">
        <f>IF($O$64=0,"",IF(SUMIF($A$34:$A$63,AE$2,$O$34:$O$63)=0,"",(SUMIF($A$34:$A$63,AE$2,$O$34:$O$63)-$O$96)))</f>
        <v/>
      </c>
      <c r="AF21" s="378" t="str">
        <f>IF($O$64=0,"",IF(SUMIF($A$34:$A$63,AF$2,$O$34:$O$63)=0,"",(SUMIF($A$34:$A$63,AF$2,$O$34:$O$63)-$O$97)))</f>
        <v/>
      </c>
      <c r="AG21" s="378" t="str">
        <f>IF($O$64=0,"",IF(SUMIF($A$34:$A$63,AG$2,$O$34:$O$63)=0,"",(SUMIF($A$34:$A$63,AG$2,$O$34:$O$63)-$O$98)))</f>
        <v/>
      </c>
      <c r="AH21" s="363" t="str">
        <f>IF($O$64=0,"",IF(SUMIF($A$34:$A$63,AH$2,$O$34:$O$63)=0,"",(SUMIF($A$34:$A$63,AH$2,$O$34:$O$63)-$O$99)))</f>
        <v/>
      </c>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row>
    <row r="22" spans="1:154" ht="39">
      <c r="A22" s="811"/>
      <c r="B22" s="812"/>
      <c r="C22" s="76" t="s">
        <v>2439</v>
      </c>
      <c r="D22" s="365">
        <f t="shared" si="0"/>
        <v>0</v>
      </c>
      <c r="E22" s="365" t="str">
        <f>IF($P$64=0,"",IF(SUMIF($A$34:$A$63,E$2,$P$34:$P$63)=0,"",(SUMIF($A$34:$A$63,E$2,$P$34:$P$63)-$P$70)))</f>
        <v/>
      </c>
      <c r="F22" s="360" t="str">
        <f>IF($P$64=0,"",IF(SUMIF($A$34:$A$63,F$2,$P$34:$P$63)=0,"",(SUMIF($A$34:$A$63,F$2,$P$34:$P$63)-$P$71)))</f>
        <v/>
      </c>
      <c r="G22" s="361" t="str">
        <f>IF($P$64=0,"",IF(SUMIF($A$34:$A$63,G$2,$P$34:$P$63)=0,"",(SUMIF($A$34:$A$63,G$2,$P$34:$P$63)-$P$72)))</f>
        <v/>
      </c>
      <c r="H22" s="361" t="str">
        <f>IF($P$64=0,"",IF(SUMIF($A$34:$A$63,H$2,$P$34:$P$63)=0,"",(SUMIF($A$34:$A$63,H$2,$P$34:$P$63)-$P$73)))</f>
        <v/>
      </c>
      <c r="I22" s="361" t="str">
        <f>IF($P$64=0,"",IF(SUMIF($A$34:$A$63,I$2,$P$34:$P$63)=0,"",(SUMIF($A$34:$A$63,I$2,$P$34:$P$63)-$P$74)))</f>
        <v/>
      </c>
      <c r="J22" s="362" t="str">
        <f>IF($P$64=0,"",IF(SUMIF($A$34:$A$63,J$2,$P$34:$P$63)=0,"",(SUMIF($A$34:$A$63,J$2,$P$34:$P$63)-$P$75)))</f>
        <v/>
      </c>
      <c r="K22" s="360" t="str">
        <f>IF($P$64=0,"",IF(SUMIF($A$34:$A$63,K$2,$P$34:$P$63)=0,"",(SUMIF($A$34:$A$63,K$2,$P$34:$P$63)-$P$76)))</f>
        <v/>
      </c>
      <c r="L22" s="361" t="str">
        <f>IF($P$64=0,"",IF(SUMIF($A$34:$A$63,L$2,$P$34:$P$63)=0,"",(SUMIF($A$34:$A$63,L$2,$P$34:$P$63)-$P$77)))</f>
        <v/>
      </c>
      <c r="M22" s="361" t="str">
        <f>IF($P$64=0,"",IF(SUMIF($A$34:$A$63,M$2,$P$34:$P$63)=0,"",(SUMIF($A$34:$A$63,M$2,$P$34:$P$63)-$P$78)))</f>
        <v/>
      </c>
      <c r="N22" s="378" t="str">
        <f>IF($P$64=0,"",IF(SUMIF($A$34:$A$63,N$2,$P$34:$P$63)=0,"",(SUMIF($A$34:$A$63,N$2,$P$34:$P$63)-$P$79)))</f>
        <v/>
      </c>
      <c r="O22" s="378" t="str">
        <f>IF($P$64=0,"",IF(SUMIF($A$34:$A$63,O$2,$P$34:$P$63)=0,"",(SUMIF($A$34:$A$63,O$2,$P$34:$P$63)-$P$80)))</f>
        <v/>
      </c>
      <c r="P22" s="378" t="str">
        <f>IF($P$64=0,"",IF(SUMIF($A$34:$A$63,P$2,$P$34:$P$63)=0,"",(SUMIF($A$34:$A$63,P$2,$P$34:$P$63)-$P$81)))</f>
        <v/>
      </c>
      <c r="Q22" s="378" t="str">
        <f>IF($P$64=0,"",IF(SUMIF($A$34:$A$63,Q$2,$P$34:$P$63)=0,"",(SUMIF($A$34:$A$63,Q$2,$P$34:$P$63)-$P$82)))</f>
        <v/>
      </c>
      <c r="R22" s="378" t="str">
        <f>IF($P$64=0,"",IF(SUMIF($A$34:$A$63,R$2,$P$34:$P$63)=0,"",(SUMIF($A$34:$A$63,R$2,$P$34:$P$63)-$P$83)))</f>
        <v/>
      </c>
      <c r="S22" s="378" t="str">
        <f>IF($P$64=0,"",IF(SUMIF($A$34:$A$63,S$2,$P$34:$P$63)=0,"",(SUMIF($A$34:$A$63,S$2,$P$34:$P$63)-$P$84)))</f>
        <v/>
      </c>
      <c r="T22" s="378" t="str">
        <f>IF($P$64=0,"",IF(SUMIF($A$34:$A$63,T$2,$P$34:$P$63)=0,"",(SUMIF($A$34:$A$63,T$2,$P$34:$P$63)-$P$85)))</f>
        <v/>
      </c>
      <c r="U22" s="378" t="str">
        <f>IF($P$64=0,"",IF(SUMIF($A$34:$A$63,U$2,$P$34:$P$63)=0,"",(SUMIF($A$34:$A$63,U$2,$P$34:$P$63)-$P$86)))</f>
        <v/>
      </c>
      <c r="V22" s="378" t="str">
        <f>IF($P$64=0,"",IF(SUMIF($A$34:$A$63,V$2,$P$34:$P$63)=0,"",(SUMIF($A$34:$A$63,V$2,$P$34:$P$63)-$P$87)))</f>
        <v/>
      </c>
      <c r="W22" s="378" t="str">
        <f>IF($P$64=0,"",IF(SUMIF($A$34:$A$63,W$2,$P$34:$P$63)=0,"",(SUMIF($A$34:$A$63,W$2,$P$34:$P$63)-$P$88)))</f>
        <v/>
      </c>
      <c r="X22" s="378" t="str">
        <f>IF($P$64=0,"",IF(SUMIF($A$34:$A$63,X$2,$P$34:$P$63)=0,"",(SUMIF($A$34:$A$63,X$2,$P$34:$P$63)-$P$89)))</f>
        <v/>
      </c>
      <c r="Y22" s="378" t="str">
        <f>IF($P$64=0,"",IF(SUMIF($A$34:$A$63,Y$2,$P$34:$P$63)=0,"",(SUMIF($A$34:$A$63,Y$2,$P$34:$P$63)-$P$90)))</f>
        <v/>
      </c>
      <c r="Z22" s="378" t="str">
        <f>IF($P$64=0,"",IF(SUMIF($A$34:$A$63,Z$2,$P$34:$P$63)=0,"",(SUMIF($A$34:$A$63,Z$2,$P$34:$P$63)-$P$91)))</f>
        <v/>
      </c>
      <c r="AA22" s="378" t="str">
        <f>IF($P$64=0,"",IF(SUMIF($A$34:$A$63,AA$2,$P$34:$P$63)=0,"",(SUMIF($A$34:$A$63,AA$2,$P$34:$P$63)-$P$92)))</f>
        <v/>
      </c>
      <c r="AB22" s="378" t="str">
        <f>IF($P$64=0,"",IF(SUMIF($A$34:$A$63,AB$2,$P$34:$P$63)=0,"",(SUMIF($A$34:$A$63,AB$2,$P$34:$P$63)-$P$93)))</f>
        <v/>
      </c>
      <c r="AC22" s="378" t="str">
        <f>IF($P$64=0,"",IF(SUMIF($A$34:$A$63,AC$2,$P$34:$P$63)=0,"",(SUMIF($A$34:$A$63,AC$2,$P$34:$P$63)-$P$94)))</f>
        <v/>
      </c>
      <c r="AD22" s="378" t="str">
        <f>IF($P$64=0,"",IF(SUMIF($A$34:$A$63,AD$2,$P$34:$P$63)=0,"",(SUMIF($A$34:$A$63,AD$2,$P$34:$P$63)-$P$95)))</f>
        <v/>
      </c>
      <c r="AE22" s="378" t="str">
        <f>IF($P$64=0,"",IF(SUMIF($A$34:$A$63,AE$2,$P$34:$P$63)=0,"",(SUMIF($A$34:$A$63,AE$2,$P$34:$P$63)-$P$96)))</f>
        <v/>
      </c>
      <c r="AF22" s="378" t="str">
        <f>IF($P$64=0,"",IF(SUMIF($A$34:$A$63,AF$2,$P$34:$P$63)=0,"",(SUMIF($A$34:$A$63,AF$2,$P$34:$P$63)-$P$97)))</f>
        <v/>
      </c>
      <c r="AG22" s="378" t="str">
        <f>IF($P$64=0,"",IF(SUMIF($A$34:$A$63,AG$2,$P$34:$P$63)=0,"",(SUMIF($A$34:$A$63,AG$2,$P$34:$P$63)-$P$98)))</f>
        <v/>
      </c>
      <c r="AH22" s="363" t="str">
        <f>IF($P$64=0,"",IF(SUMIF($A$34:$A$63,AH$2,$P$34:$P$63)=0,"",(SUMIF($A$34:$A$63,AH$2,$P$34:$P$63)-$P$99)))</f>
        <v/>
      </c>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row>
    <row r="23" spans="1:154" ht="13.5" thickBot="1">
      <c r="A23" s="813"/>
      <c r="B23" s="814"/>
      <c r="C23" s="76" t="s">
        <v>2440</v>
      </c>
      <c r="D23" s="365">
        <f t="shared" si="0"/>
        <v>0</v>
      </c>
      <c r="E23" s="365" t="str">
        <f>IF($Q$64=0,"",IF(SUMIF($A$34:$A$63,E$2,$Q$34:$Q$63)=0,"",(SUMIF($A$34:$A$63,E$2,$Q$34:$Q$63)-$Q$70)))</f>
        <v/>
      </c>
      <c r="F23" s="360" t="str">
        <f>IF($Q$64=0,"",IF(SUMIF($A$34:$A$63,F$2,$Q$34:$Q$63)=0,"",(SUMIF($A$34:$A$63,F$2,$Q$34:$Q$63)-$Q$71)))</f>
        <v/>
      </c>
      <c r="G23" s="361" t="str">
        <f>IF($Q$64=0,"",IF(SUMIF($A$34:$A$63,G$2,$Q$34:$Q$63)=0,"",(SUMIF($A$34:$A$63,G$2,$Q$34:$Q$63)-$Q$72)))</f>
        <v/>
      </c>
      <c r="H23" s="361" t="str">
        <f>IF($Q$64=0,"",IF(SUMIF($A$34:$A$63,H$2,$Q$34:$Q$63)=0,"",(SUMIF($A$34:$A$63,H$2,$Q$34:$Q$63)-$Q$73)))</f>
        <v/>
      </c>
      <c r="I23" s="361" t="str">
        <f>IF($Q$64=0,"",IF(SUMIF($A$34:$A$63,I$2,$Q$34:$Q$63)=0,"",(SUMIF($A$34:$A$63,I$2,$Q$34:$Q$63)-$Q$74)))</f>
        <v/>
      </c>
      <c r="J23" s="362" t="str">
        <f>IF($Q$64=0,"",IF(SUMIF($A$34:$A$63,J$2,$Q$34:$Q$63)=0,"",(SUMIF($A$34:$A$63,J$2,$Q$34:$Q$63)-$Q$75)))</f>
        <v/>
      </c>
      <c r="K23" s="360" t="str">
        <f>IF($Q$64=0,"",IF(SUMIF($A$34:$A$63,K$2,$Q$34:$Q$63)=0,"",(SUMIF($A$34:$A$63,K$2,$Q$34:$Q$63)-$Q$76)))</f>
        <v/>
      </c>
      <c r="L23" s="361" t="str">
        <f>IF($Q$64=0,"",IF(SUMIF($A$34:$A$63,L$2,$Q$34:$Q$63)=0,"",(SUMIF($A$34:$A$63,L$2,$Q$34:$Q$63)-Q77)))</f>
        <v/>
      </c>
      <c r="M23" s="361" t="str">
        <f>IF($Q$64=0,"",IF(SUMIF($A$34:$A$63,M$2,$Q$34:$Q$63)=0,"",(SUMIF($A$34:$A$63,M$2,$Q$34:$Q$63)-$Q$78)))</f>
        <v/>
      </c>
      <c r="N23" s="378" t="str">
        <f>IF($Q$64=0,"",IF(SUMIF($A$34:$A$63,N$2,$Q$34:$Q$63)=0,"",(SUMIF($A$34:$A$63,N$2,$Q$34:$Q$63)-$Q$79)))</f>
        <v/>
      </c>
      <c r="O23" s="378" t="str">
        <f>IF($Q$64=0,"",IF(SUMIF($A$34:$A$63,O$2,$Q$34:$Q$63)=0,"",(SUMIF($A$34:$A$63,O$2,$Q$34:$Q$63)-$Q$80)))</f>
        <v/>
      </c>
      <c r="P23" s="378" t="str">
        <f>IF($Q$64=0,"",IF(SUMIF($A$34:$A$63,P$2,$Q$34:$Q$63)=0,"",(SUMIF($A$34:$A$63,P$2,$Q$34:$Q$63)-$Q$81)))</f>
        <v/>
      </c>
      <c r="Q23" s="378" t="str">
        <f>IF($Q$64=0,"",IF(SUMIF($A$34:$A$63,Q$2,$Q$34:$Q$63)=0,"",(SUMIF($A$34:$A$63,Q$2,$Q$34:$Q$63)-$Q$82)))</f>
        <v/>
      </c>
      <c r="R23" s="378" t="str">
        <f>IF($Q$64=0,"",IF(SUMIF($A$34:$A$63,R$2,$Q$34:$Q$63)=0,"",(SUMIF($A$34:$A$63,R$2,$Q$34:$Q$63)-$Q$83)))</f>
        <v/>
      </c>
      <c r="S23" s="378" t="str">
        <f>IF($Q$64=0,"",IF(SUMIF($A$34:$A$63,S$2,$Q$34:$Q$63)=0,"",(SUMIF($A$34:$A$63,S$2,$Q$34:$Q$63)-$Q$84)))</f>
        <v/>
      </c>
      <c r="T23" s="378" t="str">
        <f>IF($Q$64=0,"",IF(SUMIF($A$34:$A$63,T$2,$Q$34:$Q$63)=0,"",(SUMIF($A$34:$A$63,T$2,$Q$34:$Q$63)-$Q$85)))</f>
        <v/>
      </c>
      <c r="U23" s="378" t="str">
        <f>IF($Q$64=0,"",IF(SUMIF($A$34:$A$63,U$2,$Q$34:$Q$63)=0,"",(SUMIF($A$34:$A$63,U$2,$Q$34:$Q$63)-$Q$86)))</f>
        <v/>
      </c>
      <c r="V23" s="378" t="str">
        <f>IF($Q$64=0,"",IF(SUMIF($A$34:$A$63,V$2,$Q$34:$Q$63)=0,"",(SUMIF($A$34:$A$63,V$2,$Q$34:$Q$63)-$Q$87)))</f>
        <v/>
      </c>
      <c r="W23" s="378" t="str">
        <f>IF($Q$64=0,"",IF(SUMIF($A$34:$A$63,W$2,$Q$34:$Q$63)=0,"",(SUMIF($A$34:$A$63,W$2,$Q$34:$Q$63)-$Q$88)))</f>
        <v/>
      </c>
      <c r="X23" s="378" t="str">
        <f>IF($Q$64=0,"",IF(SUMIF($A$34:$A$63,X$2,$Q$34:$Q$63)=0,"",(SUMIF($A$34:$A$63,X$2,$Q$34:$Q$63)-$Q$89)))</f>
        <v/>
      </c>
      <c r="Y23" s="378" t="str">
        <f>IF($Q$64=0,"",IF(SUMIF($A$34:$A$63,Y$2,$Q$34:$Q$63)=0,"",(SUMIF($A$34:$A$63,Y$2,$Q$34:$Q$63)-$Q$90)))</f>
        <v/>
      </c>
      <c r="Z23" s="378" t="str">
        <f>IF($Q$64=0,"",IF(SUMIF($A$34:$A$63,Z$2,$Q$34:$Q$63)=0,"",(SUMIF($A$34:$A$63,Z$2,$Q$34:$Q$63)-$Q$91)))</f>
        <v/>
      </c>
      <c r="AA23" s="378" t="str">
        <f>IF($Q$64=0,"",IF(SUMIF($A$34:$A$63,AA$2,$Q$34:$Q$63)=0,"",(SUMIF($A$34:$A$63,AA$2,$Q$34:$Q$63)-$Q$92)))</f>
        <v/>
      </c>
      <c r="AB23" s="378" t="str">
        <f>IF($Q$64=0,"",IF(SUMIF($A$34:$A$63,AB$2,$Q$34:$Q$63)=0,"",(SUMIF($A$34:$A$63,AB$2,$Q$34:$Q$63)-$Q$93)))</f>
        <v/>
      </c>
      <c r="AC23" s="378" t="str">
        <f>IF($Q$64=0,"",IF(SUMIF($A$34:$A$63,AC$2,$Q$34:$Q$63)=0,"",(SUMIF($A$34:$A$63,AC$2,$Q$34:$Q$63)-$Q$94)))</f>
        <v/>
      </c>
      <c r="AD23" s="378" t="str">
        <f>IF($Q$64=0,"",IF(SUMIF($A$34:$A$63,AD$2,$Q$34:$Q$63)=0,"",(SUMIF($A$34:$A$63,AD$2,$Q$34:$Q$63)-$Q$95)))</f>
        <v/>
      </c>
      <c r="AE23" s="378" t="str">
        <f>IF($Q$64=0,"",IF(SUMIF($A$34:$A$63,AE$2,$Q$34:$Q$63)=0,"",(SUMIF($A$34:$A$63,AE$2,$Q$34:$Q$63)-$Q$96)))</f>
        <v/>
      </c>
      <c r="AF23" s="378" t="str">
        <f>IF($Q$64=0,"",IF(SUMIF($A$34:$A$63,AF$2,$Q$34:$Q$63)=0,"",(SUMIF($A$34:$A$63,AF$2,$Q$34:$Q$63)-$Q$97)))</f>
        <v/>
      </c>
      <c r="AG23" s="378" t="str">
        <f>IF($Q$64=0,"",IF(SUMIF($A$34:$A$63,AG$2,$Q$34:$Q$63)=0,"",(SUMIF($A$34:$A$63,AG$2,$Q$34:$Q$63)-$Q$98)))</f>
        <v/>
      </c>
      <c r="AH23" s="363" t="str">
        <f>IF($Q$64=0,"",IF(SUMIF($A$34:$A$63,AH$2,$Q$34:$Q$63)=0,"",(SUMIF($A$34:$A$63,AH$2,$Q$34:$Q$63)-$Q$99)))</f>
        <v/>
      </c>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row>
    <row r="24" spans="1:154" ht="26">
      <c r="A24" s="810" t="s">
        <v>208</v>
      </c>
      <c r="B24" s="696"/>
      <c r="C24" s="75" t="s">
        <v>2437</v>
      </c>
      <c r="D24" s="354">
        <f t="shared" si="0"/>
        <v>0</v>
      </c>
      <c r="E24" s="354" t="str">
        <f>IF($R$64=0,"",IF(SUMIF($A$34:$A$63,E$2,$R$34:$R$63)=0,"",(SUMIF($A$34:$A$63,E$2,$R$34:$R$63)-$R$70)))</f>
        <v/>
      </c>
      <c r="F24" s="356" t="str">
        <f>IF($R$64=0,"",IF(SUMIF($A$34:$A$63,F$2,$R$34:$R$63)=0,"",(SUMIF($A$34:$A$63,F$2,$R$34:$R$63)-$R$71)))</f>
        <v/>
      </c>
      <c r="G24" s="355" t="str">
        <f>IF($R$64=0,"",IF(SUMIF($A$34:$A$63,G$2,$R$34:$R$63)=0,"",(SUMIF($A$34:$A$63,G$2,$R$34:$R$63)-$R$72)))</f>
        <v/>
      </c>
      <c r="H24" s="355" t="str">
        <f>IF($R$64=0,"",IF(SUMIF($A$34:$A$63,H$2,$R$34:$R$63)=0,"",(SUMIF($A$34:$A$63,H$2,$R$34:$R$63)-$R$73)))</f>
        <v/>
      </c>
      <c r="I24" s="355" t="str">
        <f>IF($R$64=0,"",IF(SUMIF($A$34:$A$63,I$2,$R$34:$R$63)=0,"",(SUMIF($A$34:$A$63,I$2,$R$34:$R$63)-$R$74)))</f>
        <v/>
      </c>
      <c r="J24" s="356" t="str">
        <f>IF($R$64=0,"",IF(SUMIF($A$34:$A$63,J$2,$R$34:$R$63)=0,"",(SUMIF($A$34:$A$63,J$2,$R$34:$R$63)-$R$75)))</f>
        <v/>
      </c>
      <c r="K24" s="356" t="str">
        <f>IF($R$64=0,"",IF(SUMIF($A$34:$A$63,K$2,$R$34:$R$63)=0,"",(SUMIF($A$34:$A$63,K$2,$R$34:$R$63)-$R$76)))</f>
        <v/>
      </c>
      <c r="L24" s="355" t="str">
        <f>IF($R$64=0,"",IF(SUMIF($A$34:$A$63,L$2,$R$34:$R$63)=0,"",(SUMIF($A$34:$A$63,L$2,$R$34:$R$63)-$R$77)))</f>
        <v/>
      </c>
      <c r="M24" s="355" t="str">
        <f>IF($R$64=0,"",IF(SUMIF($A$34:$A$63,M$2,$R$34:$R$63)=0,"",(SUMIF($A$34:$A$63,M$2,$R$34:$R$63)-$R$78)))</f>
        <v/>
      </c>
      <c r="N24" s="377" t="str">
        <f>IF($R$64=0,"",IF(SUMIF($A$34:$A$63,N$2,$R$34:$R$63)=0,"",(SUMIF($A$34:$A$63,N$2,$R$34:$R$63)-$R$79)))</f>
        <v/>
      </c>
      <c r="O24" s="377" t="str">
        <f>IF($R$64=0,"",IF(SUMIF($A$34:$A$63,O$2,$R$34:$R$63)=0,"",(SUMIF($A$34:$A$63,O$2,$R$34:$R$63)-$R$80)))</f>
        <v/>
      </c>
      <c r="P24" s="377" t="str">
        <f>IF($R$64=0,"",IF(SUMIF($A$34:$A$63,P$2,$R$34:$R$63)=0,"",(SUMIF($A$34:$A$63,P$2,$R$34:$R$63)-$R$81)))</f>
        <v/>
      </c>
      <c r="Q24" s="377" t="str">
        <f>IF($R$64=0,"",IF(SUMIF($A$34:$A$63,Q$2,$R$34:$R$63)=0,"",(SUMIF($A$34:$A$63,Q$2,$R$34:$R$63)-$R$82)))</f>
        <v/>
      </c>
      <c r="R24" s="377" t="str">
        <f>IF($R$64=0,"",IF(SUMIF($A$34:$A$63,R$2,$R$34:$R$63)=0,"",(SUMIF($A$34:$A$63,R$2,$R$34:$R$63)-$R$83)))</f>
        <v/>
      </c>
      <c r="S24" s="377" t="str">
        <f>IF($R$64=0,"",IF(SUMIF($A$34:$A$63,S$2,$R$34:$R$63)=0,"",(SUMIF($A$34:$A$63,S$2,$R$34:$R$63)-$R$84)))</f>
        <v/>
      </c>
      <c r="T24" s="377" t="str">
        <f>IF($R$64=0,"",IF(SUMIF($A$34:$A$63,T$2,$R$34:$R$63)=0,"",(SUMIF($A$34:$A$63,T$2,$R$34:$R$63)-$R$85)))</f>
        <v/>
      </c>
      <c r="U24" s="377" t="str">
        <f>IF($R$64=0,"",IF(SUMIF($A$34:$A$63,U$2,$R$34:$R$63)=0,"",(SUMIF($A$34:$A$63,U$2,$R$34:$R$63)-$R$86)))</f>
        <v/>
      </c>
      <c r="V24" s="377" t="str">
        <f>IF($R$64=0,"",IF(SUMIF($A$34:$A$63,V$2,$R$34:$R$63)=0,"",(SUMIF($A$34:$A$63,V$2,$R$34:$R$63)-$R$87)))</f>
        <v/>
      </c>
      <c r="W24" s="377" t="str">
        <f>IF($R$64=0,"",IF(SUMIF($A$34:$A$63,W$2,$R$34:$R$63)=0,"",(SUMIF($A$34:$A$63,W$2,$R$34:$R$63)-$R$88)))</f>
        <v/>
      </c>
      <c r="X24" s="377" t="str">
        <f>IF($R$64=0,"",IF(SUMIF($A$34:$A$63,X$2,$R$34:$R$63)=0,"",(SUMIF($A$34:$A$63,X$2,$R$34:$R$63)-$R$89)))</f>
        <v/>
      </c>
      <c r="Y24" s="377" t="str">
        <f>IF($R$64=0,"",IF(SUMIF($A$34:$A$63,Y$2,$R$34:$R$63)=0,"",(SUMIF($A$34:$A$63,Y$2,$R$34:$R$63)-$R$90)))</f>
        <v/>
      </c>
      <c r="Z24" s="377" t="str">
        <f>IF($R$64=0,"",IF(SUMIF($A$34:$A$63,Z$2,$R$34:$R$63)=0,"",(SUMIF($A$34:$A$63,Z$2,$R$34:$R$63)-$R$91)))</f>
        <v/>
      </c>
      <c r="AA24" s="377" t="str">
        <f>IF($R$64=0,"",IF(SUMIF($A$34:$A$63,AA$2,$R$34:$R$63)=0,"",(SUMIF($A$34:$A$63,AA$2,$R$34:$R$63)-$R$92)))</f>
        <v/>
      </c>
      <c r="AB24" s="377" t="str">
        <f>IF($R$64=0,"",IF(SUMIF($A$34:$A$63,AB$2,$R$34:$R$63)=0,"",(SUMIF($A$34:$A$63,AB$2,$R$34:$R$63)-$R$93)))</f>
        <v/>
      </c>
      <c r="AC24" s="377" t="str">
        <f>IF($R$64=0,"",IF(SUMIF($A$34:$A$63,AC$2,$R$34:$R$63)=0,"",(SUMIF($A$34:$A$63,AC$2,$R$34:$R$63)-$R$94)))</f>
        <v/>
      </c>
      <c r="AD24" s="377" t="str">
        <f>IF($R$64=0,"",IF(SUMIF($A$34:$A$63,AD$2,$R$34:$R$63)=0,"",(SUMIF($A$34:$A$63,AD$2,$R$34:$R$63)-$R$95)))</f>
        <v/>
      </c>
      <c r="AE24" s="377" t="str">
        <f>IF($R$64=0,"",IF(SUMIF($A$34:$A$63,AE$2,$R$34:$R$63)=0,"",(SUMIF($A$34:$A$63,AE$2,$R$34:$R$63)-$R$96)))</f>
        <v/>
      </c>
      <c r="AF24" s="377" t="str">
        <f>IF($R$64=0,"",IF(SUMIF($A$34:$A$63,AF$2,$R$34:$R$63)=0,"",(SUMIF($A$34:$A$63,AF$2,$R$34:$R$63)-$R$97)))</f>
        <v/>
      </c>
      <c r="AG24" s="377" t="str">
        <f>IF($R$64=0,"",IF(SUMIF($A$34:$A$63,AG$2,$R$34:$R$63)=0,"",(SUMIF($A$34:$A$63,AG$2,$R$34:$R$63)-$R$98)))</f>
        <v/>
      </c>
      <c r="AH24" s="357" t="str">
        <f>IF($R$64=0,"",IF(SUMIF($A$34:$A$63,AH$2,$R$34:$R$63)=0,"",(SUMIF($A$34:$A$63,AH$2,$R$34:$R$63)-$R$99)))</f>
        <v/>
      </c>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row>
    <row r="25" spans="1:154" ht="39">
      <c r="A25" s="811"/>
      <c r="B25" s="812"/>
      <c r="C25" s="76" t="s">
        <v>2438</v>
      </c>
      <c r="D25" s="365">
        <f t="shared" si="0"/>
        <v>0</v>
      </c>
      <c r="E25" s="365" t="str">
        <f>IF($S$64=0,"",IF(SUMIF($A$34:$A$63,E$2,$S$34:$S$63)=0,"",(SUMIF($A$34:$A$63,E$2,$S$34:$S$63)-$S$70)))</f>
        <v/>
      </c>
      <c r="F25" s="360" t="str">
        <f>IF($S$64=0,"",IF(SUMIF($A$34:$A$63,F$2,$S$34:$S$63)=0,"",(SUMIF($A$34:$A$63,F$2,$S$34:$S$63)-$S$71)))</f>
        <v/>
      </c>
      <c r="G25" s="361" t="str">
        <f>IF($S$64=0,"",IF(SUMIF($A$34:$A$63,G$2,$S$34:$S$63)=0,"",(SUMIF($A$34:$A$63,G$2,$S$34:$S$63)-$S$72)))</f>
        <v/>
      </c>
      <c r="H25" s="361" t="str">
        <f>IF($S$64=0,"",IF(SUMIF($A$34:$A$63,H$2,$S$34:$S$63)=0,"",(SUMIF($A$34:$A$63,H$2,$S$34:$S$63)-$S$73)))</f>
        <v/>
      </c>
      <c r="I25" s="361" t="str">
        <f>IF($S$64=0,"",IF(SUMIF($A$34:$A$63,I$2,$S$34:$S$63)=0,"",(SUMIF($A$34:$A$63,I$2,$S$34:$S$63)-$S$74)))</f>
        <v/>
      </c>
      <c r="J25" s="362" t="str">
        <f>IF($S$64=0,"",IF(SUMIF($A$34:$A$63,J$2,$S$34:$S$63)=0,"",(SUMIF($A$34:$A$63,J$2,$S$34:$S$63)-$S$75)))</f>
        <v/>
      </c>
      <c r="K25" s="360" t="str">
        <f>IF($S$64=0,"",IF(SUMIF($A$34:$A$63,K$2,$S$34:$S$63)=0,"",(SUMIF($A$34:$A$63,K$2,$S$34:$S$63)-$S$76)))</f>
        <v/>
      </c>
      <c r="L25" s="361" t="str">
        <f>IF($S$64=0,"",IF(SUMIF($A$34:$A$63,L$2,$S$34:$S$63)=0,"",(SUMIF($A$34:$A$63,L$2,$S$34:$S$63)-$S$77)))</f>
        <v/>
      </c>
      <c r="M25" s="361" t="str">
        <f>IF($S$64=0,"",IF(SUMIF($A$34:$A$63,M$2,$S$34:$S$63)=0,"",(SUMIF($A$34:$A$63,M$2,$S$34:$S$63)-$S$78)))</f>
        <v/>
      </c>
      <c r="N25" s="378" t="str">
        <f>IF($S$64=0,"",IF(SUMIF($A$34:$A$63,N$2,$S$34:$S$63)=0,"",(SUMIF($A$34:$A$63,N$2,$S$34:$S$63)-$S$79)))</f>
        <v/>
      </c>
      <c r="O25" s="378" t="str">
        <f>IF($S$64=0,"",IF(SUMIF($A$34:$A$63,O$2,$S$34:$S$63)=0,"",(SUMIF($A$34:$A$63,O$2,$S$34:$S$63)-$S$80)))</f>
        <v/>
      </c>
      <c r="P25" s="378" t="str">
        <f>IF($S$64=0,"",IF(SUMIF($A$34:$A$63,P$2,$S$34:$S$63)=0,"",(SUMIF($A$34:$A$63,P$2,$S$34:$S$63)-$S$81)))</f>
        <v/>
      </c>
      <c r="Q25" s="378" t="str">
        <f>IF($S$64=0,"",IF(SUMIF($A$34:$A$63,Q$2,$S$34:$S$63)=0,"",(SUMIF($A$34:$A$63,Q$2,$S$34:$S$63)-$S$82)))</f>
        <v/>
      </c>
      <c r="R25" s="378" t="str">
        <f>IF($S$64=0,"",IF(SUMIF($A$34:$A$63,R$2,$S$34:$S$63)=0,"",(SUMIF($A$34:$A$63,R$2,$S$34:$S$63)-$S$83)))</f>
        <v/>
      </c>
      <c r="S25" s="378" t="str">
        <f>IF($S$64=0,"",IF(SUMIF($A$34:$A$63,S$2,$S$34:$S$63)=0,"",(SUMIF($A$34:$A$63,S$2,$S$34:$S$63)-$S$84)))</f>
        <v/>
      </c>
      <c r="T25" s="378" t="str">
        <f>IF($S$64=0,"",IF(SUMIF($A$34:$A$63,T$2,$S$34:$S$63)=0,"",(SUMIF($A$34:$A$63,T$2,$S$34:$S$63)-$S$85)))</f>
        <v/>
      </c>
      <c r="U25" s="378" t="str">
        <f>IF($S$64=0,"",IF(SUMIF($A$34:$A$63,U$2,$S$34:$S$63)=0,"",(SUMIF($A$34:$A$63,U$2,$S$34:$S$63)-$S$86)))</f>
        <v/>
      </c>
      <c r="V25" s="378" t="str">
        <f>IF($S$64=0,"",IF(SUMIF($A$34:$A$63,V$2,$S$34:$S$63)=0,"",(SUMIF($A$34:$A$63,V$2,$S$34:$S$63)-$S$87)))</f>
        <v/>
      </c>
      <c r="W25" s="378" t="str">
        <f>IF($S$64=0,"",IF(SUMIF($A$34:$A$63,W$2,$S$34:$S$63)=0,"",(SUMIF($A$34:$A$63,W$2,$S$34:$S$63)-$S$88)))</f>
        <v/>
      </c>
      <c r="X25" s="378" t="str">
        <f>IF($S$64=0,"",IF(SUMIF($A$34:$A$63,X$2,$S$34:$S$63)=0,"",(SUMIF($A$34:$A$63,X$2,$S$34:$S$63)-$S$89)))</f>
        <v/>
      </c>
      <c r="Y25" s="378" t="str">
        <f>IF($S$64=0,"",IF(SUMIF($A$34:$A$63,Y$2,$S$34:$S$63)=0,"",(SUMIF($A$34:$A$63,Y$2,$S$34:$S$63)-$S$90)))</f>
        <v/>
      </c>
      <c r="Z25" s="378" t="str">
        <f>IF($S$64=0,"",IF(SUMIF($A$34:$A$63,Z$2,$S$34:$S$63)=0,"",(SUMIF($A$34:$A$63,Z$2,$S$34:$S$63)-$S$91)))</f>
        <v/>
      </c>
      <c r="AA25" s="378" t="str">
        <f>IF($S$64=0,"",IF(SUMIF($A$34:$A$63,AA$2,$S$34:$S$63)=0,"",(SUMIF($A$34:$A$63,AA$2,$S$34:$S$63)-$S$92)))</f>
        <v/>
      </c>
      <c r="AB25" s="378" t="str">
        <f>IF($S$64=0,"",IF(SUMIF($A$34:$A$63,AB$2,$S$34:$S$63)=0,"",(SUMIF($A$34:$A$63,AB$2,$S$34:$S$63)-$S$93)))</f>
        <v/>
      </c>
      <c r="AC25" s="378" t="str">
        <f>IF($S$64=0,"",IF(SUMIF($A$34:$A$63,AC$2,$S$34:$S$63)=0,"",(SUMIF($A$34:$A$63,AC$2,$S$34:$S$63)-$S$94)))</f>
        <v/>
      </c>
      <c r="AD25" s="378" t="str">
        <f>IF($S$64=0,"",IF(SUMIF($A$34:$A$63,AD$2,$S$34:$S$63)=0,"",(SUMIF($A$34:$A$63,AD$2,$S$34:$S$63)-$S$95)))</f>
        <v/>
      </c>
      <c r="AE25" s="378" t="str">
        <f>IF($S$64=0,"",IF(SUMIF($A$34:$A$63,AE$2,$S$34:$S$63)=0,"",(SUMIF($A$34:$A$63,AE$2,$S$34:$S$63)-$S$96)))</f>
        <v/>
      </c>
      <c r="AF25" s="378" t="str">
        <f>IF($S$64=0,"",IF(SUMIF($A$34:$A$63,AF$2,$S$34:$S$63)=0,"",(SUMIF($A$34:$A$63,AF$2,$S$34:$S$63)-$S$97)))</f>
        <v/>
      </c>
      <c r="AG25" s="378" t="str">
        <f>IF($S$64=0,"",IF(SUMIF($A$34:$A$63,AG$2,$S$34:$S$63)=0,"",(SUMIF($A$34:$A$63,AG$2,$S$34:$S$63)-$S$98)))</f>
        <v/>
      </c>
      <c r="AH25" s="363" t="str">
        <f>IF($S$64=0,"",IF(SUMIF($A$34:$A$63,AH$2,$S$34:$S$63)=0,"",(SUMIF($A$34:$A$63,AH$2,$S$34:$S$63)-$S$99)))</f>
        <v/>
      </c>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row>
    <row r="26" spans="1:154" ht="39">
      <c r="A26" s="811"/>
      <c r="B26" s="812"/>
      <c r="C26" s="76" t="s">
        <v>2439</v>
      </c>
      <c r="D26" s="365">
        <f t="shared" si="0"/>
        <v>0</v>
      </c>
      <c r="E26" s="365" t="str">
        <f>IF($T$64=0,"",IF(SUMIF($A$34:$A$63,E$2,$T$34:$T$63)=0,"",(SUMIF($A$34:$A$63,E$2,$T$34:$T$63)-$T$70)))</f>
        <v/>
      </c>
      <c r="F26" s="360" t="str">
        <f>IF($T$64=0,"",IF(SUMIF($A$34:$A$63,F$2,$T$34:$T$63)=0,"",(SUMIF($A$34:$A$63,F$2,$T$34:$T$63)-$T$71)))</f>
        <v/>
      </c>
      <c r="G26" s="361" t="str">
        <f>IF($T$64=0,"",IF(SUMIF($A$34:$A$63,G$2,$T$34:$T$63)=0,"",(SUMIF($A$34:$A$63,G$2,$T$34:$T$63)-$T$72)))</f>
        <v/>
      </c>
      <c r="H26" s="361" t="str">
        <f>IF($T$64=0,"",IF(SUMIF($A$34:$A$63,H$2,$T$34:$T$63)=0,"",(SUMIF($A$34:$A$63,H$2,$T$34:$T$63)-$T$73)))</f>
        <v/>
      </c>
      <c r="I26" s="361" t="str">
        <f>IF($T$64=0,"",IF(SUMIF($A$34:$A$63,I$2,$T$34:$T$63)=0,"",(SUMIF($A$34:$A$63,I$2,$T$34:$T$63)-$T$74)))</f>
        <v/>
      </c>
      <c r="J26" s="362" t="str">
        <f>IF($T$64=0,"",IF(SUMIF($A$34:$A$63,J$2,$T$34:$T$63)=0,"",(SUMIF($A$34:$A$63,J$2,$T$34:$T$63)-$T$75)))</f>
        <v/>
      </c>
      <c r="K26" s="360" t="str">
        <f>IF($T$64=0,"",IF(SUMIF($A$34:$A$63,K$2,$T$34:$T$63)=0,"",(SUMIF($A$34:$A$63,K$2,$T$34:$T$63)-$T$76)))</f>
        <v/>
      </c>
      <c r="L26" s="361" t="str">
        <f>IF($T$64=0,"",IF(SUMIF($A$34:$A$63,L$2,$T$34:$T$63)=0,"",(SUMIF($A$34:$A$63,L$2,$T$34:$T$63)-$T$77)))</f>
        <v/>
      </c>
      <c r="M26" s="361" t="str">
        <f>IF($T$64=0,"",IF(SUMIF($A$34:$A$63,M$2,$T$34:$T$63)=0,"",(SUMIF($A$34:$A$63,M$2,$T$34:$T$63)-$T$78)))</f>
        <v/>
      </c>
      <c r="N26" s="378" t="str">
        <f>IF($T$64=0,"",IF(SUMIF($A$34:$A$63,N$2,$T$34:$T$63)=0,"",(SUMIF($A$34:$A$63,N$2,$T$34:$T$63)-$T$79)))</f>
        <v/>
      </c>
      <c r="O26" s="378" t="str">
        <f>IF($T$64=0,"",IF(SUMIF($A$34:$A$63,O$2,$T$34:$T$63)=0,"",(SUMIF($A$34:$A$63,O$2,$T$34:$T$63)-$T$80)))</f>
        <v/>
      </c>
      <c r="P26" s="378" t="str">
        <f>IF($T$64=0,"",IF(SUMIF($A$34:$A$63,P$2,$T$34:$T$63)=0,"",(SUMIF($A$34:$A$63,P$2,$T$34:$T$63)-$T$81)))</f>
        <v/>
      </c>
      <c r="Q26" s="378" t="str">
        <f>IF($T$64=0,"",IF(SUMIF($A$34:$A$63,Q$2,$T$34:$T$63)=0,"",(SUMIF($A$34:$A$63,Q$2,$T$34:$T$63)-$T$82)))</f>
        <v/>
      </c>
      <c r="R26" s="378" t="str">
        <f>IF($T$64=0,"",IF(SUMIF($A$34:$A$63,R$2,$T$34:$T$63)=0,"",(SUMIF($A$34:$A$63,R$2,$T$34:$T$63)-$T$83)))</f>
        <v/>
      </c>
      <c r="S26" s="378" t="str">
        <f>IF($T$64=0,"",IF(SUMIF($A$34:$A$63,S$2,$T$34:$T$63)=0,"",(SUMIF($A$34:$A$63,S$2,$T$34:$T$63)-$T$84)))</f>
        <v/>
      </c>
      <c r="T26" s="378" t="str">
        <f>IF($T$64=0,"",IF(SUMIF($A$34:$A$63,T$2,$T$34:$T$63)=0,"",(SUMIF($A$34:$A$63,T$2,$T$34:$T$63)-$T$85)))</f>
        <v/>
      </c>
      <c r="U26" s="378" t="str">
        <f>IF($T$64=0,"",IF(SUMIF($A$34:$A$63,U$2,$T$34:$T$63)=0,"",(SUMIF($A$34:$A$63,U$2,$T$34:$T$63)-$T$86)))</f>
        <v/>
      </c>
      <c r="V26" s="378" t="str">
        <f>IF($T$64=0,"",IF(SUMIF($A$34:$A$63,V$2,$T$34:$T$63)=0,"",(SUMIF($A$34:$A$63,V$2,$T$34:$T$63)-$T$87)))</f>
        <v/>
      </c>
      <c r="W26" s="378" t="str">
        <f>IF($T$64=0,"",IF(SUMIF($A$34:$A$63,W$2,$T$34:$T$63)=0,"",(SUMIF($A$34:$A$63,W$2,$T$34:$T$63)-$T$88)))</f>
        <v/>
      </c>
      <c r="X26" s="378" t="str">
        <f>IF($T$64=0,"",IF(SUMIF($A$34:$A$63,X$2,$T$34:$T$63)=0,"",(SUMIF($A$34:$A$63,X$2,$T$34:$T$63)-$T$89)))</f>
        <v/>
      </c>
      <c r="Y26" s="378" t="str">
        <f>IF($T$64=0,"",IF(SUMIF($A$34:$A$63,Y$2,$T$34:$T$63)=0,"",(SUMIF($A$34:$A$63,Y$2,$T$34:$T$63)-$T$90)))</f>
        <v/>
      </c>
      <c r="Z26" s="378" t="str">
        <f>IF($T$64=0,"",IF(SUMIF($A$34:$A$63,Z$2,$T$34:$T$63)=0,"",(SUMIF($A$34:$A$63,Z$2,$T$34:$T$63)-$T$91)))</f>
        <v/>
      </c>
      <c r="AA26" s="378" t="str">
        <f>IF($T$64=0,"",IF(SUMIF($A$34:$A$63,AA$2,$T$34:$T$63)=0,"",(SUMIF($A$34:$A$63,AA$2,$T$34:$T$63)-$T$92)))</f>
        <v/>
      </c>
      <c r="AB26" s="378" t="str">
        <f>IF($T$64=0,"",IF(SUMIF($A$34:$A$63,AB$2,$T$34:$T$63)=0,"",(SUMIF($A$34:$A$63,AB$2,$T$34:$T$63)-$T$93)))</f>
        <v/>
      </c>
      <c r="AC26" s="378" t="str">
        <f>IF($T$64=0,"",IF(SUMIF($A$34:$A$63,AC$2,$T$34:$T$63)=0,"",(SUMIF($A$34:$A$63,AC$2,$T$34:$T$63)-$T$94)))</f>
        <v/>
      </c>
      <c r="AD26" s="378" t="str">
        <f>IF($T$64=0,"",IF(SUMIF($A$34:$A$63,AD$2,$T$34:$T$63)=0,"",(SUMIF($A$34:$A$63,AD$2,$T$34:$T$63)-$T$95)))</f>
        <v/>
      </c>
      <c r="AE26" s="378" t="str">
        <f>IF($T$64=0,"",IF(SUMIF($A$34:$A$63,AE$2,$T$34:$T$63)=0,"",(SUMIF($A$34:$A$63,AE$2,$T$34:$T$63)-$T$96)))</f>
        <v/>
      </c>
      <c r="AF26" s="378" t="str">
        <f>IF($T$64=0,"",IF(SUMIF($A$34:$A$63,AF$2,$T$34:$T$63)=0,"",(SUMIF($A$34:$A$63,AF$2,$T$34:$T$63)-$T$97)))</f>
        <v/>
      </c>
      <c r="AG26" s="378" t="str">
        <f>IF($T$64=0,"",IF(SUMIF($A$34:$A$63,AG$2,$T$34:$T$63)=0,"",(SUMIF($A$34:$A$63,AG$2,$T$34:$T$63)-$T$98)))</f>
        <v/>
      </c>
      <c r="AH26" s="363" t="str">
        <f>IF($T$64=0,"",IF(SUMIF($A$34:$A$63,AH$2,$T$34:$T$63)=0,"",(SUMIF($A$34:$A$63,AH$2,$T$34:$T$63)-$T$99)))</f>
        <v/>
      </c>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row>
    <row r="27" spans="1:154" ht="13.5" thickBot="1">
      <c r="A27" s="813"/>
      <c r="B27" s="814"/>
      <c r="C27" s="76" t="s">
        <v>2440</v>
      </c>
      <c r="D27" s="365">
        <f t="shared" si="0"/>
        <v>0</v>
      </c>
      <c r="E27" s="365" t="str">
        <f>IF($U$64=0,"",IF(SUMIF($A$34:$A$63,E$2,$U$34:$U$63)=0,"",(SUMIF($A$34:$A$63,E$2,$U$34:$U$63)-$U$70)))</f>
        <v/>
      </c>
      <c r="F27" s="360" t="str">
        <f>IF($U$64=0,"",IF(SUMIF($A$34:$A$63,F$2,$U$34:$U$63)=0,"",(SUMIF($A$34:$A$63,F$2,$U$34:$U$63)-$U$71)))</f>
        <v/>
      </c>
      <c r="G27" s="361" t="str">
        <f>IF($U$64=0,"",IF(SUMIF($A$34:$A$63,G$2,$U$34:$U$63)=0,"",(SUMIF($A$34:$A$63,G$2,$U$34:$U$63)-$U$72)))</f>
        <v/>
      </c>
      <c r="H27" s="361" t="str">
        <f>IF($U$64=0,"",IF(SUMIF($A$34:$A$63,H$2,$U$34:$U$63)=0,"",(SUMIF($A$34:$A$63,H$2,$U$34:$U$63)-$U$73)))</f>
        <v/>
      </c>
      <c r="I27" s="361" t="str">
        <f>IF($U$64=0,"",IF(SUMIF($A$34:$A$63,I$2,$U$34:$U$63)=0,"",(SUMIF($A$34:$A$63,I$2,$U$34:$U$63)-$U$74)))</f>
        <v/>
      </c>
      <c r="J27" s="362" t="str">
        <f>IF($U$64=0,"",IF(SUMIF($A$34:$A$63,J$2,$U$34:$U$63)=0,"",(SUMIF($A$34:$A$63,J$2,$U$34:$U$63)-$U$75)))</f>
        <v/>
      </c>
      <c r="K27" s="360" t="str">
        <f>IF($U$64=0,"",IF(SUMIF($A$34:$A$63,K$2,$U$34:$U$63)=0,"",(SUMIF($A$34:$A$63,K$2,$U$34:$U$63)-$U$76)))</f>
        <v/>
      </c>
      <c r="L27" s="361" t="str">
        <f>IF($U$64=0,"",IF(SUMIF($A$34:$A$63,L$2,$U$34:$U$63)=0,"",(SUMIF($A$34:$A$63,L$2,$U$34:$U$63)-$U$77)))</f>
        <v/>
      </c>
      <c r="M27" s="361" t="str">
        <f>IF($U$64=0,"",IF(SUMIF($A$34:$A$63,M$2,$U$34:$U$63)=0,"",(SUMIF($A$34:$A$63,M$2,$U$34:$U$63)-$U$78)))</f>
        <v/>
      </c>
      <c r="N27" s="378" t="str">
        <f>IF($U$64=0,"",IF(SUMIF($A$34:$A$63,N$2,$U$34:$U$63)=0,"",(SUMIF($A$34:$A$63,N$2,$U$34:$U$63)-$U$79)))</f>
        <v/>
      </c>
      <c r="O27" s="378" t="str">
        <f>IF($U$64=0,"",IF(SUMIF($A$34:$A$63,O$2,$U$34:$U$63)=0,"",(SUMIF($A$34:$A$63,O$2,$U$34:$U$63)-$U$80)))</f>
        <v/>
      </c>
      <c r="P27" s="378" t="str">
        <f>IF($U$64=0,"",IF(SUMIF($A$34:$A$63,P$2,$U$34:$U$63)=0,"",(SUMIF($A$34:$A$63,P$2,$U$34:$U$63)-$U$81)))</f>
        <v/>
      </c>
      <c r="Q27" s="378" t="str">
        <f>IF($U$64=0,"",IF(SUMIF($A$34:$A$63,Q$2,$U$34:$U$63)=0,"",(SUMIF($A$34:$A$63,Q$2,$U$34:$U$63)-$U$82)))</f>
        <v/>
      </c>
      <c r="R27" s="378" t="str">
        <f>IF($U$64=0,"",IF(SUMIF($A$34:$A$63,R$2,$U$34:$U$63)=0,"",(SUMIF($A$34:$A$63,R$2,$U$34:$U$63)-$U$83)))</f>
        <v/>
      </c>
      <c r="S27" s="378" t="str">
        <f>IF($U$64=0,"",IF(SUMIF($A$34:$A$63,S$2,$U$34:$U$63)=0,"",(SUMIF($A$34:$A$63,S$2,$U$34:$U$63)-$U$84)))</f>
        <v/>
      </c>
      <c r="T27" s="378" t="str">
        <f>IF($U$64=0,"",IF(SUMIF($A$34:$A$63,T$2,$U$34:$U$63)=0,"",(SUMIF($A$34:$A$63,T$2,$U$34:$U$63)-$U$85)))</f>
        <v/>
      </c>
      <c r="U27" s="378" t="str">
        <f>IF($U$64=0,"",IF(SUMIF($A$34:$A$63,U$2,$U$34:$U$63)=0,"",(SUMIF($A$34:$A$63,U$2,$U$34:$U$63)-$U$86)))</f>
        <v/>
      </c>
      <c r="V27" s="378" t="str">
        <f>IF($U$64=0,"",IF(SUMIF($A$34:$A$63,V$2,$U$34:$U$63)=0,"",(SUMIF($A$34:$A$63,V$2,$U$34:$U$63)-$U$87)))</f>
        <v/>
      </c>
      <c r="W27" s="378" t="str">
        <f>IF($U$64=0,"",IF(SUMIF($A$34:$A$63,W$2,$U$34:$U$63)=0,"",(SUMIF($A$34:$A$63,W$2,$U$34:$U$63)-$U$88)))</f>
        <v/>
      </c>
      <c r="X27" s="378" t="str">
        <f>IF($U$64=0,"",IF(SUMIF($A$34:$A$63,X$2,$U$34:$U$63)=0,"",(SUMIF($A$34:$A$63,X$2,$U$34:$U$63)-$U$89)))</f>
        <v/>
      </c>
      <c r="Y27" s="378" t="str">
        <f>IF($U$64=0,"",IF(SUMIF($A$34:$A$63,Y$2,$U$34:$U$63)=0,"",(SUMIF($A$34:$A$63,Y$2,$U$34:$U$63)-$U$90)))</f>
        <v/>
      </c>
      <c r="Z27" s="378" t="str">
        <f>IF($U$64=0,"",IF(SUMIF($A$34:$A$63,Z$2,$U$34:$U$63)=0,"",(SUMIF($A$34:$A$63,Z$2,$U$34:$U$63)-$U$91)))</f>
        <v/>
      </c>
      <c r="AA27" s="378" t="str">
        <f>IF($U$64=0,"",IF(SUMIF($A$34:$A$63,AA$2,$U$34:$U$63)=0,"",(SUMIF($A$34:$A$63,AA$2,$U$34:$U$63)-$U$92)))</f>
        <v/>
      </c>
      <c r="AB27" s="378" t="str">
        <f>IF($U$64=0,"",IF(SUMIF($A$34:$A$63,AB$2,$U$34:$U$63)=0,"",(SUMIF($A$34:$A$63,AB$2,$U$34:$U$63)-$U$93)))</f>
        <v/>
      </c>
      <c r="AC27" s="378" t="str">
        <f>IF($U$64=0,"",IF(SUMIF($A$34:$A$63,AC$2,$U$34:$U$63)=0,"",(SUMIF($A$34:$A$63,AC$2,$U$34:$U$63)-$U$94)))</f>
        <v/>
      </c>
      <c r="AD27" s="378" t="str">
        <f>IF($U$64=0,"",IF(SUMIF($A$34:$A$63,AD$2,$U$34:$U$63)=0,"",(SUMIF($A$34:$A$63,AD$2,$U$34:$U$63)-$U$95)))</f>
        <v/>
      </c>
      <c r="AE27" s="378" t="str">
        <f>IF($U$64=0,"",IF(SUMIF($A$34:$A$63,AE$2,$U$34:$U$63)=0,"",(SUMIF($A$34:$A$63,AE$2,$U$34:$U$63)-$U$96)))</f>
        <v/>
      </c>
      <c r="AF27" s="378" t="str">
        <f>IF($U$64=0,"",IF(SUMIF($A$34:$A$63,AF$2,$U$34:$U$63)=0,"",(SUMIF($A$34:$A$63,AF$2,$U$34:$U$63)-$U$97)))</f>
        <v/>
      </c>
      <c r="AG27" s="378" t="str">
        <f>IF($U$64=0,"",IF(SUMIF($A$34:$A$63,AG$2,$U$34:$U$63)=0,"",(SUMIF($A$34:$A$63,AG$2,$U$34:$U$63)-$U$98)))</f>
        <v/>
      </c>
      <c r="AH27" s="363" t="str">
        <f>IF($U$64=0,"",IF(SUMIF($A$34:$A$63,AH$2,$U$34:$U$63)=0,"",(SUMIF($A$34:$A$63,AH$2,$U$34:$U$63)-$U$99)))</f>
        <v/>
      </c>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row>
    <row r="28" spans="1:154" ht="13.5" thickBot="1">
      <c r="A28" s="815" t="s">
        <v>209</v>
      </c>
      <c r="B28" s="816"/>
      <c r="C28" s="816"/>
      <c r="D28" s="366">
        <f t="shared" si="0"/>
        <v>0</v>
      </c>
      <c r="E28" s="366" t="str">
        <f>IF($V$64=0,"",IF(SUMIF($A$34:$A$63,E$2,$V$34:$V$63)=0,"",(SUMIF($A$34:$A$63,E$2,$V$34:$V$63)-$V$70)))</f>
        <v/>
      </c>
      <c r="F28" s="367" t="str">
        <f>IF($V$64=0,"",IF(SUMIF($A$34:$A$63,F$2,$V$34:$V$63)=0,"",(SUMIF($A$34:$A$63,F$2,$V$34:$V$63)-$V$71)))</f>
        <v/>
      </c>
      <c r="G28" s="368" t="str">
        <f>IF($V$64=0,"",IF(SUMIF($A$34:$A$63,G$2,$V$34:$V$63)=0,"",(SUMIF($A$34:$A$63,G$2,$V$34:$V$63)-$V$72)))</f>
        <v/>
      </c>
      <c r="H28" s="368" t="str">
        <f>IF($V$64=0,"",IF(SUMIF($A$34:$A$63,H$2,$V$34:$V$63)=0,"",(SUMIF($A$34:$A$63,H$2,$V$34:$V$63)-$V$73)))</f>
        <v/>
      </c>
      <c r="I28" s="368" t="str">
        <f>IF($V$64=0,"",IF(SUMIF($A$34:$A$63,I$2,$V$34:$V$63)=0,"",(SUMIF($A$34:$A$63,I$2,$V$34:$V$63)-$V$74)))</f>
        <v/>
      </c>
      <c r="J28" s="367" t="str">
        <f>IF($V$64=0,"",IF(SUMIF($A$34:$A$63,J$2,$V$34:$V$63)=0,"",(SUMIF($A$34:$A$63,J$2,$V$34:$V$63)-$V$75)))</f>
        <v/>
      </c>
      <c r="K28" s="367" t="str">
        <f>IF($V$64=0,"",IF(SUMIF($A$34:$A$63,K$2,$V$34:$V$63)=0,"",(SUMIF($A$34:$A$63,K$2,$V$34:$V$63)-$V$76)))</f>
        <v/>
      </c>
      <c r="L28" s="368" t="str">
        <f>IF($V$64=0,"",IF(SUMIF($A$34:$A$63,L$2,$V$34:$V$63)=0,"",(SUMIF($A$34:$A$63,L$2,$V$34:$V$63)-$V$77)))</f>
        <v/>
      </c>
      <c r="M28" s="368" t="str">
        <f>IF($V$64=0,"",IF(SUMIF($A$34:$A$63,M$2,$V$34:$V$63)=0,"",(SUMIF($A$34:$A$63,M$2,$V$34:$V$63)-$V$78)))</f>
        <v/>
      </c>
      <c r="N28" s="379" t="str">
        <f>IF($V$64=0,"",IF(SUMIF($A$34:$A$63,N$2,$V$34:$V$63)=0,"",(SUMIF($A$34:$A$63,N$2,$V$34:$V$63)-$V$79)))</f>
        <v/>
      </c>
      <c r="O28" s="379" t="str">
        <f>IF($V$64=0,"",IF(SUMIF($A$34:$A$63,O$2,$V$34:$V$63)=0,"",(SUMIF($A$34:$A$63,O$2,$V$34:$V$63)-$V$80)))</f>
        <v/>
      </c>
      <c r="P28" s="379" t="str">
        <f>IF($V$64=0,"",IF(SUMIF($A$34:$A$63,P$2,$V$34:$V$63)=0,"",(SUMIF($A$34:$A$63,P$2,$V$34:$V$63)-$V$81)))</f>
        <v/>
      </c>
      <c r="Q28" s="379" t="str">
        <f>IF($V$64=0,"",IF(SUMIF($A$34:$A$63,Q$2,$V$34:$V$63)=0,"",(SUMIF($A$34:$A$63,Q$2,$V$34:$V$63)-$V$82)))</f>
        <v/>
      </c>
      <c r="R28" s="379" t="str">
        <f>IF($V$64=0,"",IF(SUMIF($A$34:$A$63,R$2,$V$34:$V$63)=0,"",(SUMIF($A$34:$A$63,R$2,$V$34:$V$63)-$V$83)))</f>
        <v/>
      </c>
      <c r="S28" s="379" t="str">
        <f>IF($V$64=0,"",IF(SUMIF($A$34:$A$63,S$2,$V$34:$V$63)=0,"",(SUMIF($A$34:$A$63,S$2,$V$34:$V$63)-$V$84)))</f>
        <v/>
      </c>
      <c r="T28" s="379" t="str">
        <f>IF($V$64=0,"",IF(SUMIF($A$34:$A$63,T$2,$V$34:$V$63)=0,"",(SUMIF($A$34:$A$63,T$2,$V$34:$V$63)-$V$85)))</f>
        <v/>
      </c>
      <c r="U28" s="379" t="str">
        <f>IF($V$64=0,"",IF(SUMIF($A$34:$A$63,U$2,$V$34:$V$63)=0,"",(SUMIF($A$34:$A$63,U$2,$V$34:$V$63)-$V$86)))</f>
        <v/>
      </c>
      <c r="V28" s="379" t="str">
        <f>IF($V$64=0,"",IF(SUMIF($A$34:$A$63,V$2,$V$34:$V$63)=0,"",(SUMIF($A$34:$A$63,V$2,$V$34:$V$63)-$V$87)))</f>
        <v/>
      </c>
      <c r="W28" s="379" t="str">
        <f>IF($V$64=0,"",IF(SUMIF($A$34:$A$63,W$2,$V$34:$V$63)=0,"",(SUMIF($A$34:$A$63,W$2,$V$34:$V$63)-$V$88)))</f>
        <v/>
      </c>
      <c r="X28" s="379" t="str">
        <f>IF($V$64=0,"",IF(SUMIF($A$34:$A$63,X$2,$V$34:$V$63)=0,"",(SUMIF($A$34:$A$63,X$2,$V$34:$V$63)-$V$89)))</f>
        <v/>
      </c>
      <c r="Y28" s="379" t="str">
        <f>IF($V$64=0,"",IF(SUMIF($A$34:$A$63,Y$2,$V$34:$V$63)=0,"",(SUMIF($A$34:$A$63,Y$2,$V$34:$V$63)-$V$90)))</f>
        <v/>
      </c>
      <c r="Z28" s="379" t="str">
        <f>IF($V$64=0,"",IF(SUMIF($A$34:$A$63,Z$2,$V$34:$V$63)=0,"",(SUMIF($A$34:$A$63,Z$2,$V$34:$V$63)-$V$91)))</f>
        <v/>
      </c>
      <c r="AA28" s="379" t="str">
        <f>IF($V$64=0,"",IF(SUMIF($A$34:$A$63,AA$2,$V$34:$V$63)=0,"",(SUMIF($A$34:$A$63,AA$2,$V$34:$V$63)-$V$92)))</f>
        <v/>
      </c>
      <c r="AB28" s="379" t="str">
        <f>IF($V$64=0,"",IF(SUMIF($A$34:$A$63,AB$2,$V$34:$V$63)=0,"",(SUMIF($A$34:$A$63,AB$2,$V$34:$V$63)-$V$93)))</f>
        <v/>
      </c>
      <c r="AC28" s="379" t="str">
        <f>IF($V$64=0,"",IF(SUMIF($A$34:$A$63,AC$2,$V$34:$V$63)=0,"",(SUMIF($A$34:$A$63,AC$2,$V$34:$V$63)-$V$94)))</f>
        <v/>
      </c>
      <c r="AD28" s="379" t="str">
        <f>IF($V$64=0,"",IF(SUMIF($A$34:$A$63,AD$2,$V$34:$V$63)=0,"",(SUMIF($A$34:$A$63,AD$2,$V$34:$V$63)-$V$95)))</f>
        <v/>
      </c>
      <c r="AE28" s="379" t="str">
        <f>IF($V$64=0,"",IF(SUMIF($A$34:$A$63,AE$2,$V$34:$V$63)=0,"",(SUMIF($A$34:$A$63,AE$2,$V$34:$V$63)-$V$96)))</f>
        <v/>
      </c>
      <c r="AF28" s="379" t="str">
        <f>IF($V$64=0,"",IF(SUMIF($A$34:$A$63,AF$2,$V$34:$V$63)=0,"",(SUMIF($A$34:$A$63,AF$2,$V$34:$V$63)-$V$97)))</f>
        <v/>
      </c>
      <c r="AG28" s="379" t="str">
        <f>IF($V$64=0,"",IF(SUMIF($A$34:$A$63,AG$2,$V$34:$V$63)=0,"",(SUMIF($A$34:$A$63,AG$2,$V$34:$V$63)-$V$98)))</f>
        <v/>
      </c>
      <c r="AH28" s="369" t="str">
        <f>IF($V$64=0,"",IF(SUMIF($A$34:$A$63,AH$2,$V$34:$V$63)=0,"",(SUMIF($A$34:$A$63,AH$2,$V$34:$V$63)-$V$99)))</f>
        <v/>
      </c>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row>
    <row r="29" spans="1:154" s="387" customFormat="1" ht="13.5" thickBot="1">
      <c r="A29" s="829" t="s">
        <v>210</v>
      </c>
      <c r="B29" s="830"/>
      <c r="C29" s="830"/>
      <c r="D29" s="382">
        <f t="shared" si="0"/>
        <v>0</v>
      </c>
      <c r="E29" s="382" t="str">
        <f t="shared" ref="E29:AH29" si="1">IF(SUM(E8:E28)=0,"",SUM(E8:E28))</f>
        <v/>
      </c>
      <c r="F29" s="383" t="str">
        <f t="shared" si="1"/>
        <v/>
      </c>
      <c r="G29" s="384" t="str">
        <f t="shared" si="1"/>
        <v/>
      </c>
      <c r="H29" s="384" t="str">
        <f t="shared" si="1"/>
        <v/>
      </c>
      <c r="I29" s="384" t="str">
        <f t="shared" si="1"/>
        <v/>
      </c>
      <c r="J29" s="383" t="str">
        <f t="shared" si="1"/>
        <v/>
      </c>
      <c r="K29" s="383" t="str">
        <f t="shared" si="1"/>
        <v/>
      </c>
      <c r="L29" s="384" t="str">
        <f t="shared" si="1"/>
        <v/>
      </c>
      <c r="M29" s="384" t="str">
        <f t="shared" si="1"/>
        <v/>
      </c>
      <c r="N29" s="385" t="str">
        <f t="shared" si="1"/>
        <v/>
      </c>
      <c r="O29" s="385" t="str">
        <f t="shared" si="1"/>
        <v/>
      </c>
      <c r="P29" s="385" t="str">
        <f t="shared" si="1"/>
        <v/>
      </c>
      <c r="Q29" s="385" t="str">
        <f t="shared" si="1"/>
        <v/>
      </c>
      <c r="R29" s="385" t="str">
        <f t="shared" si="1"/>
        <v/>
      </c>
      <c r="S29" s="385" t="str">
        <f t="shared" si="1"/>
        <v/>
      </c>
      <c r="T29" s="385" t="str">
        <f t="shared" si="1"/>
        <v/>
      </c>
      <c r="U29" s="385" t="str">
        <f t="shared" si="1"/>
        <v/>
      </c>
      <c r="V29" s="385" t="str">
        <f t="shared" si="1"/>
        <v/>
      </c>
      <c r="W29" s="385" t="str">
        <f t="shared" si="1"/>
        <v/>
      </c>
      <c r="X29" s="385" t="str">
        <f t="shared" si="1"/>
        <v/>
      </c>
      <c r="Y29" s="385" t="str">
        <f t="shared" si="1"/>
        <v/>
      </c>
      <c r="Z29" s="385" t="str">
        <f t="shared" si="1"/>
        <v/>
      </c>
      <c r="AA29" s="385" t="str">
        <f t="shared" si="1"/>
        <v/>
      </c>
      <c r="AB29" s="385" t="str">
        <f t="shared" si="1"/>
        <v/>
      </c>
      <c r="AC29" s="385" t="str">
        <f t="shared" si="1"/>
        <v/>
      </c>
      <c r="AD29" s="385" t="str">
        <f t="shared" si="1"/>
        <v/>
      </c>
      <c r="AE29" s="385" t="str">
        <f t="shared" si="1"/>
        <v/>
      </c>
      <c r="AF29" s="385" t="str">
        <f t="shared" si="1"/>
        <v/>
      </c>
      <c r="AG29" s="385" t="str">
        <f t="shared" si="1"/>
        <v/>
      </c>
      <c r="AH29" s="386" t="str">
        <f t="shared" si="1"/>
        <v/>
      </c>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row>
    <row r="30" spans="1:154" ht="13.75" customHeight="1">
      <c r="B30" s="2"/>
    </row>
    <row r="31" spans="1:154" ht="13.75" hidden="1" customHeight="1">
      <c r="A31" s="808" t="s">
        <v>221</v>
      </c>
      <c r="B31" s="805" t="s">
        <v>2339</v>
      </c>
      <c r="C31" s="806"/>
      <c r="D31" s="806"/>
      <c r="E31" s="806"/>
      <c r="F31" s="806"/>
      <c r="G31" s="806"/>
      <c r="H31" s="806"/>
      <c r="I31" s="806"/>
      <c r="J31" s="806"/>
      <c r="K31" s="806"/>
      <c r="L31" s="806"/>
      <c r="M31" s="806"/>
      <c r="N31" s="806"/>
      <c r="O31" s="806"/>
      <c r="P31" s="806"/>
      <c r="Q31" s="806"/>
      <c r="R31" s="806"/>
      <c r="S31" s="806"/>
      <c r="T31" s="806"/>
      <c r="U31" s="806"/>
      <c r="V31" s="806"/>
      <c r="W31" s="807"/>
    </row>
    <row r="32" spans="1:154" ht="13.75" hidden="1" customHeight="1">
      <c r="A32" s="809"/>
      <c r="B32" s="802" t="s">
        <v>2433</v>
      </c>
      <c r="C32" s="802"/>
      <c r="D32" s="802"/>
      <c r="E32" s="802"/>
      <c r="F32" s="802" t="s">
        <v>2434</v>
      </c>
      <c r="G32" s="802"/>
      <c r="H32" s="802"/>
      <c r="I32" s="802"/>
      <c r="J32" s="802" t="s">
        <v>223</v>
      </c>
      <c r="K32" s="802"/>
      <c r="L32" s="802"/>
      <c r="M32" s="802"/>
      <c r="N32" s="802" t="s">
        <v>1799</v>
      </c>
      <c r="O32" s="802"/>
      <c r="P32" s="802"/>
      <c r="Q32" s="802"/>
      <c r="R32" s="802" t="s">
        <v>2435</v>
      </c>
      <c r="S32" s="802"/>
      <c r="T32" s="802"/>
      <c r="U32" s="802"/>
      <c r="V32" s="802" t="s">
        <v>2436</v>
      </c>
      <c r="W32" s="804" t="s">
        <v>2453</v>
      </c>
    </row>
    <row r="33" spans="1:23" ht="42.75" hidden="1" customHeight="1">
      <c r="A33" s="809"/>
      <c r="B33" s="170" t="s">
        <v>2437</v>
      </c>
      <c r="C33" s="170" t="s">
        <v>2438</v>
      </c>
      <c r="D33" s="170" t="s">
        <v>2439</v>
      </c>
      <c r="E33" s="170" t="s">
        <v>2440</v>
      </c>
      <c r="F33" s="170" t="s">
        <v>2437</v>
      </c>
      <c r="G33" s="170" t="s">
        <v>2438</v>
      </c>
      <c r="H33" s="170" t="s">
        <v>2439</v>
      </c>
      <c r="I33" s="170" t="s">
        <v>2440</v>
      </c>
      <c r="J33" s="170" t="s">
        <v>2437</v>
      </c>
      <c r="K33" s="170" t="s">
        <v>2438</v>
      </c>
      <c r="L33" s="170" t="s">
        <v>2439</v>
      </c>
      <c r="M33" s="170" t="s">
        <v>2440</v>
      </c>
      <c r="N33" s="170" t="s">
        <v>2437</v>
      </c>
      <c r="O33" s="170" t="s">
        <v>2438</v>
      </c>
      <c r="P33" s="170" t="s">
        <v>2439</v>
      </c>
      <c r="Q33" s="170" t="s">
        <v>2440</v>
      </c>
      <c r="R33" s="170" t="s">
        <v>2437</v>
      </c>
      <c r="S33" s="170" t="s">
        <v>2438</v>
      </c>
      <c r="T33" s="170" t="s">
        <v>2439</v>
      </c>
      <c r="U33" s="170" t="s">
        <v>2440</v>
      </c>
      <c r="V33" s="802"/>
      <c r="W33" s="804"/>
    </row>
    <row r="34" spans="1:23" ht="13.75" hidden="1" customHeight="1">
      <c r="A34" s="157">
        <v>1</v>
      </c>
      <c r="B34" s="165">
        <f>COUNTIF(車種重量,CONCATENATE($A34,11))</f>
        <v>0</v>
      </c>
      <c r="C34" s="165">
        <f>COUNTIF(車種重量,CONCATENATE($A34,12))</f>
        <v>0</v>
      </c>
      <c r="D34" s="165">
        <f>COUNTIF(車種重量,CONCATENATE($A34,13))</f>
        <v>0</v>
      </c>
      <c r="E34" s="165">
        <f>COUNTIF(車種重量,CONCATENATE($A34,14))</f>
        <v>0</v>
      </c>
      <c r="F34" s="165">
        <f>COUNTIF(車種重量,CONCATENATE($A34,21))</f>
        <v>0</v>
      </c>
      <c r="G34" s="165">
        <f>COUNTIF(車種重量,CONCATENATE($A34,22))</f>
        <v>0</v>
      </c>
      <c r="H34" s="165">
        <f>COUNTIF(車種重量,CONCATENATE($A34,23))</f>
        <v>0</v>
      </c>
      <c r="I34" s="165">
        <f>COUNTIF(車種重量,CONCATENATE($A34,24))</f>
        <v>0</v>
      </c>
      <c r="J34" s="165">
        <f>COUNTIF(車種重量,CONCATENATE($A34,31))</f>
        <v>0</v>
      </c>
      <c r="K34" s="165">
        <f>COUNTIF(車種重量,CONCATENATE($A34,32))</f>
        <v>0</v>
      </c>
      <c r="L34" s="165">
        <f>COUNTIF(車種重量,CONCATENATE($A34,33))</f>
        <v>0</v>
      </c>
      <c r="M34" s="165">
        <f>COUNTIF(車種重量,CONCATENATE($A34,34))</f>
        <v>0</v>
      </c>
      <c r="N34" s="165">
        <f>COUNTIF(車種重量,CONCATENATE($A34,41))</f>
        <v>0</v>
      </c>
      <c r="O34" s="165">
        <f>COUNTIF(車種重量,CONCATENATE($A34,42))</f>
        <v>0</v>
      </c>
      <c r="P34" s="165">
        <f>COUNTIF(車種重量,CONCATENATE($A34,43))</f>
        <v>0</v>
      </c>
      <c r="Q34" s="165">
        <f>COUNTIF(車種重量,CONCATENATE($A34,44))</f>
        <v>0</v>
      </c>
      <c r="R34" s="165">
        <f>COUNTIF(車種重量,CONCATENATE($A34,51))+COUNTIF(車種重量,CONCATENATE($A34,61))</f>
        <v>0</v>
      </c>
      <c r="S34" s="165">
        <f>COUNTIF(車種重量,CONCATENATE($A34,52))+COUNTIF(車種重量,CONCATENATE($A34,62))</f>
        <v>0</v>
      </c>
      <c r="T34" s="165">
        <f>COUNTIF(車種重量,CONCATENATE($A34,53))+COUNTIF(車種重量,CONCATENATE($A34,63))</f>
        <v>0</v>
      </c>
      <c r="U34" s="165">
        <f>COUNTIF(車種重量,CONCATENATE($A34,54))+COUNTIF(車種重量,CONCATENATE($A34,64))</f>
        <v>0</v>
      </c>
      <c r="V34" s="165">
        <f>COUNTIF(車種重量,CONCATENATE($A34,90))</f>
        <v>0</v>
      </c>
      <c r="W34" s="166">
        <f t="shared" ref="W34:W42" si="2">SUM(B34:V34)</f>
        <v>0</v>
      </c>
    </row>
    <row r="35" spans="1:23" ht="13.75" hidden="1" customHeight="1">
      <c r="A35" s="157">
        <v>2</v>
      </c>
      <c r="B35" s="165">
        <f t="shared" ref="B35:B63" si="3">COUNTIF(車種重量,CONCATENATE($A35,11))</f>
        <v>0</v>
      </c>
      <c r="C35" s="165">
        <f t="shared" ref="C35:C63" si="4">COUNTIF(車種重量,CONCATENATE($A35,12))</f>
        <v>0</v>
      </c>
      <c r="D35" s="165">
        <f t="shared" ref="D35:D63" si="5">COUNTIF(車種重量,CONCATENATE($A35,13))</f>
        <v>0</v>
      </c>
      <c r="E35" s="165">
        <f t="shared" ref="E35:E63" si="6">COUNTIF(車種重量,CONCATENATE($A35,14))</f>
        <v>0</v>
      </c>
      <c r="F35" s="165">
        <f t="shared" ref="F35:F63" si="7">COUNTIF(車種重量,CONCATENATE($A35,21))</f>
        <v>0</v>
      </c>
      <c r="G35" s="165">
        <f t="shared" ref="G35:G63" si="8">COUNTIF(車種重量,CONCATENATE($A35,22))</f>
        <v>0</v>
      </c>
      <c r="H35" s="165">
        <f t="shared" ref="H35:H63" si="9">COUNTIF(車種重量,CONCATENATE($A35,23))</f>
        <v>0</v>
      </c>
      <c r="I35" s="165">
        <f t="shared" ref="I35:I63" si="10">COUNTIF(車種重量,CONCATENATE($A35,24))</f>
        <v>0</v>
      </c>
      <c r="J35" s="165">
        <f t="shared" ref="J35:J63" si="11">COUNTIF(車種重量,CONCATENATE($A35,31))</f>
        <v>0</v>
      </c>
      <c r="K35" s="165">
        <f t="shared" ref="K35:K63" si="12">COUNTIF(車種重量,CONCATENATE($A35,32))</f>
        <v>0</v>
      </c>
      <c r="L35" s="165">
        <f t="shared" ref="L35:L63" si="13">COUNTIF(車種重量,CONCATENATE($A35,33))</f>
        <v>0</v>
      </c>
      <c r="M35" s="165">
        <f t="shared" ref="M35:M63" si="14">COUNTIF(車種重量,CONCATENATE($A35,34))</f>
        <v>0</v>
      </c>
      <c r="N35" s="165">
        <f t="shared" ref="N35:N63" si="15">COUNTIF(車種重量,CONCATENATE($A35,41))</f>
        <v>0</v>
      </c>
      <c r="O35" s="165">
        <f t="shared" ref="O35:O63" si="16">COUNTIF(車種重量,CONCATENATE($A35,42))</f>
        <v>0</v>
      </c>
      <c r="P35" s="165">
        <f t="shared" ref="P35:P63" si="17">COUNTIF(車種重量,CONCATENATE($A35,43))</f>
        <v>0</v>
      </c>
      <c r="Q35" s="165">
        <f t="shared" ref="Q35:Q63" si="18">COUNTIF(車種重量,CONCATENATE($A35,44))</f>
        <v>0</v>
      </c>
      <c r="R35" s="165">
        <f t="shared" ref="R35:R63" si="19">COUNTIF(車種重量,CONCATENATE($A35,51))+COUNTIF(車種重量,CONCATENATE($A35,61))</f>
        <v>0</v>
      </c>
      <c r="S35" s="165">
        <f t="shared" ref="S35:S63" si="20">COUNTIF(車種重量,CONCATENATE($A35,52))+COUNTIF(車種重量,CONCATENATE($A35,62))</f>
        <v>0</v>
      </c>
      <c r="T35" s="165">
        <f t="shared" ref="T35:T63" si="21">COUNTIF(車種重量,CONCATENATE($A35,53))+COUNTIF(車種重量,CONCATENATE($A35,63))</f>
        <v>0</v>
      </c>
      <c r="U35" s="165">
        <f t="shared" ref="U35:U63" si="22">COUNTIF(車種重量,CONCATENATE($A35,54))+COUNTIF(車種重量,CONCATENATE($A35,64))</f>
        <v>0</v>
      </c>
      <c r="V35" s="165">
        <f t="shared" ref="V35:V63" si="23">COUNTIF(車種重量,CONCATENATE($A35,90))</f>
        <v>0</v>
      </c>
      <c r="W35" s="166">
        <f t="shared" si="2"/>
        <v>0</v>
      </c>
    </row>
    <row r="36" spans="1:23" ht="13.75" hidden="1" customHeight="1">
      <c r="A36" s="157">
        <v>3</v>
      </c>
      <c r="B36" s="165">
        <f t="shared" si="3"/>
        <v>0</v>
      </c>
      <c r="C36" s="165">
        <f t="shared" si="4"/>
        <v>0</v>
      </c>
      <c r="D36" s="165">
        <f t="shared" si="5"/>
        <v>0</v>
      </c>
      <c r="E36" s="165">
        <f t="shared" si="6"/>
        <v>0</v>
      </c>
      <c r="F36" s="165">
        <f t="shared" si="7"/>
        <v>0</v>
      </c>
      <c r="G36" s="165">
        <f t="shared" si="8"/>
        <v>0</v>
      </c>
      <c r="H36" s="165">
        <f t="shared" si="9"/>
        <v>0</v>
      </c>
      <c r="I36" s="165">
        <f t="shared" si="10"/>
        <v>0</v>
      </c>
      <c r="J36" s="165">
        <f t="shared" si="11"/>
        <v>0</v>
      </c>
      <c r="K36" s="165">
        <f t="shared" si="12"/>
        <v>0</v>
      </c>
      <c r="L36" s="165">
        <f t="shared" si="13"/>
        <v>0</v>
      </c>
      <c r="M36" s="165">
        <f t="shared" si="14"/>
        <v>0</v>
      </c>
      <c r="N36" s="165">
        <f t="shared" si="15"/>
        <v>0</v>
      </c>
      <c r="O36" s="165">
        <f t="shared" si="16"/>
        <v>0</v>
      </c>
      <c r="P36" s="165">
        <f t="shared" si="17"/>
        <v>0</v>
      </c>
      <c r="Q36" s="165">
        <f t="shared" si="18"/>
        <v>0</v>
      </c>
      <c r="R36" s="165">
        <f t="shared" si="19"/>
        <v>0</v>
      </c>
      <c r="S36" s="165">
        <f t="shared" si="20"/>
        <v>0</v>
      </c>
      <c r="T36" s="165">
        <f t="shared" si="21"/>
        <v>0</v>
      </c>
      <c r="U36" s="165">
        <f t="shared" si="22"/>
        <v>0</v>
      </c>
      <c r="V36" s="165">
        <f t="shared" si="23"/>
        <v>0</v>
      </c>
      <c r="W36" s="166">
        <f t="shared" si="2"/>
        <v>0</v>
      </c>
    </row>
    <row r="37" spans="1:23" ht="13.75" hidden="1" customHeight="1">
      <c r="A37" s="157">
        <v>4</v>
      </c>
      <c r="B37" s="165">
        <f t="shared" si="3"/>
        <v>0</v>
      </c>
      <c r="C37" s="165">
        <f t="shared" si="4"/>
        <v>0</v>
      </c>
      <c r="D37" s="165">
        <f t="shared" si="5"/>
        <v>0</v>
      </c>
      <c r="E37" s="165">
        <f t="shared" si="6"/>
        <v>0</v>
      </c>
      <c r="F37" s="165">
        <f t="shared" si="7"/>
        <v>0</v>
      </c>
      <c r="G37" s="165">
        <f t="shared" si="8"/>
        <v>0</v>
      </c>
      <c r="H37" s="165">
        <f t="shared" si="9"/>
        <v>0</v>
      </c>
      <c r="I37" s="165">
        <f t="shared" si="10"/>
        <v>0</v>
      </c>
      <c r="J37" s="165">
        <f t="shared" si="11"/>
        <v>0</v>
      </c>
      <c r="K37" s="165">
        <f t="shared" si="12"/>
        <v>0</v>
      </c>
      <c r="L37" s="165">
        <f t="shared" si="13"/>
        <v>0</v>
      </c>
      <c r="M37" s="165">
        <f t="shared" si="14"/>
        <v>0</v>
      </c>
      <c r="N37" s="165">
        <f t="shared" si="15"/>
        <v>0</v>
      </c>
      <c r="O37" s="165">
        <f t="shared" si="16"/>
        <v>0</v>
      </c>
      <c r="P37" s="165">
        <f t="shared" si="17"/>
        <v>0</v>
      </c>
      <c r="Q37" s="165">
        <f t="shared" si="18"/>
        <v>0</v>
      </c>
      <c r="R37" s="165">
        <f t="shared" si="19"/>
        <v>0</v>
      </c>
      <c r="S37" s="165">
        <f t="shared" si="20"/>
        <v>0</v>
      </c>
      <c r="T37" s="165">
        <f t="shared" si="21"/>
        <v>0</v>
      </c>
      <c r="U37" s="165">
        <f t="shared" si="22"/>
        <v>0</v>
      </c>
      <c r="V37" s="165">
        <f t="shared" si="23"/>
        <v>0</v>
      </c>
      <c r="W37" s="166">
        <f t="shared" si="2"/>
        <v>0</v>
      </c>
    </row>
    <row r="38" spans="1:23" ht="13.75" hidden="1" customHeight="1">
      <c r="A38" s="157">
        <v>5</v>
      </c>
      <c r="B38" s="165">
        <f t="shared" si="3"/>
        <v>0</v>
      </c>
      <c r="C38" s="165">
        <f t="shared" si="4"/>
        <v>0</v>
      </c>
      <c r="D38" s="165">
        <f t="shared" si="5"/>
        <v>0</v>
      </c>
      <c r="E38" s="165">
        <f t="shared" si="6"/>
        <v>0</v>
      </c>
      <c r="F38" s="165">
        <f t="shared" si="7"/>
        <v>0</v>
      </c>
      <c r="G38" s="165">
        <f t="shared" si="8"/>
        <v>0</v>
      </c>
      <c r="H38" s="165">
        <f t="shared" si="9"/>
        <v>0</v>
      </c>
      <c r="I38" s="165">
        <f t="shared" si="10"/>
        <v>0</v>
      </c>
      <c r="J38" s="165">
        <f t="shared" si="11"/>
        <v>0</v>
      </c>
      <c r="K38" s="165">
        <f t="shared" si="12"/>
        <v>0</v>
      </c>
      <c r="L38" s="165">
        <f t="shared" si="13"/>
        <v>0</v>
      </c>
      <c r="M38" s="165">
        <f t="shared" si="14"/>
        <v>0</v>
      </c>
      <c r="N38" s="165">
        <f t="shared" si="15"/>
        <v>0</v>
      </c>
      <c r="O38" s="165">
        <f t="shared" si="16"/>
        <v>0</v>
      </c>
      <c r="P38" s="165">
        <f t="shared" si="17"/>
        <v>0</v>
      </c>
      <c r="Q38" s="165">
        <f t="shared" si="18"/>
        <v>0</v>
      </c>
      <c r="R38" s="165">
        <f t="shared" si="19"/>
        <v>0</v>
      </c>
      <c r="S38" s="165">
        <f t="shared" si="20"/>
        <v>0</v>
      </c>
      <c r="T38" s="165">
        <f t="shared" si="21"/>
        <v>0</v>
      </c>
      <c r="U38" s="165">
        <f t="shared" si="22"/>
        <v>0</v>
      </c>
      <c r="V38" s="165">
        <f t="shared" si="23"/>
        <v>0</v>
      </c>
      <c r="W38" s="166">
        <f t="shared" si="2"/>
        <v>0</v>
      </c>
    </row>
    <row r="39" spans="1:23" ht="13.75" hidden="1" customHeight="1">
      <c r="A39" s="157">
        <v>6</v>
      </c>
      <c r="B39" s="165">
        <f t="shared" si="3"/>
        <v>0</v>
      </c>
      <c r="C39" s="165">
        <f t="shared" si="4"/>
        <v>0</v>
      </c>
      <c r="D39" s="165">
        <f t="shared" si="5"/>
        <v>0</v>
      </c>
      <c r="E39" s="165">
        <f t="shared" si="6"/>
        <v>0</v>
      </c>
      <c r="F39" s="165">
        <f t="shared" si="7"/>
        <v>0</v>
      </c>
      <c r="G39" s="165">
        <f t="shared" si="8"/>
        <v>0</v>
      </c>
      <c r="H39" s="165">
        <f t="shared" si="9"/>
        <v>0</v>
      </c>
      <c r="I39" s="165">
        <f t="shared" si="10"/>
        <v>0</v>
      </c>
      <c r="J39" s="165">
        <f t="shared" si="11"/>
        <v>0</v>
      </c>
      <c r="K39" s="165">
        <f t="shared" si="12"/>
        <v>0</v>
      </c>
      <c r="L39" s="165">
        <f t="shared" si="13"/>
        <v>0</v>
      </c>
      <c r="M39" s="165">
        <f t="shared" si="14"/>
        <v>0</v>
      </c>
      <c r="N39" s="165">
        <f t="shared" si="15"/>
        <v>0</v>
      </c>
      <c r="O39" s="165">
        <f t="shared" si="16"/>
        <v>0</v>
      </c>
      <c r="P39" s="165">
        <f t="shared" si="17"/>
        <v>0</v>
      </c>
      <c r="Q39" s="165">
        <f t="shared" si="18"/>
        <v>0</v>
      </c>
      <c r="R39" s="165">
        <f t="shared" si="19"/>
        <v>0</v>
      </c>
      <c r="S39" s="165">
        <f t="shared" si="20"/>
        <v>0</v>
      </c>
      <c r="T39" s="165">
        <f t="shared" si="21"/>
        <v>0</v>
      </c>
      <c r="U39" s="165">
        <f t="shared" si="22"/>
        <v>0</v>
      </c>
      <c r="V39" s="165">
        <f t="shared" si="23"/>
        <v>0</v>
      </c>
      <c r="W39" s="166">
        <f t="shared" si="2"/>
        <v>0</v>
      </c>
    </row>
    <row r="40" spans="1:23" ht="13.75" hidden="1" customHeight="1">
      <c r="A40" s="157">
        <v>7</v>
      </c>
      <c r="B40" s="165">
        <f t="shared" si="3"/>
        <v>0</v>
      </c>
      <c r="C40" s="165">
        <f t="shared" si="4"/>
        <v>0</v>
      </c>
      <c r="D40" s="165">
        <f t="shared" si="5"/>
        <v>0</v>
      </c>
      <c r="E40" s="165">
        <f t="shared" si="6"/>
        <v>0</v>
      </c>
      <c r="F40" s="165">
        <f t="shared" si="7"/>
        <v>0</v>
      </c>
      <c r="G40" s="165">
        <f t="shared" si="8"/>
        <v>0</v>
      </c>
      <c r="H40" s="165">
        <f t="shared" si="9"/>
        <v>0</v>
      </c>
      <c r="I40" s="165">
        <f t="shared" si="10"/>
        <v>0</v>
      </c>
      <c r="J40" s="165">
        <f t="shared" si="11"/>
        <v>0</v>
      </c>
      <c r="K40" s="165">
        <f t="shared" si="12"/>
        <v>0</v>
      </c>
      <c r="L40" s="165">
        <f t="shared" si="13"/>
        <v>0</v>
      </c>
      <c r="M40" s="165">
        <f t="shared" si="14"/>
        <v>0</v>
      </c>
      <c r="N40" s="165">
        <f t="shared" si="15"/>
        <v>0</v>
      </c>
      <c r="O40" s="165">
        <f t="shared" si="16"/>
        <v>0</v>
      </c>
      <c r="P40" s="165">
        <f t="shared" si="17"/>
        <v>0</v>
      </c>
      <c r="Q40" s="165">
        <f t="shared" si="18"/>
        <v>0</v>
      </c>
      <c r="R40" s="165">
        <f t="shared" si="19"/>
        <v>0</v>
      </c>
      <c r="S40" s="165">
        <f t="shared" si="20"/>
        <v>0</v>
      </c>
      <c r="T40" s="165">
        <f t="shared" si="21"/>
        <v>0</v>
      </c>
      <c r="U40" s="165">
        <f t="shared" si="22"/>
        <v>0</v>
      </c>
      <c r="V40" s="165">
        <f t="shared" si="23"/>
        <v>0</v>
      </c>
      <c r="W40" s="166">
        <f t="shared" si="2"/>
        <v>0</v>
      </c>
    </row>
    <row r="41" spans="1:23" ht="13.75" hidden="1" customHeight="1">
      <c r="A41" s="157">
        <v>8</v>
      </c>
      <c r="B41" s="165">
        <f t="shared" si="3"/>
        <v>0</v>
      </c>
      <c r="C41" s="165">
        <f t="shared" si="4"/>
        <v>0</v>
      </c>
      <c r="D41" s="165">
        <f t="shared" si="5"/>
        <v>0</v>
      </c>
      <c r="E41" s="165">
        <f t="shared" si="6"/>
        <v>0</v>
      </c>
      <c r="F41" s="165">
        <f t="shared" si="7"/>
        <v>0</v>
      </c>
      <c r="G41" s="165">
        <f t="shared" si="8"/>
        <v>0</v>
      </c>
      <c r="H41" s="165">
        <f t="shared" si="9"/>
        <v>0</v>
      </c>
      <c r="I41" s="165">
        <f t="shared" si="10"/>
        <v>0</v>
      </c>
      <c r="J41" s="165">
        <f t="shared" si="11"/>
        <v>0</v>
      </c>
      <c r="K41" s="165">
        <f t="shared" si="12"/>
        <v>0</v>
      </c>
      <c r="L41" s="165">
        <f t="shared" si="13"/>
        <v>0</v>
      </c>
      <c r="M41" s="165">
        <f t="shared" si="14"/>
        <v>0</v>
      </c>
      <c r="N41" s="165">
        <f t="shared" si="15"/>
        <v>0</v>
      </c>
      <c r="O41" s="165">
        <f t="shared" si="16"/>
        <v>0</v>
      </c>
      <c r="P41" s="165">
        <f t="shared" si="17"/>
        <v>0</v>
      </c>
      <c r="Q41" s="165">
        <f t="shared" si="18"/>
        <v>0</v>
      </c>
      <c r="R41" s="165">
        <f t="shared" si="19"/>
        <v>0</v>
      </c>
      <c r="S41" s="165">
        <f t="shared" si="20"/>
        <v>0</v>
      </c>
      <c r="T41" s="165">
        <f t="shared" si="21"/>
        <v>0</v>
      </c>
      <c r="U41" s="165">
        <f t="shared" si="22"/>
        <v>0</v>
      </c>
      <c r="V41" s="165">
        <f t="shared" si="23"/>
        <v>0</v>
      </c>
      <c r="W41" s="166">
        <f t="shared" si="2"/>
        <v>0</v>
      </c>
    </row>
    <row r="42" spans="1:23" ht="13.75" hidden="1" customHeight="1">
      <c r="A42" s="157">
        <v>9</v>
      </c>
      <c r="B42" s="165">
        <f t="shared" si="3"/>
        <v>0</v>
      </c>
      <c r="C42" s="165">
        <f t="shared" si="4"/>
        <v>0</v>
      </c>
      <c r="D42" s="165">
        <f t="shared" si="5"/>
        <v>0</v>
      </c>
      <c r="E42" s="165">
        <f t="shared" si="6"/>
        <v>0</v>
      </c>
      <c r="F42" s="165">
        <f t="shared" si="7"/>
        <v>0</v>
      </c>
      <c r="G42" s="165">
        <f t="shared" si="8"/>
        <v>0</v>
      </c>
      <c r="H42" s="165">
        <f t="shared" si="9"/>
        <v>0</v>
      </c>
      <c r="I42" s="165">
        <f t="shared" si="10"/>
        <v>0</v>
      </c>
      <c r="J42" s="165">
        <f t="shared" si="11"/>
        <v>0</v>
      </c>
      <c r="K42" s="165">
        <f t="shared" si="12"/>
        <v>0</v>
      </c>
      <c r="L42" s="165">
        <f t="shared" si="13"/>
        <v>0</v>
      </c>
      <c r="M42" s="165">
        <f t="shared" si="14"/>
        <v>0</v>
      </c>
      <c r="N42" s="165">
        <f t="shared" si="15"/>
        <v>0</v>
      </c>
      <c r="O42" s="165">
        <f t="shared" si="16"/>
        <v>0</v>
      </c>
      <c r="P42" s="165">
        <f t="shared" si="17"/>
        <v>0</v>
      </c>
      <c r="Q42" s="165">
        <f t="shared" si="18"/>
        <v>0</v>
      </c>
      <c r="R42" s="165">
        <f t="shared" si="19"/>
        <v>0</v>
      </c>
      <c r="S42" s="165">
        <f t="shared" si="20"/>
        <v>0</v>
      </c>
      <c r="T42" s="165">
        <f t="shared" si="21"/>
        <v>0</v>
      </c>
      <c r="U42" s="165">
        <f t="shared" si="22"/>
        <v>0</v>
      </c>
      <c r="V42" s="165">
        <f t="shared" si="23"/>
        <v>0</v>
      </c>
      <c r="W42" s="166">
        <f t="shared" si="2"/>
        <v>0</v>
      </c>
    </row>
    <row r="43" spans="1:23" ht="13.75" hidden="1" customHeight="1">
      <c r="A43" s="157">
        <v>10</v>
      </c>
      <c r="B43" s="165">
        <f t="shared" si="3"/>
        <v>0</v>
      </c>
      <c r="C43" s="165">
        <f t="shared" si="4"/>
        <v>0</v>
      </c>
      <c r="D43" s="165">
        <f t="shared" si="5"/>
        <v>0</v>
      </c>
      <c r="E43" s="165">
        <f t="shared" si="6"/>
        <v>0</v>
      </c>
      <c r="F43" s="165">
        <f t="shared" si="7"/>
        <v>0</v>
      </c>
      <c r="G43" s="165">
        <f t="shared" si="8"/>
        <v>0</v>
      </c>
      <c r="H43" s="165">
        <f t="shared" si="9"/>
        <v>0</v>
      </c>
      <c r="I43" s="165">
        <f t="shared" si="10"/>
        <v>0</v>
      </c>
      <c r="J43" s="165">
        <f t="shared" si="11"/>
        <v>0</v>
      </c>
      <c r="K43" s="165">
        <f t="shared" si="12"/>
        <v>0</v>
      </c>
      <c r="L43" s="165">
        <f t="shared" si="13"/>
        <v>0</v>
      </c>
      <c r="M43" s="165">
        <f t="shared" si="14"/>
        <v>0</v>
      </c>
      <c r="N43" s="165">
        <f t="shared" si="15"/>
        <v>0</v>
      </c>
      <c r="O43" s="165">
        <f t="shared" si="16"/>
        <v>0</v>
      </c>
      <c r="P43" s="165">
        <f t="shared" si="17"/>
        <v>0</v>
      </c>
      <c r="Q43" s="165">
        <f t="shared" si="18"/>
        <v>0</v>
      </c>
      <c r="R43" s="165">
        <f t="shared" si="19"/>
        <v>0</v>
      </c>
      <c r="S43" s="165">
        <f t="shared" si="20"/>
        <v>0</v>
      </c>
      <c r="T43" s="165">
        <f t="shared" si="21"/>
        <v>0</v>
      </c>
      <c r="U43" s="165">
        <f t="shared" si="22"/>
        <v>0</v>
      </c>
      <c r="V43" s="165">
        <f t="shared" si="23"/>
        <v>0</v>
      </c>
      <c r="W43" s="166">
        <f t="shared" ref="W43:W63" si="24">SUM(B43:V43)</f>
        <v>0</v>
      </c>
    </row>
    <row r="44" spans="1:23" ht="13.75" hidden="1" customHeight="1">
      <c r="A44" s="157">
        <v>11</v>
      </c>
      <c r="B44" s="165">
        <f t="shared" si="3"/>
        <v>0</v>
      </c>
      <c r="C44" s="165">
        <f t="shared" si="4"/>
        <v>0</v>
      </c>
      <c r="D44" s="165">
        <f t="shared" si="5"/>
        <v>0</v>
      </c>
      <c r="E44" s="165">
        <f t="shared" si="6"/>
        <v>0</v>
      </c>
      <c r="F44" s="165">
        <f t="shared" si="7"/>
        <v>0</v>
      </c>
      <c r="G44" s="165">
        <f t="shared" si="8"/>
        <v>0</v>
      </c>
      <c r="H44" s="165">
        <f t="shared" si="9"/>
        <v>0</v>
      </c>
      <c r="I44" s="165">
        <f t="shared" si="10"/>
        <v>0</v>
      </c>
      <c r="J44" s="165">
        <f t="shared" si="11"/>
        <v>0</v>
      </c>
      <c r="K44" s="165">
        <f t="shared" si="12"/>
        <v>0</v>
      </c>
      <c r="L44" s="165">
        <f t="shared" si="13"/>
        <v>0</v>
      </c>
      <c r="M44" s="165">
        <f t="shared" si="14"/>
        <v>0</v>
      </c>
      <c r="N44" s="165">
        <f t="shared" si="15"/>
        <v>0</v>
      </c>
      <c r="O44" s="165">
        <f t="shared" si="16"/>
        <v>0</v>
      </c>
      <c r="P44" s="165">
        <f t="shared" si="17"/>
        <v>0</v>
      </c>
      <c r="Q44" s="165">
        <f t="shared" si="18"/>
        <v>0</v>
      </c>
      <c r="R44" s="165">
        <f t="shared" si="19"/>
        <v>0</v>
      </c>
      <c r="S44" s="165">
        <f t="shared" si="20"/>
        <v>0</v>
      </c>
      <c r="T44" s="165">
        <f t="shared" si="21"/>
        <v>0</v>
      </c>
      <c r="U44" s="165">
        <f t="shared" si="22"/>
        <v>0</v>
      </c>
      <c r="V44" s="165">
        <f t="shared" si="23"/>
        <v>0</v>
      </c>
      <c r="W44" s="166">
        <f t="shared" si="24"/>
        <v>0</v>
      </c>
    </row>
    <row r="45" spans="1:23" ht="13.75" hidden="1" customHeight="1">
      <c r="A45" s="157">
        <v>12</v>
      </c>
      <c r="B45" s="165">
        <f t="shared" si="3"/>
        <v>0</v>
      </c>
      <c r="C45" s="165">
        <f t="shared" si="4"/>
        <v>0</v>
      </c>
      <c r="D45" s="165">
        <f t="shared" si="5"/>
        <v>0</v>
      </c>
      <c r="E45" s="165">
        <f t="shared" si="6"/>
        <v>0</v>
      </c>
      <c r="F45" s="165">
        <f t="shared" si="7"/>
        <v>0</v>
      </c>
      <c r="G45" s="165">
        <f t="shared" si="8"/>
        <v>0</v>
      </c>
      <c r="H45" s="165">
        <f t="shared" si="9"/>
        <v>0</v>
      </c>
      <c r="I45" s="165">
        <f t="shared" si="10"/>
        <v>0</v>
      </c>
      <c r="J45" s="165">
        <f t="shared" si="11"/>
        <v>0</v>
      </c>
      <c r="K45" s="165">
        <f t="shared" si="12"/>
        <v>0</v>
      </c>
      <c r="L45" s="165">
        <f t="shared" si="13"/>
        <v>0</v>
      </c>
      <c r="M45" s="165">
        <f t="shared" si="14"/>
        <v>0</v>
      </c>
      <c r="N45" s="165">
        <f t="shared" si="15"/>
        <v>0</v>
      </c>
      <c r="O45" s="165">
        <f t="shared" si="16"/>
        <v>0</v>
      </c>
      <c r="P45" s="165">
        <f t="shared" si="17"/>
        <v>0</v>
      </c>
      <c r="Q45" s="165">
        <f t="shared" si="18"/>
        <v>0</v>
      </c>
      <c r="R45" s="165">
        <f t="shared" si="19"/>
        <v>0</v>
      </c>
      <c r="S45" s="165">
        <f t="shared" si="20"/>
        <v>0</v>
      </c>
      <c r="T45" s="165">
        <f t="shared" si="21"/>
        <v>0</v>
      </c>
      <c r="U45" s="165">
        <f t="shared" si="22"/>
        <v>0</v>
      </c>
      <c r="V45" s="165">
        <f t="shared" si="23"/>
        <v>0</v>
      </c>
      <c r="W45" s="166">
        <f t="shared" si="24"/>
        <v>0</v>
      </c>
    </row>
    <row r="46" spans="1:23" ht="13.75" hidden="1" customHeight="1">
      <c r="A46" s="157">
        <v>13</v>
      </c>
      <c r="B46" s="165">
        <f t="shared" si="3"/>
        <v>0</v>
      </c>
      <c r="C46" s="165">
        <f t="shared" si="4"/>
        <v>0</v>
      </c>
      <c r="D46" s="165">
        <f t="shared" si="5"/>
        <v>0</v>
      </c>
      <c r="E46" s="165">
        <f t="shared" si="6"/>
        <v>0</v>
      </c>
      <c r="F46" s="165">
        <f t="shared" si="7"/>
        <v>0</v>
      </c>
      <c r="G46" s="165">
        <f t="shared" si="8"/>
        <v>0</v>
      </c>
      <c r="H46" s="165">
        <f t="shared" si="9"/>
        <v>0</v>
      </c>
      <c r="I46" s="165">
        <f t="shared" si="10"/>
        <v>0</v>
      </c>
      <c r="J46" s="165">
        <f t="shared" si="11"/>
        <v>0</v>
      </c>
      <c r="K46" s="165">
        <f t="shared" si="12"/>
        <v>0</v>
      </c>
      <c r="L46" s="165">
        <f t="shared" si="13"/>
        <v>0</v>
      </c>
      <c r="M46" s="165">
        <f t="shared" si="14"/>
        <v>0</v>
      </c>
      <c r="N46" s="165">
        <f t="shared" si="15"/>
        <v>0</v>
      </c>
      <c r="O46" s="165">
        <f t="shared" si="16"/>
        <v>0</v>
      </c>
      <c r="P46" s="165">
        <f t="shared" si="17"/>
        <v>0</v>
      </c>
      <c r="Q46" s="165">
        <f t="shared" si="18"/>
        <v>0</v>
      </c>
      <c r="R46" s="165">
        <f t="shared" si="19"/>
        <v>0</v>
      </c>
      <c r="S46" s="165">
        <f t="shared" si="20"/>
        <v>0</v>
      </c>
      <c r="T46" s="165">
        <f t="shared" si="21"/>
        <v>0</v>
      </c>
      <c r="U46" s="165">
        <f t="shared" si="22"/>
        <v>0</v>
      </c>
      <c r="V46" s="165">
        <f t="shared" si="23"/>
        <v>0</v>
      </c>
      <c r="W46" s="166">
        <f t="shared" si="24"/>
        <v>0</v>
      </c>
    </row>
    <row r="47" spans="1:23" ht="13.75" hidden="1" customHeight="1">
      <c r="A47" s="157">
        <v>14</v>
      </c>
      <c r="B47" s="165">
        <f t="shared" si="3"/>
        <v>0</v>
      </c>
      <c r="C47" s="165">
        <f t="shared" si="4"/>
        <v>0</v>
      </c>
      <c r="D47" s="165">
        <f t="shared" si="5"/>
        <v>0</v>
      </c>
      <c r="E47" s="165">
        <f t="shared" si="6"/>
        <v>0</v>
      </c>
      <c r="F47" s="165">
        <f t="shared" si="7"/>
        <v>0</v>
      </c>
      <c r="G47" s="165">
        <f t="shared" si="8"/>
        <v>0</v>
      </c>
      <c r="H47" s="165">
        <f t="shared" si="9"/>
        <v>0</v>
      </c>
      <c r="I47" s="165">
        <f t="shared" si="10"/>
        <v>0</v>
      </c>
      <c r="J47" s="165">
        <f t="shared" si="11"/>
        <v>0</v>
      </c>
      <c r="K47" s="165">
        <f t="shared" si="12"/>
        <v>0</v>
      </c>
      <c r="L47" s="165">
        <f t="shared" si="13"/>
        <v>0</v>
      </c>
      <c r="M47" s="165">
        <f t="shared" si="14"/>
        <v>0</v>
      </c>
      <c r="N47" s="165">
        <f t="shared" si="15"/>
        <v>0</v>
      </c>
      <c r="O47" s="165">
        <f t="shared" si="16"/>
        <v>0</v>
      </c>
      <c r="P47" s="165">
        <f t="shared" si="17"/>
        <v>0</v>
      </c>
      <c r="Q47" s="165">
        <f t="shared" si="18"/>
        <v>0</v>
      </c>
      <c r="R47" s="165">
        <f t="shared" si="19"/>
        <v>0</v>
      </c>
      <c r="S47" s="165">
        <f t="shared" si="20"/>
        <v>0</v>
      </c>
      <c r="T47" s="165">
        <f t="shared" si="21"/>
        <v>0</v>
      </c>
      <c r="U47" s="165">
        <f t="shared" si="22"/>
        <v>0</v>
      </c>
      <c r="V47" s="165">
        <f t="shared" si="23"/>
        <v>0</v>
      </c>
      <c r="W47" s="166">
        <f t="shared" si="24"/>
        <v>0</v>
      </c>
    </row>
    <row r="48" spans="1:23" ht="13.75" hidden="1" customHeight="1">
      <c r="A48" s="157">
        <v>15</v>
      </c>
      <c r="B48" s="165">
        <f t="shared" si="3"/>
        <v>0</v>
      </c>
      <c r="C48" s="165">
        <f t="shared" si="4"/>
        <v>0</v>
      </c>
      <c r="D48" s="165">
        <f t="shared" si="5"/>
        <v>0</v>
      </c>
      <c r="E48" s="165">
        <f t="shared" si="6"/>
        <v>0</v>
      </c>
      <c r="F48" s="165">
        <f t="shared" si="7"/>
        <v>0</v>
      </c>
      <c r="G48" s="165">
        <f t="shared" si="8"/>
        <v>0</v>
      </c>
      <c r="H48" s="165">
        <f t="shared" si="9"/>
        <v>0</v>
      </c>
      <c r="I48" s="165">
        <f t="shared" si="10"/>
        <v>0</v>
      </c>
      <c r="J48" s="165">
        <f t="shared" si="11"/>
        <v>0</v>
      </c>
      <c r="K48" s="165">
        <f t="shared" si="12"/>
        <v>0</v>
      </c>
      <c r="L48" s="165">
        <f t="shared" si="13"/>
        <v>0</v>
      </c>
      <c r="M48" s="165">
        <f t="shared" si="14"/>
        <v>0</v>
      </c>
      <c r="N48" s="165">
        <f t="shared" si="15"/>
        <v>0</v>
      </c>
      <c r="O48" s="165">
        <f t="shared" si="16"/>
        <v>0</v>
      </c>
      <c r="P48" s="165">
        <f t="shared" si="17"/>
        <v>0</v>
      </c>
      <c r="Q48" s="165">
        <f t="shared" si="18"/>
        <v>0</v>
      </c>
      <c r="R48" s="165">
        <f t="shared" si="19"/>
        <v>0</v>
      </c>
      <c r="S48" s="165">
        <f t="shared" si="20"/>
        <v>0</v>
      </c>
      <c r="T48" s="165">
        <f t="shared" si="21"/>
        <v>0</v>
      </c>
      <c r="U48" s="165">
        <f t="shared" si="22"/>
        <v>0</v>
      </c>
      <c r="V48" s="165">
        <f t="shared" si="23"/>
        <v>0</v>
      </c>
      <c r="W48" s="166">
        <f t="shared" si="24"/>
        <v>0</v>
      </c>
    </row>
    <row r="49" spans="1:23" ht="13.75" hidden="1" customHeight="1">
      <c r="A49" s="157">
        <v>16</v>
      </c>
      <c r="B49" s="165">
        <f t="shared" si="3"/>
        <v>0</v>
      </c>
      <c r="C49" s="165">
        <f t="shared" si="4"/>
        <v>0</v>
      </c>
      <c r="D49" s="165">
        <f t="shared" si="5"/>
        <v>0</v>
      </c>
      <c r="E49" s="165">
        <f t="shared" si="6"/>
        <v>0</v>
      </c>
      <c r="F49" s="165">
        <f t="shared" si="7"/>
        <v>0</v>
      </c>
      <c r="G49" s="165">
        <f t="shared" si="8"/>
        <v>0</v>
      </c>
      <c r="H49" s="165">
        <f t="shared" si="9"/>
        <v>0</v>
      </c>
      <c r="I49" s="165">
        <f t="shared" si="10"/>
        <v>0</v>
      </c>
      <c r="J49" s="165">
        <f t="shared" si="11"/>
        <v>0</v>
      </c>
      <c r="K49" s="165">
        <f t="shared" si="12"/>
        <v>0</v>
      </c>
      <c r="L49" s="165">
        <f t="shared" si="13"/>
        <v>0</v>
      </c>
      <c r="M49" s="165">
        <f t="shared" si="14"/>
        <v>0</v>
      </c>
      <c r="N49" s="165">
        <f t="shared" si="15"/>
        <v>0</v>
      </c>
      <c r="O49" s="165">
        <f t="shared" si="16"/>
        <v>0</v>
      </c>
      <c r="P49" s="165">
        <f t="shared" si="17"/>
        <v>0</v>
      </c>
      <c r="Q49" s="165">
        <f t="shared" si="18"/>
        <v>0</v>
      </c>
      <c r="R49" s="165">
        <f t="shared" si="19"/>
        <v>0</v>
      </c>
      <c r="S49" s="165">
        <f t="shared" si="20"/>
        <v>0</v>
      </c>
      <c r="T49" s="165">
        <f t="shared" si="21"/>
        <v>0</v>
      </c>
      <c r="U49" s="165">
        <f t="shared" si="22"/>
        <v>0</v>
      </c>
      <c r="V49" s="165">
        <f t="shared" si="23"/>
        <v>0</v>
      </c>
      <c r="W49" s="166">
        <f t="shared" si="24"/>
        <v>0</v>
      </c>
    </row>
    <row r="50" spans="1:23" ht="13.75" hidden="1" customHeight="1">
      <c r="A50" s="157">
        <v>17</v>
      </c>
      <c r="B50" s="165">
        <f t="shared" si="3"/>
        <v>0</v>
      </c>
      <c r="C50" s="165">
        <f t="shared" si="4"/>
        <v>0</v>
      </c>
      <c r="D50" s="165">
        <f t="shared" si="5"/>
        <v>0</v>
      </c>
      <c r="E50" s="165">
        <f t="shared" si="6"/>
        <v>0</v>
      </c>
      <c r="F50" s="165">
        <f t="shared" si="7"/>
        <v>0</v>
      </c>
      <c r="G50" s="165">
        <f t="shared" si="8"/>
        <v>0</v>
      </c>
      <c r="H50" s="165">
        <f t="shared" si="9"/>
        <v>0</v>
      </c>
      <c r="I50" s="165">
        <f t="shared" si="10"/>
        <v>0</v>
      </c>
      <c r="J50" s="165">
        <f t="shared" si="11"/>
        <v>0</v>
      </c>
      <c r="K50" s="165">
        <f t="shared" si="12"/>
        <v>0</v>
      </c>
      <c r="L50" s="165">
        <f t="shared" si="13"/>
        <v>0</v>
      </c>
      <c r="M50" s="165">
        <f t="shared" si="14"/>
        <v>0</v>
      </c>
      <c r="N50" s="165">
        <f t="shared" si="15"/>
        <v>0</v>
      </c>
      <c r="O50" s="165">
        <f t="shared" si="16"/>
        <v>0</v>
      </c>
      <c r="P50" s="165">
        <f t="shared" si="17"/>
        <v>0</v>
      </c>
      <c r="Q50" s="165">
        <f t="shared" si="18"/>
        <v>0</v>
      </c>
      <c r="R50" s="165">
        <f t="shared" si="19"/>
        <v>0</v>
      </c>
      <c r="S50" s="165">
        <f t="shared" si="20"/>
        <v>0</v>
      </c>
      <c r="T50" s="165">
        <f t="shared" si="21"/>
        <v>0</v>
      </c>
      <c r="U50" s="165">
        <f t="shared" si="22"/>
        <v>0</v>
      </c>
      <c r="V50" s="165">
        <f t="shared" si="23"/>
        <v>0</v>
      </c>
      <c r="W50" s="166">
        <f t="shared" si="24"/>
        <v>0</v>
      </c>
    </row>
    <row r="51" spans="1:23" ht="13.75" hidden="1" customHeight="1">
      <c r="A51" s="157">
        <v>18</v>
      </c>
      <c r="B51" s="165">
        <f t="shared" si="3"/>
        <v>0</v>
      </c>
      <c r="C51" s="165">
        <f t="shared" si="4"/>
        <v>0</v>
      </c>
      <c r="D51" s="165">
        <f t="shared" si="5"/>
        <v>0</v>
      </c>
      <c r="E51" s="165">
        <f t="shared" si="6"/>
        <v>0</v>
      </c>
      <c r="F51" s="165">
        <f t="shared" si="7"/>
        <v>0</v>
      </c>
      <c r="G51" s="165">
        <f t="shared" si="8"/>
        <v>0</v>
      </c>
      <c r="H51" s="165">
        <f t="shared" si="9"/>
        <v>0</v>
      </c>
      <c r="I51" s="165">
        <f t="shared" si="10"/>
        <v>0</v>
      </c>
      <c r="J51" s="165">
        <f t="shared" si="11"/>
        <v>0</v>
      </c>
      <c r="K51" s="165">
        <f t="shared" si="12"/>
        <v>0</v>
      </c>
      <c r="L51" s="165">
        <f t="shared" si="13"/>
        <v>0</v>
      </c>
      <c r="M51" s="165">
        <f t="shared" si="14"/>
        <v>0</v>
      </c>
      <c r="N51" s="165">
        <f t="shared" si="15"/>
        <v>0</v>
      </c>
      <c r="O51" s="165">
        <f t="shared" si="16"/>
        <v>0</v>
      </c>
      <c r="P51" s="165">
        <f t="shared" si="17"/>
        <v>0</v>
      </c>
      <c r="Q51" s="165">
        <f t="shared" si="18"/>
        <v>0</v>
      </c>
      <c r="R51" s="165">
        <f t="shared" si="19"/>
        <v>0</v>
      </c>
      <c r="S51" s="165">
        <f t="shared" si="20"/>
        <v>0</v>
      </c>
      <c r="T51" s="165">
        <f t="shared" si="21"/>
        <v>0</v>
      </c>
      <c r="U51" s="165">
        <f t="shared" si="22"/>
        <v>0</v>
      </c>
      <c r="V51" s="165">
        <f t="shared" si="23"/>
        <v>0</v>
      </c>
      <c r="W51" s="166">
        <f t="shared" si="24"/>
        <v>0</v>
      </c>
    </row>
    <row r="52" spans="1:23" ht="13.75" hidden="1" customHeight="1">
      <c r="A52" s="157">
        <v>19</v>
      </c>
      <c r="B52" s="165">
        <f t="shared" si="3"/>
        <v>0</v>
      </c>
      <c r="C52" s="165">
        <f t="shared" si="4"/>
        <v>0</v>
      </c>
      <c r="D52" s="165">
        <f t="shared" si="5"/>
        <v>0</v>
      </c>
      <c r="E52" s="165">
        <f t="shared" si="6"/>
        <v>0</v>
      </c>
      <c r="F52" s="165">
        <f t="shared" si="7"/>
        <v>0</v>
      </c>
      <c r="G52" s="165">
        <f t="shared" si="8"/>
        <v>0</v>
      </c>
      <c r="H52" s="165">
        <f t="shared" si="9"/>
        <v>0</v>
      </c>
      <c r="I52" s="165">
        <f t="shared" si="10"/>
        <v>0</v>
      </c>
      <c r="J52" s="165">
        <f t="shared" si="11"/>
        <v>0</v>
      </c>
      <c r="K52" s="165">
        <f t="shared" si="12"/>
        <v>0</v>
      </c>
      <c r="L52" s="165">
        <f t="shared" si="13"/>
        <v>0</v>
      </c>
      <c r="M52" s="165">
        <f t="shared" si="14"/>
        <v>0</v>
      </c>
      <c r="N52" s="165">
        <f t="shared" si="15"/>
        <v>0</v>
      </c>
      <c r="O52" s="165">
        <f t="shared" si="16"/>
        <v>0</v>
      </c>
      <c r="P52" s="165">
        <f t="shared" si="17"/>
        <v>0</v>
      </c>
      <c r="Q52" s="165">
        <f t="shared" si="18"/>
        <v>0</v>
      </c>
      <c r="R52" s="165">
        <f t="shared" si="19"/>
        <v>0</v>
      </c>
      <c r="S52" s="165">
        <f t="shared" si="20"/>
        <v>0</v>
      </c>
      <c r="T52" s="165">
        <f t="shared" si="21"/>
        <v>0</v>
      </c>
      <c r="U52" s="165">
        <f t="shared" si="22"/>
        <v>0</v>
      </c>
      <c r="V52" s="165">
        <f t="shared" si="23"/>
        <v>0</v>
      </c>
      <c r="W52" s="166">
        <f t="shared" si="24"/>
        <v>0</v>
      </c>
    </row>
    <row r="53" spans="1:23" ht="13.75" hidden="1" customHeight="1">
      <c r="A53" s="157">
        <v>20</v>
      </c>
      <c r="B53" s="165">
        <f t="shared" si="3"/>
        <v>0</v>
      </c>
      <c r="C53" s="165">
        <f t="shared" si="4"/>
        <v>0</v>
      </c>
      <c r="D53" s="165">
        <f t="shared" si="5"/>
        <v>0</v>
      </c>
      <c r="E53" s="165">
        <f t="shared" si="6"/>
        <v>0</v>
      </c>
      <c r="F53" s="165">
        <f t="shared" si="7"/>
        <v>0</v>
      </c>
      <c r="G53" s="165">
        <f t="shared" si="8"/>
        <v>0</v>
      </c>
      <c r="H53" s="165">
        <f t="shared" si="9"/>
        <v>0</v>
      </c>
      <c r="I53" s="165">
        <f t="shared" si="10"/>
        <v>0</v>
      </c>
      <c r="J53" s="165">
        <f t="shared" si="11"/>
        <v>0</v>
      </c>
      <c r="K53" s="165">
        <f t="shared" si="12"/>
        <v>0</v>
      </c>
      <c r="L53" s="165">
        <f t="shared" si="13"/>
        <v>0</v>
      </c>
      <c r="M53" s="165">
        <f t="shared" si="14"/>
        <v>0</v>
      </c>
      <c r="N53" s="165">
        <f t="shared" si="15"/>
        <v>0</v>
      </c>
      <c r="O53" s="165">
        <f t="shared" si="16"/>
        <v>0</v>
      </c>
      <c r="P53" s="165">
        <f t="shared" si="17"/>
        <v>0</v>
      </c>
      <c r="Q53" s="165">
        <f t="shared" si="18"/>
        <v>0</v>
      </c>
      <c r="R53" s="165">
        <f t="shared" si="19"/>
        <v>0</v>
      </c>
      <c r="S53" s="165">
        <f t="shared" si="20"/>
        <v>0</v>
      </c>
      <c r="T53" s="165">
        <f t="shared" si="21"/>
        <v>0</v>
      </c>
      <c r="U53" s="165">
        <f t="shared" si="22"/>
        <v>0</v>
      </c>
      <c r="V53" s="165">
        <f t="shared" si="23"/>
        <v>0</v>
      </c>
      <c r="W53" s="166">
        <f t="shared" si="24"/>
        <v>0</v>
      </c>
    </row>
    <row r="54" spans="1:23" ht="13.75" hidden="1" customHeight="1">
      <c r="A54" s="157">
        <v>21</v>
      </c>
      <c r="B54" s="165">
        <f t="shared" si="3"/>
        <v>0</v>
      </c>
      <c r="C54" s="165">
        <f t="shared" si="4"/>
        <v>0</v>
      </c>
      <c r="D54" s="165">
        <f t="shared" si="5"/>
        <v>0</v>
      </c>
      <c r="E54" s="165">
        <f t="shared" si="6"/>
        <v>0</v>
      </c>
      <c r="F54" s="165">
        <f t="shared" si="7"/>
        <v>0</v>
      </c>
      <c r="G54" s="165">
        <f t="shared" si="8"/>
        <v>0</v>
      </c>
      <c r="H54" s="165">
        <f t="shared" si="9"/>
        <v>0</v>
      </c>
      <c r="I54" s="165">
        <f t="shared" si="10"/>
        <v>0</v>
      </c>
      <c r="J54" s="165">
        <f t="shared" si="11"/>
        <v>0</v>
      </c>
      <c r="K54" s="165">
        <f t="shared" si="12"/>
        <v>0</v>
      </c>
      <c r="L54" s="165">
        <f t="shared" si="13"/>
        <v>0</v>
      </c>
      <c r="M54" s="165">
        <f t="shared" si="14"/>
        <v>0</v>
      </c>
      <c r="N54" s="165">
        <f t="shared" si="15"/>
        <v>0</v>
      </c>
      <c r="O54" s="165">
        <f t="shared" si="16"/>
        <v>0</v>
      </c>
      <c r="P54" s="165">
        <f t="shared" si="17"/>
        <v>0</v>
      </c>
      <c r="Q54" s="165">
        <f t="shared" si="18"/>
        <v>0</v>
      </c>
      <c r="R54" s="165">
        <f t="shared" si="19"/>
        <v>0</v>
      </c>
      <c r="S54" s="165">
        <f t="shared" si="20"/>
        <v>0</v>
      </c>
      <c r="T54" s="165">
        <f t="shared" si="21"/>
        <v>0</v>
      </c>
      <c r="U54" s="165">
        <f t="shared" si="22"/>
        <v>0</v>
      </c>
      <c r="V54" s="165">
        <f t="shared" si="23"/>
        <v>0</v>
      </c>
      <c r="W54" s="166">
        <f t="shared" si="24"/>
        <v>0</v>
      </c>
    </row>
    <row r="55" spans="1:23" ht="13.75" hidden="1" customHeight="1">
      <c r="A55" s="157">
        <v>22</v>
      </c>
      <c r="B55" s="165">
        <f t="shared" si="3"/>
        <v>0</v>
      </c>
      <c r="C55" s="165">
        <f t="shared" si="4"/>
        <v>0</v>
      </c>
      <c r="D55" s="165">
        <f t="shared" si="5"/>
        <v>0</v>
      </c>
      <c r="E55" s="165">
        <f t="shared" si="6"/>
        <v>0</v>
      </c>
      <c r="F55" s="165">
        <f t="shared" si="7"/>
        <v>0</v>
      </c>
      <c r="G55" s="165">
        <f t="shared" si="8"/>
        <v>0</v>
      </c>
      <c r="H55" s="165">
        <f t="shared" si="9"/>
        <v>0</v>
      </c>
      <c r="I55" s="165">
        <f t="shared" si="10"/>
        <v>0</v>
      </c>
      <c r="J55" s="165">
        <f t="shared" si="11"/>
        <v>0</v>
      </c>
      <c r="K55" s="165">
        <f t="shared" si="12"/>
        <v>0</v>
      </c>
      <c r="L55" s="165">
        <f t="shared" si="13"/>
        <v>0</v>
      </c>
      <c r="M55" s="165">
        <f t="shared" si="14"/>
        <v>0</v>
      </c>
      <c r="N55" s="165">
        <f t="shared" si="15"/>
        <v>0</v>
      </c>
      <c r="O55" s="165">
        <f t="shared" si="16"/>
        <v>0</v>
      </c>
      <c r="P55" s="165">
        <f t="shared" si="17"/>
        <v>0</v>
      </c>
      <c r="Q55" s="165">
        <f t="shared" si="18"/>
        <v>0</v>
      </c>
      <c r="R55" s="165">
        <f t="shared" si="19"/>
        <v>0</v>
      </c>
      <c r="S55" s="165">
        <f t="shared" si="20"/>
        <v>0</v>
      </c>
      <c r="T55" s="165">
        <f t="shared" si="21"/>
        <v>0</v>
      </c>
      <c r="U55" s="165">
        <f t="shared" si="22"/>
        <v>0</v>
      </c>
      <c r="V55" s="165">
        <f t="shared" si="23"/>
        <v>0</v>
      </c>
      <c r="W55" s="166">
        <f t="shared" si="24"/>
        <v>0</v>
      </c>
    </row>
    <row r="56" spans="1:23" ht="13.75" hidden="1" customHeight="1">
      <c r="A56" s="157">
        <v>23</v>
      </c>
      <c r="B56" s="165">
        <f t="shared" si="3"/>
        <v>0</v>
      </c>
      <c r="C56" s="165">
        <f t="shared" si="4"/>
        <v>0</v>
      </c>
      <c r="D56" s="165">
        <f t="shared" si="5"/>
        <v>0</v>
      </c>
      <c r="E56" s="165">
        <f t="shared" si="6"/>
        <v>0</v>
      </c>
      <c r="F56" s="165">
        <f t="shared" si="7"/>
        <v>0</v>
      </c>
      <c r="G56" s="165">
        <f t="shared" si="8"/>
        <v>0</v>
      </c>
      <c r="H56" s="165">
        <f t="shared" si="9"/>
        <v>0</v>
      </c>
      <c r="I56" s="165">
        <f t="shared" si="10"/>
        <v>0</v>
      </c>
      <c r="J56" s="165">
        <f t="shared" si="11"/>
        <v>0</v>
      </c>
      <c r="K56" s="165">
        <f t="shared" si="12"/>
        <v>0</v>
      </c>
      <c r="L56" s="165">
        <f t="shared" si="13"/>
        <v>0</v>
      </c>
      <c r="M56" s="165">
        <f t="shared" si="14"/>
        <v>0</v>
      </c>
      <c r="N56" s="165">
        <f t="shared" si="15"/>
        <v>0</v>
      </c>
      <c r="O56" s="165">
        <f t="shared" si="16"/>
        <v>0</v>
      </c>
      <c r="P56" s="165">
        <f t="shared" si="17"/>
        <v>0</v>
      </c>
      <c r="Q56" s="165">
        <f t="shared" si="18"/>
        <v>0</v>
      </c>
      <c r="R56" s="165">
        <f t="shared" si="19"/>
        <v>0</v>
      </c>
      <c r="S56" s="165">
        <f t="shared" si="20"/>
        <v>0</v>
      </c>
      <c r="T56" s="165">
        <f t="shared" si="21"/>
        <v>0</v>
      </c>
      <c r="U56" s="165">
        <f t="shared" si="22"/>
        <v>0</v>
      </c>
      <c r="V56" s="165">
        <f t="shared" si="23"/>
        <v>0</v>
      </c>
      <c r="W56" s="166">
        <f t="shared" si="24"/>
        <v>0</v>
      </c>
    </row>
    <row r="57" spans="1:23" ht="13.75" hidden="1" customHeight="1">
      <c r="A57" s="157">
        <v>24</v>
      </c>
      <c r="B57" s="165">
        <f t="shared" si="3"/>
        <v>0</v>
      </c>
      <c r="C57" s="165">
        <f t="shared" si="4"/>
        <v>0</v>
      </c>
      <c r="D57" s="165">
        <f t="shared" si="5"/>
        <v>0</v>
      </c>
      <c r="E57" s="165">
        <f t="shared" si="6"/>
        <v>0</v>
      </c>
      <c r="F57" s="165">
        <f t="shared" si="7"/>
        <v>0</v>
      </c>
      <c r="G57" s="165">
        <f t="shared" si="8"/>
        <v>0</v>
      </c>
      <c r="H57" s="165">
        <f t="shared" si="9"/>
        <v>0</v>
      </c>
      <c r="I57" s="165">
        <f t="shared" si="10"/>
        <v>0</v>
      </c>
      <c r="J57" s="165">
        <f t="shared" si="11"/>
        <v>0</v>
      </c>
      <c r="K57" s="165">
        <f t="shared" si="12"/>
        <v>0</v>
      </c>
      <c r="L57" s="165">
        <f t="shared" si="13"/>
        <v>0</v>
      </c>
      <c r="M57" s="165">
        <f t="shared" si="14"/>
        <v>0</v>
      </c>
      <c r="N57" s="165">
        <f t="shared" si="15"/>
        <v>0</v>
      </c>
      <c r="O57" s="165">
        <f t="shared" si="16"/>
        <v>0</v>
      </c>
      <c r="P57" s="165">
        <f t="shared" si="17"/>
        <v>0</v>
      </c>
      <c r="Q57" s="165">
        <f t="shared" si="18"/>
        <v>0</v>
      </c>
      <c r="R57" s="165">
        <f t="shared" si="19"/>
        <v>0</v>
      </c>
      <c r="S57" s="165">
        <f t="shared" si="20"/>
        <v>0</v>
      </c>
      <c r="T57" s="165">
        <f t="shared" si="21"/>
        <v>0</v>
      </c>
      <c r="U57" s="165">
        <f t="shared" si="22"/>
        <v>0</v>
      </c>
      <c r="V57" s="165">
        <f t="shared" si="23"/>
        <v>0</v>
      </c>
      <c r="W57" s="166">
        <f t="shared" si="24"/>
        <v>0</v>
      </c>
    </row>
    <row r="58" spans="1:23" ht="13.75" hidden="1" customHeight="1">
      <c r="A58" s="157">
        <v>25</v>
      </c>
      <c r="B58" s="165">
        <f t="shared" si="3"/>
        <v>0</v>
      </c>
      <c r="C58" s="165">
        <f t="shared" si="4"/>
        <v>0</v>
      </c>
      <c r="D58" s="165">
        <f t="shared" si="5"/>
        <v>0</v>
      </c>
      <c r="E58" s="165">
        <f t="shared" si="6"/>
        <v>0</v>
      </c>
      <c r="F58" s="165">
        <f t="shared" si="7"/>
        <v>0</v>
      </c>
      <c r="G58" s="165">
        <f t="shared" si="8"/>
        <v>0</v>
      </c>
      <c r="H58" s="165">
        <f t="shared" si="9"/>
        <v>0</v>
      </c>
      <c r="I58" s="165">
        <f t="shared" si="10"/>
        <v>0</v>
      </c>
      <c r="J58" s="165">
        <f t="shared" si="11"/>
        <v>0</v>
      </c>
      <c r="K58" s="165">
        <f t="shared" si="12"/>
        <v>0</v>
      </c>
      <c r="L58" s="165">
        <f t="shared" si="13"/>
        <v>0</v>
      </c>
      <c r="M58" s="165">
        <f t="shared" si="14"/>
        <v>0</v>
      </c>
      <c r="N58" s="165">
        <f t="shared" si="15"/>
        <v>0</v>
      </c>
      <c r="O58" s="165">
        <f t="shared" si="16"/>
        <v>0</v>
      </c>
      <c r="P58" s="165">
        <f t="shared" si="17"/>
        <v>0</v>
      </c>
      <c r="Q58" s="165">
        <f t="shared" si="18"/>
        <v>0</v>
      </c>
      <c r="R58" s="165">
        <f t="shared" si="19"/>
        <v>0</v>
      </c>
      <c r="S58" s="165">
        <f t="shared" si="20"/>
        <v>0</v>
      </c>
      <c r="T58" s="165">
        <f t="shared" si="21"/>
        <v>0</v>
      </c>
      <c r="U58" s="165">
        <f t="shared" si="22"/>
        <v>0</v>
      </c>
      <c r="V58" s="165">
        <f t="shared" si="23"/>
        <v>0</v>
      </c>
      <c r="W58" s="166">
        <f t="shared" si="24"/>
        <v>0</v>
      </c>
    </row>
    <row r="59" spans="1:23" ht="13.75" hidden="1" customHeight="1">
      <c r="A59" s="157">
        <v>26</v>
      </c>
      <c r="B59" s="165">
        <f t="shared" si="3"/>
        <v>0</v>
      </c>
      <c r="C59" s="165">
        <f t="shared" si="4"/>
        <v>0</v>
      </c>
      <c r="D59" s="165">
        <f t="shared" si="5"/>
        <v>0</v>
      </c>
      <c r="E59" s="165">
        <f t="shared" si="6"/>
        <v>0</v>
      </c>
      <c r="F59" s="165">
        <f t="shared" si="7"/>
        <v>0</v>
      </c>
      <c r="G59" s="165">
        <f t="shared" si="8"/>
        <v>0</v>
      </c>
      <c r="H59" s="165">
        <f t="shared" si="9"/>
        <v>0</v>
      </c>
      <c r="I59" s="165">
        <f t="shared" si="10"/>
        <v>0</v>
      </c>
      <c r="J59" s="165">
        <f t="shared" si="11"/>
        <v>0</v>
      </c>
      <c r="K59" s="165">
        <f t="shared" si="12"/>
        <v>0</v>
      </c>
      <c r="L59" s="165">
        <f t="shared" si="13"/>
        <v>0</v>
      </c>
      <c r="M59" s="165">
        <f t="shared" si="14"/>
        <v>0</v>
      </c>
      <c r="N59" s="165">
        <f t="shared" si="15"/>
        <v>0</v>
      </c>
      <c r="O59" s="165">
        <f t="shared" si="16"/>
        <v>0</v>
      </c>
      <c r="P59" s="165">
        <f t="shared" si="17"/>
        <v>0</v>
      </c>
      <c r="Q59" s="165">
        <f t="shared" si="18"/>
        <v>0</v>
      </c>
      <c r="R59" s="165">
        <f t="shared" si="19"/>
        <v>0</v>
      </c>
      <c r="S59" s="165">
        <f t="shared" si="20"/>
        <v>0</v>
      </c>
      <c r="T59" s="165">
        <f t="shared" si="21"/>
        <v>0</v>
      </c>
      <c r="U59" s="165">
        <f t="shared" si="22"/>
        <v>0</v>
      </c>
      <c r="V59" s="165">
        <f t="shared" si="23"/>
        <v>0</v>
      </c>
      <c r="W59" s="166">
        <f t="shared" si="24"/>
        <v>0</v>
      </c>
    </row>
    <row r="60" spans="1:23" ht="13.75" hidden="1" customHeight="1">
      <c r="A60" s="157">
        <v>27</v>
      </c>
      <c r="B60" s="165">
        <f t="shared" si="3"/>
        <v>0</v>
      </c>
      <c r="C60" s="165">
        <f t="shared" si="4"/>
        <v>0</v>
      </c>
      <c r="D60" s="165">
        <f t="shared" si="5"/>
        <v>0</v>
      </c>
      <c r="E60" s="165">
        <f t="shared" si="6"/>
        <v>0</v>
      </c>
      <c r="F60" s="165">
        <f t="shared" si="7"/>
        <v>0</v>
      </c>
      <c r="G60" s="165">
        <f t="shared" si="8"/>
        <v>0</v>
      </c>
      <c r="H60" s="165">
        <f t="shared" si="9"/>
        <v>0</v>
      </c>
      <c r="I60" s="165">
        <f t="shared" si="10"/>
        <v>0</v>
      </c>
      <c r="J60" s="165">
        <f t="shared" si="11"/>
        <v>0</v>
      </c>
      <c r="K60" s="165">
        <f t="shared" si="12"/>
        <v>0</v>
      </c>
      <c r="L60" s="165">
        <f t="shared" si="13"/>
        <v>0</v>
      </c>
      <c r="M60" s="165">
        <f t="shared" si="14"/>
        <v>0</v>
      </c>
      <c r="N60" s="165">
        <f t="shared" si="15"/>
        <v>0</v>
      </c>
      <c r="O60" s="165">
        <f t="shared" si="16"/>
        <v>0</v>
      </c>
      <c r="P60" s="165">
        <f t="shared" si="17"/>
        <v>0</v>
      </c>
      <c r="Q60" s="165">
        <f t="shared" si="18"/>
        <v>0</v>
      </c>
      <c r="R60" s="165">
        <f t="shared" si="19"/>
        <v>0</v>
      </c>
      <c r="S60" s="165">
        <f t="shared" si="20"/>
        <v>0</v>
      </c>
      <c r="T60" s="165">
        <f t="shared" si="21"/>
        <v>0</v>
      </c>
      <c r="U60" s="165">
        <f t="shared" si="22"/>
        <v>0</v>
      </c>
      <c r="V60" s="165">
        <f t="shared" si="23"/>
        <v>0</v>
      </c>
      <c r="W60" s="166">
        <f t="shared" si="24"/>
        <v>0</v>
      </c>
    </row>
    <row r="61" spans="1:23" ht="13.75" hidden="1" customHeight="1">
      <c r="A61" s="157">
        <v>28</v>
      </c>
      <c r="B61" s="165">
        <f t="shared" si="3"/>
        <v>0</v>
      </c>
      <c r="C61" s="165">
        <f t="shared" si="4"/>
        <v>0</v>
      </c>
      <c r="D61" s="165">
        <f t="shared" si="5"/>
        <v>0</v>
      </c>
      <c r="E61" s="165">
        <f t="shared" si="6"/>
        <v>0</v>
      </c>
      <c r="F61" s="165">
        <f t="shared" si="7"/>
        <v>0</v>
      </c>
      <c r="G61" s="165">
        <f t="shared" si="8"/>
        <v>0</v>
      </c>
      <c r="H61" s="165">
        <f t="shared" si="9"/>
        <v>0</v>
      </c>
      <c r="I61" s="165">
        <f t="shared" si="10"/>
        <v>0</v>
      </c>
      <c r="J61" s="165">
        <f t="shared" si="11"/>
        <v>0</v>
      </c>
      <c r="K61" s="165">
        <f t="shared" si="12"/>
        <v>0</v>
      </c>
      <c r="L61" s="165">
        <f t="shared" si="13"/>
        <v>0</v>
      </c>
      <c r="M61" s="165">
        <f t="shared" si="14"/>
        <v>0</v>
      </c>
      <c r="N61" s="165">
        <f t="shared" si="15"/>
        <v>0</v>
      </c>
      <c r="O61" s="165">
        <f t="shared" si="16"/>
        <v>0</v>
      </c>
      <c r="P61" s="165">
        <f t="shared" si="17"/>
        <v>0</v>
      </c>
      <c r="Q61" s="165">
        <f t="shared" si="18"/>
        <v>0</v>
      </c>
      <c r="R61" s="165">
        <f t="shared" si="19"/>
        <v>0</v>
      </c>
      <c r="S61" s="165">
        <f t="shared" si="20"/>
        <v>0</v>
      </c>
      <c r="T61" s="165">
        <f t="shared" si="21"/>
        <v>0</v>
      </c>
      <c r="U61" s="165">
        <f t="shared" si="22"/>
        <v>0</v>
      </c>
      <c r="V61" s="165">
        <f t="shared" si="23"/>
        <v>0</v>
      </c>
      <c r="W61" s="166">
        <f t="shared" si="24"/>
        <v>0</v>
      </c>
    </row>
    <row r="62" spans="1:23" ht="13.75" hidden="1" customHeight="1">
      <c r="A62" s="157">
        <v>29</v>
      </c>
      <c r="B62" s="165">
        <f t="shared" si="3"/>
        <v>0</v>
      </c>
      <c r="C62" s="165">
        <f t="shared" si="4"/>
        <v>0</v>
      </c>
      <c r="D62" s="165">
        <f t="shared" si="5"/>
        <v>0</v>
      </c>
      <c r="E62" s="165">
        <f t="shared" si="6"/>
        <v>0</v>
      </c>
      <c r="F62" s="165">
        <f t="shared" si="7"/>
        <v>0</v>
      </c>
      <c r="G62" s="165">
        <f t="shared" si="8"/>
        <v>0</v>
      </c>
      <c r="H62" s="165">
        <f t="shared" si="9"/>
        <v>0</v>
      </c>
      <c r="I62" s="165">
        <f t="shared" si="10"/>
        <v>0</v>
      </c>
      <c r="J62" s="165">
        <f t="shared" si="11"/>
        <v>0</v>
      </c>
      <c r="K62" s="165">
        <f t="shared" si="12"/>
        <v>0</v>
      </c>
      <c r="L62" s="165">
        <f t="shared" si="13"/>
        <v>0</v>
      </c>
      <c r="M62" s="165">
        <f t="shared" si="14"/>
        <v>0</v>
      </c>
      <c r="N62" s="165">
        <f t="shared" si="15"/>
        <v>0</v>
      </c>
      <c r="O62" s="165">
        <f t="shared" si="16"/>
        <v>0</v>
      </c>
      <c r="P62" s="165">
        <f t="shared" si="17"/>
        <v>0</v>
      </c>
      <c r="Q62" s="165">
        <f t="shared" si="18"/>
        <v>0</v>
      </c>
      <c r="R62" s="165">
        <f t="shared" si="19"/>
        <v>0</v>
      </c>
      <c r="S62" s="165">
        <f t="shared" si="20"/>
        <v>0</v>
      </c>
      <c r="T62" s="165">
        <f t="shared" si="21"/>
        <v>0</v>
      </c>
      <c r="U62" s="165">
        <f t="shared" si="22"/>
        <v>0</v>
      </c>
      <c r="V62" s="165">
        <f t="shared" si="23"/>
        <v>0</v>
      </c>
      <c r="W62" s="166">
        <f t="shared" si="24"/>
        <v>0</v>
      </c>
    </row>
    <row r="63" spans="1:23" ht="13.75" hidden="1" customHeight="1">
      <c r="A63" s="157">
        <v>30</v>
      </c>
      <c r="B63" s="165">
        <f t="shared" si="3"/>
        <v>0</v>
      </c>
      <c r="C63" s="165">
        <f t="shared" si="4"/>
        <v>0</v>
      </c>
      <c r="D63" s="165">
        <f t="shared" si="5"/>
        <v>0</v>
      </c>
      <c r="E63" s="165">
        <f t="shared" si="6"/>
        <v>0</v>
      </c>
      <c r="F63" s="165">
        <f t="shared" si="7"/>
        <v>0</v>
      </c>
      <c r="G63" s="165">
        <f t="shared" si="8"/>
        <v>0</v>
      </c>
      <c r="H63" s="165">
        <f t="shared" si="9"/>
        <v>0</v>
      </c>
      <c r="I63" s="165">
        <f t="shared" si="10"/>
        <v>0</v>
      </c>
      <c r="J63" s="165">
        <f t="shared" si="11"/>
        <v>0</v>
      </c>
      <c r="K63" s="165">
        <f t="shared" si="12"/>
        <v>0</v>
      </c>
      <c r="L63" s="165">
        <f t="shared" si="13"/>
        <v>0</v>
      </c>
      <c r="M63" s="165">
        <f t="shared" si="14"/>
        <v>0</v>
      </c>
      <c r="N63" s="165">
        <f t="shared" si="15"/>
        <v>0</v>
      </c>
      <c r="O63" s="165">
        <f t="shared" si="16"/>
        <v>0</v>
      </c>
      <c r="P63" s="165">
        <f t="shared" si="17"/>
        <v>0</v>
      </c>
      <c r="Q63" s="165">
        <f t="shared" si="18"/>
        <v>0</v>
      </c>
      <c r="R63" s="165">
        <f t="shared" si="19"/>
        <v>0</v>
      </c>
      <c r="S63" s="165">
        <f t="shared" si="20"/>
        <v>0</v>
      </c>
      <c r="T63" s="165">
        <f t="shared" si="21"/>
        <v>0</v>
      </c>
      <c r="U63" s="165">
        <f t="shared" si="22"/>
        <v>0</v>
      </c>
      <c r="V63" s="165">
        <f t="shared" si="23"/>
        <v>0</v>
      </c>
      <c r="W63" s="166">
        <f t="shared" si="24"/>
        <v>0</v>
      </c>
    </row>
    <row r="64" spans="1:23" ht="13.75" hidden="1" customHeight="1" thickBot="1">
      <c r="A64" s="167" t="s">
        <v>2453</v>
      </c>
      <c r="B64" s="168">
        <f t="shared" ref="B64:W64" si="25">SUM(B34:B63)</f>
        <v>0</v>
      </c>
      <c r="C64" s="168">
        <f t="shared" si="25"/>
        <v>0</v>
      </c>
      <c r="D64" s="168">
        <f t="shared" si="25"/>
        <v>0</v>
      </c>
      <c r="E64" s="168">
        <f t="shared" si="25"/>
        <v>0</v>
      </c>
      <c r="F64" s="168">
        <f t="shared" si="25"/>
        <v>0</v>
      </c>
      <c r="G64" s="168">
        <f t="shared" si="25"/>
        <v>0</v>
      </c>
      <c r="H64" s="168">
        <f t="shared" si="25"/>
        <v>0</v>
      </c>
      <c r="I64" s="168">
        <f t="shared" si="25"/>
        <v>0</v>
      </c>
      <c r="J64" s="168">
        <f t="shared" si="25"/>
        <v>0</v>
      </c>
      <c r="K64" s="168">
        <f t="shared" si="25"/>
        <v>0</v>
      </c>
      <c r="L64" s="168">
        <f t="shared" si="25"/>
        <v>0</v>
      </c>
      <c r="M64" s="168">
        <f t="shared" si="25"/>
        <v>0</v>
      </c>
      <c r="N64" s="168">
        <f t="shared" si="25"/>
        <v>0</v>
      </c>
      <c r="O64" s="168">
        <f t="shared" si="25"/>
        <v>0</v>
      </c>
      <c r="P64" s="168">
        <f t="shared" si="25"/>
        <v>0</v>
      </c>
      <c r="Q64" s="168">
        <f t="shared" si="25"/>
        <v>0</v>
      </c>
      <c r="R64" s="168">
        <f t="shared" si="25"/>
        <v>0</v>
      </c>
      <c r="S64" s="168">
        <f t="shared" si="25"/>
        <v>0</v>
      </c>
      <c r="T64" s="168">
        <f t="shared" si="25"/>
        <v>0</v>
      </c>
      <c r="U64" s="168">
        <f t="shared" si="25"/>
        <v>0</v>
      </c>
      <c r="V64" s="168">
        <f t="shared" si="25"/>
        <v>0</v>
      </c>
      <c r="W64" s="169">
        <f t="shared" si="25"/>
        <v>0</v>
      </c>
    </row>
    <row r="65" spans="1:23" ht="13.75" hidden="1" customHeight="1"/>
    <row r="66" spans="1:23" ht="13.75" hidden="1" customHeight="1"/>
    <row r="67" spans="1:23" ht="13.75" hidden="1" customHeight="1">
      <c r="A67" s="802" t="s">
        <v>221</v>
      </c>
      <c r="B67" s="803" t="s">
        <v>2339</v>
      </c>
      <c r="C67" s="802"/>
      <c r="D67" s="802"/>
      <c r="E67" s="802"/>
      <c r="F67" s="802"/>
      <c r="G67" s="802"/>
      <c r="H67" s="802"/>
      <c r="I67" s="802"/>
      <c r="J67" s="802"/>
      <c r="K67" s="802"/>
      <c r="L67" s="802"/>
      <c r="M67" s="802"/>
      <c r="N67" s="802"/>
      <c r="O67" s="802"/>
      <c r="P67" s="802"/>
      <c r="Q67" s="802"/>
      <c r="R67" s="802"/>
      <c r="S67" s="802"/>
      <c r="T67" s="802"/>
      <c r="U67" s="802"/>
      <c r="V67" s="802"/>
      <c r="W67" s="802"/>
    </row>
    <row r="68" spans="1:23" ht="13.75" hidden="1" customHeight="1">
      <c r="A68" s="802"/>
      <c r="B68" s="802" t="s">
        <v>2433</v>
      </c>
      <c r="C68" s="802"/>
      <c r="D68" s="802"/>
      <c r="E68" s="802"/>
      <c r="F68" s="802" t="s">
        <v>2434</v>
      </c>
      <c r="G68" s="802"/>
      <c r="H68" s="802"/>
      <c r="I68" s="802"/>
      <c r="J68" s="802" t="s">
        <v>223</v>
      </c>
      <c r="K68" s="802"/>
      <c r="L68" s="802"/>
      <c r="M68" s="802"/>
      <c r="N68" s="802" t="s">
        <v>1799</v>
      </c>
      <c r="O68" s="802"/>
      <c r="P68" s="802"/>
      <c r="Q68" s="802"/>
      <c r="R68" s="802" t="s">
        <v>2435</v>
      </c>
      <c r="S68" s="802"/>
      <c r="T68" s="802"/>
      <c r="U68" s="802"/>
      <c r="V68" s="802" t="s">
        <v>2436</v>
      </c>
      <c r="W68" s="802" t="s">
        <v>2453</v>
      </c>
    </row>
    <row r="69" spans="1:23" ht="39.25" hidden="1" customHeight="1">
      <c r="A69" s="802"/>
      <c r="B69" s="170" t="s">
        <v>2437</v>
      </c>
      <c r="C69" s="170" t="s">
        <v>2438</v>
      </c>
      <c r="D69" s="170" t="s">
        <v>2439</v>
      </c>
      <c r="E69" s="170" t="s">
        <v>2440</v>
      </c>
      <c r="F69" s="170" t="s">
        <v>2437</v>
      </c>
      <c r="G69" s="170" t="s">
        <v>2438</v>
      </c>
      <c r="H69" s="170" t="s">
        <v>2439</v>
      </c>
      <c r="I69" s="170" t="s">
        <v>2440</v>
      </c>
      <c r="J69" s="170" t="s">
        <v>2437</v>
      </c>
      <c r="K69" s="170" t="s">
        <v>2438</v>
      </c>
      <c r="L69" s="170" t="s">
        <v>2439</v>
      </c>
      <c r="M69" s="170" t="s">
        <v>2440</v>
      </c>
      <c r="N69" s="170" t="s">
        <v>2437</v>
      </c>
      <c r="O69" s="170" t="s">
        <v>2438</v>
      </c>
      <c r="P69" s="170" t="s">
        <v>2439</v>
      </c>
      <c r="Q69" s="170" t="s">
        <v>2440</v>
      </c>
      <c r="R69" s="170" t="s">
        <v>2437</v>
      </c>
      <c r="S69" s="170" t="s">
        <v>2438</v>
      </c>
      <c r="T69" s="170" t="s">
        <v>2439</v>
      </c>
      <c r="U69" s="170" t="s">
        <v>2440</v>
      </c>
      <c r="V69" s="802"/>
      <c r="W69" s="802"/>
    </row>
    <row r="70" spans="1:23" ht="13.75" hidden="1" customHeight="1">
      <c r="A70" s="165">
        <v>1</v>
      </c>
      <c r="B70" s="327">
        <f>COUNTIFS('様式1-2（計画排出量）'!$B$16:$B$515,$A70,'様式1-2（計画排出量）'!$H$16:$H$515,"普通貨物車",'様式1-2（計画排出量）'!$J$16:$J$515,"&lt;=1700",'様式1-2（計画排出量）'!$S$16:$S$515,"廃止")</f>
        <v>0</v>
      </c>
      <c r="C70" s="327">
        <f>COUNTIFS('様式1-2（計画排出量）'!$B$16:$B$515,$A70,'様式1-2（計画排出量）'!$H$16:$H$515,"普通貨物車",'様式1-2（計画排出量）'!$J$16:$J$515,"&gt;1700",'様式1-2（計画排出量）'!$J$16:$J$515,"&lt;=2500",'様式1-2（計画排出量）'!$S$16:$S$515,"廃止")</f>
        <v>0</v>
      </c>
      <c r="D70" s="327">
        <f>COUNTIFS('様式1-2（計画排出量）'!$B$16:$B$515,$A70,'様式1-2（計画排出量）'!$H$16:$H$515,"普通貨物車",'様式1-2（計画排出量）'!$J$16:$J$515,"&gt;2500",'様式1-2（計画排出量）'!$J$16:$J$515,"&lt;=3500",'様式1-2（計画排出量）'!$S$16:$S$515,"廃止")</f>
        <v>0</v>
      </c>
      <c r="E70" s="327">
        <f>COUNTIFS('様式1-2（計画排出量）'!$B$16:$B$515,$A70,'様式1-2（計画排出量）'!$H$16:$H$515,"普通貨物車",'様式1-2（計画排出量）'!$J$16:$J$515,"&gt;3500",'様式1-2（計画排出量）'!$S$16:$S$515,"廃止")</f>
        <v>0</v>
      </c>
      <c r="F70" s="327">
        <f>COUNTIFS('様式1-2（計画排出量）'!$B$16:$B$515,$A70,'様式1-2（計画排出量）'!$H$16:$H$515,"小型貨物車",'様式1-2（計画排出量）'!$J$16:$J$515,"&lt;=1700",'様式1-2（計画排出量）'!$S$16:$S$515,"廃止")</f>
        <v>0</v>
      </c>
      <c r="G70" s="327">
        <f>COUNTIFS('様式1-2（計画排出量）'!$B$16:$B$515,$A70,'様式1-2（計画排出量）'!$H$16:$H$515,"小型貨物車",'様式1-2（計画排出量）'!$J$16:$J$515,"&gt;1700",'様式1-2（計画排出量）'!$J$16:$J$515,"&lt;=2500",'様式1-2（計画排出量）'!$S$16:$S$515,"廃止")</f>
        <v>0</v>
      </c>
      <c r="H70" s="327">
        <f>COUNTIFS('様式1-2（計画排出量）'!$B$16:$B$515,$A70,'様式1-2（計画排出量）'!$H$16:$H$515,"小型貨物車",'様式1-2（計画排出量）'!$J$16:$J$515,"&gt;2500",'様式1-2（計画排出量）'!$J$16:$J$515,"&lt;=3500",'様式1-2（計画排出量）'!$S$16:$S$515,"廃止")</f>
        <v>0</v>
      </c>
      <c r="I70" s="327">
        <f>COUNTIFS('様式1-2（計画排出量）'!$B$16:$B$515,$A70,'様式1-2（計画排出量）'!$H$16:$H$515,"小型貨物車",'様式1-2（計画排出量）'!$J$16:$J$515,"&gt;3500",'様式1-2（計画排出量）'!$S$16:$S$515,"廃止")</f>
        <v>0</v>
      </c>
      <c r="J70" s="327">
        <f>COUNTIFS('様式1-2（計画排出量）'!$B$16:$B$515,$A70,'様式1-2（計画排出量）'!$H$16:$H$515,"大型バス",'様式1-2（計画排出量）'!$J$16:$J$515,"&lt;=1700",'様式1-2（計画排出量）'!$S$16:$S$515,"廃止")</f>
        <v>0</v>
      </c>
      <c r="K70" s="327">
        <f>COUNTIFS('様式1-2（計画排出量）'!$B$16:$B$515,$A70,'様式1-2（計画排出量）'!$H$16:$H$515,"大型バス",'様式1-2（計画排出量）'!$J$16:$J$515,"&gt;1700",'様式1-2（計画排出量）'!$J$16:$J$515,"&lt;=2500",'様式1-2（計画排出量）'!$S$16:$S$515,"廃止")</f>
        <v>0</v>
      </c>
      <c r="L70" s="327">
        <f>COUNTIFS('様式1-2（計画排出量）'!$B$16:$B$515,$A70,'様式1-2（計画排出量）'!$H$16:$H$515,"大型バス",'様式1-2（計画排出量）'!$J$16:$J$515,"&gt;2500",'様式1-2（計画排出量）'!$J$16:$J$515,"&lt;=3500",'様式1-2（計画排出量）'!$S$16:$S$515,"廃止")</f>
        <v>0</v>
      </c>
      <c r="M70" s="327">
        <f>COUNTIFS('様式1-2（計画排出量）'!$B$16:$B$515,$A70,'様式1-2（計画排出量）'!$H$16:$H$515,"大型バス",'様式1-2（計画排出量）'!$J$16:$J$515,"&gt;3500",'様式1-2（計画排出量）'!$S$16:$S$515,"廃止")</f>
        <v>0</v>
      </c>
      <c r="N70" s="327">
        <f>COUNTIFS('様式1-2（計画排出量）'!$B$16:$B$515,$A70,'様式1-2（計画排出量）'!$H$16:$H$515,"マイクロバス",'様式1-2（計画排出量）'!$J$16:$J$515,"&lt;=1700",'様式1-2（計画排出量）'!$S$16:$S$515,"廃止")</f>
        <v>0</v>
      </c>
      <c r="O70" s="327">
        <f>COUNTIFS('様式1-2（計画排出量）'!$B$16:$B$515,$A70,'様式1-2（計画排出量）'!$H$16:$H$515,"マイクロバス",'様式1-2（計画排出量）'!$J$16:$J$515,"&gt;1700",'様式1-2（計画排出量）'!$J$16:$J$515,"&lt;=2500",'様式1-2（計画排出量）'!$S$16:$S$515,"廃止")</f>
        <v>0</v>
      </c>
      <c r="P70" s="327">
        <f>COUNTIFS('様式1-2（計画排出量）'!$B$16:$B$515,$A70,'様式1-2（計画排出量）'!$H$16:$H$515,"マイクロバス",'様式1-2（計画排出量）'!$J$16:$J$515,"&gt;2500",'様式1-2（計画排出量）'!$J$16:$J$515,"&lt;=3500",'様式1-2（計画排出量）'!$S$16:$S$515,"廃止")</f>
        <v>0</v>
      </c>
      <c r="Q70" s="327">
        <f>COUNTIFS('様式1-2（計画排出量）'!$B$16:$B$515,$A70,'様式1-2（計画排出量）'!$H$16:$H$515,"マイクロバス",'様式1-2（計画排出量）'!$J$16:$J$515,"&gt;3500",'様式1-2（計画排出量）'!$S$16:$S$515,"廃止")</f>
        <v>0</v>
      </c>
      <c r="R70" s="327">
        <f>COUNTIFS('様式1-2（計画排出量）'!$B$16:$B$515,$A70,'様式1-2（計画排出量）'!$H$16:$H$515,"特種車*",'様式1-2（計画排出量）'!$J$16:$J$515,"&lt;=1700",'様式1-2（計画排出量）'!$S$16:$S$515,"廃止")</f>
        <v>0</v>
      </c>
      <c r="S70" s="327">
        <f>COUNTIFS('様式1-2（計画排出量）'!$B$16:$B$515,$A70,'様式1-2（計画排出量）'!$H$16:$H$515,"特種車*",'様式1-2（計画排出量）'!$J$16:$J$515,"&gt;1700",'様式1-2（計画排出量）'!$J$16:$J$515,"&lt;=2500",'様式1-2（計画排出量）'!$S$16:$S$515,"廃止")</f>
        <v>0</v>
      </c>
      <c r="T70" s="327">
        <f>COUNTIFS('様式1-2（計画排出量）'!$B$16:$B$515,$A70,'様式1-2（計画排出量）'!$H$16:$H$515,"特種車*",'様式1-2（計画排出量）'!$J$16:$J$515,"&gt;2500",'様式1-2（計画排出量）'!$J$16:$J$515,"&lt;=3500",'様式1-2（計画排出量）'!$S$16:$S$515,"廃止")</f>
        <v>0</v>
      </c>
      <c r="U70" s="327">
        <f>COUNTIFS('様式1-2（計画排出量）'!$B$16:$B$515,$A70,'様式1-2（計画排出量）'!$H$16:$H$515,"特種車*",'様式1-2（計画排出量）'!$J$16:$J$515,"&gt;3500",'様式1-2（計画排出量）'!$S$16:$S$515,"廃止")</f>
        <v>0</v>
      </c>
      <c r="V70" s="327">
        <f>COUNTIFS('様式1-2（計画排出量）'!$B$16:$B$515,$A70,'様式1-2（計画排出量）'!$H$16:$H$515,"乗用車*",'様式1-2（計画排出量）'!$S$16:$S$515,"廃止")</f>
        <v>0</v>
      </c>
      <c r="W70" s="327"/>
    </row>
    <row r="71" spans="1:23" ht="13.75" hidden="1" customHeight="1">
      <c r="A71" s="165">
        <v>2</v>
      </c>
      <c r="B71" s="327">
        <f>COUNTIFS('様式1-2（計画排出量）'!$B$16:$B$515,$A71,'様式1-2（計画排出量）'!$H$16:$H$515,"普通貨物車",'様式1-2（計画排出量）'!$J$16:$J$515,"&lt;=1700",'様式1-2（計画排出量）'!$S$16:$S$515,"廃止")</f>
        <v>0</v>
      </c>
      <c r="C71" s="327">
        <f>COUNTIFS('様式1-2（計画排出量）'!$B$16:$B$515,$A71,'様式1-2（計画排出量）'!$H$16:$H$515,"普通貨物車",'様式1-2（計画排出量）'!$J$16:$J$515,"&gt;1700",'様式1-2（計画排出量）'!$J$16:$J$515,"&lt;=2500",'様式1-2（計画排出量）'!$S$16:$S$515,"廃止")</f>
        <v>0</v>
      </c>
      <c r="D71" s="327">
        <f>COUNTIFS('様式1-2（計画排出量）'!$B$16:$B$515,$A71,'様式1-2（計画排出量）'!$H$16:$H$515,"普通貨物車",'様式1-2（計画排出量）'!$J$16:$J$515,"&gt;2500",'様式1-2（計画排出量）'!$J$16:$J$515,"&lt;=3500",'様式1-2（計画排出量）'!$S$16:$S$515,"廃止")</f>
        <v>0</v>
      </c>
      <c r="E71" s="327">
        <f>COUNTIFS('様式1-2（計画排出量）'!$B$16:$B$515,$A71,'様式1-2（計画排出量）'!$H$16:$H$515,"普通貨物車",'様式1-2（計画排出量）'!$J$16:$J$515,"&gt;3500",'様式1-2（計画排出量）'!$S$16:$S$515,"廃止")</f>
        <v>0</v>
      </c>
      <c r="F71" s="327">
        <f>COUNTIFS('様式1-2（計画排出量）'!$B$16:$B$515,$A71,'様式1-2（計画排出量）'!$H$16:$H$515,"小型貨物車",'様式1-2（計画排出量）'!$J$16:$J$515,"&lt;=1700",'様式1-2（計画排出量）'!$S$16:$S$515,"廃止")</f>
        <v>0</v>
      </c>
      <c r="G71" s="327">
        <f>COUNTIFS('様式1-2（計画排出量）'!$B$16:$B$515,$A71,'様式1-2（計画排出量）'!$H$16:$H$515,"小型貨物車",'様式1-2（計画排出量）'!$J$16:$J$515,"&gt;1700",'様式1-2（計画排出量）'!$J$16:$J$515,"&lt;=2500",'様式1-2（計画排出量）'!$S$16:$S$515,"廃止")</f>
        <v>0</v>
      </c>
      <c r="H71" s="327">
        <f>COUNTIFS('様式1-2（計画排出量）'!$B$16:$B$515,$A71,'様式1-2（計画排出量）'!$H$16:$H$515,"小型貨物車",'様式1-2（計画排出量）'!$J$16:$J$515,"&gt;2500",'様式1-2（計画排出量）'!$J$16:$J$515,"&lt;=3500",'様式1-2（計画排出量）'!$S$16:$S$515,"廃止")</f>
        <v>0</v>
      </c>
      <c r="I71" s="327">
        <f>COUNTIFS('様式1-2（計画排出量）'!$B$16:$B$515,$A71,'様式1-2（計画排出量）'!$H$16:$H$515,"小型貨物車",'様式1-2（計画排出量）'!$J$16:$J$515,"&gt;3500",'様式1-2（計画排出量）'!$S$16:$S$515,"廃止")</f>
        <v>0</v>
      </c>
      <c r="J71" s="327">
        <f>COUNTIFS('様式1-2（計画排出量）'!$B$16:$B$515,$A71,'様式1-2（計画排出量）'!$H$16:$H$515,"大型バス",'様式1-2（計画排出量）'!$J$16:$J$515,"&lt;=1700",'様式1-2（計画排出量）'!$S$16:$S$515,"廃止")</f>
        <v>0</v>
      </c>
      <c r="K71" s="327">
        <f>COUNTIFS('様式1-2（計画排出量）'!$B$16:$B$515,$A71,'様式1-2（計画排出量）'!$H$16:$H$515,"大型バス",'様式1-2（計画排出量）'!$J$16:$J$515,"&gt;1700",'様式1-2（計画排出量）'!$J$16:$J$515,"&lt;=2500",'様式1-2（計画排出量）'!$S$16:$S$515,"廃止")</f>
        <v>0</v>
      </c>
      <c r="L71" s="327">
        <f>COUNTIFS('様式1-2（計画排出量）'!$B$16:$B$515,$A71,'様式1-2（計画排出量）'!$H$16:$H$515,"大型バス",'様式1-2（計画排出量）'!$J$16:$J$515,"&gt;2500",'様式1-2（計画排出量）'!$J$16:$J$515,"&lt;=3500",'様式1-2（計画排出量）'!$S$16:$S$515,"廃止")</f>
        <v>0</v>
      </c>
      <c r="M71" s="327">
        <f>COUNTIFS('様式1-2（計画排出量）'!$B$16:$B$515,$A71,'様式1-2（計画排出量）'!$H$16:$H$515,"大型バス",'様式1-2（計画排出量）'!$J$16:$J$515,"&gt;3500",'様式1-2（計画排出量）'!$S$16:$S$515,"廃止")</f>
        <v>0</v>
      </c>
      <c r="N71" s="327">
        <f>COUNTIFS('様式1-2（計画排出量）'!$B$16:$B$515,$A71,'様式1-2（計画排出量）'!$H$16:$H$515,"マイクロバス",'様式1-2（計画排出量）'!$J$16:$J$515,"&lt;=1700",'様式1-2（計画排出量）'!$S$16:$S$515,"廃止")</f>
        <v>0</v>
      </c>
      <c r="O71" s="327">
        <f>COUNTIFS('様式1-2（計画排出量）'!$B$16:$B$515,$A71,'様式1-2（計画排出量）'!$H$16:$H$515,"マイクロバス",'様式1-2（計画排出量）'!$J$16:$J$515,"&gt;1700",'様式1-2（計画排出量）'!$J$16:$J$515,"&lt;=2500",'様式1-2（計画排出量）'!$S$16:$S$515,"廃止")</f>
        <v>0</v>
      </c>
      <c r="P71" s="327">
        <f>COUNTIFS('様式1-2（計画排出量）'!$B$16:$B$515,$A71,'様式1-2（計画排出量）'!$H$16:$H$515,"マイクロバス",'様式1-2（計画排出量）'!$J$16:$J$515,"&gt;2500",'様式1-2（計画排出量）'!$J$16:$J$515,"&lt;=3500",'様式1-2（計画排出量）'!$S$16:$S$515,"廃止")</f>
        <v>0</v>
      </c>
      <c r="Q71" s="327">
        <f>COUNTIFS('様式1-2（計画排出量）'!$B$16:$B$515,$A71,'様式1-2（計画排出量）'!$H$16:$H$515,"マイクロバス",'様式1-2（計画排出量）'!$J$16:$J$515,"&gt;3500",'様式1-2（計画排出量）'!$S$16:$S$515,"廃止")</f>
        <v>0</v>
      </c>
      <c r="R71" s="327">
        <f>COUNTIFS('様式1-2（計画排出量）'!$B$16:$B$515,$A71,'様式1-2（計画排出量）'!$H$16:$H$515,"特種車*",'様式1-2（計画排出量）'!$J$16:$J$515,"&lt;=1700",'様式1-2（計画排出量）'!$S$16:$S$515,"廃止")</f>
        <v>0</v>
      </c>
      <c r="S71" s="327">
        <f>COUNTIFS('様式1-2（計画排出量）'!$B$16:$B$515,$A71,'様式1-2（計画排出量）'!$H$16:$H$515,"特種車*",'様式1-2（計画排出量）'!$J$16:$J$515,"&gt;1700",'様式1-2（計画排出量）'!$J$16:$J$515,"&lt;=2500",'様式1-2（計画排出量）'!$S$16:$S$515,"廃止")</f>
        <v>0</v>
      </c>
      <c r="T71" s="327">
        <f>COUNTIFS('様式1-2（計画排出量）'!$B$16:$B$515,$A71,'様式1-2（計画排出量）'!$H$16:$H$515,"特種車*",'様式1-2（計画排出量）'!$J$16:$J$515,"&gt;2500",'様式1-2（計画排出量）'!$J$16:$J$515,"&lt;=3500",'様式1-2（計画排出量）'!$S$16:$S$515,"廃止")</f>
        <v>0</v>
      </c>
      <c r="U71" s="327">
        <f>COUNTIFS('様式1-2（計画排出量）'!$B$16:$B$515,$A71,'様式1-2（計画排出量）'!$H$16:$H$515,"特種車*",'様式1-2（計画排出量）'!$J$16:$J$515,"&gt;3500",'様式1-2（計画排出量）'!$S$16:$S$515,"廃止")</f>
        <v>0</v>
      </c>
      <c r="V71" s="327">
        <f>COUNTIFS('様式1-2（計画排出量）'!$B$16:$B$515,$A71,'様式1-2（計画排出量）'!$H$16:$H$515,"乗用車*",'様式1-2（計画排出量）'!$S$16:$S$515,"廃止")</f>
        <v>0</v>
      </c>
      <c r="W71" s="327"/>
    </row>
    <row r="72" spans="1:23" ht="13.75" hidden="1" customHeight="1">
      <c r="A72" s="165">
        <v>3</v>
      </c>
      <c r="B72" s="327">
        <f>COUNTIFS('様式1-2（計画排出量）'!$B$16:$B$515,$A72,'様式1-2（計画排出量）'!$H$16:$H$515,"普通貨物車",'様式1-2（計画排出量）'!$J$16:$J$515,"&lt;=1700",'様式1-2（計画排出量）'!$S$16:$S$515,"廃止")</f>
        <v>0</v>
      </c>
      <c r="C72" s="327">
        <f>COUNTIFS('様式1-2（計画排出量）'!$B$16:$B$515,$A72,'様式1-2（計画排出量）'!$H$16:$H$515,"普通貨物車",'様式1-2（計画排出量）'!$J$16:$J$515,"&gt;1700",'様式1-2（計画排出量）'!$J$16:$J$515,"&lt;=2500",'様式1-2（計画排出量）'!$S$16:$S$515,"廃止")</f>
        <v>0</v>
      </c>
      <c r="D72" s="327">
        <f>COUNTIFS('様式1-2（計画排出量）'!$B$16:$B$515,$A72,'様式1-2（計画排出量）'!$H$16:$H$515,"普通貨物車",'様式1-2（計画排出量）'!$J$16:$J$515,"&gt;2500",'様式1-2（計画排出量）'!$J$16:$J$515,"&lt;=3500",'様式1-2（計画排出量）'!$S$16:$S$515,"廃止")</f>
        <v>0</v>
      </c>
      <c r="E72" s="327">
        <f>COUNTIFS('様式1-2（計画排出量）'!$B$16:$B$515,$A72,'様式1-2（計画排出量）'!$H$16:$H$515,"普通貨物車",'様式1-2（計画排出量）'!$J$16:$J$515,"&gt;3500",'様式1-2（計画排出量）'!$S$16:$S$515,"廃止")</f>
        <v>0</v>
      </c>
      <c r="F72" s="327">
        <f>COUNTIFS('様式1-2（計画排出量）'!$B$16:$B$515,$A72,'様式1-2（計画排出量）'!$H$16:$H$515,"小型貨物車",'様式1-2（計画排出量）'!$J$16:$J$515,"&lt;=1700",'様式1-2（計画排出量）'!$S$16:$S$515,"廃止")</f>
        <v>0</v>
      </c>
      <c r="G72" s="327">
        <f>COUNTIFS('様式1-2（計画排出量）'!$B$16:$B$515,$A72,'様式1-2（計画排出量）'!$H$16:$H$515,"小型貨物車",'様式1-2（計画排出量）'!$J$16:$J$515,"&gt;1700",'様式1-2（計画排出量）'!$J$16:$J$515,"&lt;=2500",'様式1-2（計画排出量）'!$S$16:$S$515,"廃止")</f>
        <v>0</v>
      </c>
      <c r="H72" s="327">
        <f>COUNTIFS('様式1-2（計画排出量）'!$B$16:$B$515,$A72,'様式1-2（計画排出量）'!$H$16:$H$515,"小型貨物車",'様式1-2（計画排出量）'!$J$16:$J$515,"&gt;2500",'様式1-2（計画排出量）'!$J$16:$J$515,"&lt;=3500",'様式1-2（計画排出量）'!$S$16:$S$515,"廃止")</f>
        <v>0</v>
      </c>
      <c r="I72" s="327">
        <f>COUNTIFS('様式1-2（計画排出量）'!$B$16:$B$515,$A72,'様式1-2（計画排出量）'!$H$16:$H$515,"小型貨物車",'様式1-2（計画排出量）'!$J$16:$J$515,"&gt;3500",'様式1-2（計画排出量）'!$S$16:$S$515,"廃止")</f>
        <v>0</v>
      </c>
      <c r="J72" s="327">
        <f>COUNTIFS('様式1-2（計画排出量）'!$B$16:$B$515,$A72,'様式1-2（計画排出量）'!$H$16:$H$515,"大型バス",'様式1-2（計画排出量）'!$J$16:$J$515,"&lt;=1700",'様式1-2（計画排出量）'!$S$16:$S$515,"廃止")</f>
        <v>0</v>
      </c>
      <c r="K72" s="327">
        <f>COUNTIFS('様式1-2（計画排出量）'!$B$16:$B$515,$A72,'様式1-2（計画排出量）'!$H$16:$H$515,"大型バス",'様式1-2（計画排出量）'!$J$16:$J$515,"&gt;1700",'様式1-2（計画排出量）'!$J$16:$J$515,"&lt;=2500",'様式1-2（計画排出量）'!$S$16:$S$515,"廃止")</f>
        <v>0</v>
      </c>
      <c r="L72" s="327">
        <f>COUNTIFS('様式1-2（計画排出量）'!$B$16:$B$515,$A72,'様式1-2（計画排出量）'!$H$16:$H$515,"大型バス",'様式1-2（計画排出量）'!$J$16:$J$515,"&gt;2500",'様式1-2（計画排出量）'!$J$16:$J$515,"&lt;=3500",'様式1-2（計画排出量）'!$S$16:$S$515,"廃止")</f>
        <v>0</v>
      </c>
      <c r="M72" s="327">
        <f>COUNTIFS('様式1-2（計画排出量）'!$B$16:$B$515,$A72,'様式1-2（計画排出量）'!$H$16:$H$515,"大型バス",'様式1-2（計画排出量）'!$J$16:$J$515,"&gt;3500",'様式1-2（計画排出量）'!$S$16:$S$515,"廃止")</f>
        <v>0</v>
      </c>
      <c r="N72" s="327">
        <f>COUNTIFS('様式1-2（計画排出量）'!$B$16:$B$515,$A72,'様式1-2（計画排出量）'!$H$16:$H$515,"マイクロバス",'様式1-2（計画排出量）'!$J$16:$J$515,"&lt;=1700",'様式1-2（計画排出量）'!$S$16:$S$515,"廃止")</f>
        <v>0</v>
      </c>
      <c r="O72" s="327">
        <f>COUNTIFS('様式1-2（計画排出量）'!$B$16:$B$515,$A72,'様式1-2（計画排出量）'!$H$16:$H$515,"マイクロバス",'様式1-2（計画排出量）'!$J$16:$J$515,"&gt;1700",'様式1-2（計画排出量）'!$J$16:$J$515,"&lt;=2500",'様式1-2（計画排出量）'!$S$16:$S$515,"廃止")</f>
        <v>0</v>
      </c>
      <c r="P72" s="327">
        <f>COUNTIFS('様式1-2（計画排出量）'!$B$16:$B$515,$A72,'様式1-2（計画排出量）'!$H$16:$H$515,"マイクロバス",'様式1-2（計画排出量）'!$J$16:$J$515,"&gt;2500",'様式1-2（計画排出量）'!$J$16:$J$515,"&lt;=3500",'様式1-2（計画排出量）'!$S$16:$S$515,"廃止")</f>
        <v>0</v>
      </c>
      <c r="Q72" s="327">
        <f>COUNTIFS('様式1-2（計画排出量）'!$B$16:$B$515,$A72,'様式1-2（計画排出量）'!$H$16:$H$515,"マイクロバス",'様式1-2（計画排出量）'!$J$16:$J$515,"&gt;3500",'様式1-2（計画排出量）'!$S$16:$S$515,"廃止")</f>
        <v>0</v>
      </c>
      <c r="R72" s="327">
        <f>COUNTIFS('様式1-2（計画排出量）'!$B$16:$B$515,$A72,'様式1-2（計画排出量）'!$H$16:$H$515,"特種車*",'様式1-2（計画排出量）'!$J$16:$J$515,"&lt;=1700",'様式1-2（計画排出量）'!$S$16:$S$515,"廃止")</f>
        <v>0</v>
      </c>
      <c r="S72" s="327">
        <f>COUNTIFS('様式1-2（計画排出量）'!$B$16:$B$515,$A72,'様式1-2（計画排出量）'!$H$16:$H$515,"特種車*",'様式1-2（計画排出量）'!$J$16:$J$515,"&gt;1700",'様式1-2（計画排出量）'!$J$16:$J$515,"&lt;=2500",'様式1-2（計画排出量）'!$S$16:$S$515,"廃止")</f>
        <v>0</v>
      </c>
      <c r="T72" s="327">
        <f>COUNTIFS('様式1-2（計画排出量）'!$B$16:$B$515,$A72,'様式1-2（計画排出量）'!$H$16:$H$515,"特種車*",'様式1-2（計画排出量）'!$J$16:$J$515,"&gt;2500",'様式1-2（計画排出量）'!$J$16:$J$515,"&lt;=3500",'様式1-2（計画排出量）'!$S$16:$S$515,"廃止")</f>
        <v>0</v>
      </c>
      <c r="U72" s="327">
        <f>COUNTIFS('様式1-2（計画排出量）'!$B$16:$B$515,$A72,'様式1-2（計画排出量）'!$H$16:$H$515,"特種車*",'様式1-2（計画排出量）'!$J$16:$J$515,"&gt;3500",'様式1-2（計画排出量）'!$S$16:$S$515,"廃止")</f>
        <v>0</v>
      </c>
      <c r="V72" s="327">
        <f>COUNTIFS('様式1-2（計画排出量）'!$B$16:$B$515,$A72,'様式1-2（計画排出量）'!$H$16:$H$515,"乗用車*",'様式1-2（計画排出量）'!$S$16:$S$515,"廃止")</f>
        <v>0</v>
      </c>
      <c r="W72" s="327"/>
    </row>
    <row r="73" spans="1:23" ht="13.75" hidden="1" customHeight="1">
      <c r="A73" s="165">
        <v>4</v>
      </c>
      <c r="B73" s="327">
        <f>COUNTIFS('様式1-2（計画排出量）'!$B$16:$B$515,$A73,'様式1-2（計画排出量）'!$H$16:$H$515,"普通貨物車",'様式1-2（計画排出量）'!$J$16:$J$515,"&lt;=1700",'様式1-2（計画排出量）'!$S$16:$S$515,"廃止")</f>
        <v>0</v>
      </c>
      <c r="C73" s="327">
        <f>COUNTIFS('様式1-2（計画排出量）'!$B$16:$B$515,$A73,'様式1-2（計画排出量）'!$H$16:$H$515,"普通貨物車",'様式1-2（計画排出量）'!$J$16:$J$515,"&gt;1700",'様式1-2（計画排出量）'!$J$16:$J$515,"&lt;=2500",'様式1-2（計画排出量）'!$S$16:$S$515,"廃止")</f>
        <v>0</v>
      </c>
      <c r="D73" s="327">
        <f>COUNTIFS('様式1-2（計画排出量）'!$B$16:$B$515,$A73,'様式1-2（計画排出量）'!$H$16:$H$515,"普通貨物車",'様式1-2（計画排出量）'!$J$16:$J$515,"&gt;2500",'様式1-2（計画排出量）'!$J$16:$J$515,"&lt;=3500",'様式1-2（計画排出量）'!$S$16:$S$515,"廃止")</f>
        <v>0</v>
      </c>
      <c r="E73" s="327">
        <f>COUNTIFS('様式1-2（計画排出量）'!$B$16:$B$515,$A73,'様式1-2（計画排出量）'!$H$16:$H$515,"普通貨物車",'様式1-2（計画排出量）'!$J$16:$J$515,"&gt;3500",'様式1-2（計画排出量）'!$S$16:$S$515,"廃止")</f>
        <v>0</v>
      </c>
      <c r="F73" s="327">
        <f>COUNTIFS('様式1-2（計画排出量）'!$B$16:$B$515,$A73,'様式1-2（計画排出量）'!$H$16:$H$515,"小型貨物車",'様式1-2（計画排出量）'!$J$16:$J$515,"&lt;=1700",'様式1-2（計画排出量）'!$S$16:$S$515,"廃止")</f>
        <v>0</v>
      </c>
      <c r="G73" s="327">
        <f>COUNTIFS('様式1-2（計画排出量）'!$B$16:$B$515,$A73,'様式1-2（計画排出量）'!$H$16:$H$515,"小型貨物車",'様式1-2（計画排出量）'!$J$16:$J$515,"&gt;1700",'様式1-2（計画排出量）'!$J$16:$J$515,"&lt;=2500",'様式1-2（計画排出量）'!$S$16:$S$515,"廃止")</f>
        <v>0</v>
      </c>
      <c r="H73" s="327">
        <f>COUNTIFS('様式1-2（計画排出量）'!$B$16:$B$515,$A73,'様式1-2（計画排出量）'!$H$16:$H$515,"小型貨物車",'様式1-2（計画排出量）'!$J$16:$J$515,"&gt;2500",'様式1-2（計画排出量）'!$J$16:$J$515,"&lt;=3500",'様式1-2（計画排出量）'!$S$16:$S$515,"廃止")</f>
        <v>0</v>
      </c>
      <c r="I73" s="327">
        <f>COUNTIFS('様式1-2（計画排出量）'!$B$16:$B$515,$A73,'様式1-2（計画排出量）'!$H$16:$H$515,"小型貨物車",'様式1-2（計画排出量）'!$J$16:$J$515,"&gt;3500",'様式1-2（計画排出量）'!$S$16:$S$515,"廃止")</f>
        <v>0</v>
      </c>
      <c r="J73" s="327">
        <f>COUNTIFS('様式1-2（計画排出量）'!$B$16:$B$515,$A73,'様式1-2（計画排出量）'!$H$16:$H$515,"大型バス",'様式1-2（計画排出量）'!$J$16:$J$515,"&lt;=1700",'様式1-2（計画排出量）'!$S$16:$S$515,"廃止")</f>
        <v>0</v>
      </c>
      <c r="K73" s="327">
        <f>COUNTIFS('様式1-2（計画排出量）'!$B$16:$B$515,$A73,'様式1-2（計画排出量）'!$H$16:$H$515,"大型バス",'様式1-2（計画排出量）'!$J$16:$J$515,"&gt;1700",'様式1-2（計画排出量）'!$J$16:$J$515,"&lt;=2500",'様式1-2（計画排出量）'!$S$16:$S$515,"廃止")</f>
        <v>0</v>
      </c>
      <c r="L73" s="327">
        <f>COUNTIFS('様式1-2（計画排出量）'!$B$16:$B$515,$A73,'様式1-2（計画排出量）'!$H$16:$H$515,"大型バス",'様式1-2（計画排出量）'!$J$16:$J$515,"&gt;2500",'様式1-2（計画排出量）'!$J$16:$J$515,"&lt;=3500",'様式1-2（計画排出量）'!$S$16:$S$515,"廃止")</f>
        <v>0</v>
      </c>
      <c r="M73" s="327">
        <f>COUNTIFS('様式1-2（計画排出量）'!$B$16:$B$515,$A73,'様式1-2（計画排出量）'!$H$16:$H$515,"大型バス",'様式1-2（計画排出量）'!$J$16:$J$515,"&gt;3500",'様式1-2（計画排出量）'!$S$16:$S$515,"廃止")</f>
        <v>0</v>
      </c>
      <c r="N73" s="327">
        <f>COUNTIFS('様式1-2（計画排出量）'!$B$16:$B$515,$A73,'様式1-2（計画排出量）'!$H$16:$H$515,"マイクロバス",'様式1-2（計画排出量）'!$J$16:$J$515,"&lt;=1700",'様式1-2（計画排出量）'!$S$16:$S$515,"廃止")</f>
        <v>0</v>
      </c>
      <c r="O73" s="327">
        <f>COUNTIFS('様式1-2（計画排出量）'!$B$16:$B$515,$A73,'様式1-2（計画排出量）'!$H$16:$H$515,"マイクロバス",'様式1-2（計画排出量）'!$J$16:$J$515,"&gt;1700",'様式1-2（計画排出量）'!$J$16:$J$515,"&lt;=2500",'様式1-2（計画排出量）'!$S$16:$S$515,"廃止")</f>
        <v>0</v>
      </c>
      <c r="P73" s="327">
        <f>COUNTIFS('様式1-2（計画排出量）'!$B$16:$B$515,$A73,'様式1-2（計画排出量）'!$H$16:$H$515,"マイクロバス",'様式1-2（計画排出量）'!$J$16:$J$515,"&gt;2500",'様式1-2（計画排出量）'!$J$16:$J$515,"&lt;=3500",'様式1-2（計画排出量）'!$S$16:$S$515,"廃止")</f>
        <v>0</v>
      </c>
      <c r="Q73" s="327">
        <f>COUNTIFS('様式1-2（計画排出量）'!$B$16:$B$515,$A73,'様式1-2（計画排出量）'!$H$16:$H$515,"マイクロバス",'様式1-2（計画排出量）'!$J$16:$J$515,"&gt;3500",'様式1-2（計画排出量）'!$S$16:$S$515,"廃止")</f>
        <v>0</v>
      </c>
      <c r="R73" s="327">
        <f>COUNTIFS('様式1-2（計画排出量）'!$B$16:$B$515,$A73,'様式1-2（計画排出量）'!$H$16:$H$515,"特種車*",'様式1-2（計画排出量）'!$J$16:$J$515,"&lt;=1700",'様式1-2（計画排出量）'!$S$16:$S$515,"廃止")</f>
        <v>0</v>
      </c>
      <c r="S73" s="327">
        <f>COUNTIFS('様式1-2（計画排出量）'!$B$16:$B$515,$A73,'様式1-2（計画排出量）'!$H$16:$H$515,"特種車*",'様式1-2（計画排出量）'!$J$16:$J$515,"&gt;1700",'様式1-2（計画排出量）'!$J$16:$J$515,"&lt;=2500",'様式1-2（計画排出量）'!$S$16:$S$515,"廃止")</f>
        <v>0</v>
      </c>
      <c r="T73" s="327">
        <f>COUNTIFS('様式1-2（計画排出量）'!$B$16:$B$515,$A73,'様式1-2（計画排出量）'!$H$16:$H$515,"特種車*",'様式1-2（計画排出量）'!$J$16:$J$515,"&gt;2500",'様式1-2（計画排出量）'!$J$16:$J$515,"&lt;=3500",'様式1-2（計画排出量）'!$S$16:$S$515,"廃止")</f>
        <v>0</v>
      </c>
      <c r="U73" s="327">
        <f>COUNTIFS('様式1-2（計画排出量）'!$B$16:$B$515,$A73,'様式1-2（計画排出量）'!$H$16:$H$515,"特種車*",'様式1-2（計画排出量）'!$J$16:$J$515,"&gt;3500",'様式1-2（計画排出量）'!$S$16:$S$515,"廃止")</f>
        <v>0</v>
      </c>
      <c r="V73" s="327">
        <f>COUNTIFS('様式1-2（計画排出量）'!$B$16:$B$515,$A73,'様式1-2（計画排出量）'!$H$16:$H$515,"乗用車*",'様式1-2（計画排出量）'!$S$16:$S$515,"廃止")</f>
        <v>0</v>
      </c>
      <c r="W73" s="327"/>
    </row>
    <row r="74" spans="1:23" ht="13.75" hidden="1" customHeight="1">
      <c r="A74" s="165">
        <v>5</v>
      </c>
      <c r="B74" s="327">
        <f>COUNTIFS('様式1-2（計画排出量）'!$B$16:$B$515,$A74,'様式1-2（計画排出量）'!$H$16:$H$515,"普通貨物車",'様式1-2（計画排出量）'!$J$16:$J$515,"&lt;=1700",'様式1-2（計画排出量）'!$S$16:$S$515,"廃止")</f>
        <v>0</v>
      </c>
      <c r="C74" s="327">
        <f>COUNTIFS('様式1-2（計画排出量）'!$B$16:$B$515,$A74,'様式1-2（計画排出量）'!$H$16:$H$515,"普通貨物車",'様式1-2（計画排出量）'!$J$16:$J$515,"&gt;1700",'様式1-2（計画排出量）'!$J$16:$J$515,"&lt;=2500",'様式1-2（計画排出量）'!$S$16:$S$515,"廃止")</f>
        <v>0</v>
      </c>
      <c r="D74" s="327">
        <f>COUNTIFS('様式1-2（計画排出量）'!$B$16:$B$515,$A74,'様式1-2（計画排出量）'!$H$16:$H$515,"普通貨物車",'様式1-2（計画排出量）'!$J$16:$J$515,"&gt;2500",'様式1-2（計画排出量）'!$J$16:$J$515,"&lt;=3500",'様式1-2（計画排出量）'!$S$16:$S$515,"廃止")</f>
        <v>0</v>
      </c>
      <c r="E74" s="327">
        <f>COUNTIFS('様式1-2（計画排出量）'!$B$16:$B$515,$A74,'様式1-2（計画排出量）'!$H$16:$H$515,"普通貨物車",'様式1-2（計画排出量）'!$J$16:$J$515,"&gt;3500",'様式1-2（計画排出量）'!$S$16:$S$515,"廃止")</f>
        <v>0</v>
      </c>
      <c r="F74" s="327">
        <f>COUNTIFS('様式1-2（計画排出量）'!$B$16:$B$515,$A74,'様式1-2（計画排出量）'!$H$16:$H$515,"小型貨物車",'様式1-2（計画排出量）'!$J$16:$J$515,"&lt;=1700",'様式1-2（計画排出量）'!$S$16:$S$515,"廃止")</f>
        <v>0</v>
      </c>
      <c r="G74" s="327">
        <f>COUNTIFS('様式1-2（計画排出量）'!$B$16:$B$515,$A74,'様式1-2（計画排出量）'!$H$16:$H$515,"小型貨物車",'様式1-2（計画排出量）'!$J$16:$J$515,"&gt;1700",'様式1-2（計画排出量）'!$J$16:$J$515,"&lt;=2500",'様式1-2（計画排出量）'!$S$16:$S$515,"廃止")</f>
        <v>0</v>
      </c>
      <c r="H74" s="327">
        <f>COUNTIFS('様式1-2（計画排出量）'!$B$16:$B$515,$A74,'様式1-2（計画排出量）'!$H$16:$H$515,"小型貨物車",'様式1-2（計画排出量）'!$J$16:$J$515,"&gt;2500",'様式1-2（計画排出量）'!$J$16:$J$515,"&lt;=3500",'様式1-2（計画排出量）'!$S$16:$S$515,"廃止")</f>
        <v>0</v>
      </c>
      <c r="I74" s="327">
        <f>COUNTIFS('様式1-2（計画排出量）'!$B$16:$B$515,$A74,'様式1-2（計画排出量）'!$H$16:$H$515,"小型貨物車",'様式1-2（計画排出量）'!$J$16:$J$515,"&gt;3500",'様式1-2（計画排出量）'!$S$16:$S$515,"廃止")</f>
        <v>0</v>
      </c>
      <c r="J74" s="327">
        <f>COUNTIFS('様式1-2（計画排出量）'!$B$16:$B$515,$A74,'様式1-2（計画排出量）'!$H$16:$H$515,"大型バス",'様式1-2（計画排出量）'!$J$16:$J$515,"&lt;=1700",'様式1-2（計画排出量）'!$S$16:$S$515,"廃止")</f>
        <v>0</v>
      </c>
      <c r="K74" s="327">
        <f>COUNTIFS('様式1-2（計画排出量）'!$B$16:$B$515,$A74,'様式1-2（計画排出量）'!$H$16:$H$515,"大型バス",'様式1-2（計画排出量）'!$J$16:$J$515,"&gt;1700",'様式1-2（計画排出量）'!$J$16:$J$515,"&lt;=2500",'様式1-2（計画排出量）'!$S$16:$S$515,"廃止")</f>
        <v>0</v>
      </c>
      <c r="L74" s="327">
        <f>COUNTIFS('様式1-2（計画排出量）'!$B$16:$B$515,$A74,'様式1-2（計画排出量）'!$H$16:$H$515,"大型バス",'様式1-2（計画排出量）'!$J$16:$J$515,"&gt;2500",'様式1-2（計画排出量）'!$J$16:$J$515,"&lt;=3500",'様式1-2（計画排出量）'!$S$16:$S$515,"廃止")</f>
        <v>0</v>
      </c>
      <c r="M74" s="327">
        <f>COUNTIFS('様式1-2（計画排出量）'!$B$16:$B$515,$A74,'様式1-2（計画排出量）'!$H$16:$H$515,"大型バス",'様式1-2（計画排出量）'!$J$16:$J$515,"&gt;3500",'様式1-2（計画排出量）'!$S$16:$S$515,"廃止")</f>
        <v>0</v>
      </c>
      <c r="N74" s="327">
        <f>COUNTIFS('様式1-2（計画排出量）'!$B$16:$B$515,$A74,'様式1-2（計画排出量）'!$H$16:$H$515,"マイクロバス",'様式1-2（計画排出量）'!$J$16:$J$515,"&lt;=1700",'様式1-2（計画排出量）'!$S$16:$S$515,"廃止")</f>
        <v>0</v>
      </c>
      <c r="O74" s="327">
        <f>COUNTIFS('様式1-2（計画排出量）'!$B$16:$B$515,$A74,'様式1-2（計画排出量）'!$H$16:$H$515,"マイクロバス",'様式1-2（計画排出量）'!$J$16:$J$515,"&gt;1700",'様式1-2（計画排出量）'!$J$16:$J$515,"&lt;=2500",'様式1-2（計画排出量）'!$S$16:$S$515,"廃止")</f>
        <v>0</v>
      </c>
      <c r="P74" s="327">
        <f>COUNTIFS('様式1-2（計画排出量）'!$B$16:$B$515,$A74,'様式1-2（計画排出量）'!$H$16:$H$515,"マイクロバス",'様式1-2（計画排出量）'!$J$16:$J$515,"&gt;2500",'様式1-2（計画排出量）'!$J$16:$J$515,"&lt;=3500",'様式1-2（計画排出量）'!$S$16:$S$515,"廃止")</f>
        <v>0</v>
      </c>
      <c r="Q74" s="327">
        <f>COUNTIFS('様式1-2（計画排出量）'!$B$16:$B$515,$A74,'様式1-2（計画排出量）'!$H$16:$H$515,"マイクロバス",'様式1-2（計画排出量）'!$J$16:$J$515,"&gt;3500",'様式1-2（計画排出量）'!$S$16:$S$515,"廃止")</f>
        <v>0</v>
      </c>
      <c r="R74" s="327">
        <f>COUNTIFS('様式1-2（計画排出量）'!$B$16:$B$515,$A74,'様式1-2（計画排出量）'!$H$16:$H$515,"特種車*",'様式1-2（計画排出量）'!$J$16:$J$515,"&lt;=1700",'様式1-2（計画排出量）'!$S$16:$S$515,"廃止")</f>
        <v>0</v>
      </c>
      <c r="S74" s="327">
        <f>COUNTIFS('様式1-2（計画排出量）'!$B$16:$B$515,$A74,'様式1-2（計画排出量）'!$H$16:$H$515,"特種車*",'様式1-2（計画排出量）'!$J$16:$J$515,"&gt;1700",'様式1-2（計画排出量）'!$J$16:$J$515,"&lt;=2500",'様式1-2（計画排出量）'!$S$16:$S$515,"廃止")</f>
        <v>0</v>
      </c>
      <c r="T74" s="327">
        <f>COUNTIFS('様式1-2（計画排出量）'!$B$16:$B$515,$A74,'様式1-2（計画排出量）'!$H$16:$H$515,"特種車*",'様式1-2（計画排出量）'!$J$16:$J$515,"&gt;2500",'様式1-2（計画排出量）'!$J$16:$J$515,"&lt;=3500",'様式1-2（計画排出量）'!$S$16:$S$515,"廃止")</f>
        <v>0</v>
      </c>
      <c r="U74" s="327">
        <f>COUNTIFS('様式1-2（計画排出量）'!$B$16:$B$515,$A74,'様式1-2（計画排出量）'!$H$16:$H$515,"特種車*",'様式1-2（計画排出量）'!$J$16:$J$515,"&gt;3500",'様式1-2（計画排出量）'!$S$16:$S$515,"廃止")</f>
        <v>0</v>
      </c>
      <c r="V74" s="327">
        <f>COUNTIFS('様式1-2（計画排出量）'!$B$16:$B$515,$A74,'様式1-2（計画排出量）'!$H$16:$H$515,"乗用車*",'様式1-2（計画排出量）'!$S$16:$S$515,"廃止")</f>
        <v>0</v>
      </c>
      <c r="W74" s="327"/>
    </row>
    <row r="75" spans="1:23" ht="13.75" hidden="1" customHeight="1">
      <c r="A75" s="165">
        <v>6</v>
      </c>
      <c r="B75" s="327">
        <f>COUNTIFS('様式1-2（計画排出量）'!$B$16:$B$515,$A75,'様式1-2（計画排出量）'!$H$16:$H$515,"普通貨物車",'様式1-2（計画排出量）'!$J$16:$J$515,"&lt;=1700",'様式1-2（計画排出量）'!$S$16:$S$515,"廃止")</f>
        <v>0</v>
      </c>
      <c r="C75" s="327">
        <f>COUNTIFS('様式1-2（計画排出量）'!$B$16:$B$515,$A75,'様式1-2（計画排出量）'!$H$16:$H$515,"普通貨物車",'様式1-2（計画排出量）'!$J$16:$J$515,"&gt;1700",'様式1-2（計画排出量）'!$J$16:$J$515,"&lt;=2500",'様式1-2（計画排出量）'!$S$16:$S$515,"廃止")</f>
        <v>0</v>
      </c>
      <c r="D75" s="327">
        <f>COUNTIFS('様式1-2（計画排出量）'!$B$16:$B$515,$A75,'様式1-2（計画排出量）'!$H$16:$H$515,"普通貨物車",'様式1-2（計画排出量）'!$J$16:$J$515,"&gt;2500",'様式1-2（計画排出量）'!$J$16:$J$515,"&lt;=3500",'様式1-2（計画排出量）'!$S$16:$S$515,"廃止")</f>
        <v>0</v>
      </c>
      <c r="E75" s="327">
        <f>COUNTIFS('様式1-2（計画排出量）'!$B$16:$B$515,$A75,'様式1-2（計画排出量）'!$H$16:$H$515,"普通貨物車",'様式1-2（計画排出量）'!$J$16:$J$515,"&gt;3500",'様式1-2（計画排出量）'!$S$16:$S$515,"廃止")</f>
        <v>0</v>
      </c>
      <c r="F75" s="327">
        <f>COUNTIFS('様式1-2（計画排出量）'!$B$16:$B$515,$A75,'様式1-2（計画排出量）'!$H$16:$H$515,"小型貨物車",'様式1-2（計画排出量）'!$J$16:$J$515,"&lt;=1700",'様式1-2（計画排出量）'!$S$16:$S$515,"廃止")</f>
        <v>0</v>
      </c>
      <c r="G75" s="327">
        <f>COUNTIFS('様式1-2（計画排出量）'!$B$16:$B$515,$A75,'様式1-2（計画排出量）'!$H$16:$H$515,"小型貨物車",'様式1-2（計画排出量）'!$J$16:$J$515,"&gt;1700",'様式1-2（計画排出量）'!$J$16:$J$515,"&lt;=2500",'様式1-2（計画排出量）'!$S$16:$S$515,"廃止")</f>
        <v>0</v>
      </c>
      <c r="H75" s="327">
        <f>COUNTIFS('様式1-2（計画排出量）'!$B$16:$B$515,$A75,'様式1-2（計画排出量）'!$H$16:$H$515,"小型貨物車",'様式1-2（計画排出量）'!$J$16:$J$515,"&gt;2500",'様式1-2（計画排出量）'!$J$16:$J$515,"&lt;=3500",'様式1-2（計画排出量）'!$S$16:$S$515,"廃止")</f>
        <v>0</v>
      </c>
      <c r="I75" s="327">
        <f>COUNTIFS('様式1-2（計画排出量）'!$B$16:$B$515,$A75,'様式1-2（計画排出量）'!$H$16:$H$515,"小型貨物車",'様式1-2（計画排出量）'!$J$16:$J$515,"&gt;3500",'様式1-2（計画排出量）'!$S$16:$S$515,"廃止")</f>
        <v>0</v>
      </c>
      <c r="J75" s="327">
        <f>COUNTIFS('様式1-2（計画排出量）'!$B$16:$B$515,$A75,'様式1-2（計画排出量）'!$H$16:$H$515,"大型バス",'様式1-2（計画排出量）'!$J$16:$J$515,"&lt;=1700",'様式1-2（計画排出量）'!$S$16:$S$515,"廃止")</f>
        <v>0</v>
      </c>
      <c r="K75" s="327">
        <f>COUNTIFS('様式1-2（計画排出量）'!$B$16:$B$515,$A75,'様式1-2（計画排出量）'!$H$16:$H$515,"大型バス",'様式1-2（計画排出量）'!$J$16:$J$515,"&gt;1700",'様式1-2（計画排出量）'!$J$16:$J$515,"&lt;=2500",'様式1-2（計画排出量）'!$S$16:$S$515,"廃止")</f>
        <v>0</v>
      </c>
      <c r="L75" s="327">
        <f>COUNTIFS('様式1-2（計画排出量）'!$B$16:$B$515,$A75,'様式1-2（計画排出量）'!$H$16:$H$515,"大型バス",'様式1-2（計画排出量）'!$J$16:$J$515,"&gt;2500",'様式1-2（計画排出量）'!$J$16:$J$515,"&lt;=3500",'様式1-2（計画排出量）'!$S$16:$S$515,"廃止")</f>
        <v>0</v>
      </c>
      <c r="M75" s="327">
        <f>COUNTIFS('様式1-2（計画排出量）'!$B$16:$B$515,$A75,'様式1-2（計画排出量）'!$H$16:$H$515,"大型バス",'様式1-2（計画排出量）'!$J$16:$J$515,"&gt;3500",'様式1-2（計画排出量）'!$S$16:$S$515,"廃止")</f>
        <v>0</v>
      </c>
      <c r="N75" s="327">
        <f>COUNTIFS('様式1-2（計画排出量）'!$B$16:$B$515,$A75,'様式1-2（計画排出量）'!$H$16:$H$515,"マイクロバス",'様式1-2（計画排出量）'!$J$16:$J$515,"&lt;=1700",'様式1-2（計画排出量）'!$S$16:$S$515,"廃止")</f>
        <v>0</v>
      </c>
      <c r="O75" s="327">
        <f>COUNTIFS('様式1-2（計画排出量）'!$B$16:$B$515,$A75,'様式1-2（計画排出量）'!$H$16:$H$515,"マイクロバス",'様式1-2（計画排出量）'!$J$16:$J$515,"&gt;1700",'様式1-2（計画排出量）'!$J$16:$J$515,"&lt;=2500",'様式1-2（計画排出量）'!$S$16:$S$515,"廃止")</f>
        <v>0</v>
      </c>
      <c r="P75" s="327">
        <f>COUNTIFS('様式1-2（計画排出量）'!$B$16:$B$515,$A75,'様式1-2（計画排出量）'!$H$16:$H$515,"マイクロバス",'様式1-2（計画排出量）'!$J$16:$J$515,"&gt;2500",'様式1-2（計画排出量）'!$J$16:$J$515,"&lt;=3500",'様式1-2（計画排出量）'!$S$16:$S$515,"廃止")</f>
        <v>0</v>
      </c>
      <c r="Q75" s="327">
        <f>COUNTIFS('様式1-2（計画排出量）'!$B$16:$B$515,$A75,'様式1-2（計画排出量）'!$H$16:$H$515,"マイクロバス",'様式1-2（計画排出量）'!$J$16:$J$515,"&gt;3500",'様式1-2（計画排出量）'!$S$16:$S$515,"廃止")</f>
        <v>0</v>
      </c>
      <c r="R75" s="327">
        <f>COUNTIFS('様式1-2（計画排出量）'!$B$16:$B$515,$A75,'様式1-2（計画排出量）'!$H$16:$H$515,"特種車*",'様式1-2（計画排出量）'!$J$16:$J$515,"&lt;=1700",'様式1-2（計画排出量）'!$S$16:$S$515,"廃止")</f>
        <v>0</v>
      </c>
      <c r="S75" s="327">
        <f>COUNTIFS('様式1-2（計画排出量）'!$B$16:$B$515,$A75,'様式1-2（計画排出量）'!$H$16:$H$515,"特種車*",'様式1-2（計画排出量）'!$J$16:$J$515,"&gt;1700",'様式1-2（計画排出量）'!$J$16:$J$515,"&lt;=2500",'様式1-2（計画排出量）'!$S$16:$S$515,"廃止")</f>
        <v>0</v>
      </c>
      <c r="T75" s="327">
        <f>COUNTIFS('様式1-2（計画排出量）'!$B$16:$B$515,$A75,'様式1-2（計画排出量）'!$H$16:$H$515,"特種車*",'様式1-2（計画排出量）'!$J$16:$J$515,"&gt;2500",'様式1-2（計画排出量）'!$J$16:$J$515,"&lt;=3500",'様式1-2（計画排出量）'!$S$16:$S$515,"廃止")</f>
        <v>0</v>
      </c>
      <c r="U75" s="327">
        <f>COUNTIFS('様式1-2（計画排出量）'!$B$16:$B$515,$A75,'様式1-2（計画排出量）'!$H$16:$H$515,"特種車*",'様式1-2（計画排出量）'!$J$16:$J$515,"&gt;3500",'様式1-2（計画排出量）'!$S$16:$S$515,"廃止")</f>
        <v>0</v>
      </c>
      <c r="V75" s="327">
        <f>COUNTIFS('様式1-2（計画排出量）'!$B$16:$B$515,$A75,'様式1-2（計画排出量）'!$H$16:$H$515,"乗用車*",'様式1-2（計画排出量）'!$S$16:$S$515,"廃止")</f>
        <v>0</v>
      </c>
      <c r="W75" s="327"/>
    </row>
    <row r="76" spans="1:23" ht="13.75" hidden="1" customHeight="1">
      <c r="A76" s="165">
        <v>7</v>
      </c>
      <c r="B76" s="327">
        <f>COUNTIFS('様式1-2（計画排出量）'!$B$16:$B$515,$A76,'様式1-2（計画排出量）'!$H$16:$H$515,"普通貨物車",'様式1-2（計画排出量）'!$J$16:$J$515,"&lt;=1700",'様式1-2（計画排出量）'!$S$16:$S$515,"廃止")</f>
        <v>0</v>
      </c>
      <c r="C76" s="327">
        <f>COUNTIFS('様式1-2（計画排出量）'!$B$16:$B$515,$A76,'様式1-2（計画排出量）'!$H$16:$H$515,"普通貨物車",'様式1-2（計画排出量）'!$J$16:$J$515,"&gt;1700",'様式1-2（計画排出量）'!$J$16:$J$515,"&lt;=2500",'様式1-2（計画排出量）'!$S$16:$S$515,"廃止")</f>
        <v>0</v>
      </c>
      <c r="D76" s="327">
        <f>COUNTIFS('様式1-2（計画排出量）'!$B$16:$B$515,$A76,'様式1-2（計画排出量）'!$H$16:$H$515,"普通貨物車",'様式1-2（計画排出量）'!$J$16:$J$515,"&gt;2500",'様式1-2（計画排出量）'!$J$16:$J$515,"&lt;=3500",'様式1-2（計画排出量）'!$S$16:$S$515,"廃止")</f>
        <v>0</v>
      </c>
      <c r="E76" s="327">
        <f>COUNTIFS('様式1-2（計画排出量）'!$B$16:$B$515,$A76,'様式1-2（計画排出量）'!$H$16:$H$515,"普通貨物車",'様式1-2（計画排出量）'!$J$16:$J$515,"&gt;3500",'様式1-2（計画排出量）'!$S$16:$S$515,"廃止")</f>
        <v>0</v>
      </c>
      <c r="F76" s="327">
        <f>COUNTIFS('様式1-2（計画排出量）'!$B$16:$B$515,$A76,'様式1-2（計画排出量）'!$H$16:$H$515,"小型貨物車",'様式1-2（計画排出量）'!$J$16:$J$515,"&lt;=1700",'様式1-2（計画排出量）'!$S$16:$S$515,"廃止")</f>
        <v>0</v>
      </c>
      <c r="G76" s="327">
        <f>COUNTIFS('様式1-2（計画排出量）'!$B$16:$B$515,$A76,'様式1-2（計画排出量）'!$H$16:$H$515,"小型貨物車",'様式1-2（計画排出量）'!$J$16:$J$515,"&gt;1700",'様式1-2（計画排出量）'!$J$16:$J$515,"&lt;=2500",'様式1-2（計画排出量）'!$S$16:$S$515,"廃止")</f>
        <v>0</v>
      </c>
      <c r="H76" s="327">
        <f>COUNTIFS('様式1-2（計画排出量）'!$B$16:$B$515,$A76,'様式1-2（計画排出量）'!$H$16:$H$515,"小型貨物車",'様式1-2（計画排出量）'!$J$16:$J$515,"&gt;2500",'様式1-2（計画排出量）'!$J$16:$J$515,"&lt;=3500",'様式1-2（計画排出量）'!$S$16:$S$515,"廃止")</f>
        <v>0</v>
      </c>
      <c r="I76" s="327">
        <f>COUNTIFS('様式1-2（計画排出量）'!$B$16:$B$515,$A76,'様式1-2（計画排出量）'!$H$16:$H$515,"小型貨物車",'様式1-2（計画排出量）'!$J$16:$J$515,"&gt;3500",'様式1-2（計画排出量）'!$S$16:$S$515,"廃止")</f>
        <v>0</v>
      </c>
      <c r="J76" s="327">
        <f>COUNTIFS('様式1-2（計画排出量）'!$B$16:$B$515,$A76,'様式1-2（計画排出量）'!$H$16:$H$515,"大型バス",'様式1-2（計画排出量）'!$J$16:$J$515,"&lt;=1700",'様式1-2（計画排出量）'!$S$16:$S$515,"廃止")</f>
        <v>0</v>
      </c>
      <c r="K76" s="327">
        <f>COUNTIFS('様式1-2（計画排出量）'!$B$16:$B$515,$A76,'様式1-2（計画排出量）'!$H$16:$H$515,"大型バス",'様式1-2（計画排出量）'!$J$16:$J$515,"&gt;1700",'様式1-2（計画排出量）'!$J$16:$J$515,"&lt;=2500",'様式1-2（計画排出量）'!$S$16:$S$515,"廃止")</f>
        <v>0</v>
      </c>
      <c r="L76" s="327">
        <f>COUNTIFS('様式1-2（計画排出量）'!$B$16:$B$515,$A76,'様式1-2（計画排出量）'!$H$16:$H$515,"大型バス",'様式1-2（計画排出量）'!$J$16:$J$515,"&gt;2500",'様式1-2（計画排出量）'!$J$16:$J$515,"&lt;=3500",'様式1-2（計画排出量）'!$S$16:$S$515,"廃止")</f>
        <v>0</v>
      </c>
      <c r="M76" s="327">
        <f>COUNTIFS('様式1-2（計画排出量）'!$B$16:$B$515,$A76,'様式1-2（計画排出量）'!$H$16:$H$515,"大型バス",'様式1-2（計画排出量）'!$J$16:$J$515,"&gt;3500",'様式1-2（計画排出量）'!$S$16:$S$515,"廃止")</f>
        <v>0</v>
      </c>
      <c r="N76" s="327">
        <f>COUNTIFS('様式1-2（計画排出量）'!$B$16:$B$515,$A76,'様式1-2（計画排出量）'!$H$16:$H$515,"マイクロバス",'様式1-2（計画排出量）'!$J$16:$J$515,"&lt;=1700",'様式1-2（計画排出量）'!$S$16:$S$515,"廃止")</f>
        <v>0</v>
      </c>
      <c r="O76" s="327">
        <f>COUNTIFS('様式1-2（計画排出量）'!$B$16:$B$515,$A76,'様式1-2（計画排出量）'!$H$16:$H$515,"マイクロバス",'様式1-2（計画排出量）'!$J$16:$J$515,"&gt;1700",'様式1-2（計画排出量）'!$J$16:$J$515,"&lt;=2500",'様式1-2（計画排出量）'!$S$16:$S$515,"廃止")</f>
        <v>0</v>
      </c>
      <c r="P76" s="327">
        <f>COUNTIFS('様式1-2（計画排出量）'!$B$16:$B$515,$A76,'様式1-2（計画排出量）'!$H$16:$H$515,"マイクロバス",'様式1-2（計画排出量）'!$J$16:$J$515,"&gt;2500",'様式1-2（計画排出量）'!$J$16:$J$515,"&lt;=3500",'様式1-2（計画排出量）'!$S$16:$S$515,"廃止")</f>
        <v>0</v>
      </c>
      <c r="Q76" s="327">
        <f>COUNTIFS('様式1-2（計画排出量）'!$B$16:$B$515,$A76,'様式1-2（計画排出量）'!$H$16:$H$515,"マイクロバス",'様式1-2（計画排出量）'!$J$16:$J$515,"&gt;3500",'様式1-2（計画排出量）'!$S$16:$S$515,"廃止")</f>
        <v>0</v>
      </c>
      <c r="R76" s="327">
        <f>COUNTIFS('様式1-2（計画排出量）'!$B$16:$B$515,$A76,'様式1-2（計画排出量）'!$H$16:$H$515,"特種車*",'様式1-2（計画排出量）'!$J$16:$J$515,"&lt;=1700",'様式1-2（計画排出量）'!$S$16:$S$515,"廃止")</f>
        <v>0</v>
      </c>
      <c r="S76" s="327">
        <f>COUNTIFS('様式1-2（計画排出量）'!$B$16:$B$515,$A76,'様式1-2（計画排出量）'!$H$16:$H$515,"特種車*",'様式1-2（計画排出量）'!$J$16:$J$515,"&gt;1700",'様式1-2（計画排出量）'!$J$16:$J$515,"&lt;=2500",'様式1-2（計画排出量）'!$S$16:$S$515,"廃止")</f>
        <v>0</v>
      </c>
      <c r="T76" s="327">
        <f>COUNTIFS('様式1-2（計画排出量）'!$B$16:$B$515,$A76,'様式1-2（計画排出量）'!$H$16:$H$515,"特種車*",'様式1-2（計画排出量）'!$J$16:$J$515,"&gt;2500",'様式1-2（計画排出量）'!$J$16:$J$515,"&lt;=3500",'様式1-2（計画排出量）'!$S$16:$S$515,"廃止")</f>
        <v>0</v>
      </c>
      <c r="U76" s="327">
        <f>COUNTIFS('様式1-2（計画排出量）'!$B$16:$B$515,$A76,'様式1-2（計画排出量）'!$H$16:$H$515,"特種車*",'様式1-2（計画排出量）'!$J$16:$J$515,"&gt;3500",'様式1-2（計画排出量）'!$S$16:$S$515,"廃止")</f>
        <v>0</v>
      </c>
      <c r="V76" s="327">
        <f>COUNTIFS('様式1-2（計画排出量）'!$B$16:$B$515,$A76,'様式1-2（計画排出量）'!$H$16:$H$515,"乗用車*",'様式1-2（計画排出量）'!$S$16:$S$515,"廃止")</f>
        <v>0</v>
      </c>
      <c r="W76" s="327"/>
    </row>
    <row r="77" spans="1:23" ht="13.75" hidden="1" customHeight="1">
      <c r="A77" s="165">
        <v>8</v>
      </c>
      <c r="B77" s="327">
        <f>COUNTIFS('様式1-2（計画排出量）'!$B$16:$B$515,$A77,'様式1-2（計画排出量）'!$H$16:$H$515,"普通貨物車",'様式1-2（計画排出量）'!$J$16:$J$515,"&lt;=1700",'様式1-2（計画排出量）'!$S$16:$S$515,"廃止")</f>
        <v>0</v>
      </c>
      <c r="C77" s="327">
        <f>COUNTIFS('様式1-2（計画排出量）'!$B$16:$B$515,$A77,'様式1-2（計画排出量）'!$H$16:$H$515,"普通貨物車",'様式1-2（計画排出量）'!$J$16:$J$515,"&gt;1700",'様式1-2（計画排出量）'!$J$16:$J$515,"&lt;=2500",'様式1-2（計画排出量）'!$S$16:$S$515,"廃止")</f>
        <v>0</v>
      </c>
      <c r="D77" s="327">
        <f>COUNTIFS('様式1-2（計画排出量）'!$B$16:$B$515,$A77,'様式1-2（計画排出量）'!$H$16:$H$515,"普通貨物車",'様式1-2（計画排出量）'!$J$16:$J$515,"&gt;2500",'様式1-2（計画排出量）'!$J$16:$J$515,"&lt;=3500",'様式1-2（計画排出量）'!$S$16:$S$515,"廃止")</f>
        <v>0</v>
      </c>
      <c r="E77" s="327">
        <f>COUNTIFS('様式1-2（計画排出量）'!$B$16:$B$515,$A77,'様式1-2（計画排出量）'!$H$16:$H$515,"普通貨物車",'様式1-2（計画排出量）'!$J$16:$J$515,"&gt;3500",'様式1-2（計画排出量）'!$S$16:$S$515,"廃止")</f>
        <v>0</v>
      </c>
      <c r="F77" s="327">
        <f>COUNTIFS('様式1-2（計画排出量）'!$B$16:$B$515,$A77,'様式1-2（計画排出量）'!$H$16:$H$515,"小型貨物車",'様式1-2（計画排出量）'!$J$16:$J$515,"&lt;=1700",'様式1-2（計画排出量）'!$S$16:$S$515,"廃止")</f>
        <v>0</v>
      </c>
      <c r="G77" s="327">
        <f>COUNTIFS('様式1-2（計画排出量）'!$B$16:$B$515,$A77,'様式1-2（計画排出量）'!$H$16:$H$515,"小型貨物車",'様式1-2（計画排出量）'!$J$16:$J$515,"&gt;1700",'様式1-2（計画排出量）'!$J$16:$J$515,"&lt;=2500",'様式1-2（計画排出量）'!$S$16:$S$515,"廃止")</f>
        <v>0</v>
      </c>
      <c r="H77" s="327">
        <f>COUNTIFS('様式1-2（計画排出量）'!$B$16:$B$515,$A77,'様式1-2（計画排出量）'!$H$16:$H$515,"小型貨物車",'様式1-2（計画排出量）'!$J$16:$J$515,"&gt;2500",'様式1-2（計画排出量）'!$J$16:$J$515,"&lt;=3500",'様式1-2（計画排出量）'!$S$16:$S$515,"廃止")</f>
        <v>0</v>
      </c>
      <c r="I77" s="327">
        <f>COUNTIFS('様式1-2（計画排出量）'!$B$16:$B$515,$A77,'様式1-2（計画排出量）'!$H$16:$H$515,"小型貨物車",'様式1-2（計画排出量）'!$J$16:$J$515,"&gt;3500",'様式1-2（計画排出量）'!$S$16:$S$515,"廃止")</f>
        <v>0</v>
      </c>
      <c r="J77" s="327">
        <f>COUNTIFS('様式1-2（計画排出量）'!$B$16:$B$515,$A77,'様式1-2（計画排出量）'!$H$16:$H$515,"大型バス",'様式1-2（計画排出量）'!$J$16:$J$515,"&lt;=1700",'様式1-2（計画排出量）'!$S$16:$S$515,"廃止")</f>
        <v>0</v>
      </c>
      <c r="K77" s="327">
        <f>COUNTIFS('様式1-2（計画排出量）'!$B$16:$B$515,$A77,'様式1-2（計画排出量）'!$H$16:$H$515,"大型バス",'様式1-2（計画排出量）'!$J$16:$J$515,"&gt;1700",'様式1-2（計画排出量）'!$J$16:$J$515,"&lt;=2500",'様式1-2（計画排出量）'!$S$16:$S$515,"廃止")</f>
        <v>0</v>
      </c>
      <c r="L77" s="327">
        <f>COUNTIFS('様式1-2（計画排出量）'!$B$16:$B$515,$A77,'様式1-2（計画排出量）'!$H$16:$H$515,"大型バス",'様式1-2（計画排出量）'!$J$16:$J$515,"&gt;2500",'様式1-2（計画排出量）'!$J$16:$J$515,"&lt;=3500",'様式1-2（計画排出量）'!$S$16:$S$515,"廃止")</f>
        <v>0</v>
      </c>
      <c r="M77" s="327">
        <f>COUNTIFS('様式1-2（計画排出量）'!$B$16:$B$515,$A77,'様式1-2（計画排出量）'!$H$16:$H$515,"大型バス",'様式1-2（計画排出量）'!$J$16:$J$515,"&gt;3500",'様式1-2（計画排出量）'!$S$16:$S$515,"廃止")</f>
        <v>0</v>
      </c>
      <c r="N77" s="327">
        <f>COUNTIFS('様式1-2（計画排出量）'!$B$16:$B$515,$A77,'様式1-2（計画排出量）'!$H$16:$H$515,"マイクロバス",'様式1-2（計画排出量）'!$J$16:$J$515,"&lt;=1700",'様式1-2（計画排出量）'!$S$16:$S$515,"廃止")</f>
        <v>0</v>
      </c>
      <c r="O77" s="327">
        <f>COUNTIFS('様式1-2（計画排出量）'!$B$16:$B$515,$A77,'様式1-2（計画排出量）'!$H$16:$H$515,"マイクロバス",'様式1-2（計画排出量）'!$J$16:$J$515,"&gt;1700",'様式1-2（計画排出量）'!$J$16:$J$515,"&lt;=2500",'様式1-2（計画排出量）'!$S$16:$S$515,"廃止")</f>
        <v>0</v>
      </c>
      <c r="P77" s="327">
        <f>COUNTIFS('様式1-2（計画排出量）'!$B$16:$B$515,$A77,'様式1-2（計画排出量）'!$H$16:$H$515,"マイクロバス",'様式1-2（計画排出量）'!$J$16:$J$515,"&gt;2500",'様式1-2（計画排出量）'!$J$16:$J$515,"&lt;=3500",'様式1-2（計画排出量）'!$S$16:$S$515,"廃止")</f>
        <v>0</v>
      </c>
      <c r="Q77" s="327">
        <f>COUNTIFS('様式1-2（計画排出量）'!$B$16:$B$515,$A77,'様式1-2（計画排出量）'!$H$16:$H$515,"マイクロバス",'様式1-2（計画排出量）'!$J$16:$J$515,"&gt;3500",'様式1-2（計画排出量）'!$S$16:$S$515,"廃止")</f>
        <v>0</v>
      </c>
      <c r="R77" s="327">
        <f>COUNTIFS('様式1-2（計画排出量）'!$B$16:$B$515,$A77,'様式1-2（計画排出量）'!$H$16:$H$515,"特種車*",'様式1-2（計画排出量）'!$J$16:$J$515,"&lt;=1700",'様式1-2（計画排出量）'!$S$16:$S$515,"廃止")</f>
        <v>0</v>
      </c>
      <c r="S77" s="327">
        <f>COUNTIFS('様式1-2（計画排出量）'!$B$16:$B$515,$A77,'様式1-2（計画排出量）'!$H$16:$H$515,"特種車*",'様式1-2（計画排出量）'!$J$16:$J$515,"&gt;1700",'様式1-2（計画排出量）'!$J$16:$J$515,"&lt;=2500",'様式1-2（計画排出量）'!$S$16:$S$515,"廃止")</f>
        <v>0</v>
      </c>
      <c r="T77" s="327">
        <f>COUNTIFS('様式1-2（計画排出量）'!$B$16:$B$515,$A77,'様式1-2（計画排出量）'!$H$16:$H$515,"特種車*",'様式1-2（計画排出量）'!$J$16:$J$515,"&gt;2500",'様式1-2（計画排出量）'!$J$16:$J$515,"&lt;=3500",'様式1-2（計画排出量）'!$S$16:$S$515,"廃止")</f>
        <v>0</v>
      </c>
      <c r="U77" s="327">
        <f>COUNTIFS('様式1-2（計画排出量）'!$B$16:$B$515,$A77,'様式1-2（計画排出量）'!$H$16:$H$515,"特種車*",'様式1-2（計画排出量）'!$J$16:$J$515,"&gt;3500",'様式1-2（計画排出量）'!$S$16:$S$515,"廃止")</f>
        <v>0</v>
      </c>
      <c r="V77" s="327">
        <f>COUNTIFS('様式1-2（計画排出量）'!$B$16:$B$515,$A77,'様式1-2（計画排出量）'!$H$16:$H$515,"乗用車*",'様式1-2（計画排出量）'!$S$16:$S$515,"廃止")</f>
        <v>0</v>
      </c>
      <c r="W77" s="327"/>
    </row>
    <row r="78" spans="1:23" ht="13.75" hidden="1" customHeight="1">
      <c r="A78" s="165">
        <v>9</v>
      </c>
      <c r="B78" s="327">
        <f>COUNTIFS('様式1-2（計画排出量）'!$B$16:$B$515,$A78,'様式1-2（計画排出量）'!$H$16:$H$515,"普通貨物車",'様式1-2（計画排出量）'!$J$16:$J$515,"&lt;=1700",'様式1-2（計画排出量）'!$S$16:$S$515,"廃止")</f>
        <v>0</v>
      </c>
      <c r="C78" s="327">
        <f>COUNTIFS('様式1-2（計画排出量）'!$B$16:$B$515,$A78,'様式1-2（計画排出量）'!$H$16:$H$515,"普通貨物車",'様式1-2（計画排出量）'!$J$16:$J$515,"&gt;1700",'様式1-2（計画排出量）'!$J$16:$J$515,"&lt;=2500",'様式1-2（計画排出量）'!$S$16:$S$515,"廃止")</f>
        <v>0</v>
      </c>
      <c r="D78" s="327">
        <f>COUNTIFS('様式1-2（計画排出量）'!$B$16:$B$515,$A78,'様式1-2（計画排出量）'!$H$16:$H$515,"普通貨物車",'様式1-2（計画排出量）'!$J$16:$J$515,"&gt;2500",'様式1-2（計画排出量）'!$J$16:$J$515,"&lt;=3500",'様式1-2（計画排出量）'!$S$16:$S$515,"廃止")</f>
        <v>0</v>
      </c>
      <c r="E78" s="327">
        <f>COUNTIFS('様式1-2（計画排出量）'!$B$16:$B$515,$A78,'様式1-2（計画排出量）'!$H$16:$H$515,"普通貨物車",'様式1-2（計画排出量）'!$J$16:$J$515,"&gt;3500",'様式1-2（計画排出量）'!$S$16:$S$515,"廃止")</f>
        <v>0</v>
      </c>
      <c r="F78" s="327">
        <f>COUNTIFS('様式1-2（計画排出量）'!$B$16:$B$515,$A78,'様式1-2（計画排出量）'!$H$16:$H$515,"小型貨物車",'様式1-2（計画排出量）'!$J$16:$J$515,"&lt;=1700",'様式1-2（計画排出量）'!$S$16:$S$515,"廃止")</f>
        <v>0</v>
      </c>
      <c r="G78" s="327">
        <f>COUNTIFS('様式1-2（計画排出量）'!$B$16:$B$515,$A78,'様式1-2（計画排出量）'!$H$16:$H$515,"小型貨物車",'様式1-2（計画排出量）'!$J$16:$J$515,"&gt;1700",'様式1-2（計画排出量）'!$J$16:$J$515,"&lt;=2500",'様式1-2（計画排出量）'!$S$16:$S$515,"廃止")</f>
        <v>0</v>
      </c>
      <c r="H78" s="327">
        <f>COUNTIFS('様式1-2（計画排出量）'!$B$16:$B$515,$A78,'様式1-2（計画排出量）'!$H$16:$H$515,"小型貨物車",'様式1-2（計画排出量）'!$J$16:$J$515,"&gt;2500",'様式1-2（計画排出量）'!$J$16:$J$515,"&lt;=3500",'様式1-2（計画排出量）'!$S$16:$S$515,"廃止")</f>
        <v>0</v>
      </c>
      <c r="I78" s="327">
        <f>COUNTIFS('様式1-2（計画排出量）'!$B$16:$B$515,$A78,'様式1-2（計画排出量）'!$H$16:$H$515,"小型貨物車",'様式1-2（計画排出量）'!$J$16:$J$515,"&gt;3500",'様式1-2（計画排出量）'!$S$16:$S$515,"廃止")</f>
        <v>0</v>
      </c>
      <c r="J78" s="327">
        <f>COUNTIFS('様式1-2（計画排出量）'!$B$16:$B$515,$A78,'様式1-2（計画排出量）'!$H$16:$H$515,"大型バス",'様式1-2（計画排出量）'!$J$16:$J$515,"&lt;=1700",'様式1-2（計画排出量）'!$S$16:$S$515,"廃止")</f>
        <v>0</v>
      </c>
      <c r="K78" s="327">
        <f>COUNTIFS('様式1-2（計画排出量）'!$B$16:$B$515,$A78,'様式1-2（計画排出量）'!$H$16:$H$515,"大型バス",'様式1-2（計画排出量）'!$J$16:$J$515,"&gt;1700",'様式1-2（計画排出量）'!$J$16:$J$515,"&lt;=2500",'様式1-2（計画排出量）'!$S$16:$S$515,"廃止")</f>
        <v>0</v>
      </c>
      <c r="L78" s="327">
        <f>COUNTIFS('様式1-2（計画排出量）'!$B$16:$B$515,$A78,'様式1-2（計画排出量）'!$H$16:$H$515,"大型バス",'様式1-2（計画排出量）'!$J$16:$J$515,"&gt;2500",'様式1-2（計画排出量）'!$J$16:$J$515,"&lt;=3500",'様式1-2（計画排出量）'!$S$16:$S$515,"廃止")</f>
        <v>0</v>
      </c>
      <c r="M78" s="327">
        <f>COUNTIFS('様式1-2（計画排出量）'!$B$16:$B$515,$A78,'様式1-2（計画排出量）'!$H$16:$H$515,"大型バス",'様式1-2（計画排出量）'!$J$16:$J$515,"&gt;3500",'様式1-2（計画排出量）'!$S$16:$S$515,"廃止")</f>
        <v>0</v>
      </c>
      <c r="N78" s="327">
        <f>COUNTIFS('様式1-2（計画排出量）'!$B$16:$B$515,$A78,'様式1-2（計画排出量）'!$H$16:$H$515,"マイクロバス",'様式1-2（計画排出量）'!$J$16:$J$515,"&lt;=1700",'様式1-2（計画排出量）'!$S$16:$S$515,"廃止")</f>
        <v>0</v>
      </c>
      <c r="O78" s="327">
        <f>COUNTIFS('様式1-2（計画排出量）'!$B$16:$B$515,$A78,'様式1-2（計画排出量）'!$H$16:$H$515,"マイクロバス",'様式1-2（計画排出量）'!$J$16:$J$515,"&gt;1700",'様式1-2（計画排出量）'!$J$16:$J$515,"&lt;=2500",'様式1-2（計画排出量）'!$S$16:$S$515,"廃止")</f>
        <v>0</v>
      </c>
      <c r="P78" s="327">
        <f>COUNTIFS('様式1-2（計画排出量）'!$B$16:$B$515,$A78,'様式1-2（計画排出量）'!$H$16:$H$515,"マイクロバス",'様式1-2（計画排出量）'!$J$16:$J$515,"&gt;2500",'様式1-2（計画排出量）'!$J$16:$J$515,"&lt;=3500",'様式1-2（計画排出量）'!$S$16:$S$515,"廃止")</f>
        <v>0</v>
      </c>
      <c r="Q78" s="327">
        <f>COUNTIFS('様式1-2（計画排出量）'!$B$16:$B$515,$A78,'様式1-2（計画排出量）'!$H$16:$H$515,"マイクロバス",'様式1-2（計画排出量）'!$J$16:$J$515,"&gt;3500",'様式1-2（計画排出量）'!$S$16:$S$515,"廃止")</f>
        <v>0</v>
      </c>
      <c r="R78" s="327">
        <f>COUNTIFS('様式1-2（計画排出量）'!$B$16:$B$515,$A78,'様式1-2（計画排出量）'!$H$16:$H$515,"特種車*",'様式1-2（計画排出量）'!$J$16:$J$515,"&lt;=1700",'様式1-2（計画排出量）'!$S$16:$S$515,"廃止")</f>
        <v>0</v>
      </c>
      <c r="S78" s="327">
        <f>COUNTIFS('様式1-2（計画排出量）'!$B$16:$B$515,$A78,'様式1-2（計画排出量）'!$H$16:$H$515,"特種車*",'様式1-2（計画排出量）'!$J$16:$J$515,"&gt;1700",'様式1-2（計画排出量）'!$J$16:$J$515,"&lt;=2500",'様式1-2（計画排出量）'!$S$16:$S$515,"廃止")</f>
        <v>0</v>
      </c>
      <c r="T78" s="327">
        <f>COUNTIFS('様式1-2（計画排出量）'!$B$16:$B$515,$A78,'様式1-2（計画排出量）'!$H$16:$H$515,"特種車*",'様式1-2（計画排出量）'!$J$16:$J$515,"&gt;2500",'様式1-2（計画排出量）'!$J$16:$J$515,"&lt;=3500",'様式1-2（計画排出量）'!$S$16:$S$515,"廃止")</f>
        <v>0</v>
      </c>
      <c r="U78" s="327">
        <f>COUNTIFS('様式1-2（計画排出量）'!$B$16:$B$515,$A78,'様式1-2（計画排出量）'!$H$16:$H$515,"特種車*",'様式1-2（計画排出量）'!$J$16:$J$515,"&gt;3500",'様式1-2（計画排出量）'!$S$16:$S$515,"廃止")</f>
        <v>0</v>
      </c>
      <c r="V78" s="327">
        <f>COUNTIFS('様式1-2（計画排出量）'!$B$16:$B$515,$A78,'様式1-2（計画排出量）'!$H$16:$H$515,"乗用車*",'様式1-2（計画排出量）'!$S$16:$S$515,"廃止")</f>
        <v>0</v>
      </c>
      <c r="W78" s="327"/>
    </row>
    <row r="79" spans="1:23" ht="13.75" hidden="1" customHeight="1">
      <c r="A79" s="165">
        <v>10</v>
      </c>
      <c r="B79" s="327">
        <f>COUNTIFS('様式1-2（計画排出量）'!$B$16:$B$515,$A79,'様式1-2（計画排出量）'!$H$16:$H$515,"普通貨物車",'様式1-2（計画排出量）'!$J$16:$J$515,"&lt;=1700",'様式1-2（計画排出量）'!$S$16:$S$515,"廃止")</f>
        <v>0</v>
      </c>
      <c r="C79" s="327">
        <f>COUNTIFS('様式1-2（計画排出量）'!$B$16:$B$515,$A79,'様式1-2（計画排出量）'!$H$16:$H$515,"普通貨物車",'様式1-2（計画排出量）'!$J$16:$J$515,"&gt;1700",'様式1-2（計画排出量）'!$J$16:$J$515,"&lt;=2500",'様式1-2（計画排出量）'!$S$16:$S$515,"廃止")</f>
        <v>0</v>
      </c>
      <c r="D79" s="327">
        <f>COUNTIFS('様式1-2（計画排出量）'!$B$16:$B$515,$A79,'様式1-2（計画排出量）'!$H$16:$H$515,"普通貨物車",'様式1-2（計画排出量）'!$J$16:$J$515,"&gt;2500",'様式1-2（計画排出量）'!$J$16:$J$515,"&lt;=3500",'様式1-2（計画排出量）'!$S$16:$S$515,"廃止")</f>
        <v>0</v>
      </c>
      <c r="E79" s="327">
        <f>COUNTIFS('様式1-2（計画排出量）'!$B$16:$B$515,$A79,'様式1-2（計画排出量）'!$H$16:$H$515,"普通貨物車",'様式1-2（計画排出量）'!$J$16:$J$515,"&gt;3500",'様式1-2（計画排出量）'!$S$16:$S$515,"廃止")</f>
        <v>0</v>
      </c>
      <c r="F79" s="327">
        <f>COUNTIFS('様式1-2（計画排出量）'!$B$16:$B$515,$A79,'様式1-2（計画排出量）'!$H$16:$H$515,"小型貨物車",'様式1-2（計画排出量）'!$J$16:$J$515,"&lt;=1700",'様式1-2（計画排出量）'!$S$16:$S$515,"廃止")</f>
        <v>0</v>
      </c>
      <c r="G79" s="327">
        <f>COUNTIFS('様式1-2（計画排出量）'!$B$16:$B$515,$A79,'様式1-2（計画排出量）'!$H$16:$H$515,"小型貨物車",'様式1-2（計画排出量）'!$J$16:$J$515,"&gt;1700",'様式1-2（計画排出量）'!$J$16:$J$515,"&lt;=2500",'様式1-2（計画排出量）'!$S$16:$S$515,"廃止")</f>
        <v>0</v>
      </c>
      <c r="H79" s="327">
        <f>COUNTIFS('様式1-2（計画排出量）'!$B$16:$B$515,$A79,'様式1-2（計画排出量）'!$H$16:$H$515,"小型貨物車",'様式1-2（計画排出量）'!$J$16:$J$515,"&gt;2500",'様式1-2（計画排出量）'!$J$16:$J$515,"&lt;=3500",'様式1-2（計画排出量）'!$S$16:$S$515,"廃止")</f>
        <v>0</v>
      </c>
      <c r="I79" s="327">
        <f>COUNTIFS('様式1-2（計画排出量）'!$B$16:$B$515,$A79,'様式1-2（計画排出量）'!$H$16:$H$515,"小型貨物車",'様式1-2（計画排出量）'!$J$16:$J$515,"&gt;3500",'様式1-2（計画排出量）'!$S$16:$S$515,"廃止")</f>
        <v>0</v>
      </c>
      <c r="J79" s="327">
        <f>COUNTIFS('様式1-2（計画排出量）'!$B$16:$B$515,$A79,'様式1-2（計画排出量）'!$H$16:$H$515,"大型バス",'様式1-2（計画排出量）'!$J$16:$J$515,"&lt;=1700",'様式1-2（計画排出量）'!$S$16:$S$515,"廃止")</f>
        <v>0</v>
      </c>
      <c r="K79" s="327">
        <f>COUNTIFS('様式1-2（計画排出量）'!$B$16:$B$515,$A79,'様式1-2（計画排出量）'!$H$16:$H$515,"大型バス",'様式1-2（計画排出量）'!$J$16:$J$515,"&gt;1700",'様式1-2（計画排出量）'!$J$16:$J$515,"&lt;=2500",'様式1-2（計画排出量）'!$S$16:$S$515,"廃止")</f>
        <v>0</v>
      </c>
      <c r="L79" s="327">
        <f>COUNTIFS('様式1-2（計画排出量）'!$B$16:$B$515,$A79,'様式1-2（計画排出量）'!$H$16:$H$515,"大型バス",'様式1-2（計画排出量）'!$J$16:$J$515,"&gt;2500",'様式1-2（計画排出量）'!$J$16:$J$515,"&lt;=3500",'様式1-2（計画排出量）'!$S$16:$S$515,"廃止")</f>
        <v>0</v>
      </c>
      <c r="M79" s="327">
        <f>COUNTIFS('様式1-2（計画排出量）'!$B$16:$B$515,$A79,'様式1-2（計画排出量）'!$H$16:$H$515,"大型バス",'様式1-2（計画排出量）'!$J$16:$J$515,"&gt;3500",'様式1-2（計画排出量）'!$S$16:$S$515,"廃止")</f>
        <v>0</v>
      </c>
      <c r="N79" s="327">
        <f>COUNTIFS('様式1-2（計画排出量）'!$B$16:$B$515,$A79,'様式1-2（計画排出量）'!$H$16:$H$515,"マイクロバス",'様式1-2（計画排出量）'!$J$16:$J$515,"&lt;=1700",'様式1-2（計画排出量）'!$S$16:$S$515,"廃止")</f>
        <v>0</v>
      </c>
      <c r="O79" s="327">
        <f>COUNTIFS('様式1-2（計画排出量）'!$B$16:$B$515,$A79,'様式1-2（計画排出量）'!$H$16:$H$515,"マイクロバス",'様式1-2（計画排出量）'!$J$16:$J$515,"&gt;1700",'様式1-2（計画排出量）'!$J$16:$J$515,"&lt;=2500",'様式1-2（計画排出量）'!$S$16:$S$515,"廃止")</f>
        <v>0</v>
      </c>
      <c r="P79" s="327">
        <f>COUNTIFS('様式1-2（計画排出量）'!$B$16:$B$515,$A79,'様式1-2（計画排出量）'!$H$16:$H$515,"マイクロバス",'様式1-2（計画排出量）'!$J$16:$J$515,"&gt;2500",'様式1-2（計画排出量）'!$J$16:$J$515,"&lt;=3500",'様式1-2（計画排出量）'!$S$16:$S$515,"廃止")</f>
        <v>0</v>
      </c>
      <c r="Q79" s="327">
        <f>COUNTIFS('様式1-2（計画排出量）'!$B$16:$B$515,$A79,'様式1-2（計画排出量）'!$H$16:$H$515,"マイクロバス",'様式1-2（計画排出量）'!$J$16:$J$515,"&gt;3500",'様式1-2（計画排出量）'!$S$16:$S$515,"廃止")</f>
        <v>0</v>
      </c>
      <c r="R79" s="327">
        <f>COUNTIFS('様式1-2（計画排出量）'!$B$16:$B$515,$A79,'様式1-2（計画排出量）'!$H$16:$H$515,"特種車*",'様式1-2（計画排出量）'!$J$16:$J$515,"&lt;=1700",'様式1-2（計画排出量）'!$S$16:$S$515,"廃止")</f>
        <v>0</v>
      </c>
      <c r="S79" s="327">
        <f>COUNTIFS('様式1-2（計画排出量）'!$B$16:$B$515,$A79,'様式1-2（計画排出量）'!$H$16:$H$515,"特種車*",'様式1-2（計画排出量）'!$J$16:$J$515,"&gt;1700",'様式1-2（計画排出量）'!$J$16:$J$515,"&lt;=2500",'様式1-2（計画排出量）'!$S$16:$S$515,"廃止")</f>
        <v>0</v>
      </c>
      <c r="T79" s="327">
        <f>COUNTIFS('様式1-2（計画排出量）'!$B$16:$B$515,$A79,'様式1-2（計画排出量）'!$H$16:$H$515,"特種車*",'様式1-2（計画排出量）'!$J$16:$J$515,"&gt;2500",'様式1-2（計画排出量）'!$J$16:$J$515,"&lt;=3500",'様式1-2（計画排出量）'!$S$16:$S$515,"廃止")</f>
        <v>0</v>
      </c>
      <c r="U79" s="327">
        <f>COUNTIFS('様式1-2（計画排出量）'!$B$16:$B$515,$A79,'様式1-2（計画排出量）'!$H$16:$H$515,"特種車*",'様式1-2（計画排出量）'!$J$16:$J$515,"&gt;3500",'様式1-2（計画排出量）'!$S$16:$S$515,"廃止")</f>
        <v>0</v>
      </c>
      <c r="V79" s="327">
        <f>COUNTIFS('様式1-2（計画排出量）'!$B$16:$B$515,$A79,'様式1-2（計画排出量）'!$H$16:$H$515,"乗用車*",'様式1-2（計画排出量）'!$S$16:$S$515,"廃止")</f>
        <v>0</v>
      </c>
      <c r="W79" s="327"/>
    </row>
    <row r="80" spans="1:23" ht="13.75" hidden="1" customHeight="1">
      <c r="A80" s="165">
        <v>11</v>
      </c>
      <c r="B80" s="327">
        <f>COUNTIFS('様式1-2（計画排出量）'!$B$16:$B$515,$A80,'様式1-2（計画排出量）'!$H$16:$H$515,"普通貨物車",'様式1-2（計画排出量）'!$J$16:$J$515,"&lt;=1700",'様式1-2（計画排出量）'!$S$16:$S$515,"廃止")</f>
        <v>0</v>
      </c>
      <c r="C80" s="327">
        <f>COUNTIFS('様式1-2（計画排出量）'!$B$16:$B$515,$A80,'様式1-2（計画排出量）'!$H$16:$H$515,"普通貨物車",'様式1-2（計画排出量）'!$J$16:$J$515,"&gt;1700",'様式1-2（計画排出量）'!$J$16:$J$515,"&lt;=2500",'様式1-2（計画排出量）'!$S$16:$S$515,"廃止")</f>
        <v>0</v>
      </c>
      <c r="D80" s="327">
        <f>COUNTIFS('様式1-2（計画排出量）'!$B$16:$B$515,$A80,'様式1-2（計画排出量）'!$H$16:$H$515,"普通貨物車",'様式1-2（計画排出量）'!$J$16:$J$515,"&gt;2500",'様式1-2（計画排出量）'!$J$16:$J$515,"&lt;=3500",'様式1-2（計画排出量）'!$S$16:$S$515,"廃止")</f>
        <v>0</v>
      </c>
      <c r="E80" s="327">
        <f>COUNTIFS('様式1-2（計画排出量）'!$B$16:$B$515,$A80,'様式1-2（計画排出量）'!$H$16:$H$515,"普通貨物車",'様式1-2（計画排出量）'!$J$16:$J$515,"&gt;3500",'様式1-2（計画排出量）'!$S$16:$S$515,"廃止")</f>
        <v>0</v>
      </c>
      <c r="F80" s="327">
        <f>COUNTIFS('様式1-2（計画排出量）'!$B$16:$B$515,$A80,'様式1-2（計画排出量）'!$H$16:$H$515,"小型貨物車",'様式1-2（計画排出量）'!$J$16:$J$515,"&lt;=1700",'様式1-2（計画排出量）'!$S$16:$S$515,"廃止")</f>
        <v>0</v>
      </c>
      <c r="G80" s="327">
        <f>COUNTIFS('様式1-2（計画排出量）'!$B$16:$B$515,$A80,'様式1-2（計画排出量）'!$H$16:$H$515,"小型貨物車",'様式1-2（計画排出量）'!$J$16:$J$515,"&gt;1700",'様式1-2（計画排出量）'!$J$16:$J$515,"&lt;=2500",'様式1-2（計画排出量）'!$S$16:$S$515,"廃止")</f>
        <v>0</v>
      </c>
      <c r="H80" s="327">
        <f>COUNTIFS('様式1-2（計画排出量）'!$B$16:$B$515,$A80,'様式1-2（計画排出量）'!$H$16:$H$515,"小型貨物車",'様式1-2（計画排出量）'!$J$16:$J$515,"&gt;2500",'様式1-2（計画排出量）'!$J$16:$J$515,"&lt;=3500",'様式1-2（計画排出量）'!$S$16:$S$515,"廃止")</f>
        <v>0</v>
      </c>
      <c r="I80" s="327">
        <f>COUNTIFS('様式1-2（計画排出量）'!$B$16:$B$515,$A80,'様式1-2（計画排出量）'!$H$16:$H$515,"小型貨物車",'様式1-2（計画排出量）'!$J$16:$J$515,"&gt;3500",'様式1-2（計画排出量）'!$S$16:$S$515,"廃止")</f>
        <v>0</v>
      </c>
      <c r="J80" s="327">
        <f>COUNTIFS('様式1-2（計画排出量）'!$B$16:$B$515,$A80,'様式1-2（計画排出量）'!$H$16:$H$515,"大型バス",'様式1-2（計画排出量）'!$J$16:$J$515,"&lt;=1700",'様式1-2（計画排出量）'!$S$16:$S$515,"廃止")</f>
        <v>0</v>
      </c>
      <c r="K80" s="327">
        <f>COUNTIFS('様式1-2（計画排出量）'!$B$16:$B$515,$A80,'様式1-2（計画排出量）'!$H$16:$H$515,"大型バス",'様式1-2（計画排出量）'!$J$16:$J$515,"&gt;1700",'様式1-2（計画排出量）'!$J$16:$J$515,"&lt;=2500",'様式1-2（計画排出量）'!$S$16:$S$515,"廃止")</f>
        <v>0</v>
      </c>
      <c r="L80" s="327">
        <f>COUNTIFS('様式1-2（計画排出量）'!$B$16:$B$515,$A80,'様式1-2（計画排出量）'!$H$16:$H$515,"大型バス",'様式1-2（計画排出量）'!$J$16:$J$515,"&gt;2500",'様式1-2（計画排出量）'!$J$16:$J$515,"&lt;=3500",'様式1-2（計画排出量）'!$S$16:$S$515,"廃止")</f>
        <v>0</v>
      </c>
      <c r="M80" s="327">
        <f>COUNTIFS('様式1-2（計画排出量）'!$B$16:$B$515,$A80,'様式1-2（計画排出量）'!$H$16:$H$515,"大型バス",'様式1-2（計画排出量）'!$J$16:$J$515,"&gt;3500",'様式1-2（計画排出量）'!$S$16:$S$515,"廃止")</f>
        <v>0</v>
      </c>
      <c r="N80" s="327">
        <f>COUNTIFS('様式1-2（計画排出量）'!$B$16:$B$515,$A80,'様式1-2（計画排出量）'!$H$16:$H$515,"マイクロバス",'様式1-2（計画排出量）'!$J$16:$J$515,"&lt;=1700",'様式1-2（計画排出量）'!$S$16:$S$515,"廃止")</f>
        <v>0</v>
      </c>
      <c r="O80" s="327">
        <f>COUNTIFS('様式1-2（計画排出量）'!$B$16:$B$515,$A80,'様式1-2（計画排出量）'!$H$16:$H$515,"マイクロバス",'様式1-2（計画排出量）'!$J$16:$J$515,"&gt;1700",'様式1-2（計画排出量）'!$J$16:$J$515,"&lt;=2500",'様式1-2（計画排出量）'!$S$16:$S$515,"廃止")</f>
        <v>0</v>
      </c>
      <c r="P80" s="327">
        <f>COUNTIFS('様式1-2（計画排出量）'!$B$16:$B$515,$A80,'様式1-2（計画排出量）'!$H$16:$H$515,"マイクロバス",'様式1-2（計画排出量）'!$J$16:$J$515,"&gt;2500",'様式1-2（計画排出量）'!$J$16:$J$515,"&lt;=3500",'様式1-2（計画排出量）'!$S$16:$S$515,"廃止")</f>
        <v>0</v>
      </c>
      <c r="Q80" s="327">
        <f>COUNTIFS('様式1-2（計画排出量）'!$B$16:$B$515,$A80,'様式1-2（計画排出量）'!$H$16:$H$515,"マイクロバス",'様式1-2（計画排出量）'!$J$16:$J$515,"&gt;3500",'様式1-2（計画排出量）'!$S$16:$S$515,"廃止")</f>
        <v>0</v>
      </c>
      <c r="R80" s="327">
        <f>COUNTIFS('様式1-2（計画排出量）'!$B$16:$B$515,$A80,'様式1-2（計画排出量）'!$H$16:$H$515,"特種車*",'様式1-2（計画排出量）'!$J$16:$J$515,"&lt;=1700",'様式1-2（計画排出量）'!$S$16:$S$515,"廃止")</f>
        <v>0</v>
      </c>
      <c r="S80" s="327">
        <f>COUNTIFS('様式1-2（計画排出量）'!$B$16:$B$515,$A80,'様式1-2（計画排出量）'!$H$16:$H$515,"特種車*",'様式1-2（計画排出量）'!$J$16:$J$515,"&gt;1700",'様式1-2（計画排出量）'!$J$16:$J$515,"&lt;=2500",'様式1-2（計画排出量）'!$S$16:$S$515,"廃止")</f>
        <v>0</v>
      </c>
      <c r="T80" s="327">
        <f>COUNTIFS('様式1-2（計画排出量）'!$B$16:$B$515,$A80,'様式1-2（計画排出量）'!$H$16:$H$515,"特種車*",'様式1-2（計画排出量）'!$J$16:$J$515,"&gt;2500",'様式1-2（計画排出量）'!$J$16:$J$515,"&lt;=3500",'様式1-2（計画排出量）'!$S$16:$S$515,"廃止")</f>
        <v>0</v>
      </c>
      <c r="U80" s="327">
        <f>COUNTIFS('様式1-2（計画排出量）'!$B$16:$B$515,$A80,'様式1-2（計画排出量）'!$H$16:$H$515,"特種車*",'様式1-2（計画排出量）'!$J$16:$J$515,"&gt;3500",'様式1-2（計画排出量）'!$S$16:$S$515,"廃止")</f>
        <v>0</v>
      </c>
      <c r="V80" s="327">
        <f>COUNTIFS('様式1-2（計画排出量）'!$B$16:$B$515,$A80,'様式1-2（計画排出量）'!$H$16:$H$515,"乗用車*",'様式1-2（計画排出量）'!$S$16:$S$515,"廃止")</f>
        <v>0</v>
      </c>
      <c r="W80" s="327"/>
    </row>
    <row r="81" spans="1:23" ht="13.75" hidden="1" customHeight="1">
      <c r="A81" s="165">
        <v>12</v>
      </c>
      <c r="B81" s="327">
        <f>COUNTIFS('様式1-2（計画排出量）'!$B$16:$B$515,$A81,'様式1-2（計画排出量）'!$H$16:$H$515,"普通貨物車",'様式1-2（計画排出量）'!$J$16:$J$515,"&lt;=1700",'様式1-2（計画排出量）'!$S$16:$S$515,"廃止")</f>
        <v>0</v>
      </c>
      <c r="C81" s="327">
        <f>COUNTIFS('様式1-2（計画排出量）'!$B$16:$B$515,$A81,'様式1-2（計画排出量）'!$H$16:$H$515,"普通貨物車",'様式1-2（計画排出量）'!$J$16:$J$515,"&gt;1700",'様式1-2（計画排出量）'!$J$16:$J$515,"&lt;=2500",'様式1-2（計画排出量）'!$S$16:$S$515,"廃止")</f>
        <v>0</v>
      </c>
      <c r="D81" s="327">
        <f>COUNTIFS('様式1-2（計画排出量）'!$B$16:$B$515,$A81,'様式1-2（計画排出量）'!$H$16:$H$515,"普通貨物車",'様式1-2（計画排出量）'!$J$16:$J$515,"&gt;2500",'様式1-2（計画排出量）'!$J$16:$J$515,"&lt;=3500",'様式1-2（計画排出量）'!$S$16:$S$515,"廃止")</f>
        <v>0</v>
      </c>
      <c r="E81" s="327">
        <f>COUNTIFS('様式1-2（計画排出量）'!$B$16:$B$515,$A81,'様式1-2（計画排出量）'!$H$16:$H$515,"普通貨物車",'様式1-2（計画排出量）'!$J$16:$J$515,"&gt;3500",'様式1-2（計画排出量）'!$S$16:$S$515,"廃止")</f>
        <v>0</v>
      </c>
      <c r="F81" s="327">
        <f>COUNTIFS('様式1-2（計画排出量）'!$B$16:$B$515,$A81,'様式1-2（計画排出量）'!$H$16:$H$515,"小型貨物車",'様式1-2（計画排出量）'!$J$16:$J$515,"&lt;=1700",'様式1-2（計画排出量）'!$S$16:$S$515,"廃止")</f>
        <v>0</v>
      </c>
      <c r="G81" s="327">
        <f>COUNTIFS('様式1-2（計画排出量）'!$B$16:$B$515,$A81,'様式1-2（計画排出量）'!$H$16:$H$515,"小型貨物車",'様式1-2（計画排出量）'!$J$16:$J$515,"&gt;1700",'様式1-2（計画排出量）'!$J$16:$J$515,"&lt;=2500",'様式1-2（計画排出量）'!$S$16:$S$515,"廃止")</f>
        <v>0</v>
      </c>
      <c r="H81" s="327">
        <f>COUNTIFS('様式1-2（計画排出量）'!$B$16:$B$515,$A81,'様式1-2（計画排出量）'!$H$16:$H$515,"小型貨物車",'様式1-2（計画排出量）'!$J$16:$J$515,"&gt;2500",'様式1-2（計画排出量）'!$J$16:$J$515,"&lt;=3500",'様式1-2（計画排出量）'!$S$16:$S$515,"廃止")</f>
        <v>0</v>
      </c>
      <c r="I81" s="327">
        <f>COUNTIFS('様式1-2（計画排出量）'!$B$16:$B$515,$A81,'様式1-2（計画排出量）'!$H$16:$H$515,"小型貨物車",'様式1-2（計画排出量）'!$J$16:$J$515,"&gt;3500",'様式1-2（計画排出量）'!$S$16:$S$515,"廃止")</f>
        <v>0</v>
      </c>
      <c r="J81" s="327">
        <f>COUNTIFS('様式1-2（計画排出量）'!$B$16:$B$515,$A81,'様式1-2（計画排出量）'!$H$16:$H$515,"大型バス",'様式1-2（計画排出量）'!$J$16:$J$515,"&lt;=1700",'様式1-2（計画排出量）'!$S$16:$S$515,"廃止")</f>
        <v>0</v>
      </c>
      <c r="K81" s="327">
        <f>COUNTIFS('様式1-2（計画排出量）'!$B$16:$B$515,$A81,'様式1-2（計画排出量）'!$H$16:$H$515,"大型バス",'様式1-2（計画排出量）'!$J$16:$J$515,"&gt;1700",'様式1-2（計画排出量）'!$J$16:$J$515,"&lt;=2500",'様式1-2（計画排出量）'!$S$16:$S$515,"廃止")</f>
        <v>0</v>
      </c>
      <c r="L81" s="327">
        <f>COUNTIFS('様式1-2（計画排出量）'!$B$16:$B$515,$A81,'様式1-2（計画排出量）'!$H$16:$H$515,"大型バス",'様式1-2（計画排出量）'!$J$16:$J$515,"&gt;2500",'様式1-2（計画排出量）'!$J$16:$J$515,"&lt;=3500",'様式1-2（計画排出量）'!$S$16:$S$515,"廃止")</f>
        <v>0</v>
      </c>
      <c r="M81" s="327">
        <f>COUNTIFS('様式1-2（計画排出量）'!$B$16:$B$515,$A81,'様式1-2（計画排出量）'!$H$16:$H$515,"大型バス",'様式1-2（計画排出量）'!$J$16:$J$515,"&gt;3500",'様式1-2（計画排出量）'!$S$16:$S$515,"廃止")</f>
        <v>0</v>
      </c>
      <c r="N81" s="327">
        <f>COUNTIFS('様式1-2（計画排出量）'!$B$16:$B$515,$A81,'様式1-2（計画排出量）'!$H$16:$H$515,"マイクロバス",'様式1-2（計画排出量）'!$J$16:$J$515,"&lt;=1700",'様式1-2（計画排出量）'!$S$16:$S$515,"廃止")</f>
        <v>0</v>
      </c>
      <c r="O81" s="327">
        <f>COUNTIFS('様式1-2（計画排出量）'!$B$16:$B$515,$A81,'様式1-2（計画排出量）'!$H$16:$H$515,"マイクロバス",'様式1-2（計画排出量）'!$J$16:$J$515,"&gt;1700",'様式1-2（計画排出量）'!$J$16:$J$515,"&lt;=2500",'様式1-2（計画排出量）'!$S$16:$S$515,"廃止")</f>
        <v>0</v>
      </c>
      <c r="P81" s="327">
        <f>COUNTIFS('様式1-2（計画排出量）'!$B$16:$B$515,$A81,'様式1-2（計画排出量）'!$H$16:$H$515,"マイクロバス",'様式1-2（計画排出量）'!$J$16:$J$515,"&gt;2500",'様式1-2（計画排出量）'!$J$16:$J$515,"&lt;=3500",'様式1-2（計画排出量）'!$S$16:$S$515,"廃止")</f>
        <v>0</v>
      </c>
      <c r="Q81" s="327">
        <f>COUNTIFS('様式1-2（計画排出量）'!$B$16:$B$515,$A81,'様式1-2（計画排出量）'!$H$16:$H$515,"マイクロバス",'様式1-2（計画排出量）'!$J$16:$J$515,"&gt;3500",'様式1-2（計画排出量）'!$S$16:$S$515,"廃止")</f>
        <v>0</v>
      </c>
      <c r="R81" s="327">
        <f>COUNTIFS('様式1-2（計画排出量）'!$B$16:$B$515,$A81,'様式1-2（計画排出量）'!$H$16:$H$515,"特種車*",'様式1-2（計画排出量）'!$J$16:$J$515,"&lt;=1700",'様式1-2（計画排出量）'!$S$16:$S$515,"廃止")</f>
        <v>0</v>
      </c>
      <c r="S81" s="327">
        <f>COUNTIFS('様式1-2（計画排出量）'!$B$16:$B$515,$A81,'様式1-2（計画排出量）'!$H$16:$H$515,"特種車*",'様式1-2（計画排出量）'!$J$16:$J$515,"&gt;1700",'様式1-2（計画排出量）'!$J$16:$J$515,"&lt;=2500",'様式1-2（計画排出量）'!$S$16:$S$515,"廃止")</f>
        <v>0</v>
      </c>
      <c r="T81" s="327">
        <f>COUNTIFS('様式1-2（計画排出量）'!$B$16:$B$515,$A81,'様式1-2（計画排出量）'!$H$16:$H$515,"特種車*",'様式1-2（計画排出量）'!$J$16:$J$515,"&gt;2500",'様式1-2（計画排出量）'!$J$16:$J$515,"&lt;=3500",'様式1-2（計画排出量）'!$S$16:$S$515,"廃止")</f>
        <v>0</v>
      </c>
      <c r="U81" s="327">
        <f>COUNTIFS('様式1-2（計画排出量）'!$B$16:$B$515,$A81,'様式1-2（計画排出量）'!$H$16:$H$515,"特種車*",'様式1-2（計画排出量）'!$J$16:$J$515,"&gt;3500",'様式1-2（計画排出量）'!$S$16:$S$515,"廃止")</f>
        <v>0</v>
      </c>
      <c r="V81" s="327">
        <f>COUNTIFS('様式1-2（計画排出量）'!$B$16:$B$515,$A81,'様式1-2（計画排出量）'!$H$16:$H$515,"乗用車*",'様式1-2（計画排出量）'!$S$16:$S$515,"廃止")</f>
        <v>0</v>
      </c>
      <c r="W81" s="327"/>
    </row>
    <row r="82" spans="1:23" ht="13.75" hidden="1" customHeight="1">
      <c r="A82" s="165">
        <v>13</v>
      </c>
      <c r="B82" s="327">
        <f>COUNTIFS('様式1-2（計画排出量）'!$B$16:$B$515,$A82,'様式1-2（計画排出量）'!$H$16:$H$515,"普通貨物車",'様式1-2（計画排出量）'!$J$16:$J$515,"&lt;=1700",'様式1-2（計画排出量）'!$S$16:$S$515,"廃止")</f>
        <v>0</v>
      </c>
      <c r="C82" s="327">
        <f>COUNTIFS('様式1-2（計画排出量）'!$B$16:$B$515,$A82,'様式1-2（計画排出量）'!$H$16:$H$515,"普通貨物車",'様式1-2（計画排出量）'!$J$16:$J$515,"&gt;1700",'様式1-2（計画排出量）'!$J$16:$J$515,"&lt;=2500",'様式1-2（計画排出量）'!$S$16:$S$515,"廃止")</f>
        <v>0</v>
      </c>
      <c r="D82" s="327">
        <f>COUNTIFS('様式1-2（計画排出量）'!$B$16:$B$515,$A82,'様式1-2（計画排出量）'!$H$16:$H$515,"普通貨物車",'様式1-2（計画排出量）'!$J$16:$J$515,"&gt;2500",'様式1-2（計画排出量）'!$J$16:$J$515,"&lt;=3500",'様式1-2（計画排出量）'!$S$16:$S$515,"廃止")</f>
        <v>0</v>
      </c>
      <c r="E82" s="327">
        <f>COUNTIFS('様式1-2（計画排出量）'!$B$16:$B$515,$A82,'様式1-2（計画排出量）'!$H$16:$H$515,"普通貨物車",'様式1-2（計画排出量）'!$J$16:$J$515,"&gt;3500",'様式1-2（計画排出量）'!$S$16:$S$515,"廃止")</f>
        <v>0</v>
      </c>
      <c r="F82" s="327">
        <f>COUNTIFS('様式1-2（計画排出量）'!$B$16:$B$515,$A82,'様式1-2（計画排出量）'!$H$16:$H$515,"小型貨物車",'様式1-2（計画排出量）'!$J$16:$J$515,"&lt;=1700",'様式1-2（計画排出量）'!$S$16:$S$515,"廃止")</f>
        <v>0</v>
      </c>
      <c r="G82" s="327">
        <f>COUNTIFS('様式1-2（計画排出量）'!$B$16:$B$515,$A82,'様式1-2（計画排出量）'!$H$16:$H$515,"小型貨物車",'様式1-2（計画排出量）'!$J$16:$J$515,"&gt;1700",'様式1-2（計画排出量）'!$J$16:$J$515,"&lt;=2500",'様式1-2（計画排出量）'!$S$16:$S$515,"廃止")</f>
        <v>0</v>
      </c>
      <c r="H82" s="327">
        <f>COUNTIFS('様式1-2（計画排出量）'!$B$16:$B$515,$A82,'様式1-2（計画排出量）'!$H$16:$H$515,"小型貨物車",'様式1-2（計画排出量）'!$J$16:$J$515,"&gt;2500",'様式1-2（計画排出量）'!$J$16:$J$515,"&lt;=3500",'様式1-2（計画排出量）'!$S$16:$S$515,"廃止")</f>
        <v>0</v>
      </c>
      <c r="I82" s="327">
        <f>COUNTIFS('様式1-2（計画排出量）'!$B$16:$B$515,$A82,'様式1-2（計画排出量）'!$H$16:$H$515,"小型貨物車",'様式1-2（計画排出量）'!$J$16:$J$515,"&gt;3500",'様式1-2（計画排出量）'!$S$16:$S$515,"廃止")</f>
        <v>0</v>
      </c>
      <c r="J82" s="327">
        <f>COUNTIFS('様式1-2（計画排出量）'!$B$16:$B$515,$A82,'様式1-2（計画排出量）'!$H$16:$H$515,"大型バス",'様式1-2（計画排出量）'!$J$16:$J$515,"&lt;=1700",'様式1-2（計画排出量）'!$S$16:$S$515,"廃止")</f>
        <v>0</v>
      </c>
      <c r="K82" s="327">
        <f>COUNTIFS('様式1-2（計画排出量）'!$B$16:$B$515,$A82,'様式1-2（計画排出量）'!$H$16:$H$515,"大型バス",'様式1-2（計画排出量）'!$J$16:$J$515,"&gt;1700",'様式1-2（計画排出量）'!$J$16:$J$515,"&lt;=2500",'様式1-2（計画排出量）'!$S$16:$S$515,"廃止")</f>
        <v>0</v>
      </c>
      <c r="L82" s="327">
        <f>COUNTIFS('様式1-2（計画排出量）'!$B$16:$B$515,$A82,'様式1-2（計画排出量）'!$H$16:$H$515,"大型バス",'様式1-2（計画排出量）'!$J$16:$J$515,"&gt;2500",'様式1-2（計画排出量）'!$J$16:$J$515,"&lt;=3500",'様式1-2（計画排出量）'!$S$16:$S$515,"廃止")</f>
        <v>0</v>
      </c>
      <c r="M82" s="327">
        <f>COUNTIFS('様式1-2（計画排出量）'!$B$16:$B$515,$A82,'様式1-2（計画排出量）'!$H$16:$H$515,"大型バス",'様式1-2（計画排出量）'!$J$16:$J$515,"&gt;3500",'様式1-2（計画排出量）'!$S$16:$S$515,"廃止")</f>
        <v>0</v>
      </c>
      <c r="N82" s="327">
        <f>COUNTIFS('様式1-2（計画排出量）'!$B$16:$B$515,$A82,'様式1-2（計画排出量）'!$H$16:$H$515,"マイクロバス",'様式1-2（計画排出量）'!$J$16:$J$515,"&lt;=1700",'様式1-2（計画排出量）'!$S$16:$S$515,"廃止")</f>
        <v>0</v>
      </c>
      <c r="O82" s="327">
        <f>COUNTIFS('様式1-2（計画排出量）'!$B$16:$B$515,$A82,'様式1-2（計画排出量）'!$H$16:$H$515,"マイクロバス",'様式1-2（計画排出量）'!$J$16:$J$515,"&gt;1700",'様式1-2（計画排出量）'!$J$16:$J$515,"&lt;=2500",'様式1-2（計画排出量）'!$S$16:$S$515,"廃止")</f>
        <v>0</v>
      </c>
      <c r="P82" s="327">
        <f>COUNTIFS('様式1-2（計画排出量）'!$B$16:$B$515,$A82,'様式1-2（計画排出量）'!$H$16:$H$515,"マイクロバス",'様式1-2（計画排出量）'!$J$16:$J$515,"&gt;2500",'様式1-2（計画排出量）'!$J$16:$J$515,"&lt;=3500",'様式1-2（計画排出量）'!$S$16:$S$515,"廃止")</f>
        <v>0</v>
      </c>
      <c r="Q82" s="327">
        <f>COUNTIFS('様式1-2（計画排出量）'!$B$16:$B$515,$A82,'様式1-2（計画排出量）'!$H$16:$H$515,"マイクロバス",'様式1-2（計画排出量）'!$J$16:$J$515,"&gt;3500",'様式1-2（計画排出量）'!$S$16:$S$515,"廃止")</f>
        <v>0</v>
      </c>
      <c r="R82" s="327">
        <f>COUNTIFS('様式1-2（計画排出量）'!$B$16:$B$515,$A82,'様式1-2（計画排出量）'!$H$16:$H$515,"特種車*",'様式1-2（計画排出量）'!$J$16:$J$515,"&lt;=1700",'様式1-2（計画排出量）'!$S$16:$S$515,"廃止")</f>
        <v>0</v>
      </c>
      <c r="S82" s="327">
        <f>COUNTIFS('様式1-2（計画排出量）'!$B$16:$B$515,$A82,'様式1-2（計画排出量）'!$H$16:$H$515,"特種車*",'様式1-2（計画排出量）'!$J$16:$J$515,"&gt;1700",'様式1-2（計画排出量）'!$J$16:$J$515,"&lt;=2500",'様式1-2（計画排出量）'!$S$16:$S$515,"廃止")</f>
        <v>0</v>
      </c>
      <c r="T82" s="327">
        <f>COUNTIFS('様式1-2（計画排出量）'!$B$16:$B$515,$A82,'様式1-2（計画排出量）'!$H$16:$H$515,"特種車*",'様式1-2（計画排出量）'!$J$16:$J$515,"&gt;2500",'様式1-2（計画排出量）'!$J$16:$J$515,"&lt;=3500",'様式1-2（計画排出量）'!$S$16:$S$515,"廃止")</f>
        <v>0</v>
      </c>
      <c r="U82" s="327">
        <f>COUNTIFS('様式1-2（計画排出量）'!$B$16:$B$515,$A82,'様式1-2（計画排出量）'!$H$16:$H$515,"特種車*",'様式1-2（計画排出量）'!$J$16:$J$515,"&gt;3500",'様式1-2（計画排出量）'!$S$16:$S$515,"廃止")</f>
        <v>0</v>
      </c>
      <c r="V82" s="327">
        <f>COUNTIFS('様式1-2（計画排出量）'!$B$16:$B$515,$A82,'様式1-2（計画排出量）'!$H$16:$H$515,"乗用車*",'様式1-2（計画排出量）'!$S$16:$S$515,"廃止")</f>
        <v>0</v>
      </c>
      <c r="W82" s="327"/>
    </row>
    <row r="83" spans="1:23" ht="13.75" hidden="1" customHeight="1">
      <c r="A83" s="165">
        <v>14</v>
      </c>
      <c r="B83" s="327">
        <f>COUNTIFS('様式1-2（計画排出量）'!$B$16:$B$515,$A83,'様式1-2（計画排出量）'!$H$16:$H$515,"普通貨物車",'様式1-2（計画排出量）'!$J$16:$J$515,"&lt;=1700",'様式1-2（計画排出量）'!$S$16:$S$515,"廃止")</f>
        <v>0</v>
      </c>
      <c r="C83" s="327">
        <f>COUNTIFS('様式1-2（計画排出量）'!$B$16:$B$515,$A83,'様式1-2（計画排出量）'!$H$16:$H$515,"普通貨物車",'様式1-2（計画排出量）'!$J$16:$J$515,"&gt;1700",'様式1-2（計画排出量）'!$J$16:$J$515,"&lt;=2500",'様式1-2（計画排出量）'!$S$16:$S$515,"廃止")</f>
        <v>0</v>
      </c>
      <c r="D83" s="327">
        <f>COUNTIFS('様式1-2（計画排出量）'!$B$16:$B$515,$A83,'様式1-2（計画排出量）'!$H$16:$H$515,"普通貨物車",'様式1-2（計画排出量）'!$J$16:$J$515,"&gt;2500",'様式1-2（計画排出量）'!$J$16:$J$515,"&lt;=3500",'様式1-2（計画排出量）'!$S$16:$S$515,"廃止")</f>
        <v>0</v>
      </c>
      <c r="E83" s="327">
        <f>COUNTIFS('様式1-2（計画排出量）'!$B$16:$B$515,$A83,'様式1-2（計画排出量）'!$H$16:$H$515,"普通貨物車",'様式1-2（計画排出量）'!$J$16:$J$515,"&gt;3500",'様式1-2（計画排出量）'!$S$16:$S$515,"廃止")</f>
        <v>0</v>
      </c>
      <c r="F83" s="327">
        <f>COUNTIFS('様式1-2（計画排出量）'!$B$16:$B$515,$A83,'様式1-2（計画排出量）'!$H$16:$H$515,"小型貨物車",'様式1-2（計画排出量）'!$J$16:$J$515,"&lt;=1700",'様式1-2（計画排出量）'!$S$16:$S$515,"廃止")</f>
        <v>0</v>
      </c>
      <c r="G83" s="327">
        <f>COUNTIFS('様式1-2（計画排出量）'!$B$16:$B$515,$A83,'様式1-2（計画排出量）'!$H$16:$H$515,"小型貨物車",'様式1-2（計画排出量）'!$J$16:$J$515,"&gt;1700",'様式1-2（計画排出量）'!$J$16:$J$515,"&lt;=2500",'様式1-2（計画排出量）'!$S$16:$S$515,"廃止")</f>
        <v>0</v>
      </c>
      <c r="H83" s="327">
        <f>COUNTIFS('様式1-2（計画排出量）'!$B$16:$B$515,$A83,'様式1-2（計画排出量）'!$H$16:$H$515,"小型貨物車",'様式1-2（計画排出量）'!$J$16:$J$515,"&gt;2500",'様式1-2（計画排出量）'!$J$16:$J$515,"&lt;=3500",'様式1-2（計画排出量）'!$S$16:$S$515,"廃止")</f>
        <v>0</v>
      </c>
      <c r="I83" s="327">
        <f>COUNTIFS('様式1-2（計画排出量）'!$B$16:$B$515,$A83,'様式1-2（計画排出量）'!$H$16:$H$515,"小型貨物車",'様式1-2（計画排出量）'!$J$16:$J$515,"&gt;3500",'様式1-2（計画排出量）'!$S$16:$S$515,"廃止")</f>
        <v>0</v>
      </c>
      <c r="J83" s="327">
        <f>COUNTIFS('様式1-2（計画排出量）'!$B$16:$B$515,$A83,'様式1-2（計画排出量）'!$H$16:$H$515,"大型バス",'様式1-2（計画排出量）'!$J$16:$J$515,"&lt;=1700",'様式1-2（計画排出量）'!$S$16:$S$515,"廃止")</f>
        <v>0</v>
      </c>
      <c r="K83" s="327">
        <f>COUNTIFS('様式1-2（計画排出量）'!$B$16:$B$515,$A83,'様式1-2（計画排出量）'!$H$16:$H$515,"大型バス",'様式1-2（計画排出量）'!$J$16:$J$515,"&gt;1700",'様式1-2（計画排出量）'!$J$16:$J$515,"&lt;=2500",'様式1-2（計画排出量）'!$S$16:$S$515,"廃止")</f>
        <v>0</v>
      </c>
      <c r="L83" s="327">
        <f>COUNTIFS('様式1-2（計画排出量）'!$B$16:$B$515,$A83,'様式1-2（計画排出量）'!$H$16:$H$515,"大型バス",'様式1-2（計画排出量）'!$J$16:$J$515,"&gt;2500",'様式1-2（計画排出量）'!$J$16:$J$515,"&lt;=3500",'様式1-2（計画排出量）'!$S$16:$S$515,"廃止")</f>
        <v>0</v>
      </c>
      <c r="M83" s="327">
        <f>COUNTIFS('様式1-2（計画排出量）'!$B$16:$B$515,$A83,'様式1-2（計画排出量）'!$H$16:$H$515,"大型バス",'様式1-2（計画排出量）'!$J$16:$J$515,"&gt;3500",'様式1-2（計画排出量）'!$S$16:$S$515,"廃止")</f>
        <v>0</v>
      </c>
      <c r="N83" s="327">
        <f>COUNTIFS('様式1-2（計画排出量）'!$B$16:$B$515,$A83,'様式1-2（計画排出量）'!$H$16:$H$515,"マイクロバス",'様式1-2（計画排出量）'!$J$16:$J$515,"&lt;=1700",'様式1-2（計画排出量）'!$S$16:$S$515,"廃止")</f>
        <v>0</v>
      </c>
      <c r="O83" s="327">
        <f>COUNTIFS('様式1-2（計画排出量）'!$B$16:$B$515,$A83,'様式1-2（計画排出量）'!$H$16:$H$515,"マイクロバス",'様式1-2（計画排出量）'!$J$16:$J$515,"&gt;1700",'様式1-2（計画排出量）'!$J$16:$J$515,"&lt;=2500",'様式1-2（計画排出量）'!$S$16:$S$515,"廃止")</f>
        <v>0</v>
      </c>
      <c r="P83" s="327">
        <f>COUNTIFS('様式1-2（計画排出量）'!$B$16:$B$515,$A83,'様式1-2（計画排出量）'!$H$16:$H$515,"マイクロバス",'様式1-2（計画排出量）'!$J$16:$J$515,"&gt;2500",'様式1-2（計画排出量）'!$J$16:$J$515,"&lt;=3500",'様式1-2（計画排出量）'!$S$16:$S$515,"廃止")</f>
        <v>0</v>
      </c>
      <c r="Q83" s="327">
        <f>COUNTIFS('様式1-2（計画排出量）'!$B$16:$B$515,$A83,'様式1-2（計画排出量）'!$H$16:$H$515,"マイクロバス",'様式1-2（計画排出量）'!$J$16:$J$515,"&gt;3500",'様式1-2（計画排出量）'!$S$16:$S$515,"廃止")</f>
        <v>0</v>
      </c>
      <c r="R83" s="327">
        <f>COUNTIFS('様式1-2（計画排出量）'!$B$16:$B$515,$A83,'様式1-2（計画排出量）'!$H$16:$H$515,"特種車*",'様式1-2（計画排出量）'!$J$16:$J$515,"&lt;=1700",'様式1-2（計画排出量）'!$S$16:$S$515,"廃止")</f>
        <v>0</v>
      </c>
      <c r="S83" s="327">
        <f>COUNTIFS('様式1-2（計画排出量）'!$B$16:$B$515,$A83,'様式1-2（計画排出量）'!$H$16:$H$515,"特種車*",'様式1-2（計画排出量）'!$J$16:$J$515,"&gt;1700",'様式1-2（計画排出量）'!$J$16:$J$515,"&lt;=2500",'様式1-2（計画排出量）'!$S$16:$S$515,"廃止")</f>
        <v>0</v>
      </c>
      <c r="T83" s="327">
        <f>COUNTIFS('様式1-2（計画排出量）'!$B$16:$B$515,$A83,'様式1-2（計画排出量）'!$H$16:$H$515,"特種車*",'様式1-2（計画排出量）'!$J$16:$J$515,"&gt;2500",'様式1-2（計画排出量）'!$J$16:$J$515,"&lt;=3500",'様式1-2（計画排出量）'!$S$16:$S$515,"廃止")</f>
        <v>0</v>
      </c>
      <c r="U83" s="327">
        <f>COUNTIFS('様式1-2（計画排出量）'!$B$16:$B$515,$A83,'様式1-2（計画排出量）'!$H$16:$H$515,"特種車*",'様式1-2（計画排出量）'!$J$16:$J$515,"&gt;3500",'様式1-2（計画排出量）'!$S$16:$S$515,"廃止")</f>
        <v>0</v>
      </c>
      <c r="V83" s="327">
        <f>COUNTIFS('様式1-2（計画排出量）'!$B$16:$B$515,$A83,'様式1-2（計画排出量）'!$H$16:$H$515,"乗用車*",'様式1-2（計画排出量）'!$S$16:$S$515,"廃止")</f>
        <v>0</v>
      </c>
      <c r="W83" s="327"/>
    </row>
    <row r="84" spans="1:23" ht="13.75" hidden="1" customHeight="1">
      <c r="A84" s="165">
        <v>15</v>
      </c>
      <c r="B84" s="327">
        <f>COUNTIFS('様式1-2（計画排出量）'!$B$16:$B$515,$A84,'様式1-2（計画排出量）'!$H$16:$H$515,"普通貨物車",'様式1-2（計画排出量）'!$J$16:$J$515,"&lt;=1700",'様式1-2（計画排出量）'!$S$16:$S$515,"廃止")</f>
        <v>0</v>
      </c>
      <c r="C84" s="327">
        <f>COUNTIFS('様式1-2（計画排出量）'!$B$16:$B$515,$A84,'様式1-2（計画排出量）'!$H$16:$H$515,"普通貨物車",'様式1-2（計画排出量）'!$J$16:$J$515,"&gt;1700",'様式1-2（計画排出量）'!$J$16:$J$515,"&lt;=2500",'様式1-2（計画排出量）'!$S$16:$S$515,"廃止")</f>
        <v>0</v>
      </c>
      <c r="D84" s="327">
        <f>COUNTIFS('様式1-2（計画排出量）'!$B$16:$B$515,$A84,'様式1-2（計画排出量）'!$H$16:$H$515,"普通貨物車",'様式1-2（計画排出量）'!$J$16:$J$515,"&gt;2500",'様式1-2（計画排出量）'!$J$16:$J$515,"&lt;=3500",'様式1-2（計画排出量）'!$S$16:$S$515,"廃止")</f>
        <v>0</v>
      </c>
      <c r="E84" s="327">
        <f>COUNTIFS('様式1-2（計画排出量）'!$B$16:$B$515,$A84,'様式1-2（計画排出量）'!$H$16:$H$515,"普通貨物車",'様式1-2（計画排出量）'!$J$16:$J$515,"&gt;3500",'様式1-2（計画排出量）'!$S$16:$S$515,"廃止")</f>
        <v>0</v>
      </c>
      <c r="F84" s="327">
        <f>COUNTIFS('様式1-2（計画排出量）'!$B$16:$B$515,$A84,'様式1-2（計画排出量）'!$H$16:$H$515,"小型貨物車",'様式1-2（計画排出量）'!$J$16:$J$515,"&lt;=1700",'様式1-2（計画排出量）'!$S$16:$S$515,"廃止")</f>
        <v>0</v>
      </c>
      <c r="G84" s="327">
        <f>COUNTIFS('様式1-2（計画排出量）'!$B$16:$B$515,$A84,'様式1-2（計画排出量）'!$H$16:$H$515,"小型貨物車",'様式1-2（計画排出量）'!$J$16:$J$515,"&gt;1700",'様式1-2（計画排出量）'!$J$16:$J$515,"&lt;=2500",'様式1-2（計画排出量）'!$S$16:$S$515,"廃止")</f>
        <v>0</v>
      </c>
      <c r="H84" s="327">
        <f>COUNTIFS('様式1-2（計画排出量）'!$B$16:$B$515,$A84,'様式1-2（計画排出量）'!$H$16:$H$515,"小型貨物車",'様式1-2（計画排出量）'!$J$16:$J$515,"&gt;2500",'様式1-2（計画排出量）'!$J$16:$J$515,"&lt;=3500",'様式1-2（計画排出量）'!$S$16:$S$515,"廃止")</f>
        <v>0</v>
      </c>
      <c r="I84" s="327">
        <f>COUNTIFS('様式1-2（計画排出量）'!$B$16:$B$515,$A84,'様式1-2（計画排出量）'!$H$16:$H$515,"小型貨物車",'様式1-2（計画排出量）'!$J$16:$J$515,"&gt;3500",'様式1-2（計画排出量）'!$S$16:$S$515,"廃止")</f>
        <v>0</v>
      </c>
      <c r="J84" s="327">
        <f>COUNTIFS('様式1-2（計画排出量）'!$B$16:$B$515,$A84,'様式1-2（計画排出量）'!$H$16:$H$515,"大型バス",'様式1-2（計画排出量）'!$J$16:$J$515,"&lt;=1700",'様式1-2（計画排出量）'!$S$16:$S$515,"廃止")</f>
        <v>0</v>
      </c>
      <c r="K84" s="327">
        <f>COUNTIFS('様式1-2（計画排出量）'!$B$16:$B$515,$A84,'様式1-2（計画排出量）'!$H$16:$H$515,"大型バス",'様式1-2（計画排出量）'!$J$16:$J$515,"&gt;1700",'様式1-2（計画排出量）'!$J$16:$J$515,"&lt;=2500",'様式1-2（計画排出量）'!$S$16:$S$515,"廃止")</f>
        <v>0</v>
      </c>
      <c r="L84" s="327">
        <f>COUNTIFS('様式1-2（計画排出量）'!$B$16:$B$515,$A84,'様式1-2（計画排出量）'!$H$16:$H$515,"大型バス",'様式1-2（計画排出量）'!$J$16:$J$515,"&gt;2500",'様式1-2（計画排出量）'!$J$16:$J$515,"&lt;=3500",'様式1-2（計画排出量）'!$S$16:$S$515,"廃止")</f>
        <v>0</v>
      </c>
      <c r="M84" s="327">
        <f>COUNTIFS('様式1-2（計画排出量）'!$B$16:$B$515,$A84,'様式1-2（計画排出量）'!$H$16:$H$515,"大型バス",'様式1-2（計画排出量）'!$J$16:$J$515,"&gt;3500",'様式1-2（計画排出量）'!$S$16:$S$515,"廃止")</f>
        <v>0</v>
      </c>
      <c r="N84" s="327">
        <f>COUNTIFS('様式1-2（計画排出量）'!$B$16:$B$515,$A84,'様式1-2（計画排出量）'!$H$16:$H$515,"マイクロバス",'様式1-2（計画排出量）'!$J$16:$J$515,"&lt;=1700",'様式1-2（計画排出量）'!$S$16:$S$515,"廃止")</f>
        <v>0</v>
      </c>
      <c r="O84" s="327">
        <f>COUNTIFS('様式1-2（計画排出量）'!$B$16:$B$515,$A84,'様式1-2（計画排出量）'!$H$16:$H$515,"マイクロバス",'様式1-2（計画排出量）'!$J$16:$J$515,"&gt;1700",'様式1-2（計画排出量）'!$J$16:$J$515,"&lt;=2500",'様式1-2（計画排出量）'!$S$16:$S$515,"廃止")</f>
        <v>0</v>
      </c>
      <c r="P84" s="327">
        <f>COUNTIFS('様式1-2（計画排出量）'!$B$16:$B$515,$A84,'様式1-2（計画排出量）'!$H$16:$H$515,"マイクロバス",'様式1-2（計画排出量）'!$J$16:$J$515,"&gt;2500",'様式1-2（計画排出量）'!$J$16:$J$515,"&lt;=3500",'様式1-2（計画排出量）'!$S$16:$S$515,"廃止")</f>
        <v>0</v>
      </c>
      <c r="Q84" s="327">
        <f>COUNTIFS('様式1-2（計画排出量）'!$B$16:$B$515,$A84,'様式1-2（計画排出量）'!$H$16:$H$515,"マイクロバス",'様式1-2（計画排出量）'!$J$16:$J$515,"&gt;3500",'様式1-2（計画排出量）'!$S$16:$S$515,"廃止")</f>
        <v>0</v>
      </c>
      <c r="R84" s="327">
        <f>COUNTIFS('様式1-2（計画排出量）'!$B$16:$B$515,$A84,'様式1-2（計画排出量）'!$H$16:$H$515,"特種車*",'様式1-2（計画排出量）'!$J$16:$J$515,"&lt;=1700",'様式1-2（計画排出量）'!$S$16:$S$515,"廃止")</f>
        <v>0</v>
      </c>
      <c r="S84" s="327">
        <f>COUNTIFS('様式1-2（計画排出量）'!$B$16:$B$515,$A84,'様式1-2（計画排出量）'!$H$16:$H$515,"特種車*",'様式1-2（計画排出量）'!$J$16:$J$515,"&gt;1700",'様式1-2（計画排出量）'!$J$16:$J$515,"&lt;=2500",'様式1-2（計画排出量）'!$S$16:$S$515,"廃止")</f>
        <v>0</v>
      </c>
      <c r="T84" s="327">
        <f>COUNTIFS('様式1-2（計画排出量）'!$B$16:$B$515,$A84,'様式1-2（計画排出量）'!$H$16:$H$515,"特種車*",'様式1-2（計画排出量）'!$J$16:$J$515,"&gt;2500",'様式1-2（計画排出量）'!$J$16:$J$515,"&lt;=3500",'様式1-2（計画排出量）'!$S$16:$S$515,"廃止")</f>
        <v>0</v>
      </c>
      <c r="U84" s="327">
        <f>COUNTIFS('様式1-2（計画排出量）'!$B$16:$B$515,$A84,'様式1-2（計画排出量）'!$H$16:$H$515,"特種車*",'様式1-2（計画排出量）'!$J$16:$J$515,"&gt;3500",'様式1-2（計画排出量）'!$S$16:$S$515,"廃止")</f>
        <v>0</v>
      </c>
      <c r="V84" s="327">
        <f>COUNTIFS('様式1-2（計画排出量）'!$B$16:$B$515,$A84,'様式1-2（計画排出量）'!$H$16:$H$515,"乗用車*",'様式1-2（計画排出量）'!$S$16:$S$515,"廃止")</f>
        <v>0</v>
      </c>
      <c r="W84" s="327"/>
    </row>
    <row r="85" spans="1:23" ht="13.75" hidden="1" customHeight="1">
      <c r="A85" s="165">
        <v>16</v>
      </c>
      <c r="B85" s="327">
        <f>COUNTIFS('様式1-2（計画排出量）'!$B$16:$B$515,$A85,'様式1-2（計画排出量）'!$H$16:$H$515,"普通貨物車",'様式1-2（計画排出量）'!$J$16:$J$515,"&lt;=1700",'様式1-2（計画排出量）'!$S$16:$S$515,"廃止")</f>
        <v>0</v>
      </c>
      <c r="C85" s="327">
        <f>COUNTIFS('様式1-2（計画排出量）'!$B$16:$B$515,$A85,'様式1-2（計画排出量）'!$H$16:$H$515,"普通貨物車",'様式1-2（計画排出量）'!$J$16:$J$515,"&gt;1700",'様式1-2（計画排出量）'!$J$16:$J$515,"&lt;=2500",'様式1-2（計画排出量）'!$S$16:$S$515,"廃止")</f>
        <v>0</v>
      </c>
      <c r="D85" s="327">
        <f>COUNTIFS('様式1-2（計画排出量）'!$B$16:$B$515,$A85,'様式1-2（計画排出量）'!$H$16:$H$515,"普通貨物車",'様式1-2（計画排出量）'!$J$16:$J$515,"&gt;2500",'様式1-2（計画排出量）'!$J$16:$J$515,"&lt;=3500",'様式1-2（計画排出量）'!$S$16:$S$515,"廃止")</f>
        <v>0</v>
      </c>
      <c r="E85" s="327">
        <f>COUNTIFS('様式1-2（計画排出量）'!$B$16:$B$515,$A85,'様式1-2（計画排出量）'!$H$16:$H$515,"普通貨物車",'様式1-2（計画排出量）'!$J$16:$J$515,"&gt;3500",'様式1-2（計画排出量）'!$S$16:$S$515,"廃止")</f>
        <v>0</v>
      </c>
      <c r="F85" s="327">
        <f>COUNTIFS('様式1-2（計画排出量）'!$B$16:$B$515,$A85,'様式1-2（計画排出量）'!$H$16:$H$515,"小型貨物車",'様式1-2（計画排出量）'!$J$16:$J$515,"&lt;=1700",'様式1-2（計画排出量）'!$S$16:$S$515,"廃止")</f>
        <v>0</v>
      </c>
      <c r="G85" s="327">
        <f>COUNTIFS('様式1-2（計画排出量）'!$B$16:$B$515,$A85,'様式1-2（計画排出量）'!$H$16:$H$515,"小型貨物車",'様式1-2（計画排出量）'!$J$16:$J$515,"&gt;1700",'様式1-2（計画排出量）'!$J$16:$J$515,"&lt;=2500",'様式1-2（計画排出量）'!$S$16:$S$515,"廃止")</f>
        <v>0</v>
      </c>
      <c r="H85" s="327">
        <f>COUNTIFS('様式1-2（計画排出量）'!$B$16:$B$515,$A85,'様式1-2（計画排出量）'!$H$16:$H$515,"小型貨物車",'様式1-2（計画排出量）'!$J$16:$J$515,"&gt;2500",'様式1-2（計画排出量）'!$J$16:$J$515,"&lt;=3500",'様式1-2（計画排出量）'!$S$16:$S$515,"廃止")</f>
        <v>0</v>
      </c>
      <c r="I85" s="327">
        <f>COUNTIFS('様式1-2（計画排出量）'!$B$16:$B$515,$A85,'様式1-2（計画排出量）'!$H$16:$H$515,"小型貨物車",'様式1-2（計画排出量）'!$J$16:$J$515,"&gt;3500",'様式1-2（計画排出量）'!$S$16:$S$515,"廃止")</f>
        <v>0</v>
      </c>
      <c r="J85" s="327">
        <f>COUNTIFS('様式1-2（計画排出量）'!$B$16:$B$515,$A85,'様式1-2（計画排出量）'!$H$16:$H$515,"大型バス",'様式1-2（計画排出量）'!$J$16:$J$515,"&lt;=1700",'様式1-2（計画排出量）'!$S$16:$S$515,"廃止")</f>
        <v>0</v>
      </c>
      <c r="K85" s="327">
        <f>COUNTIFS('様式1-2（計画排出量）'!$B$16:$B$515,$A85,'様式1-2（計画排出量）'!$H$16:$H$515,"大型バス",'様式1-2（計画排出量）'!$J$16:$J$515,"&gt;1700",'様式1-2（計画排出量）'!$J$16:$J$515,"&lt;=2500",'様式1-2（計画排出量）'!$S$16:$S$515,"廃止")</f>
        <v>0</v>
      </c>
      <c r="L85" s="327">
        <f>COUNTIFS('様式1-2（計画排出量）'!$B$16:$B$515,$A85,'様式1-2（計画排出量）'!$H$16:$H$515,"大型バス",'様式1-2（計画排出量）'!$J$16:$J$515,"&gt;2500",'様式1-2（計画排出量）'!$J$16:$J$515,"&lt;=3500",'様式1-2（計画排出量）'!$S$16:$S$515,"廃止")</f>
        <v>0</v>
      </c>
      <c r="M85" s="327">
        <f>COUNTIFS('様式1-2（計画排出量）'!$B$16:$B$515,$A85,'様式1-2（計画排出量）'!$H$16:$H$515,"大型バス",'様式1-2（計画排出量）'!$J$16:$J$515,"&gt;3500",'様式1-2（計画排出量）'!$S$16:$S$515,"廃止")</f>
        <v>0</v>
      </c>
      <c r="N85" s="327">
        <f>COUNTIFS('様式1-2（計画排出量）'!$B$16:$B$515,$A85,'様式1-2（計画排出量）'!$H$16:$H$515,"マイクロバス",'様式1-2（計画排出量）'!$J$16:$J$515,"&lt;=1700",'様式1-2（計画排出量）'!$S$16:$S$515,"廃止")</f>
        <v>0</v>
      </c>
      <c r="O85" s="327">
        <f>COUNTIFS('様式1-2（計画排出量）'!$B$16:$B$515,$A85,'様式1-2（計画排出量）'!$H$16:$H$515,"マイクロバス",'様式1-2（計画排出量）'!$J$16:$J$515,"&gt;1700",'様式1-2（計画排出量）'!$J$16:$J$515,"&lt;=2500",'様式1-2（計画排出量）'!$S$16:$S$515,"廃止")</f>
        <v>0</v>
      </c>
      <c r="P85" s="327">
        <f>COUNTIFS('様式1-2（計画排出量）'!$B$16:$B$515,$A85,'様式1-2（計画排出量）'!$H$16:$H$515,"マイクロバス",'様式1-2（計画排出量）'!$J$16:$J$515,"&gt;2500",'様式1-2（計画排出量）'!$J$16:$J$515,"&lt;=3500",'様式1-2（計画排出量）'!$S$16:$S$515,"廃止")</f>
        <v>0</v>
      </c>
      <c r="Q85" s="327">
        <f>COUNTIFS('様式1-2（計画排出量）'!$B$16:$B$515,$A85,'様式1-2（計画排出量）'!$H$16:$H$515,"マイクロバス",'様式1-2（計画排出量）'!$J$16:$J$515,"&gt;3500",'様式1-2（計画排出量）'!$S$16:$S$515,"廃止")</f>
        <v>0</v>
      </c>
      <c r="R85" s="327">
        <f>COUNTIFS('様式1-2（計画排出量）'!$B$16:$B$515,$A85,'様式1-2（計画排出量）'!$H$16:$H$515,"特種車*",'様式1-2（計画排出量）'!$J$16:$J$515,"&lt;=1700",'様式1-2（計画排出量）'!$S$16:$S$515,"廃止")</f>
        <v>0</v>
      </c>
      <c r="S85" s="327">
        <f>COUNTIFS('様式1-2（計画排出量）'!$B$16:$B$515,$A85,'様式1-2（計画排出量）'!$H$16:$H$515,"特種車*",'様式1-2（計画排出量）'!$J$16:$J$515,"&gt;1700",'様式1-2（計画排出量）'!$J$16:$J$515,"&lt;=2500",'様式1-2（計画排出量）'!$S$16:$S$515,"廃止")</f>
        <v>0</v>
      </c>
      <c r="T85" s="327">
        <f>COUNTIFS('様式1-2（計画排出量）'!$B$16:$B$515,$A85,'様式1-2（計画排出量）'!$H$16:$H$515,"特種車*",'様式1-2（計画排出量）'!$J$16:$J$515,"&gt;2500",'様式1-2（計画排出量）'!$J$16:$J$515,"&lt;=3500",'様式1-2（計画排出量）'!$S$16:$S$515,"廃止")</f>
        <v>0</v>
      </c>
      <c r="U85" s="327">
        <f>COUNTIFS('様式1-2（計画排出量）'!$B$16:$B$515,$A85,'様式1-2（計画排出量）'!$H$16:$H$515,"特種車*",'様式1-2（計画排出量）'!$J$16:$J$515,"&gt;3500",'様式1-2（計画排出量）'!$S$16:$S$515,"廃止")</f>
        <v>0</v>
      </c>
      <c r="V85" s="327">
        <f>COUNTIFS('様式1-2（計画排出量）'!$B$16:$B$515,$A85,'様式1-2（計画排出量）'!$H$16:$H$515,"乗用車*",'様式1-2（計画排出量）'!$S$16:$S$515,"廃止")</f>
        <v>0</v>
      </c>
      <c r="W85" s="327"/>
    </row>
    <row r="86" spans="1:23" ht="13.75" hidden="1" customHeight="1">
      <c r="A86" s="165">
        <v>17</v>
      </c>
      <c r="B86" s="327">
        <f>COUNTIFS('様式1-2（計画排出量）'!$B$16:$B$515,$A86,'様式1-2（計画排出量）'!$H$16:$H$515,"普通貨物車",'様式1-2（計画排出量）'!$J$16:$J$515,"&lt;=1700",'様式1-2（計画排出量）'!$S$16:$S$515,"廃止")</f>
        <v>0</v>
      </c>
      <c r="C86" s="327">
        <f>COUNTIFS('様式1-2（計画排出量）'!$B$16:$B$515,$A86,'様式1-2（計画排出量）'!$H$16:$H$515,"普通貨物車",'様式1-2（計画排出量）'!$J$16:$J$515,"&gt;1700",'様式1-2（計画排出量）'!$J$16:$J$515,"&lt;=2500",'様式1-2（計画排出量）'!$S$16:$S$515,"廃止")</f>
        <v>0</v>
      </c>
      <c r="D86" s="327">
        <f>COUNTIFS('様式1-2（計画排出量）'!$B$16:$B$515,$A86,'様式1-2（計画排出量）'!$H$16:$H$515,"普通貨物車",'様式1-2（計画排出量）'!$J$16:$J$515,"&gt;2500",'様式1-2（計画排出量）'!$J$16:$J$515,"&lt;=3500",'様式1-2（計画排出量）'!$S$16:$S$515,"廃止")</f>
        <v>0</v>
      </c>
      <c r="E86" s="327">
        <f>COUNTIFS('様式1-2（計画排出量）'!$B$16:$B$515,$A86,'様式1-2（計画排出量）'!$H$16:$H$515,"普通貨物車",'様式1-2（計画排出量）'!$J$16:$J$515,"&gt;3500",'様式1-2（計画排出量）'!$S$16:$S$515,"廃止")</f>
        <v>0</v>
      </c>
      <c r="F86" s="327">
        <f>COUNTIFS('様式1-2（計画排出量）'!$B$16:$B$515,$A86,'様式1-2（計画排出量）'!$H$16:$H$515,"小型貨物車",'様式1-2（計画排出量）'!$J$16:$J$515,"&lt;=1700",'様式1-2（計画排出量）'!$S$16:$S$515,"廃止")</f>
        <v>0</v>
      </c>
      <c r="G86" s="327">
        <f>COUNTIFS('様式1-2（計画排出量）'!$B$16:$B$515,$A86,'様式1-2（計画排出量）'!$H$16:$H$515,"小型貨物車",'様式1-2（計画排出量）'!$J$16:$J$515,"&gt;1700",'様式1-2（計画排出量）'!$J$16:$J$515,"&lt;=2500",'様式1-2（計画排出量）'!$S$16:$S$515,"廃止")</f>
        <v>0</v>
      </c>
      <c r="H86" s="327">
        <f>COUNTIFS('様式1-2（計画排出量）'!$B$16:$B$515,$A86,'様式1-2（計画排出量）'!$H$16:$H$515,"小型貨物車",'様式1-2（計画排出量）'!$J$16:$J$515,"&gt;2500",'様式1-2（計画排出量）'!$J$16:$J$515,"&lt;=3500",'様式1-2（計画排出量）'!$S$16:$S$515,"廃止")</f>
        <v>0</v>
      </c>
      <c r="I86" s="327">
        <f>COUNTIFS('様式1-2（計画排出量）'!$B$16:$B$515,$A86,'様式1-2（計画排出量）'!$H$16:$H$515,"小型貨物車",'様式1-2（計画排出量）'!$J$16:$J$515,"&gt;3500",'様式1-2（計画排出量）'!$S$16:$S$515,"廃止")</f>
        <v>0</v>
      </c>
      <c r="J86" s="327">
        <f>COUNTIFS('様式1-2（計画排出量）'!$B$16:$B$515,$A86,'様式1-2（計画排出量）'!$H$16:$H$515,"大型バス",'様式1-2（計画排出量）'!$J$16:$J$515,"&lt;=1700",'様式1-2（計画排出量）'!$S$16:$S$515,"廃止")</f>
        <v>0</v>
      </c>
      <c r="K86" s="327">
        <f>COUNTIFS('様式1-2（計画排出量）'!$B$16:$B$515,$A86,'様式1-2（計画排出量）'!$H$16:$H$515,"大型バス",'様式1-2（計画排出量）'!$J$16:$J$515,"&gt;1700",'様式1-2（計画排出量）'!$J$16:$J$515,"&lt;=2500",'様式1-2（計画排出量）'!$S$16:$S$515,"廃止")</f>
        <v>0</v>
      </c>
      <c r="L86" s="327">
        <f>COUNTIFS('様式1-2（計画排出量）'!$B$16:$B$515,$A86,'様式1-2（計画排出量）'!$H$16:$H$515,"大型バス",'様式1-2（計画排出量）'!$J$16:$J$515,"&gt;2500",'様式1-2（計画排出量）'!$J$16:$J$515,"&lt;=3500",'様式1-2（計画排出量）'!$S$16:$S$515,"廃止")</f>
        <v>0</v>
      </c>
      <c r="M86" s="327">
        <f>COUNTIFS('様式1-2（計画排出量）'!$B$16:$B$515,$A86,'様式1-2（計画排出量）'!$H$16:$H$515,"大型バス",'様式1-2（計画排出量）'!$J$16:$J$515,"&gt;3500",'様式1-2（計画排出量）'!$S$16:$S$515,"廃止")</f>
        <v>0</v>
      </c>
      <c r="N86" s="327">
        <f>COUNTIFS('様式1-2（計画排出量）'!$B$16:$B$515,$A86,'様式1-2（計画排出量）'!$H$16:$H$515,"マイクロバス",'様式1-2（計画排出量）'!$J$16:$J$515,"&lt;=1700",'様式1-2（計画排出量）'!$S$16:$S$515,"廃止")</f>
        <v>0</v>
      </c>
      <c r="O86" s="327">
        <f>COUNTIFS('様式1-2（計画排出量）'!$B$16:$B$515,$A86,'様式1-2（計画排出量）'!$H$16:$H$515,"マイクロバス",'様式1-2（計画排出量）'!$J$16:$J$515,"&gt;1700",'様式1-2（計画排出量）'!$J$16:$J$515,"&lt;=2500",'様式1-2（計画排出量）'!$S$16:$S$515,"廃止")</f>
        <v>0</v>
      </c>
      <c r="P86" s="327">
        <f>COUNTIFS('様式1-2（計画排出量）'!$B$16:$B$515,$A86,'様式1-2（計画排出量）'!$H$16:$H$515,"マイクロバス",'様式1-2（計画排出量）'!$J$16:$J$515,"&gt;2500",'様式1-2（計画排出量）'!$J$16:$J$515,"&lt;=3500",'様式1-2（計画排出量）'!$S$16:$S$515,"廃止")</f>
        <v>0</v>
      </c>
      <c r="Q86" s="327">
        <f>COUNTIFS('様式1-2（計画排出量）'!$B$16:$B$515,$A86,'様式1-2（計画排出量）'!$H$16:$H$515,"マイクロバス",'様式1-2（計画排出量）'!$J$16:$J$515,"&gt;3500",'様式1-2（計画排出量）'!$S$16:$S$515,"廃止")</f>
        <v>0</v>
      </c>
      <c r="R86" s="327">
        <f>COUNTIFS('様式1-2（計画排出量）'!$B$16:$B$515,$A86,'様式1-2（計画排出量）'!$H$16:$H$515,"特種車*",'様式1-2（計画排出量）'!$J$16:$J$515,"&lt;=1700",'様式1-2（計画排出量）'!$S$16:$S$515,"廃止")</f>
        <v>0</v>
      </c>
      <c r="S86" s="327">
        <f>COUNTIFS('様式1-2（計画排出量）'!$B$16:$B$515,$A86,'様式1-2（計画排出量）'!$H$16:$H$515,"特種車*",'様式1-2（計画排出量）'!$J$16:$J$515,"&gt;1700",'様式1-2（計画排出量）'!$J$16:$J$515,"&lt;=2500",'様式1-2（計画排出量）'!$S$16:$S$515,"廃止")</f>
        <v>0</v>
      </c>
      <c r="T86" s="327">
        <f>COUNTIFS('様式1-2（計画排出量）'!$B$16:$B$515,$A86,'様式1-2（計画排出量）'!$H$16:$H$515,"特種車*",'様式1-2（計画排出量）'!$J$16:$J$515,"&gt;2500",'様式1-2（計画排出量）'!$J$16:$J$515,"&lt;=3500",'様式1-2（計画排出量）'!$S$16:$S$515,"廃止")</f>
        <v>0</v>
      </c>
      <c r="U86" s="327">
        <f>COUNTIFS('様式1-2（計画排出量）'!$B$16:$B$515,$A86,'様式1-2（計画排出量）'!$H$16:$H$515,"特種車*",'様式1-2（計画排出量）'!$J$16:$J$515,"&gt;3500",'様式1-2（計画排出量）'!$S$16:$S$515,"廃止")</f>
        <v>0</v>
      </c>
      <c r="V86" s="327">
        <f>COUNTIFS('様式1-2（計画排出量）'!$B$16:$B$515,$A86,'様式1-2（計画排出量）'!$H$16:$H$515,"乗用車*",'様式1-2（計画排出量）'!$S$16:$S$515,"廃止")</f>
        <v>0</v>
      </c>
      <c r="W86" s="327"/>
    </row>
    <row r="87" spans="1:23" ht="13.75" hidden="1" customHeight="1">
      <c r="A87" s="165">
        <v>18</v>
      </c>
      <c r="B87" s="327">
        <f>COUNTIFS('様式1-2（計画排出量）'!$B$16:$B$515,$A87,'様式1-2（計画排出量）'!$H$16:$H$515,"普通貨物車",'様式1-2（計画排出量）'!$J$16:$J$515,"&lt;=1700",'様式1-2（計画排出量）'!$S$16:$S$515,"廃止")</f>
        <v>0</v>
      </c>
      <c r="C87" s="327">
        <f>COUNTIFS('様式1-2（計画排出量）'!$B$16:$B$515,$A87,'様式1-2（計画排出量）'!$H$16:$H$515,"普通貨物車",'様式1-2（計画排出量）'!$J$16:$J$515,"&gt;1700",'様式1-2（計画排出量）'!$J$16:$J$515,"&lt;=2500",'様式1-2（計画排出量）'!$S$16:$S$515,"廃止")</f>
        <v>0</v>
      </c>
      <c r="D87" s="327">
        <f>COUNTIFS('様式1-2（計画排出量）'!$B$16:$B$515,$A87,'様式1-2（計画排出量）'!$H$16:$H$515,"普通貨物車",'様式1-2（計画排出量）'!$J$16:$J$515,"&gt;2500",'様式1-2（計画排出量）'!$J$16:$J$515,"&lt;=3500",'様式1-2（計画排出量）'!$S$16:$S$515,"廃止")</f>
        <v>0</v>
      </c>
      <c r="E87" s="327">
        <f>COUNTIFS('様式1-2（計画排出量）'!$B$16:$B$515,$A87,'様式1-2（計画排出量）'!$H$16:$H$515,"普通貨物車",'様式1-2（計画排出量）'!$J$16:$J$515,"&gt;3500",'様式1-2（計画排出量）'!$S$16:$S$515,"廃止")</f>
        <v>0</v>
      </c>
      <c r="F87" s="327">
        <f>COUNTIFS('様式1-2（計画排出量）'!$B$16:$B$515,$A87,'様式1-2（計画排出量）'!$H$16:$H$515,"小型貨物車",'様式1-2（計画排出量）'!$J$16:$J$515,"&lt;=1700",'様式1-2（計画排出量）'!$S$16:$S$515,"廃止")</f>
        <v>0</v>
      </c>
      <c r="G87" s="327">
        <f>COUNTIFS('様式1-2（計画排出量）'!$B$16:$B$515,$A87,'様式1-2（計画排出量）'!$H$16:$H$515,"小型貨物車",'様式1-2（計画排出量）'!$J$16:$J$515,"&gt;1700",'様式1-2（計画排出量）'!$J$16:$J$515,"&lt;=2500",'様式1-2（計画排出量）'!$S$16:$S$515,"廃止")</f>
        <v>0</v>
      </c>
      <c r="H87" s="327">
        <f>COUNTIFS('様式1-2（計画排出量）'!$B$16:$B$515,$A87,'様式1-2（計画排出量）'!$H$16:$H$515,"小型貨物車",'様式1-2（計画排出量）'!$J$16:$J$515,"&gt;2500",'様式1-2（計画排出量）'!$J$16:$J$515,"&lt;=3500",'様式1-2（計画排出量）'!$S$16:$S$515,"廃止")</f>
        <v>0</v>
      </c>
      <c r="I87" s="327">
        <f>COUNTIFS('様式1-2（計画排出量）'!$B$16:$B$515,$A87,'様式1-2（計画排出量）'!$H$16:$H$515,"小型貨物車",'様式1-2（計画排出量）'!$J$16:$J$515,"&gt;3500",'様式1-2（計画排出量）'!$S$16:$S$515,"廃止")</f>
        <v>0</v>
      </c>
      <c r="J87" s="327">
        <f>COUNTIFS('様式1-2（計画排出量）'!$B$16:$B$515,$A87,'様式1-2（計画排出量）'!$H$16:$H$515,"大型バス",'様式1-2（計画排出量）'!$J$16:$J$515,"&lt;=1700",'様式1-2（計画排出量）'!$S$16:$S$515,"廃止")</f>
        <v>0</v>
      </c>
      <c r="K87" s="327">
        <f>COUNTIFS('様式1-2（計画排出量）'!$B$16:$B$515,$A87,'様式1-2（計画排出量）'!$H$16:$H$515,"大型バス",'様式1-2（計画排出量）'!$J$16:$J$515,"&gt;1700",'様式1-2（計画排出量）'!$J$16:$J$515,"&lt;=2500",'様式1-2（計画排出量）'!$S$16:$S$515,"廃止")</f>
        <v>0</v>
      </c>
      <c r="L87" s="327">
        <f>COUNTIFS('様式1-2（計画排出量）'!$B$16:$B$515,$A87,'様式1-2（計画排出量）'!$H$16:$H$515,"大型バス",'様式1-2（計画排出量）'!$J$16:$J$515,"&gt;2500",'様式1-2（計画排出量）'!$J$16:$J$515,"&lt;=3500",'様式1-2（計画排出量）'!$S$16:$S$515,"廃止")</f>
        <v>0</v>
      </c>
      <c r="M87" s="327">
        <f>COUNTIFS('様式1-2（計画排出量）'!$B$16:$B$515,$A87,'様式1-2（計画排出量）'!$H$16:$H$515,"大型バス",'様式1-2（計画排出量）'!$J$16:$J$515,"&gt;3500",'様式1-2（計画排出量）'!$S$16:$S$515,"廃止")</f>
        <v>0</v>
      </c>
      <c r="N87" s="327">
        <f>COUNTIFS('様式1-2（計画排出量）'!$B$16:$B$515,$A87,'様式1-2（計画排出量）'!$H$16:$H$515,"マイクロバス",'様式1-2（計画排出量）'!$J$16:$J$515,"&lt;=1700",'様式1-2（計画排出量）'!$S$16:$S$515,"廃止")</f>
        <v>0</v>
      </c>
      <c r="O87" s="327">
        <f>COUNTIFS('様式1-2（計画排出量）'!$B$16:$B$515,$A87,'様式1-2（計画排出量）'!$H$16:$H$515,"マイクロバス",'様式1-2（計画排出量）'!$J$16:$J$515,"&gt;1700",'様式1-2（計画排出量）'!$J$16:$J$515,"&lt;=2500",'様式1-2（計画排出量）'!$S$16:$S$515,"廃止")</f>
        <v>0</v>
      </c>
      <c r="P87" s="327">
        <f>COUNTIFS('様式1-2（計画排出量）'!$B$16:$B$515,$A87,'様式1-2（計画排出量）'!$H$16:$H$515,"マイクロバス",'様式1-2（計画排出量）'!$J$16:$J$515,"&gt;2500",'様式1-2（計画排出量）'!$J$16:$J$515,"&lt;=3500",'様式1-2（計画排出量）'!$S$16:$S$515,"廃止")</f>
        <v>0</v>
      </c>
      <c r="Q87" s="327">
        <f>COUNTIFS('様式1-2（計画排出量）'!$B$16:$B$515,$A87,'様式1-2（計画排出量）'!$H$16:$H$515,"マイクロバス",'様式1-2（計画排出量）'!$J$16:$J$515,"&gt;3500",'様式1-2（計画排出量）'!$S$16:$S$515,"廃止")</f>
        <v>0</v>
      </c>
      <c r="R87" s="327">
        <f>COUNTIFS('様式1-2（計画排出量）'!$B$16:$B$515,$A87,'様式1-2（計画排出量）'!$H$16:$H$515,"特種車*",'様式1-2（計画排出量）'!$J$16:$J$515,"&lt;=1700",'様式1-2（計画排出量）'!$S$16:$S$515,"廃止")</f>
        <v>0</v>
      </c>
      <c r="S87" s="327">
        <f>COUNTIFS('様式1-2（計画排出量）'!$B$16:$B$515,$A87,'様式1-2（計画排出量）'!$H$16:$H$515,"特種車*",'様式1-2（計画排出量）'!$J$16:$J$515,"&gt;1700",'様式1-2（計画排出量）'!$J$16:$J$515,"&lt;=2500",'様式1-2（計画排出量）'!$S$16:$S$515,"廃止")</f>
        <v>0</v>
      </c>
      <c r="T87" s="327">
        <f>COUNTIFS('様式1-2（計画排出量）'!$B$16:$B$515,$A87,'様式1-2（計画排出量）'!$H$16:$H$515,"特種車*",'様式1-2（計画排出量）'!$J$16:$J$515,"&gt;2500",'様式1-2（計画排出量）'!$J$16:$J$515,"&lt;=3500",'様式1-2（計画排出量）'!$S$16:$S$515,"廃止")</f>
        <v>0</v>
      </c>
      <c r="U87" s="327">
        <f>COUNTIFS('様式1-2（計画排出量）'!$B$16:$B$515,$A87,'様式1-2（計画排出量）'!$H$16:$H$515,"特種車*",'様式1-2（計画排出量）'!$J$16:$J$515,"&gt;3500",'様式1-2（計画排出量）'!$S$16:$S$515,"廃止")</f>
        <v>0</v>
      </c>
      <c r="V87" s="327">
        <f>COUNTIFS('様式1-2（計画排出量）'!$B$16:$B$515,$A87,'様式1-2（計画排出量）'!$H$16:$H$515,"乗用車*",'様式1-2（計画排出量）'!$S$16:$S$515,"廃止")</f>
        <v>0</v>
      </c>
      <c r="W87" s="327"/>
    </row>
    <row r="88" spans="1:23" ht="13.75" hidden="1" customHeight="1">
      <c r="A88" s="165">
        <v>19</v>
      </c>
      <c r="B88" s="327">
        <f>COUNTIFS('様式1-2（計画排出量）'!$B$16:$B$515,$A88,'様式1-2（計画排出量）'!$H$16:$H$515,"普通貨物車",'様式1-2（計画排出量）'!$J$16:$J$515,"&lt;=1700",'様式1-2（計画排出量）'!$S$16:$S$515,"廃止")</f>
        <v>0</v>
      </c>
      <c r="C88" s="327">
        <f>COUNTIFS('様式1-2（計画排出量）'!$B$16:$B$515,$A88,'様式1-2（計画排出量）'!$H$16:$H$515,"普通貨物車",'様式1-2（計画排出量）'!$J$16:$J$515,"&gt;1700",'様式1-2（計画排出量）'!$J$16:$J$515,"&lt;=2500",'様式1-2（計画排出量）'!$S$16:$S$515,"廃止")</f>
        <v>0</v>
      </c>
      <c r="D88" s="327">
        <f>COUNTIFS('様式1-2（計画排出量）'!$B$16:$B$515,$A88,'様式1-2（計画排出量）'!$H$16:$H$515,"普通貨物車",'様式1-2（計画排出量）'!$J$16:$J$515,"&gt;2500",'様式1-2（計画排出量）'!$J$16:$J$515,"&lt;=3500",'様式1-2（計画排出量）'!$S$16:$S$515,"廃止")</f>
        <v>0</v>
      </c>
      <c r="E88" s="327">
        <f>COUNTIFS('様式1-2（計画排出量）'!$B$16:$B$515,$A88,'様式1-2（計画排出量）'!$H$16:$H$515,"普通貨物車",'様式1-2（計画排出量）'!$J$16:$J$515,"&gt;3500",'様式1-2（計画排出量）'!$S$16:$S$515,"廃止")</f>
        <v>0</v>
      </c>
      <c r="F88" s="327">
        <f>COUNTIFS('様式1-2（計画排出量）'!$B$16:$B$515,$A88,'様式1-2（計画排出量）'!$H$16:$H$515,"小型貨物車",'様式1-2（計画排出量）'!$J$16:$J$515,"&lt;=1700",'様式1-2（計画排出量）'!$S$16:$S$515,"廃止")</f>
        <v>0</v>
      </c>
      <c r="G88" s="327">
        <f>COUNTIFS('様式1-2（計画排出量）'!$B$16:$B$515,$A88,'様式1-2（計画排出量）'!$H$16:$H$515,"小型貨物車",'様式1-2（計画排出量）'!$J$16:$J$515,"&gt;1700",'様式1-2（計画排出量）'!$J$16:$J$515,"&lt;=2500",'様式1-2（計画排出量）'!$S$16:$S$515,"廃止")</f>
        <v>0</v>
      </c>
      <c r="H88" s="327">
        <f>COUNTIFS('様式1-2（計画排出量）'!$B$16:$B$515,$A88,'様式1-2（計画排出量）'!$H$16:$H$515,"小型貨物車",'様式1-2（計画排出量）'!$J$16:$J$515,"&gt;2500",'様式1-2（計画排出量）'!$J$16:$J$515,"&lt;=3500",'様式1-2（計画排出量）'!$S$16:$S$515,"廃止")</f>
        <v>0</v>
      </c>
      <c r="I88" s="327">
        <f>COUNTIFS('様式1-2（計画排出量）'!$B$16:$B$515,$A88,'様式1-2（計画排出量）'!$H$16:$H$515,"小型貨物車",'様式1-2（計画排出量）'!$J$16:$J$515,"&gt;3500",'様式1-2（計画排出量）'!$S$16:$S$515,"廃止")</f>
        <v>0</v>
      </c>
      <c r="J88" s="327">
        <f>COUNTIFS('様式1-2（計画排出量）'!$B$16:$B$515,$A88,'様式1-2（計画排出量）'!$H$16:$H$515,"大型バス",'様式1-2（計画排出量）'!$J$16:$J$515,"&lt;=1700",'様式1-2（計画排出量）'!$S$16:$S$515,"廃止")</f>
        <v>0</v>
      </c>
      <c r="K88" s="327">
        <f>COUNTIFS('様式1-2（計画排出量）'!$B$16:$B$515,$A88,'様式1-2（計画排出量）'!$H$16:$H$515,"大型バス",'様式1-2（計画排出量）'!$J$16:$J$515,"&gt;1700",'様式1-2（計画排出量）'!$J$16:$J$515,"&lt;=2500",'様式1-2（計画排出量）'!$S$16:$S$515,"廃止")</f>
        <v>0</v>
      </c>
      <c r="L88" s="327">
        <f>COUNTIFS('様式1-2（計画排出量）'!$B$16:$B$515,$A88,'様式1-2（計画排出量）'!$H$16:$H$515,"大型バス",'様式1-2（計画排出量）'!$J$16:$J$515,"&gt;2500",'様式1-2（計画排出量）'!$J$16:$J$515,"&lt;=3500",'様式1-2（計画排出量）'!$S$16:$S$515,"廃止")</f>
        <v>0</v>
      </c>
      <c r="M88" s="327">
        <f>COUNTIFS('様式1-2（計画排出量）'!$B$16:$B$515,$A88,'様式1-2（計画排出量）'!$H$16:$H$515,"大型バス",'様式1-2（計画排出量）'!$J$16:$J$515,"&gt;3500",'様式1-2（計画排出量）'!$S$16:$S$515,"廃止")</f>
        <v>0</v>
      </c>
      <c r="N88" s="327">
        <f>COUNTIFS('様式1-2（計画排出量）'!$B$16:$B$515,$A88,'様式1-2（計画排出量）'!$H$16:$H$515,"マイクロバス",'様式1-2（計画排出量）'!$J$16:$J$515,"&lt;=1700",'様式1-2（計画排出量）'!$S$16:$S$515,"廃止")</f>
        <v>0</v>
      </c>
      <c r="O88" s="327">
        <f>COUNTIFS('様式1-2（計画排出量）'!$B$16:$B$515,$A88,'様式1-2（計画排出量）'!$H$16:$H$515,"マイクロバス",'様式1-2（計画排出量）'!$J$16:$J$515,"&gt;1700",'様式1-2（計画排出量）'!$J$16:$J$515,"&lt;=2500",'様式1-2（計画排出量）'!$S$16:$S$515,"廃止")</f>
        <v>0</v>
      </c>
      <c r="P88" s="327">
        <f>COUNTIFS('様式1-2（計画排出量）'!$B$16:$B$515,$A88,'様式1-2（計画排出量）'!$H$16:$H$515,"マイクロバス",'様式1-2（計画排出量）'!$J$16:$J$515,"&gt;2500",'様式1-2（計画排出量）'!$J$16:$J$515,"&lt;=3500",'様式1-2（計画排出量）'!$S$16:$S$515,"廃止")</f>
        <v>0</v>
      </c>
      <c r="Q88" s="327">
        <f>COUNTIFS('様式1-2（計画排出量）'!$B$16:$B$515,$A88,'様式1-2（計画排出量）'!$H$16:$H$515,"マイクロバス",'様式1-2（計画排出量）'!$J$16:$J$515,"&gt;3500",'様式1-2（計画排出量）'!$S$16:$S$515,"廃止")</f>
        <v>0</v>
      </c>
      <c r="R88" s="327">
        <f>COUNTIFS('様式1-2（計画排出量）'!$B$16:$B$515,$A88,'様式1-2（計画排出量）'!$H$16:$H$515,"特種車*",'様式1-2（計画排出量）'!$J$16:$J$515,"&lt;=1700",'様式1-2（計画排出量）'!$S$16:$S$515,"廃止")</f>
        <v>0</v>
      </c>
      <c r="S88" s="327">
        <f>COUNTIFS('様式1-2（計画排出量）'!$B$16:$B$515,$A88,'様式1-2（計画排出量）'!$H$16:$H$515,"特種車*",'様式1-2（計画排出量）'!$J$16:$J$515,"&gt;1700",'様式1-2（計画排出量）'!$J$16:$J$515,"&lt;=2500",'様式1-2（計画排出量）'!$S$16:$S$515,"廃止")</f>
        <v>0</v>
      </c>
      <c r="T88" s="327">
        <f>COUNTIFS('様式1-2（計画排出量）'!$B$16:$B$515,$A88,'様式1-2（計画排出量）'!$H$16:$H$515,"特種車*",'様式1-2（計画排出量）'!$J$16:$J$515,"&gt;2500",'様式1-2（計画排出量）'!$J$16:$J$515,"&lt;=3500",'様式1-2（計画排出量）'!$S$16:$S$515,"廃止")</f>
        <v>0</v>
      </c>
      <c r="U88" s="327">
        <f>COUNTIFS('様式1-2（計画排出量）'!$B$16:$B$515,$A88,'様式1-2（計画排出量）'!$H$16:$H$515,"特種車*",'様式1-2（計画排出量）'!$J$16:$J$515,"&gt;3500",'様式1-2（計画排出量）'!$S$16:$S$515,"廃止")</f>
        <v>0</v>
      </c>
      <c r="V88" s="327">
        <f>COUNTIFS('様式1-2（計画排出量）'!$B$16:$B$515,$A88,'様式1-2（計画排出量）'!$H$16:$H$515,"乗用車*",'様式1-2（計画排出量）'!$S$16:$S$515,"廃止")</f>
        <v>0</v>
      </c>
      <c r="W88" s="327"/>
    </row>
    <row r="89" spans="1:23" ht="13.75" hidden="1" customHeight="1">
      <c r="A89" s="165">
        <v>20</v>
      </c>
      <c r="B89" s="327">
        <f>COUNTIFS('様式1-2（計画排出量）'!$B$16:$B$515,$A89,'様式1-2（計画排出量）'!$H$16:$H$515,"普通貨物車",'様式1-2（計画排出量）'!$J$16:$J$515,"&lt;=1700",'様式1-2（計画排出量）'!$S$16:$S$515,"廃止")</f>
        <v>0</v>
      </c>
      <c r="C89" s="327">
        <f>COUNTIFS('様式1-2（計画排出量）'!$B$16:$B$515,$A89,'様式1-2（計画排出量）'!$H$16:$H$515,"普通貨物車",'様式1-2（計画排出量）'!$J$16:$J$515,"&gt;1700",'様式1-2（計画排出量）'!$J$16:$J$515,"&lt;=2500",'様式1-2（計画排出量）'!$S$16:$S$515,"廃止")</f>
        <v>0</v>
      </c>
      <c r="D89" s="327">
        <f>COUNTIFS('様式1-2（計画排出量）'!$B$16:$B$515,$A89,'様式1-2（計画排出量）'!$H$16:$H$515,"普通貨物車",'様式1-2（計画排出量）'!$J$16:$J$515,"&gt;2500",'様式1-2（計画排出量）'!$J$16:$J$515,"&lt;=3500",'様式1-2（計画排出量）'!$S$16:$S$515,"廃止")</f>
        <v>0</v>
      </c>
      <c r="E89" s="327">
        <f>COUNTIFS('様式1-2（計画排出量）'!$B$16:$B$515,$A89,'様式1-2（計画排出量）'!$H$16:$H$515,"普通貨物車",'様式1-2（計画排出量）'!$J$16:$J$515,"&gt;3500",'様式1-2（計画排出量）'!$S$16:$S$515,"廃止")</f>
        <v>0</v>
      </c>
      <c r="F89" s="327">
        <f>COUNTIFS('様式1-2（計画排出量）'!$B$16:$B$515,$A89,'様式1-2（計画排出量）'!$H$16:$H$515,"小型貨物車",'様式1-2（計画排出量）'!$J$16:$J$515,"&lt;=1700",'様式1-2（計画排出量）'!$S$16:$S$515,"廃止")</f>
        <v>0</v>
      </c>
      <c r="G89" s="327">
        <f>COUNTIFS('様式1-2（計画排出量）'!$B$16:$B$515,$A89,'様式1-2（計画排出量）'!$H$16:$H$515,"小型貨物車",'様式1-2（計画排出量）'!$J$16:$J$515,"&gt;1700",'様式1-2（計画排出量）'!$J$16:$J$515,"&lt;=2500",'様式1-2（計画排出量）'!$S$16:$S$515,"廃止")</f>
        <v>0</v>
      </c>
      <c r="H89" s="327">
        <f>COUNTIFS('様式1-2（計画排出量）'!$B$16:$B$515,$A89,'様式1-2（計画排出量）'!$H$16:$H$515,"小型貨物車",'様式1-2（計画排出量）'!$J$16:$J$515,"&gt;2500",'様式1-2（計画排出量）'!$J$16:$J$515,"&lt;=3500",'様式1-2（計画排出量）'!$S$16:$S$515,"廃止")</f>
        <v>0</v>
      </c>
      <c r="I89" s="327">
        <f>COUNTIFS('様式1-2（計画排出量）'!$B$16:$B$515,$A89,'様式1-2（計画排出量）'!$H$16:$H$515,"小型貨物車",'様式1-2（計画排出量）'!$J$16:$J$515,"&gt;3500",'様式1-2（計画排出量）'!$S$16:$S$515,"廃止")</f>
        <v>0</v>
      </c>
      <c r="J89" s="327">
        <f>COUNTIFS('様式1-2（計画排出量）'!$B$16:$B$515,$A89,'様式1-2（計画排出量）'!$H$16:$H$515,"大型バス",'様式1-2（計画排出量）'!$J$16:$J$515,"&lt;=1700",'様式1-2（計画排出量）'!$S$16:$S$515,"廃止")</f>
        <v>0</v>
      </c>
      <c r="K89" s="327">
        <f>COUNTIFS('様式1-2（計画排出量）'!$B$16:$B$515,$A89,'様式1-2（計画排出量）'!$H$16:$H$515,"大型バス",'様式1-2（計画排出量）'!$J$16:$J$515,"&gt;1700",'様式1-2（計画排出量）'!$J$16:$J$515,"&lt;=2500",'様式1-2（計画排出量）'!$S$16:$S$515,"廃止")</f>
        <v>0</v>
      </c>
      <c r="L89" s="327">
        <f>COUNTIFS('様式1-2（計画排出量）'!$B$16:$B$515,$A89,'様式1-2（計画排出量）'!$H$16:$H$515,"大型バス",'様式1-2（計画排出量）'!$J$16:$J$515,"&gt;2500",'様式1-2（計画排出量）'!$J$16:$J$515,"&lt;=3500",'様式1-2（計画排出量）'!$S$16:$S$515,"廃止")</f>
        <v>0</v>
      </c>
      <c r="M89" s="327">
        <f>COUNTIFS('様式1-2（計画排出量）'!$B$16:$B$515,$A89,'様式1-2（計画排出量）'!$H$16:$H$515,"大型バス",'様式1-2（計画排出量）'!$J$16:$J$515,"&gt;3500",'様式1-2（計画排出量）'!$S$16:$S$515,"廃止")</f>
        <v>0</v>
      </c>
      <c r="N89" s="327">
        <f>COUNTIFS('様式1-2（計画排出量）'!$B$16:$B$515,$A89,'様式1-2（計画排出量）'!$H$16:$H$515,"マイクロバス",'様式1-2（計画排出量）'!$J$16:$J$515,"&lt;=1700",'様式1-2（計画排出量）'!$S$16:$S$515,"廃止")</f>
        <v>0</v>
      </c>
      <c r="O89" s="327">
        <f>COUNTIFS('様式1-2（計画排出量）'!$B$16:$B$515,$A89,'様式1-2（計画排出量）'!$H$16:$H$515,"マイクロバス",'様式1-2（計画排出量）'!$J$16:$J$515,"&gt;1700",'様式1-2（計画排出量）'!$J$16:$J$515,"&lt;=2500",'様式1-2（計画排出量）'!$S$16:$S$515,"廃止")</f>
        <v>0</v>
      </c>
      <c r="P89" s="327">
        <f>COUNTIFS('様式1-2（計画排出量）'!$B$16:$B$515,$A89,'様式1-2（計画排出量）'!$H$16:$H$515,"マイクロバス",'様式1-2（計画排出量）'!$J$16:$J$515,"&gt;2500",'様式1-2（計画排出量）'!$J$16:$J$515,"&lt;=3500",'様式1-2（計画排出量）'!$S$16:$S$515,"廃止")</f>
        <v>0</v>
      </c>
      <c r="Q89" s="327">
        <f>COUNTIFS('様式1-2（計画排出量）'!$B$16:$B$515,$A89,'様式1-2（計画排出量）'!$H$16:$H$515,"マイクロバス",'様式1-2（計画排出量）'!$J$16:$J$515,"&gt;3500",'様式1-2（計画排出量）'!$S$16:$S$515,"廃止")</f>
        <v>0</v>
      </c>
      <c r="R89" s="327">
        <f>COUNTIFS('様式1-2（計画排出量）'!$B$16:$B$515,$A89,'様式1-2（計画排出量）'!$H$16:$H$515,"特種車*",'様式1-2（計画排出量）'!$J$16:$J$515,"&lt;=1700",'様式1-2（計画排出量）'!$S$16:$S$515,"廃止")</f>
        <v>0</v>
      </c>
      <c r="S89" s="327">
        <f>COUNTIFS('様式1-2（計画排出量）'!$B$16:$B$515,$A89,'様式1-2（計画排出量）'!$H$16:$H$515,"特種車*",'様式1-2（計画排出量）'!$J$16:$J$515,"&gt;1700",'様式1-2（計画排出量）'!$J$16:$J$515,"&lt;=2500",'様式1-2（計画排出量）'!$S$16:$S$515,"廃止")</f>
        <v>0</v>
      </c>
      <c r="T89" s="327">
        <f>COUNTIFS('様式1-2（計画排出量）'!$B$16:$B$515,$A89,'様式1-2（計画排出量）'!$H$16:$H$515,"特種車*",'様式1-2（計画排出量）'!$J$16:$J$515,"&gt;2500",'様式1-2（計画排出量）'!$J$16:$J$515,"&lt;=3500",'様式1-2（計画排出量）'!$S$16:$S$515,"廃止")</f>
        <v>0</v>
      </c>
      <c r="U89" s="327">
        <f>COUNTIFS('様式1-2（計画排出量）'!$B$16:$B$515,$A89,'様式1-2（計画排出量）'!$H$16:$H$515,"特種車*",'様式1-2（計画排出量）'!$J$16:$J$515,"&gt;3500",'様式1-2（計画排出量）'!$S$16:$S$515,"廃止")</f>
        <v>0</v>
      </c>
      <c r="V89" s="327">
        <f>COUNTIFS('様式1-2（計画排出量）'!$B$16:$B$515,$A89,'様式1-2（計画排出量）'!$H$16:$H$515,"乗用車*",'様式1-2（計画排出量）'!$S$16:$S$515,"廃止")</f>
        <v>0</v>
      </c>
      <c r="W89" s="327"/>
    </row>
    <row r="90" spans="1:23" ht="13.75" hidden="1" customHeight="1">
      <c r="A90" s="165">
        <v>21</v>
      </c>
      <c r="B90" s="327">
        <f>COUNTIFS('様式1-2（計画排出量）'!$B$16:$B$515,$A90,'様式1-2（計画排出量）'!$H$16:$H$515,"普通貨物車",'様式1-2（計画排出量）'!$J$16:$J$515,"&lt;=1700",'様式1-2（計画排出量）'!$S$16:$S$515,"廃止")</f>
        <v>0</v>
      </c>
      <c r="C90" s="327">
        <f>COUNTIFS('様式1-2（計画排出量）'!$B$16:$B$515,$A90,'様式1-2（計画排出量）'!$H$16:$H$515,"普通貨物車",'様式1-2（計画排出量）'!$J$16:$J$515,"&gt;1700",'様式1-2（計画排出量）'!$J$16:$J$515,"&lt;=2500",'様式1-2（計画排出量）'!$S$16:$S$515,"廃止")</f>
        <v>0</v>
      </c>
      <c r="D90" s="327">
        <f>COUNTIFS('様式1-2（計画排出量）'!$B$16:$B$515,$A90,'様式1-2（計画排出量）'!$H$16:$H$515,"普通貨物車",'様式1-2（計画排出量）'!$J$16:$J$515,"&gt;2500",'様式1-2（計画排出量）'!$J$16:$J$515,"&lt;=3500",'様式1-2（計画排出量）'!$S$16:$S$515,"廃止")</f>
        <v>0</v>
      </c>
      <c r="E90" s="327">
        <f>COUNTIFS('様式1-2（計画排出量）'!$B$16:$B$515,$A90,'様式1-2（計画排出量）'!$H$16:$H$515,"普通貨物車",'様式1-2（計画排出量）'!$J$16:$J$515,"&gt;3500",'様式1-2（計画排出量）'!$S$16:$S$515,"廃止")</f>
        <v>0</v>
      </c>
      <c r="F90" s="327">
        <f>COUNTIFS('様式1-2（計画排出量）'!$B$16:$B$515,$A90,'様式1-2（計画排出量）'!$H$16:$H$515,"小型貨物車",'様式1-2（計画排出量）'!$J$16:$J$515,"&lt;=1700",'様式1-2（計画排出量）'!$S$16:$S$515,"廃止")</f>
        <v>0</v>
      </c>
      <c r="G90" s="327">
        <f>COUNTIFS('様式1-2（計画排出量）'!$B$16:$B$515,$A90,'様式1-2（計画排出量）'!$H$16:$H$515,"小型貨物車",'様式1-2（計画排出量）'!$J$16:$J$515,"&gt;1700",'様式1-2（計画排出量）'!$J$16:$J$515,"&lt;=2500",'様式1-2（計画排出量）'!$S$16:$S$515,"廃止")</f>
        <v>0</v>
      </c>
      <c r="H90" s="327">
        <f>COUNTIFS('様式1-2（計画排出量）'!$B$16:$B$515,$A90,'様式1-2（計画排出量）'!$H$16:$H$515,"小型貨物車",'様式1-2（計画排出量）'!$J$16:$J$515,"&gt;2500",'様式1-2（計画排出量）'!$J$16:$J$515,"&lt;=3500",'様式1-2（計画排出量）'!$S$16:$S$515,"廃止")</f>
        <v>0</v>
      </c>
      <c r="I90" s="327">
        <f>COUNTIFS('様式1-2（計画排出量）'!$B$16:$B$515,$A90,'様式1-2（計画排出量）'!$H$16:$H$515,"小型貨物車",'様式1-2（計画排出量）'!$J$16:$J$515,"&gt;3500",'様式1-2（計画排出量）'!$S$16:$S$515,"廃止")</f>
        <v>0</v>
      </c>
      <c r="J90" s="327">
        <f>COUNTIFS('様式1-2（計画排出量）'!$B$16:$B$515,$A90,'様式1-2（計画排出量）'!$H$16:$H$515,"大型バス",'様式1-2（計画排出量）'!$J$16:$J$515,"&lt;=1700",'様式1-2（計画排出量）'!$S$16:$S$515,"廃止")</f>
        <v>0</v>
      </c>
      <c r="K90" s="327">
        <f>COUNTIFS('様式1-2（計画排出量）'!$B$16:$B$515,$A90,'様式1-2（計画排出量）'!$H$16:$H$515,"大型バス",'様式1-2（計画排出量）'!$J$16:$J$515,"&gt;1700",'様式1-2（計画排出量）'!$J$16:$J$515,"&lt;=2500",'様式1-2（計画排出量）'!$S$16:$S$515,"廃止")</f>
        <v>0</v>
      </c>
      <c r="L90" s="327">
        <f>COUNTIFS('様式1-2（計画排出量）'!$B$16:$B$515,$A90,'様式1-2（計画排出量）'!$H$16:$H$515,"大型バス",'様式1-2（計画排出量）'!$J$16:$J$515,"&gt;2500",'様式1-2（計画排出量）'!$J$16:$J$515,"&lt;=3500",'様式1-2（計画排出量）'!$S$16:$S$515,"廃止")</f>
        <v>0</v>
      </c>
      <c r="M90" s="327">
        <f>COUNTIFS('様式1-2（計画排出量）'!$B$16:$B$515,$A90,'様式1-2（計画排出量）'!$H$16:$H$515,"大型バス",'様式1-2（計画排出量）'!$J$16:$J$515,"&gt;3500",'様式1-2（計画排出量）'!$S$16:$S$515,"廃止")</f>
        <v>0</v>
      </c>
      <c r="N90" s="327">
        <f>COUNTIFS('様式1-2（計画排出量）'!$B$16:$B$515,$A90,'様式1-2（計画排出量）'!$H$16:$H$515,"マイクロバス",'様式1-2（計画排出量）'!$J$16:$J$515,"&lt;=1700",'様式1-2（計画排出量）'!$S$16:$S$515,"廃止")</f>
        <v>0</v>
      </c>
      <c r="O90" s="327">
        <f>COUNTIFS('様式1-2（計画排出量）'!$B$16:$B$515,$A90,'様式1-2（計画排出量）'!$H$16:$H$515,"マイクロバス",'様式1-2（計画排出量）'!$J$16:$J$515,"&gt;1700",'様式1-2（計画排出量）'!$J$16:$J$515,"&lt;=2500",'様式1-2（計画排出量）'!$S$16:$S$515,"廃止")</f>
        <v>0</v>
      </c>
      <c r="P90" s="327">
        <f>COUNTIFS('様式1-2（計画排出量）'!$B$16:$B$515,$A90,'様式1-2（計画排出量）'!$H$16:$H$515,"マイクロバス",'様式1-2（計画排出量）'!$J$16:$J$515,"&gt;2500",'様式1-2（計画排出量）'!$J$16:$J$515,"&lt;=3500",'様式1-2（計画排出量）'!$S$16:$S$515,"廃止")</f>
        <v>0</v>
      </c>
      <c r="Q90" s="327">
        <f>COUNTIFS('様式1-2（計画排出量）'!$B$16:$B$515,$A90,'様式1-2（計画排出量）'!$H$16:$H$515,"マイクロバス",'様式1-2（計画排出量）'!$J$16:$J$515,"&gt;3500",'様式1-2（計画排出量）'!$S$16:$S$515,"廃止")</f>
        <v>0</v>
      </c>
      <c r="R90" s="327">
        <f>COUNTIFS('様式1-2（計画排出量）'!$B$16:$B$515,$A90,'様式1-2（計画排出量）'!$H$16:$H$515,"特種車*",'様式1-2（計画排出量）'!$J$16:$J$515,"&lt;=1700",'様式1-2（計画排出量）'!$S$16:$S$515,"廃止")</f>
        <v>0</v>
      </c>
      <c r="S90" s="327">
        <f>COUNTIFS('様式1-2（計画排出量）'!$B$16:$B$515,$A90,'様式1-2（計画排出量）'!$H$16:$H$515,"特種車*",'様式1-2（計画排出量）'!$J$16:$J$515,"&gt;1700",'様式1-2（計画排出量）'!$J$16:$J$515,"&lt;=2500",'様式1-2（計画排出量）'!$S$16:$S$515,"廃止")</f>
        <v>0</v>
      </c>
      <c r="T90" s="327">
        <f>COUNTIFS('様式1-2（計画排出量）'!$B$16:$B$515,$A90,'様式1-2（計画排出量）'!$H$16:$H$515,"特種車*",'様式1-2（計画排出量）'!$J$16:$J$515,"&gt;2500",'様式1-2（計画排出量）'!$J$16:$J$515,"&lt;=3500",'様式1-2（計画排出量）'!$S$16:$S$515,"廃止")</f>
        <v>0</v>
      </c>
      <c r="U90" s="327">
        <f>COUNTIFS('様式1-2（計画排出量）'!$B$16:$B$515,$A90,'様式1-2（計画排出量）'!$H$16:$H$515,"特種車*",'様式1-2（計画排出量）'!$J$16:$J$515,"&gt;3500",'様式1-2（計画排出量）'!$S$16:$S$515,"廃止")</f>
        <v>0</v>
      </c>
      <c r="V90" s="327">
        <f>COUNTIFS('様式1-2（計画排出量）'!$B$16:$B$515,$A90,'様式1-2（計画排出量）'!$H$16:$H$515,"乗用車*",'様式1-2（計画排出量）'!$S$16:$S$515,"廃止")</f>
        <v>0</v>
      </c>
      <c r="W90" s="327"/>
    </row>
    <row r="91" spans="1:23" ht="13.75" hidden="1" customHeight="1">
      <c r="A91" s="165">
        <v>22</v>
      </c>
      <c r="B91" s="327">
        <f>COUNTIFS('様式1-2（計画排出量）'!$B$16:$B$515,$A91,'様式1-2（計画排出量）'!$H$16:$H$515,"普通貨物車",'様式1-2（計画排出量）'!$J$16:$J$515,"&lt;=1700",'様式1-2（計画排出量）'!$S$16:$S$515,"廃止")</f>
        <v>0</v>
      </c>
      <c r="C91" s="327">
        <f>COUNTIFS('様式1-2（計画排出量）'!$B$16:$B$515,$A91,'様式1-2（計画排出量）'!$H$16:$H$515,"普通貨物車",'様式1-2（計画排出量）'!$J$16:$J$515,"&gt;1700",'様式1-2（計画排出量）'!$J$16:$J$515,"&lt;=2500",'様式1-2（計画排出量）'!$S$16:$S$515,"廃止")</f>
        <v>0</v>
      </c>
      <c r="D91" s="327">
        <f>COUNTIFS('様式1-2（計画排出量）'!$B$16:$B$515,$A91,'様式1-2（計画排出量）'!$H$16:$H$515,"普通貨物車",'様式1-2（計画排出量）'!$J$16:$J$515,"&gt;2500",'様式1-2（計画排出量）'!$J$16:$J$515,"&lt;=3500",'様式1-2（計画排出量）'!$S$16:$S$515,"廃止")</f>
        <v>0</v>
      </c>
      <c r="E91" s="327">
        <f>COUNTIFS('様式1-2（計画排出量）'!$B$16:$B$515,$A91,'様式1-2（計画排出量）'!$H$16:$H$515,"普通貨物車",'様式1-2（計画排出量）'!$J$16:$J$515,"&gt;3500",'様式1-2（計画排出量）'!$S$16:$S$515,"廃止")</f>
        <v>0</v>
      </c>
      <c r="F91" s="327">
        <f>COUNTIFS('様式1-2（計画排出量）'!$B$16:$B$515,$A91,'様式1-2（計画排出量）'!$H$16:$H$515,"小型貨物車",'様式1-2（計画排出量）'!$J$16:$J$515,"&lt;=1700",'様式1-2（計画排出量）'!$S$16:$S$515,"廃止")</f>
        <v>0</v>
      </c>
      <c r="G91" s="327">
        <f>COUNTIFS('様式1-2（計画排出量）'!$B$16:$B$515,$A91,'様式1-2（計画排出量）'!$H$16:$H$515,"小型貨物車",'様式1-2（計画排出量）'!$J$16:$J$515,"&gt;1700",'様式1-2（計画排出量）'!$J$16:$J$515,"&lt;=2500",'様式1-2（計画排出量）'!$S$16:$S$515,"廃止")</f>
        <v>0</v>
      </c>
      <c r="H91" s="327">
        <f>COUNTIFS('様式1-2（計画排出量）'!$B$16:$B$515,$A91,'様式1-2（計画排出量）'!$H$16:$H$515,"小型貨物車",'様式1-2（計画排出量）'!$J$16:$J$515,"&gt;2500",'様式1-2（計画排出量）'!$J$16:$J$515,"&lt;=3500",'様式1-2（計画排出量）'!$S$16:$S$515,"廃止")</f>
        <v>0</v>
      </c>
      <c r="I91" s="327">
        <f>COUNTIFS('様式1-2（計画排出量）'!$B$16:$B$515,$A91,'様式1-2（計画排出量）'!$H$16:$H$515,"小型貨物車",'様式1-2（計画排出量）'!$J$16:$J$515,"&gt;3500",'様式1-2（計画排出量）'!$S$16:$S$515,"廃止")</f>
        <v>0</v>
      </c>
      <c r="J91" s="327">
        <f>COUNTIFS('様式1-2（計画排出量）'!$B$16:$B$515,$A91,'様式1-2（計画排出量）'!$H$16:$H$515,"大型バス",'様式1-2（計画排出量）'!$J$16:$J$515,"&lt;=1700",'様式1-2（計画排出量）'!$S$16:$S$515,"廃止")</f>
        <v>0</v>
      </c>
      <c r="K91" s="327">
        <f>COUNTIFS('様式1-2（計画排出量）'!$B$16:$B$515,$A91,'様式1-2（計画排出量）'!$H$16:$H$515,"大型バス",'様式1-2（計画排出量）'!$J$16:$J$515,"&gt;1700",'様式1-2（計画排出量）'!$J$16:$J$515,"&lt;=2500",'様式1-2（計画排出量）'!$S$16:$S$515,"廃止")</f>
        <v>0</v>
      </c>
      <c r="L91" s="327">
        <f>COUNTIFS('様式1-2（計画排出量）'!$B$16:$B$515,$A91,'様式1-2（計画排出量）'!$H$16:$H$515,"大型バス",'様式1-2（計画排出量）'!$J$16:$J$515,"&gt;2500",'様式1-2（計画排出量）'!$J$16:$J$515,"&lt;=3500",'様式1-2（計画排出量）'!$S$16:$S$515,"廃止")</f>
        <v>0</v>
      </c>
      <c r="M91" s="327">
        <f>COUNTIFS('様式1-2（計画排出量）'!$B$16:$B$515,$A91,'様式1-2（計画排出量）'!$H$16:$H$515,"大型バス",'様式1-2（計画排出量）'!$J$16:$J$515,"&gt;3500",'様式1-2（計画排出量）'!$S$16:$S$515,"廃止")</f>
        <v>0</v>
      </c>
      <c r="N91" s="327">
        <f>COUNTIFS('様式1-2（計画排出量）'!$B$16:$B$515,$A91,'様式1-2（計画排出量）'!$H$16:$H$515,"マイクロバス",'様式1-2（計画排出量）'!$J$16:$J$515,"&lt;=1700",'様式1-2（計画排出量）'!$S$16:$S$515,"廃止")</f>
        <v>0</v>
      </c>
      <c r="O91" s="327">
        <f>COUNTIFS('様式1-2（計画排出量）'!$B$16:$B$515,$A91,'様式1-2（計画排出量）'!$H$16:$H$515,"マイクロバス",'様式1-2（計画排出量）'!$J$16:$J$515,"&gt;1700",'様式1-2（計画排出量）'!$J$16:$J$515,"&lt;=2500",'様式1-2（計画排出量）'!$S$16:$S$515,"廃止")</f>
        <v>0</v>
      </c>
      <c r="P91" s="327">
        <f>COUNTIFS('様式1-2（計画排出量）'!$B$16:$B$515,$A91,'様式1-2（計画排出量）'!$H$16:$H$515,"マイクロバス",'様式1-2（計画排出量）'!$J$16:$J$515,"&gt;2500",'様式1-2（計画排出量）'!$J$16:$J$515,"&lt;=3500",'様式1-2（計画排出量）'!$S$16:$S$515,"廃止")</f>
        <v>0</v>
      </c>
      <c r="Q91" s="327">
        <f>COUNTIFS('様式1-2（計画排出量）'!$B$16:$B$515,$A91,'様式1-2（計画排出量）'!$H$16:$H$515,"マイクロバス",'様式1-2（計画排出量）'!$J$16:$J$515,"&gt;3500",'様式1-2（計画排出量）'!$S$16:$S$515,"廃止")</f>
        <v>0</v>
      </c>
      <c r="R91" s="327">
        <f>COUNTIFS('様式1-2（計画排出量）'!$B$16:$B$515,$A91,'様式1-2（計画排出量）'!$H$16:$H$515,"特種車*",'様式1-2（計画排出量）'!$J$16:$J$515,"&lt;=1700",'様式1-2（計画排出量）'!$S$16:$S$515,"廃止")</f>
        <v>0</v>
      </c>
      <c r="S91" s="327">
        <f>COUNTIFS('様式1-2（計画排出量）'!$B$16:$B$515,$A91,'様式1-2（計画排出量）'!$H$16:$H$515,"特種車*",'様式1-2（計画排出量）'!$J$16:$J$515,"&gt;1700",'様式1-2（計画排出量）'!$J$16:$J$515,"&lt;=2500",'様式1-2（計画排出量）'!$S$16:$S$515,"廃止")</f>
        <v>0</v>
      </c>
      <c r="T91" s="327">
        <f>COUNTIFS('様式1-2（計画排出量）'!$B$16:$B$515,$A91,'様式1-2（計画排出量）'!$H$16:$H$515,"特種車*",'様式1-2（計画排出量）'!$J$16:$J$515,"&gt;2500",'様式1-2（計画排出量）'!$J$16:$J$515,"&lt;=3500",'様式1-2（計画排出量）'!$S$16:$S$515,"廃止")</f>
        <v>0</v>
      </c>
      <c r="U91" s="327">
        <f>COUNTIFS('様式1-2（計画排出量）'!$B$16:$B$515,$A91,'様式1-2（計画排出量）'!$H$16:$H$515,"特種車*",'様式1-2（計画排出量）'!$J$16:$J$515,"&gt;3500",'様式1-2（計画排出量）'!$S$16:$S$515,"廃止")</f>
        <v>0</v>
      </c>
      <c r="V91" s="327">
        <f>COUNTIFS('様式1-2（計画排出量）'!$B$16:$B$515,$A91,'様式1-2（計画排出量）'!$H$16:$H$515,"乗用車*",'様式1-2（計画排出量）'!$S$16:$S$515,"廃止")</f>
        <v>0</v>
      </c>
      <c r="W91" s="327"/>
    </row>
    <row r="92" spans="1:23" ht="13.75" hidden="1" customHeight="1">
      <c r="A92" s="165">
        <v>23</v>
      </c>
      <c r="B92" s="327">
        <f>COUNTIFS('様式1-2（計画排出量）'!$B$16:$B$515,$A92,'様式1-2（計画排出量）'!$H$16:$H$515,"普通貨物車",'様式1-2（計画排出量）'!$J$16:$J$515,"&lt;=1700",'様式1-2（計画排出量）'!$S$16:$S$515,"廃止")</f>
        <v>0</v>
      </c>
      <c r="C92" s="327">
        <f>COUNTIFS('様式1-2（計画排出量）'!$B$16:$B$515,$A92,'様式1-2（計画排出量）'!$H$16:$H$515,"普通貨物車",'様式1-2（計画排出量）'!$J$16:$J$515,"&gt;1700",'様式1-2（計画排出量）'!$J$16:$J$515,"&lt;=2500",'様式1-2（計画排出量）'!$S$16:$S$515,"廃止")</f>
        <v>0</v>
      </c>
      <c r="D92" s="327">
        <f>COUNTIFS('様式1-2（計画排出量）'!$B$16:$B$515,$A92,'様式1-2（計画排出量）'!$H$16:$H$515,"普通貨物車",'様式1-2（計画排出量）'!$J$16:$J$515,"&gt;2500",'様式1-2（計画排出量）'!$J$16:$J$515,"&lt;=3500",'様式1-2（計画排出量）'!$S$16:$S$515,"廃止")</f>
        <v>0</v>
      </c>
      <c r="E92" s="327">
        <f>COUNTIFS('様式1-2（計画排出量）'!$B$16:$B$515,$A92,'様式1-2（計画排出量）'!$H$16:$H$515,"普通貨物車",'様式1-2（計画排出量）'!$J$16:$J$515,"&gt;3500",'様式1-2（計画排出量）'!$S$16:$S$515,"廃止")</f>
        <v>0</v>
      </c>
      <c r="F92" s="327">
        <f>COUNTIFS('様式1-2（計画排出量）'!$B$16:$B$515,$A92,'様式1-2（計画排出量）'!$H$16:$H$515,"小型貨物車",'様式1-2（計画排出量）'!$J$16:$J$515,"&lt;=1700",'様式1-2（計画排出量）'!$S$16:$S$515,"廃止")</f>
        <v>0</v>
      </c>
      <c r="G92" s="327">
        <f>COUNTIFS('様式1-2（計画排出量）'!$B$16:$B$515,$A92,'様式1-2（計画排出量）'!$H$16:$H$515,"小型貨物車",'様式1-2（計画排出量）'!$J$16:$J$515,"&gt;1700",'様式1-2（計画排出量）'!$J$16:$J$515,"&lt;=2500",'様式1-2（計画排出量）'!$S$16:$S$515,"廃止")</f>
        <v>0</v>
      </c>
      <c r="H92" s="327">
        <f>COUNTIFS('様式1-2（計画排出量）'!$B$16:$B$515,$A92,'様式1-2（計画排出量）'!$H$16:$H$515,"小型貨物車",'様式1-2（計画排出量）'!$J$16:$J$515,"&gt;2500",'様式1-2（計画排出量）'!$J$16:$J$515,"&lt;=3500",'様式1-2（計画排出量）'!$S$16:$S$515,"廃止")</f>
        <v>0</v>
      </c>
      <c r="I92" s="327">
        <f>COUNTIFS('様式1-2（計画排出量）'!$B$16:$B$515,$A92,'様式1-2（計画排出量）'!$H$16:$H$515,"小型貨物車",'様式1-2（計画排出量）'!$J$16:$J$515,"&gt;3500",'様式1-2（計画排出量）'!$S$16:$S$515,"廃止")</f>
        <v>0</v>
      </c>
      <c r="J92" s="327">
        <f>COUNTIFS('様式1-2（計画排出量）'!$B$16:$B$515,$A92,'様式1-2（計画排出量）'!$H$16:$H$515,"大型バス",'様式1-2（計画排出量）'!$J$16:$J$515,"&lt;=1700",'様式1-2（計画排出量）'!$S$16:$S$515,"廃止")</f>
        <v>0</v>
      </c>
      <c r="K92" s="327">
        <f>COUNTIFS('様式1-2（計画排出量）'!$B$16:$B$515,$A92,'様式1-2（計画排出量）'!$H$16:$H$515,"大型バス",'様式1-2（計画排出量）'!$J$16:$J$515,"&gt;1700",'様式1-2（計画排出量）'!$J$16:$J$515,"&lt;=2500",'様式1-2（計画排出量）'!$S$16:$S$515,"廃止")</f>
        <v>0</v>
      </c>
      <c r="L92" s="327">
        <f>COUNTIFS('様式1-2（計画排出量）'!$B$16:$B$515,$A92,'様式1-2（計画排出量）'!$H$16:$H$515,"大型バス",'様式1-2（計画排出量）'!$J$16:$J$515,"&gt;2500",'様式1-2（計画排出量）'!$J$16:$J$515,"&lt;=3500",'様式1-2（計画排出量）'!$S$16:$S$515,"廃止")</f>
        <v>0</v>
      </c>
      <c r="M92" s="327">
        <f>COUNTIFS('様式1-2（計画排出量）'!$B$16:$B$515,$A92,'様式1-2（計画排出量）'!$H$16:$H$515,"大型バス",'様式1-2（計画排出量）'!$J$16:$J$515,"&gt;3500",'様式1-2（計画排出量）'!$S$16:$S$515,"廃止")</f>
        <v>0</v>
      </c>
      <c r="N92" s="327">
        <f>COUNTIFS('様式1-2（計画排出量）'!$B$16:$B$515,$A92,'様式1-2（計画排出量）'!$H$16:$H$515,"マイクロバス",'様式1-2（計画排出量）'!$J$16:$J$515,"&lt;=1700",'様式1-2（計画排出量）'!$S$16:$S$515,"廃止")</f>
        <v>0</v>
      </c>
      <c r="O92" s="327">
        <f>COUNTIFS('様式1-2（計画排出量）'!$B$16:$B$515,$A92,'様式1-2（計画排出量）'!$H$16:$H$515,"マイクロバス",'様式1-2（計画排出量）'!$J$16:$J$515,"&gt;1700",'様式1-2（計画排出量）'!$J$16:$J$515,"&lt;=2500",'様式1-2（計画排出量）'!$S$16:$S$515,"廃止")</f>
        <v>0</v>
      </c>
      <c r="P92" s="327">
        <f>COUNTIFS('様式1-2（計画排出量）'!$B$16:$B$515,$A92,'様式1-2（計画排出量）'!$H$16:$H$515,"マイクロバス",'様式1-2（計画排出量）'!$J$16:$J$515,"&gt;2500",'様式1-2（計画排出量）'!$J$16:$J$515,"&lt;=3500",'様式1-2（計画排出量）'!$S$16:$S$515,"廃止")</f>
        <v>0</v>
      </c>
      <c r="Q92" s="327">
        <f>COUNTIFS('様式1-2（計画排出量）'!$B$16:$B$515,$A92,'様式1-2（計画排出量）'!$H$16:$H$515,"マイクロバス",'様式1-2（計画排出量）'!$J$16:$J$515,"&gt;3500",'様式1-2（計画排出量）'!$S$16:$S$515,"廃止")</f>
        <v>0</v>
      </c>
      <c r="R92" s="327">
        <f>COUNTIFS('様式1-2（計画排出量）'!$B$16:$B$515,$A92,'様式1-2（計画排出量）'!$H$16:$H$515,"特種車*",'様式1-2（計画排出量）'!$J$16:$J$515,"&lt;=1700",'様式1-2（計画排出量）'!$S$16:$S$515,"廃止")</f>
        <v>0</v>
      </c>
      <c r="S92" s="327">
        <f>COUNTIFS('様式1-2（計画排出量）'!$B$16:$B$515,$A92,'様式1-2（計画排出量）'!$H$16:$H$515,"特種車*",'様式1-2（計画排出量）'!$J$16:$J$515,"&gt;1700",'様式1-2（計画排出量）'!$J$16:$J$515,"&lt;=2500",'様式1-2（計画排出量）'!$S$16:$S$515,"廃止")</f>
        <v>0</v>
      </c>
      <c r="T92" s="327">
        <f>COUNTIFS('様式1-2（計画排出量）'!$B$16:$B$515,$A92,'様式1-2（計画排出量）'!$H$16:$H$515,"特種車*",'様式1-2（計画排出量）'!$J$16:$J$515,"&gt;2500",'様式1-2（計画排出量）'!$J$16:$J$515,"&lt;=3500",'様式1-2（計画排出量）'!$S$16:$S$515,"廃止")</f>
        <v>0</v>
      </c>
      <c r="U92" s="327">
        <f>COUNTIFS('様式1-2（計画排出量）'!$B$16:$B$515,$A92,'様式1-2（計画排出量）'!$H$16:$H$515,"特種車*",'様式1-2（計画排出量）'!$J$16:$J$515,"&gt;3500",'様式1-2（計画排出量）'!$S$16:$S$515,"廃止")</f>
        <v>0</v>
      </c>
      <c r="V92" s="327">
        <f>COUNTIFS('様式1-2（計画排出量）'!$B$16:$B$515,$A92,'様式1-2（計画排出量）'!$H$16:$H$515,"乗用車*",'様式1-2（計画排出量）'!$S$16:$S$515,"廃止")</f>
        <v>0</v>
      </c>
      <c r="W92" s="327"/>
    </row>
    <row r="93" spans="1:23" ht="13.75" hidden="1" customHeight="1">
      <c r="A93" s="165">
        <v>24</v>
      </c>
      <c r="B93" s="327">
        <f>COUNTIFS('様式1-2（計画排出量）'!$B$16:$B$515,$A93,'様式1-2（計画排出量）'!$H$16:$H$515,"普通貨物車",'様式1-2（計画排出量）'!$J$16:$J$515,"&lt;=1700",'様式1-2（計画排出量）'!$S$16:$S$515,"廃止")</f>
        <v>0</v>
      </c>
      <c r="C93" s="327">
        <f>COUNTIFS('様式1-2（計画排出量）'!$B$16:$B$515,$A93,'様式1-2（計画排出量）'!$H$16:$H$515,"普通貨物車",'様式1-2（計画排出量）'!$J$16:$J$515,"&gt;1700",'様式1-2（計画排出量）'!$J$16:$J$515,"&lt;=2500",'様式1-2（計画排出量）'!$S$16:$S$515,"廃止")</f>
        <v>0</v>
      </c>
      <c r="D93" s="327">
        <f>COUNTIFS('様式1-2（計画排出量）'!$B$16:$B$515,$A93,'様式1-2（計画排出量）'!$H$16:$H$515,"普通貨物車",'様式1-2（計画排出量）'!$J$16:$J$515,"&gt;2500",'様式1-2（計画排出量）'!$J$16:$J$515,"&lt;=3500",'様式1-2（計画排出量）'!$S$16:$S$515,"廃止")</f>
        <v>0</v>
      </c>
      <c r="E93" s="327">
        <f>COUNTIFS('様式1-2（計画排出量）'!$B$16:$B$515,$A93,'様式1-2（計画排出量）'!$H$16:$H$515,"普通貨物車",'様式1-2（計画排出量）'!$J$16:$J$515,"&gt;3500",'様式1-2（計画排出量）'!$S$16:$S$515,"廃止")</f>
        <v>0</v>
      </c>
      <c r="F93" s="327">
        <f>COUNTIFS('様式1-2（計画排出量）'!$B$16:$B$515,$A93,'様式1-2（計画排出量）'!$H$16:$H$515,"小型貨物車",'様式1-2（計画排出量）'!$J$16:$J$515,"&lt;=1700",'様式1-2（計画排出量）'!$S$16:$S$515,"廃止")</f>
        <v>0</v>
      </c>
      <c r="G93" s="327">
        <f>COUNTIFS('様式1-2（計画排出量）'!$B$16:$B$515,$A93,'様式1-2（計画排出量）'!$H$16:$H$515,"小型貨物車",'様式1-2（計画排出量）'!$J$16:$J$515,"&gt;1700",'様式1-2（計画排出量）'!$J$16:$J$515,"&lt;=2500",'様式1-2（計画排出量）'!$S$16:$S$515,"廃止")</f>
        <v>0</v>
      </c>
      <c r="H93" s="327">
        <f>COUNTIFS('様式1-2（計画排出量）'!$B$16:$B$515,$A93,'様式1-2（計画排出量）'!$H$16:$H$515,"小型貨物車",'様式1-2（計画排出量）'!$J$16:$J$515,"&gt;2500",'様式1-2（計画排出量）'!$J$16:$J$515,"&lt;=3500",'様式1-2（計画排出量）'!$S$16:$S$515,"廃止")</f>
        <v>0</v>
      </c>
      <c r="I93" s="327">
        <f>COUNTIFS('様式1-2（計画排出量）'!$B$16:$B$515,$A93,'様式1-2（計画排出量）'!$H$16:$H$515,"小型貨物車",'様式1-2（計画排出量）'!$J$16:$J$515,"&gt;3500",'様式1-2（計画排出量）'!$S$16:$S$515,"廃止")</f>
        <v>0</v>
      </c>
      <c r="J93" s="327">
        <f>COUNTIFS('様式1-2（計画排出量）'!$B$16:$B$515,$A93,'様式1-2（計画排出量）'!$H$16:$H$515,"大型バス",'様式1-2（計画排出量）'!$J$16:$J$515,"&lt;=1700",'様式1-2（計画排出量）'!$S$16:$S$515,"廃止")</f>
        <v>0</v>
      </c>
      <c r="K93" s="327">
        <f>COUNTIFS('様式1-2（計画排出量）'!$B$16:$B$515,$A93,'様式1-2（計画排出量）'!$H$16:$H$515,"大型バス",'様式1-2（計画排出量）'!$J$16:$J$515,"&gt;1700",'様式1-2（計画排出量）'!$J$16:$J$515,"&lt;=2500",'様式1-2（計画排出量）'!$S$16:$S$515,"廃止")</f>
        <v>0</v>
      </c>
      <c r="L93" s="327">
        <f>COUNTIFS('様式1-2（計画排出量）'!$B$16:$B$515,$A93,'様式1-2（計画排出量）'!$H$16:$H$515,"大型バス",'様式1-2（計画排出量）'!$J$16:$J$515,"&gt;2500",'様式1-2（計画排出量）'!$J$16:$J$515,"&lt;=3500",'様式1-2（計画排出量）'!$S$16:$S$515,"廃止")</f>
        <v>0</v>
      </c>
      <c r="M93" s="327">
        <f>COUNTIFS('様式1-2（計画排出量）'!$B$16:$B$515,$A93,'様式1-2（計画排出量）'!$H$16:$H$515,"大型バス",'様式1-2（計画排出量）'!$J$16:$J$515,"&gt;3500",'様式1-2（計画排出量）'!$S$16:$S$515,"廃止")</f>
        <v>0</v>
      </c>
      <c r="N93" s="327">
        <f>COUNTIFS('様式1-2（計画排出量）'!$B$16:$B$515,$A93,'様式1-2（計画排出量）'!$H$16:$H$515,"マイクロバス",'様式1-2（計画排出量）'!$J$16:$J$515,"&lt;=1700",'様式1-2（計画排出量）'!$S$16:$S$515,"廃止")</f>
        <v>0</v>
      </c>
      <c r="O93" s="327">
        <f>COUNTIFS('様式1-2（計画排出量）'!$B$16:$B$515,$A93,'様式1-2（計画排出量）'!$H$16:$H$515,"マイクロバス",'様式1-2（計画排出量）'!$J$16:$J$515,"&gt;1700",'様式1-2（計画排出量）'!$J$16:$J$515,"&lt;=2500",'様式1-2（計画排出量）'!$S$16:$S$515,"廃止")</f>
        <v>0</v>
      </c>
      <c r="P93" s="327">
        <f>COUNTIFS('様式1-2（計画排出量）'!$B$16:$B$515,$A93,'様式1-2（計画排出量）'!$H$16:$H$515,"マイクロバス",'様式1-2（計画排出量）'!$J$16:$J$515,"&gt;2500",'様式1-2（計画排出量）'!$J$16:$J$515,"&lt;=3500",'様式1-2（計画排出量）'!$S$16:$S$515,"廃止")</f>
        <v>0</v>
      </c>
      <c r="Q93" s="327">
        <f>COUNTIFS('様式1-2（計画排出量）'!$B$16:$B$515,$A93,'様式1-2（計画排出量）'!$H$16:$H$515,"マイクロバス",'様式1-2（計画排出量）'!$J$16:$J$515,"&gt;3500",'様式1-2（計画排出量）'!$S$16:$S$515,"廃止")</f>
        <v>0</v>
      </c>
      <c r="R93" s="327">
        <f>COUNTIFS('様式1-2（計画排出量）'!$B$16:$B$515,$A93,'様式1-2（計画排出量）'!$H$16:$H$515,"特種車*",'様式1-2（計画排出量）'!$J$16:$J$515,"&lt;=1700",'様式1-2（計画排出量）'!$S$16:$S$515,"廃止")</f>
        <v>0</v>
      </c>
      <c r="S93" s="327">
        <f>COUNTIFS('様式1-2（計画排出量）'!$B$16:$B$515,$A93,'様式1-2（計画排出量）'!$H$16:$H$515,"特種車*",'様式1-2（計画排出量）'!$J$16:$J$515,"&gt;1700",'様式1-2（計画排出量）'!$J$16:$J$515,"&lt;=2500",'様式1-2（計画排出量）'!$S$16:$S$515,"廃止")</f>
        <v>0</v>
      </c>
      <c r="T93" s="327">
        <f>COUNTIFS('様式1-2（計画排出量）'!$B$16:$B$515,$A93,'様式1-2（計画排出量）'!$H$16:$H$515,"特種車*",'様式1-2（計画排出量）'!$J$16:$J$515,"&gt;2500",'様式1-2（計画排出量）'!$J$16:$J$515,"&lt;=3500",'様式1-2（計画排出量）'!$S$16:$S$515,"廃止")</f>
        <v>0</v>
      </c>
      <c r="U93" s="327">
        <f>COUNTIFS('様式1-2（計画排出量）'!$B$16:$B$515,$A93,'様式1-2（計画排出量）'!$H$16:$H$515,"特種車*",'様式1-2（計画排出量）'!$J$16:$J$515,"&gt;3500",'様式1-2（計画排出量）'!$S$16:$S$515,"廃止")</f>
        <v>0</v>
      </c>
      <c r="V93" s="327">
        <f>COUNTIFS('様式1-2（計画排出量）'!$B$16:$B$515,$A93,'様式1-2（計画排出量）'!$H$16:$H$515,"乗用車*",'様式1-2（計画排出量）'!$S$16:$S$515,"廃止")</f>
        <v>0</v>
      </c>
      <c r="W93" s="327"/>
    </row>
    <row r="94" spans="1:23" ht="13.75" hidden="1" customHeight="1">
      <c r="A94" s="165">
        <v>25</v>
      </c>
      <c r="B94" s="327">
        <f>COUNTIFS('様式1-2（計画排出量）'!$B$16:$B$515,$A94,'様式1-2（計画排出量）'!$H$16:$H$515,"普通貨物車",'様式1-2（計画排出量）'!$J$16:$J$515,"&lt;=1700",'様式1-2（計画排出量）'!$S$16:$S$515,"廃止")</f>
        <v>0</v>
      </c>
      <c r="C94" s="327">
        <f>COUNTIFS('様式1-2（計画排出量）'!$B$16:$B$515,$A94,'様式1-2（計画排出量）'!$H$16:$H$515,"普通貨物車",'様式1-2（計画排出量）'!$J$16:$J$515,"&gt;1700",'様式1-2（計画排出量）'!$J$16:$J$515,"&lt;=2500",'様式1-2（計画排出量）'!$S$16:$S$515,"廃止")</f>
        <v>0</v>
      </c>
      <c r="D94" s="327">
        <f>COUNTIFS('様式1-2（計画排出量）'!$B$16:$B$515,$A94,'様式1-2（計画排出量）'!$H$16:$H$515,"普通貨物車",'様式1-2（計画排出量）'!$J$16:$J$515,"&gt;2500",'様式1-2（計画排出量）'!$J$16:$J$515,"&lt;=3500",'様式1-2（計画排出量）'!$S$16:$S$515,"廃止")</f>
        <v>0</v>
      </c>
      <c r="E94" s="327">
        <f>COUNTIFS('様式1-2（計画排出量）'!$B$16:$B$515,$A94,'様式1-2（計画排出量）'!$H$16:$H$515,"普通貨物車",'様式1-2（計画排出量）'!$J$16:$J$515,"&gt;3500",'様式1-2（計画排出量）'!$S$16:$S$515,"廃止")</f>
        <v>0</v>
      </c>
      <c r="F94" s="327">
        <f>COUNTIFS('様式1-2（計画排出量）'!$B$16:$B$515,$A94,'様式1-2（計画排出量）'!$H$16:$H$515,"小型貨物車",'様式1-2（計画排出量）'!$J$16:$J$515,"&lt;=1700",'様式1-2（計画排出量）'!$S$16:$S$515,"廃止")</f>
        <v>0</v>
      </c>
      <c r="G94" s="327">
        <f>COUNTIFS('様式1-2（計画排出量）'!$B$16:$B$515,$A94,'様式1-2（計画排出量）'!$H$16:$H$515,"小型貨物車",'様式1-2（計画排出量）'!$J$16:$J$515,"&gt;1700",'様式1-2（計画排出量）'!$J$16:$J$515,"&lt;=2500",'様式1-2（計画排出量）'!$S$16:$S$515,"廃止")</f>
        <v>0</v>
      </c>
      <c r="H94" s="327">
        <f>COUNTIFS('様式1-2（計画排出量）'!$B$16:$B$515,$A94,'様式1-2（計画排出量）'!$H$16:$H$515,"小型貨物車",'様式1-2（計画排出量）'!$J$16:$J$515,"&gt;2500",'様式1-2（計画排出量）'!$J$16:$J$515,"&lt;=3500",'様式1-2（計画排出量）'!$S$16:$S$515,"廃止")</f>
        <v>0</v>
      </c>
      <c r="I94" s="327">
        <f>COUNTIFS('様式1-2（計画排出量）'!$B$16:$B$515,$A94,'様式1-2（計画排出量）'!$H$16:$H$515,"小型貨物車",'様式1-2（計画排出量）'!$J$16:$J$515,"&gt;3500",'様式1-2（計画排出量）'!$S$16:$S$515,"廃止")</f>
        <v>0</v>
      </c>
      <c r="J94" s="327">
        <f>COUNTIFS('様式1-2（計画排出量）'!$B$16:$B$515,$A94,'様式1-2（計画排出量）'!$H$16:$H$515,"大型バス",'様式1-2（計画排出量）'!$J$16:$J$515,"&lt;=1700",'様式1-2（計画排出量）'!$S$16:$S$515,"廃止")</f>
        <v>0</v>
      </c>
      <c r="K94" s="327">
        <f>COUNTIFS('様式1-2（計画排出量）'!$B$16:$B$515,$A94,'様式1-2（計画排出量）'!$H$16:$H$515,"大型バス",'様式1-2（計画排出量）'!$J$16:$J$515,"&gt;1700",'様式1-2（計画排出量）'!$J$16:$J$515,"&lt;=2500",'様式1-2（計画排出量）'!$S$16:$S$515,"廃止")</f>
        <v>0</v>
      </c>
      <c r="L94" s="327">
        <f>COUNTIFS('様式1-2（計画排出量）'!$B$16:$B$515,$A94,'様式1-2（計画排出量）'!$H$16:$H$515,"大型バス",'様式1-2（計画排出量）'!$J$16:$J$515,"&gt;2500",'様式1-2（計画排出量）'!$J$16:$J$515,"&lt;=3500",'様式1-2（計画排出量）'!$S$16:$S$515,"廃止")</f>
        <v>0</v>
      </c>
      <c r="M94" s="327">
        <f>COUNTIFS('様式1-2（計画排出量）'!$B$16:$B$515,$A94,'様式1-2（計画排出量）'!$H$16:$H$515,"大型バス",'様式1-2（計画排出量）'!$J$16:$J$515,"&gt;3500",'様式1-2（計画排出量）'!$S$16:$S$515,"廃止")</f>
        <v>0</v>
      </c>
      <c r="N94" s="327">
        <f>COUNTIFS('様式1-2（計画排出量）'!$B$16:$B$515,$A94,'様式1-2（計画排出量）'!$H$16:$H$515,"マイクロバス",'様式1-2（計画排出量）'!$J$16:$J$515,"&lt;=1700",'様式1-2（計画排出量）'!$S$16:$S$515,"廃止")</f>
        <v>0</v>
      </c>
      <c r="O94" s="327">
        <f>COUNTIFS('様式1-2（計画排出量）'!$B$16:$B$515,$A94,'様式1-2（計画排出量）'!$H$16:$H$515,"マイクロバス",'様式1-2（計画排出量）'!$J$16:$J$515,"&gt;1700",'様式1-2（計画排出量）'!$J$16:$J$515,"&lt;=2500",'様式1-2（計画排出量）'!$S$16:$S$515,"廃止")</f>
        <v>0</v>
      </c>
      <c r="P94" s="327">
        <f>COUNTIFS('様式1-2（計画排出量）'!$B$16:$B$515,$A94,'様式1-2（計画排出量）'!$H$16:$H$515,"マイクロバス",'様式1-2（計画排出量）'!$J$16:$J$515,"&gt;2500",'様式1-2（計画排出量）'!$J$16:$J$515,"&lt;=3500",'様式1-2（計画排出量）'!$S$16:$S$515,"廃止")</f>
        <v>0</v>
      </c>
      <c r="Q94" s="327">
        <f>COUNTIFS('様式1-2（計画排出量）'!$B$16:$B$515,$A94,'様式1-2（計画排出量）'!$H$16:$H$515,"マイクロバス",'様式1-2（計画排出量）'!$J$16:$J$515,"&gt;3500",'様式1-2（計画排出量）'!$S$16:$S$515,"廃止")</f>
        <v>0</v>
      </c>
      <c r="R94" s="327">
        <f>COUNTIFS('様式1-2（計画排出量）'!$B$16:$B$515,$A94,'様式1-2（計画排出量）'!$H$16:$H$515,"特種車*",'様式1-2（計画排出量）'!$J$16:$J$515,"&lt;=1700",'様式1-2（計画排出量）'!$S$16:$S$515,"廃止")</f>
        <v>0</v>
      </c>
      <c r="S94" s="327">
        <f>COUNTIFS('様式1-2（計画排出量）'!$B$16:$B$515,$A94,'様式1-2（計画排出量）'!$H$16:$H$515,"特種車*",'様式1-2（計画排出量）'!$J$16:$J$515,"&gt;1700",'様式1-2（計画排出量）'!$J$16:$J$515,"&lt;=2500",'様式1-2（計画排出量）'!$S$16:$S$515,"廃止")</f>
        <v>0</v>
      </c>
      <c r="T94" s="327">
        <f>COUNTIFS('様式1-2（計画排出量）'!$B$16:$B$515,$A94,'様式1-2（計画排出量）'!$H$16:$H$515,"特種車*",'様式1-2（計画排出量）'!$J$16:$J$515,"&gt;2500",'様式1-2（計画排出量）'!$J$16:$J$515,"&lt;=3500",'様式1-2（計画排出量）'!$S$16:$S$515,"廃止")</f>
        <v>0</v>
      </c>
      <c r="U94" s="327">
        <f>COUNTIFS('様式1-2（計画排出量）'!$B$16:$B$515,$A94,'様式1-2（計画排出量）'!$H$16:$H$515,"特種車*",'様式1-2（計画排出量）'!$J$16:$J$515,"&gt;3500",'様式1-2（計画排出量）'!$S$16:$S$515,"廃止")</f>
        <v>0</v>
      </c>
      <c r="V94" s="327">
        <f>COUNTIFS('様式1-2（計画排出量）'!$B$16:$B$515,$A94,'様式1-2（計画排出量）'!$H$16:$H$515,"乗用車*",'様式1-2（計画排出量）'!$S$16:$S$515,"廃止")</f>
        <v>0</v>
      </c>
      <c r="W94" s="327"/>
    </row>
    <row r="95" spans="1:23" ht="13.75" hidden="1" customHeight="1">
      <c r="A95" s="165">
        <v>26</v>
      </c>
      <c r="B95" s="327">
        <f>COUNTIFS('様式1-2（計画排出量）'!$B$16:$B$515,$A95,'様式1-2（計画排出量）'!$H$16:$H$515,"普通貨物車",'様式1-2（計画排出量）'!$J$16:$J$515,"&lt;=1700",'様式1-2（計画排出量）'!$S$16:$S$515,"廃止")</f>
        <v>0</v>
      </c>
      <c r="C95" s="327">
        <f>COUNTIFS('様式1-2（計画排出量）'!$B$16:$B$515,$A95,'様式1-2（計画排出量）'!$H$16:$H$515,"普通貨物車",'様式1-2（計画排出量）'!$J$16:$J$515,"&gt;1700",'様式1-2（計画排出量）'!$J$16:$J$515,"&lt;=2500",'様式1-2（計画排出量）'!$S$16:$S$515,"廃止")</f>
        <v>0</v>
      </c>
      <c r="D95" s="327">
        <f>COUNTIFS('様式1-2（計画排出量）'!$B$16:$B$515,$A95,'様式1-2（計画排出量）'!$H$16:$H$515,"普通貨物車",'様式1-2（計画排出量）'!$J$16:$J$515,"&gt;2500",'様式1-2（計画排出量）'!$J$16:$J$515,"&lt;=3500",'様式1-2（計画排出量）'!$S$16:$S$515,"廃止")</f>
        <v>0</v>
      </c>
      <c r="E95" s="327">
        <f>COUNTIFS('様式1-2（計画排出量）'!$B$16:$B$515,$A95,'様式1-2（計画排出量）'!$H$16:$H$515,"普通貨物車",'様式1-2（計画排出量）'!$J$16:$J$515,"&gt;3500",'様式1-2（計画排出量）'!$S$16:$S$515,"廃止")</f>
        <v>0</v>
      </c>
      <c r="F95" s="327">
        <f>COUNTIFS('様式1-2（計画排出量）'!$B$16:$B$515,$A95,'様式1-2（計画排出量）'!$H$16:$H$515,"小型貨物車",'様式1-2（計画排出量）'!$J$16:$J$515,"&lt;=1700",'様式1-2（計画排出量）'!$S$16:$S$515,"廃止")</f>
        <v>0</v>
      </c>
      <c r="G95" s="327">
        <f>COUNTIFS('様式1-2（計画排出量）'!$B$16:$B$515,$A95,'様式1-2（計画排出量）'!$H$16:$H$515,"小型貨物車",'様式1-2（計画排出量）'!$J$16:$J$515,"&gt;1700",'様式1-2（計画排出量）'!$J$16:$J$515,"&lt;=2500",'様式1-2（計画排出量）'!$S$16:$S$515,"廃止")</f>
        <v>0</v>
      </c>
      <c r="H95" s="327">
        <f>COUNTIFS('様式1-2（計画排出量）'!$B$16:$B$515,$A95,'様式1-2（計画排出量）'!$H$16:$H$515,"小型貨物車",'様式1-2（計画排出量）'!$J$16:$J$515,"&gt;2500",'様式1-2（計画排出量）'!$J$16:$J$515,"&lt;=3500",'様式1-2（計画排出量）'!$S$16:$S$515,"廃止")</f>
        <v>0</v>
      </c>
      <c r="I95" s="327">
        <f>COUNTIFS('様式1-2（計画排出量）'!$B$16:$B$515,$A95,'様式1-2（計画排出量）'!$H$16:$H$515,"小型貨物車",'様式1-2（計画排出量）'!$J$16:$J$515,"&gt;3500",'様式1-2（計画排出量）'!$S$16:$S$515,"廃止")</f>
        <v>0</v>
      </c>
      <c r="J95" s="327">
        <f>COUNTIFS('様式1-2（計画排出量）'!$B$16:$B$515,$A95,'様式1-2（計画排出量）'!$H$16:$H$515,"大型バス",'様式1-2（計画排出量）'!$J$16:$J$515,"&lt;=1700",'様式1-2（計画排出量）'!$S$16:$S$515,"廃止")</f>
        <v>0</v>
      </c>
      <c r="K95" s="327">
        <f>COUNTIFS('様式1-2（計画排出量）'!$B$16:$B$515,$A95,'様式1-2（計画排出量）'!$H$16:$H$515,"大型バス",'様式1-2（計画排出量）'!$J$16:$J$515,"&gt;1700",'様式1-2（計画排出量）'!$J$16:$J$515,"&lt;=2500",'様式1-2（計画排出量）'!$S$16:$S$515,"廃止")</f>
        <v>0</v>
      </c>
      <c r="L95" s="327">
        <f>COUNTIFS('様式1-2（計画排出量）'!$B$16:$B$515,$A95,'様式1-2（計画排出量）'!$H$16:$H$515,"大型バス",'様式1-2（計画排出量）'!$J$16:$J$515,"&gt;2500",'様式1-2（計画排出量）'!$J$16:$J$515,"&lt;=3500",'様式1-2（計画排出量）'!$S$16:$S$515,"廃止")</f>
        <v>0</v>
      </c>
      <c r="M95" s="327">
        <f>COUNTIFS('様式1-2（計画排出量）'!$B$16:$B$515,$A95,'様式1-2（計画排出量）'!$H$16:$H$515,"大型バス",'様式1-2（計画排出量）'!$J$16:$J$515,"&gt;3500",'様式1-2（計画排出量）'!$S$16:$S$515,"廃止")</f>
        <v>0</v>
      </c>
      <c r="N95" s="327">
        <f>COUNTIFS('様式1-2（計画排出量）'!$B$16:$B$515,$A95,'様式1-2（計画排出量）'!$H$16:$H$515,"マイクロバス",'様式1-2（計画排出量）'!$J$16:$J$515,"&lt;=1700",'様式1-2（計画排出量）'!$S$16:$S$515,"廃止")</f>
        <v>0</v>
      </c>
      <c r="O95" s="327">
        <f>COUNTIFS('様式1-2（計画排出量）'!$B$16:$B$515,$A95,'様式1-2（計画排出量）'!$H$16:$H$515,"マイクロバス",'様式1-2（計画排出量）'!$J$16:$J$515,"&gt;1700",'様式1-2（計画排出量）'!$J$16:$J$515,"&lt;=2500",'様式1-2（計画排出量）'!$S$16:$S$515,"廃止")</f>
        <v>0</v>
      </c>
      <c r="P95" s="327">
        <f>COUNTIFS('様式1-2（計画排出量）'!$B$16:$B$515,$A95,'様式1-2（計画排出量）'!$H$16:$H$515,"マイクロバス",'様式1-2（計画排出量）'!$J$16:$J$515,"&gt;2500",'様式1-2（計画排出量）'!$J$16:$J$515,"&lt;=3500",'様式1-2（計画排出量）'!$S$16:$S$515,"廃止")</f>
        <v>0</v>
      </c>
      <c r="Q95" s="327">
        <f>COUNTIFS('様式1-2（計画排出量）'!$B$16:$B$515,$A95,'様式1-2（計画排出量）'!$H$16:$H$515,"マイクロバス",'様式1-2（計画排出量）'!$J$16:$J$515,"&gt;3500",'様式1-2（計画排出量）'!$S$16:$S$515,"廃止")</f>
        <v>0</v>
      </c>
      <c r="R95" s="327">
        <f>COUNTIFS('様式1-2（計画排出量）'!$B$16:$B$515,$A95,'様式1-2（計画排出量）'!$H$16:$H$515,"特種車*",'様式1-2（計画排出量）'!$J$16:$J$515,"&lt;=1700",'様式1-2（計画排出量）'!$S$16:$S$515,"廃止")</f>
        <v>0</v>
      </c>
      <c r="S95" s="327">
        <f>COUNTIFS('様式1-2（計画排出量）'!$B$16:$B$515,$A95,'様式1-2（計画排出量）'!$H$16:$H$515,"特種車*",'様式1-2（計画排出量）'!$J$16:$J$515,"&gt;1700",'様式1-2（計画排出量）'!$J$16:$J$515,"&lt;=2500",'様式1-2（計画排出量）'!$S$16:$S$515,"廃止")</f>
        <v>0</v>
      </c>
      <c r="T95" s="327">
        <f>COUNTIFS('様式1-2（計画排出量）'!$B$16:$B$515,$A95,'様式1-2（計画排出量）'!$H$16:$H$515,"特種車*",'様式1-2（計画排出量）'!$J$16:$J$515,"&gt;2500",'様式1-2（計画排出量）'!$J$16:$J$515,"&lt;=3500",'様式1-2（計画排出量）'!$S$16:$S$515,"廃止")</f>
        <v>0</v>
      </c>
      <c r="U95" s="327">
        <f>COUNTIFS('様式1-2（計画排出量）'!$B$16:$B$515,$A95,'様式1-2（計画排出量）'!$H$16:$H$515,"特種車*",'様式1-2（計画排出量）'!$J$16:$J$515,"&gt;3500",'様式1-2（計画排出量）'!$S$16:$S$515,"廃止")</f>
        <v>0</v>
      </c>
      <c r="V95" s="327">
        <f>COUNTIFS('様式1-2（計画排出量）'!$B$16:$B$515,$A95,'様式1-2（計画排出量）'!$H$16:$H$515,"乗用車*",'様式1-2（計画排出量）'!$S$16:$S$515,"廃止")</f>
        <v>0</v>
      </c>
      <c r="W95" s="327"/>
    </row>
    <row r="96" spans="1:23" ht="13.75" hidden="1" customHeight="1">
      <c r="A96" s="165">
        <v>27</v>
      </c>
      <c r="B96" s="327">
        <f>COUNTIFS('様式1-2（計画排出量）'!$B$16:$B$515,$A96,'様式1-2（計画排出量）'!$H$16:$H$515,"普通貨物車",'様式1-2（計画排出量）'!$J$16:$J$515,"&lt;=1700",'様式1-2（計画排出量）'!$S$16:$S$515,"廃止")</f>
        <v>0</v>
      </c>
      <c r="C96" s="327">
        <f>COUNTIFS('様式1-2（計画排出量）'!$B$16:$B$515,$A96,'様式1-2（計画排出量）'!$H$16:$H$515,"普通貨物車",'様式1-2（計画排出量）'!$J$16:$J$515,"&gt;1700",'様式1-2（計画排出量）'!$J$16:$J$515,"&lt;=2500",'様式1-2（計画排出量）'!$S$16:$S$515,"廃止")</f>
        <v>0</v>
      </c>
      <c r="D96" s="327">
        <f>COUNTIFS('様式1-2（計画排出量）'!$B$16:$B$515,$A96,'様式1-2（計画排出量）'!$H$16:$H$515,"普通貨物車",'様式1-2（計画排出量）'!$J$16:$J$515,"&gt;2500",'様式1-2（計画排出量）'!$J$16:$J$515,"&lt;=3500",'様式1-2（計画排出量）'!$S$16:$S$515,"廃止")</f>
        <v>0</v>
      </c>
      <c r="E96" s="327">
        <f>COUNTIFS('様式1-2（計画排出量）'!$B$16:$B$515,$A96,'様式1-2（計画排出量）'!$H$16:$H$515,"普通貨物車",'様式1-2（計画排出量）'!$J$16:$J$515,"&gt;3500",'様式1-2（計画排出量）'!$S$16:$S$515,"廃止")</f>
        <v>0</v>
      </c>
      <c r="F96" s="327">
        <f>COUNTIFS('様式1-2（計画排出量）'!$B$16:$B$515,$A96,'様式1-2（計画排出量）'!$H$16:$H$515,"小型貨物車",'様式1-2（計画排出量）'!$J$16:$J$515,"&lt;=1700",'様式1-2（計画排出量）'!$S$16:$S$515,"廃止")</f>
        <v>0</v>
      </c>
      <c r="G96" s="327">
        <f>COUNTIFS('様式1-2（計画排出量）'!$B$16:$B$515,$A96,'様式1-2（計画排出量）'!$H$16:$H$515,"小型貨物車",'様式1-2（計画排出量）'!$J$16:$J$515,"&gt;1700",'様式1-2（計画排出量）'!$J$16:$J$515,"&lt;=2500",'様式1-2（計画排出量）'!$S$16:$S$515,"廃止")</f>
        <v>0</v>
      </c>
      <c r="H96" s="327">
        <f>COUNTIFS('様式1-2（計画排出量）'!$B$16:$B$515,$A96,'様式1-2（計画排出量）'!$H$16:$H$515,"小型貨物車",'様式1-2（計画排出量）'!$J$16:$J$515,"&gt;2500",'様式1-2（計画排出量）'!$J$16:$J$515,"&lt;=3500",'様式1-2（計画排出量）'!$S$16:$S$515,"廃止")</f>
        <v>0</v>
      </c>
      <c r="I96" s="327">
        <f>COUNTIFS('様式1-2（計画排出量）'!$B$16:$B$515,$A96,'様式1-2（計画排出量）'!$H$16:$H$515,"小型貨物車",'様式1-2（計画排出量）'!$J$16:$J$515,"&gt;3500",'様式1-2（計画排出量）'!$S$16:$S$515,"廃止")</f>
        <v>0</v>
      </c>
      <c r="J96" s="327">
        <f>COUNTIFS('様式1-2（計画排出量）'!$B$16:$B$515,$A96,'様式1-2（計画排出量）'!$H$16:$H$515,"大型バス",'様式1-2（計画排出量）'!$J$16:$J$515,"&lt;=1700",'様式1-2（計画排出量）'!$S$16:$S$515,"廃止")</f>
        <v>0</v>
      </c>
      <c r="K96" s="327">
        <f>COUNTIFS('様式1-2（計画排出量）'!$B$16:$B$515,$A96,'様式1-2（計画排出量）'!$H$16:$H$515,"大型バス",'様式1-2（計画排出量）'!$J$16:$J$515,"&gt;1700",'様式1-2（計画排出量）'!$J$16:$J$515,"&lt;=2500",'様式1-2（計画排出量）'!$S$16:$S$515,"廃止")</f>
        <v>0</v>
      </c>
      <c r="L96" s="327">
        <f>COUNTIFS('様式1-2（計画排出量）'!$B$16:$B$515,$A96,'様式1-2（計画排出量）'!$H$16:$H$515,"大型バス",'様式1-2（計画排出量）'!$J$16:$J$515,"&gt;2500",'様式1-2（計画排出量）'!$J$16:$J$515,"&lt;=3500",'様式1-2（計画排出量）'!$S$16:$S$515,"廃止")</f>
        <v>0</v>
      </c>
      <c r="M96" s="327">
        <f>COUNTIFS('様式1-2（計画排出量）'!$B$16:$B$515,$A96,'様式1-2（計画排出量）'!$H$16:$H$515,"大型バス",'様式1-2（計画排出量）'!$J$16:$J$515,"&gt;3500",'様式1-2（計画排出量）'!$S$16:$S$515,"廃止")</f>
        <v>0</v>
      </c>
      <c r="N96" s="327">
        <f>COUNTIFS('様式1-2（計画排出量）'!$B$16:$B$515,$A96,'様式1-2（計画排出量）'!$H$16:$H$515,"マイクロバス",'様式1-2（計画排出量）'!$J$16:$J$515,"&lt;=1700",'様式1-2（計画排出量）'!$S$16:$S$515,"廃止")</f>
        <v>0</v>
      </c>
      <c r="O96" s="327">
        <f>COUNTIFS('様式1-2（計画排出量）'!$B$16:$B$515,$A96,'様式1-2（計画排出量）'!$H$16:$H$515,"マイクロバス",'様式1-2（計画排出量）'!$J$16:$J$515,"&gt;1700",'様式1-2（計画排出量）'!$J$16:$J$515,"&lt;=2500",'様式1-2（計画排出量）'!$S$16:$S$515,"廃止")</f>
        <v>0</v>
      </c>
      <c r="P96" s="327">
        <f>COUNTIFS('様式1-2（計画排出量）'!$B$16:$B$515,$A96,'様式1-2（計画排出量）'!$H$16:$H$515,"マイクロバス",'様式1-2（計画排出量）'!$J$16:$J$515,"&gt;2500",'様式1-2（計画排出量）'!$J$16:$J$515,"&lt;=3500",'様式1-2（計画排出量）'!$S$16:$S$515,"廃止")</f>
        <v>0</v>
      </c>
      <c r="Q96" s="327">
        <f>COUNTIFS('様式1-2（計画排出量）'!$B$16:$B$515,$A96,'様式1-2（計画排出量）'!$H$16:$H$515,"マイクロバス",'様式1-2（計画排出量）'!$J$16:$J$515,"&gt;3500",'様式1-2（計画排出量）'!$S$16:$S$515,"廃止")</f>
        <v>0</v>
      </c>
      <c r="R96" s="327">
        <f>COUNTIFS('様式1-2（計画排出量）'!$B$16:$B$515,$A96,'様式1-2（計画排出量）'!$H$16:$H$515,"特種車*",'様式1-2（計画排出量）'!$J$16:$J$515,"&lt;=1700",'様式1-2（計画排出量）'!$S$16:$S$515,"廃止")</f>
        <v>0</v>
      </c>
      <c r="S96" s="327">
        <f>COUNTIFS('様式1-2（計画排出量）'!$B$16:$B$515,$A96,'様式1-2（計画排出量）'!$H$16:$H$515,"特種車*",'様式1-2（計画排出量）'!$J$16:$J$515,"&gt;1700",'様式1-2（計画排出量）'!$J$16:$J$515,"&lt;=2500",'様式1-2（計画排出量）'!$S$16:$S$515,"廃止")</f>
        <v>0</v>
      </c>
      <c r="T96" s="327">
        <f>COUNTIFS('様式1-2（計画排出量）'!$B$16:$B$515,$A96,'様式1-2（計画排出量）'!$H$16:$H$515,"特種車*",'様式1-2（計画排出量）'!$J$16:$J$515,"&gt;2500",'様式1-2（計画排出量）'!$J$16:$J$515,"&lt;=3500",'様式1-2（計画排出量）'!$S$16:$S$515,"廃止")</f>
        <v>0</v>
      </c>
      <c r="U96" s="327">
        <f>COUNTIFS('様式1-2（計画排出量）'!$B$16:$B$515,$A96,'様式1-2（計画排出量）'!$H$16:$H$515,"特種車*",'様式1-2（計画排出量）'!$J$16:$J$515,"&gt;3500",'様式1-2（計画排出量）'!$S$16:$S$515,"廃止")</f>
        <v>0</v>
      </c>
      <c r="V96" s="327">
        <f>COUNTIFS('様式1-2（計画排出量）'!$B$16:$B$515,$A96,'様式1-2（計画排出量）'!$H$16:$H$515,"乗用車*",'様式1-2（計画排出量）'!$S$16:$S$515,"廃止")</f>
        <v>0</v>
      </c>
      <c r="W96" s="327"/>
    </row>
    <row r="97" spans="1:23" ht="13.75" hidden="1" customHeight="1">
      <c r="A97" s="165">
        <v>28</v>
      </c>
      <c r="B97" s="327">
        <f>COUNTIFS('様式1-2（計画排出量）'!$B$16:$B$515,$A97,'様式1-2（計画排出量）'!$H$16:$H$515,"普通貨物車",'様式1-2（計画排出量）'!$J$16:$J$515,"&lt;=1700",'様式1-2（計画排出量）'!$S$16:$S$515,"廃止")</f>
        <v>0</v>
      </c>
      <c r="C97" s="327">
        <f>COUNTIFS('様式1-2（計画排出量）'!$B$16:$B$515,$A97,'様式1-2（計画排出量）'!$H$16:$H$515,"普通貨物車",'様式1-2（計画排出量）'!$J$16:$J$515,"&gt;1700",'様式1-2（計画排出量）'!$J$16:$J$515,"&lt;=2500",'様式1-2（計画排出量）'!$S$16:$S$515,"廃止")</f>
        <v>0</v>
      </c>
      <c r="D97" s="327">
        <f>COUNTIFS('様式1-2（計画排出量）'!$B$16:$B$515,$A97,'様式1-2（計画排出量）'!$H$16:$H$515,"普通貨物車",'様式1-2（計画排出量）'!$J$16:$J$515,"&gt;2500",'様式1-2（計画排出量）'!$J$16:$J$515,"&lt;=3500",'様式1-2（計画排出量）'!$S$16:$S$515,"廃止")</f>
        <v>0</v>
      </c>
      <c r="E97" s="327">
        <f>COUNTIFS('様式1-2（計画排出量）'!$B$16:$B$515,$A97,'様式1-2（計画排出量）'!$H$16:$H$515,"普通貨物車",'様式1-2（計画排出量）'!$J$16:$J$515,"&gt;3500",'様式1-2（計画排出量）'!$S$16:$S$515,"廃止")</f>
        <v>0</v>
      </c>
      <c r="F97" s="327">
        <f>COUNTIFS('様式1-2（計画排出量）'!$B$16:$B$515,$A97,'様式1-2（計画排出量）'!$H$16:$H$515,"小型貨物車",'様式1-2（計画排出量）'!$J$16:$J$515,"&lt;=1700",'様式1-2（計画排出量）'!$S$16:$S$515,"廃止")</f>
        <v>0</v>
      </c>
      <c r="G97" s="327">
        <f>COUNTIFS('様式1-2（計画排出量）'!$B$16:$B$515,$A97,'様式1-2（計画排出量）'!$H$16:$H$515,"小型貨物車",'様式1-2（計画排出量）'!$J$16:$J$515,"&gt;1700",'様式1-2（計画排出量）'!$J$16:$J$515,"&lt;=2500",'様式1-2（計画排出量）'!$S$16:$S$515,"廃止")</f>
        <v>0</v>
      </c>
      <c r="H97" s="327">
        <f>COUNTIFS('様式1-2（計画排出量）'!$B$16:$B$515,$A97,'様式1-2（計画排出量）'!$H$16:$H$515,"小型貨物車",'様式1-2（計画排出量）'!$J$16:$J$515,"&gt;2500",'様式1-2（計画排出量）'!$J$16:$J$515,"&lt;=3500",'様式1-2（計画排出量）'!$S$16:$S$515,"廃止")</f>
        <v>0</v>
      </c>
      <c r="I97" s="327">
        <f>COUNTIFS('様式1-2（計画排出量）'!$B$16:$B$515,$A97,'様式1-2（計画排出量）'!$H$16:$H$515,"小型貨物車",'様式1-2（計画排出量）'!$J$16:$J$515,"&gt;3500",'様式1-2（計画排出量）'!$S$16:$S$515,"廃止")</f>
        <v>0</v>
      </c>
      <c r="J97" s="327">
        <f>COUNTIFS('様式1-2（計画排出量）'!$B$16:$B$515,$A97,'様式1-2（計画排出量）'!$H$16:$H$515,"大型バス",'様式1-2（計画排出量）'!$J$16:$J$515,"&lt;=1700",'様式1-2（計画排出量）'!$S$16:$S$515,"廃止")</f>
        <v>0</v>
      </c>
      <c r="K97" s="327">
        <f>COUNTIFS('様式1-2（計画排出量）'!$B$16:$B$515,$A97,'様式1-2（計画排出量）'!$H$16:$H$515,"大型バス",'様式1-2（計画排出量）'!$J$16:$J$515,"&gt;1700",'様式1-2（計画排出量）'!$J$16:$J$515,"&lt;=2500",'様式1-2（計画排出量）'!$S$16:$S$515,"廃止")</f>
        <v>0</v>
      </c>
      <c r="L97" s="327">
        <f>COUNTIFS('様式1-2（計画排出量）'!$B$16:$B$515,$A97,'様式1-2（計画排出量）'!$H$16:$H$515,"大型バス",'様式1-2（計画排出量）'!$J$16:$J$515,"&gt;2500",'様式1-2（計画排出量）'!$J$16:$J$515,"&lt;=3500",'様式1-2（計画排出量）'!$S$16:$S$515,"廃止")</f>
        <v>0</v>
      </c>
      <c r="M97" s="327">
        <f>COUNTIFS('様式1-2（計画排出量）'!$B$16:$B$515,$A97,'様式1-2（計画排出量）'!$H$16:$H$515,"大型バス",'様式1-2（計画排出量）'!$J$16:$J$515,"&gt;3500",'様式1-2（計画排出量）'!$S$16:$S$515,"廃止")</f>
        <v>0</v>
      </c>
      <c r="N97" s="327">
        <f>COUNTIFS('様式1-2（計画排出量）'!$B$16:$B$515,$A97,'様式1-2（計画排出量）'!$H$16:$H$515,"マイクロバス",'様式1-2（計画排出量）'!$J$16:$J$515,"&lt;=1700",'様式1-2（計画排出量）'!$S$16:$S$515,"廃止")</f>
        <v>0</v>
      </c>
      <c r="O97" s="327">
        <f>COUNTIFS('様式1-2（計画排出量）'!$B$16:$B$515,$A97,'様式1-2（計画排出量）'!$H$16:$H$515,"マイクロバス",'様式1-2（計画排出量）'!$J$16:$J$515,"&gt;1700",'様式1-2（計画排出量）'!$J$16:$J$515,"&lt;=2500",'様式1-2（計画排出量）'!$S$16:$S$515,"廃止")</f>
        <v>0</v>
      </c>
      <c r="P97" s="327">
        <f>COUNTIFS('様式1-2（計画排出量）'!$B$16:$B$515,$A97,'様式1-2（計画排出量）'!$H$16:$H$515,"マイクロバス",'様式1-2（計画排出量）'!$J$16:$J$515,"&gt;2500",'様式1-2（計画排出量）'!$J$16:$J$515,"&lt;=3500",'様式1-2（計画排出量）'!$S$16:$S$515,"廃止")</f>
        <v>0</v>
      </c>
      <c r="Q97" s="327">
        <f>COUNTIFS('様式1-2（計画排出量）'!$B$16:$B$515,$A97,'様式1-2（計画排出量）'!$H$16:$H$515,"マイクロバス",'様式1-2（計画排出量）'!$J$16:$J$515,"&gt;3500",'様式1-2（計画排出量）'!$S$16:$S$515,"廃止")</f>
        <v>0</v>
      </c>
      <c r="R97" s="327">
        <f>COUNTIFS('様式1-2（計画排出量）'!$B$16:$B$515,$A97,'様式1-2（計画排出量）'!$H$16:$H$515,"特種車*",'様式1-2（計画排出量）'!$J$16:$J$515,"&lt;=1700",'様式1-2（計画排出量）'!$S$16:$S$515,"廃止")</f>
        <v>0</v>
      </c>
      <c r="S97" s="327">
        <f>COUNTIFS('様式1-2（計画排出量）'!$B$16:$B$515,$A97,'様式1-2（計画排出量）'!$H$16:$H$515,"特種車*",'様式1-2（計画排出量）'!$J$16:$J$515,"&gt;1700",'様式1-2（計画排出量）'!$J$16:$J$515,"&lt;=2500",'様式1-2（計画排出量）'!$S$16:$S$515,"廃止")</f>
        <v>0</v>
      </c>
      <c r="T97" s="327">
        <f>COUNTIFS('様式1-2（計画排出量）'!$B$16:$B$515,$A97,'様式1-2（計画排出量）'!$H$16:$H$515,"特種車*",'様式1-2（計画排出量）'!$J$16:$J$515,"&gt;2500",'様式1-2（計画排出量）'!$J$16:$J$515,"&lt;=3500",'様式1-2（計画排出量）'!$S$16:$S$515,"廃止")</f>
        <v>0</v>
      </c>
      <c r="U97" s="327">
        <f>COUNTIFS('様式1-2（計画排出量）'!$B$16:$B$515,$A97,'様式1-2（計画排出量）'!$H$16:$H$515,"特種車*",'様式1-2（計画排出量）'!$J$16:$J$515,"&gt;3500",'様式1-2（計画排出量）'!$S$16:$S$515,"廃止")</f>
        <v>0</v>
      </c>
      <c r="V97" s="327">
        <f>COUNTIFS('様式1-2（計画排出量）'!$B$16:$B$515,$A97,'様式1-2（計画排出量）'!$H$16:$H$515,"乗用車*",'様式1-2（計画排出量）'!$S$16:$S$515,"廃止")</f>
        <v>0</v>
      </c>
      <c r="W97" s="327"/>
    </row>
    <row r="98" spans="1:23" ht="13.75" hidden="1" customHeight="1">
      <c r="A98" s="165">
        <v>29</v>
      </c>
      <c r="B98" s="327">
        <f>COUNTIFS('様式1-2（計画排出量）'!$B$16:$B$515,$A98,'様式1-2（計画排出量）'!$H$16:$H$515,"普通貨物車",'様式1-2（計画排出量）'!$J$16:$J$515,"&lt;=1700",'様式1-2（計画排出量）'!$S$16:$S$515,"廃止")</f>
        <v>0</v>
      </c>
      <c r="C98" s="327">
        <f>COUNTIFS('様式1-2（計画排出量）'!$B$16:$B$515,$A98,'様式1-2（計画排出量）'!$H$16:$H$515,"普通貨物車",'様式1-2（計画排出量）'!$J$16:$J$515,"&gt;1700",'様式1-2（計画排出量）'!$J$16:$J$515,"&lt;=2500",'様式1-2（計画排出量）'!$S$16:$S$515,"廃止")</f>
        <v>0</v>
      </c>
      <c r="D98" s="327">
        <f>COUNTIFS('様式1-2（計画排出量）'!$B$16:$B$515,$A98,'様式1-2（計画排出量）'!$H$16:$H$515,"普通貨物車",'様式1-2（計画排出量）'!$J$16:$J$515,"&gt;2500",'様式1-2（計画排出量）'!$J$16:$J$515,"&lt;=3500",'様式1-2（計画排出量）'!$S$16:$S$515,"廃止")</f>
        <v>0</v>
      </c>
      <c r="E98" s="327">
        <f>COUNTIFS('様式1-2（計画排出量）'!$B$16:$B$515,$A98,'様式1-2（計画排出量）'!$H$16:$H$515,"普通貨物車",'様式1-2（計画排出量）'!$J$16:$J$515,"&gt;3500",'様式1-2（計画排出量）'!$S$16:$S$515,"廃止")</f>
        <v>0</v>
      </c>
      <c r="F98" s="327">
        <f>COUNTIFS('様式1-2（計画排出量）'!$B$16:$B$515,$A98,'様式1-2（計画排出量）'!$H$16:$H$515,"小型貨物車",'様式1-2（計画排出量）'!$J$16:$J$515,"&lt;=1700",'様式1-2（計画排出量）'!$S$16:$S$515,"廃止")</f>
        <v>0</v>
      </c>
      <c r="G98" s="327">
        <f>COUNTIFS('様式1-2（計画排出量）'!$B$16:$B$515,$A98,'様式1-2（計画排出量）'!$H$16:$H$515,"小型貨物車",'様式1-2（計画排出量）'!$J$16:$J$515,"&gt;1700",'様式1-2（計画排出量）'!$J$16:$J$515,"&lt;=2500",'様式1-2（計画排出量）'!$S$16:$S$515,"廃止")</f>
        <v>0</v>
      </c>
      <c r="H98" s="327">
        <f>COUNTIFS('様式1-2（計画排出量）'!$B$16:$B$515,$A98,'様式1-2（計画排出量）'!$H$16:$H$515,"小型貨物車",'様式1-2（計画排出量）'!$J$16:$J$515,"&gt;2500",'様式1-2（計画排出量）'!$J$16:$J$515,"&lt;=3500",'様式1-2（計画排出量）'!$S$16:$S$515,"廃止")</f>
        <v>0</v>
      </c>
      <c r="I98" s="327">
        <f>COUNTIFS('様式1-2（計画排出量）'!$B$16:$B$515,$A98,'様式1-2（計画排出量）'!$H$16:$H$515,"小型貨物車",'様式1-2（計画排出量）'!$J$16:$J$515,"&gt;3500",'様式1-2（計画排出量）'!$S$16:$S$515,"廃止")</f>
        <v>0</v>
      </c>
      <c r="J98" s="327">
        <f>COUNTIFS('様式1-2（計画排出量）'!$B$16:$B$515,$A98,'様式1-2（計画排出量）'!$H$16:$H$515,"大型バス",'様式1-2（計画排出量）'!$J$16:$J$515,"&lt;=1700",'様式1-2（計画排出量）'!$S$16:$S$515,"廃止")</f>
        <v>0</v>
      </c>
      <c r="K98" s="327">
        <f>COUNTIFS('様式1-2（計画排出量）'!$B$16:$B$515,$A98,'様式1-2（計画排出量）'!$H$16:$H$515,"大型バス",'様式1-2（計画排出量）'!$J$16:$J$515,"&gt;1700",'様式1-2（計画排出量）'!$J$16:$J$515,"&lt;=2500",'様式1-2（計画排出量）'!$S$16:$S$515,"廃止")</f>
        <v>0</v>
      </c>
      <c r="L98" s="327">
        <f>COUNTIFS('様式1-2（計画排出量）'!$B$16:$B$515,$A98,'様式1-2（計画排出量）'!$H$16:$H$515,"大型バス",'様式1-2（計画排出量）'!$J$16:$J$515,"&gt;2500",'様式1-2（計画排出量）'!$J$16:$J$515,"&lt;=3500",'様式1-2（計画排出量）'!$S$16:$S$515,"廃止")</f>
        <v>0</v>
      </c>
      <c r="M98" s="327">
        <f>COUNTIFS('様式1-2（計画排出量）'!$B$16:$B$515,$A98,'様式1-2（計画排出量）'!$H$16:$H$515,"大型バス",'様式1-2（計画排出量）'!$J$16:$J$515,"&gt;3500",'様式1-2（計画排出量）'!$S$16:$S$515,"廃止")</f>
        <v>0</v>
      </c>
      <c r="N98" s="327">
        <f>COUNTIFS('様式1-2（計画排出量）'!$B$16:$B$515,$A98,'様式1-2（計画排出量）'!$H$16:$H$515,"マイクロバス",'様式1-2（計画排出量）'!$J$16:$J$515,"&lt;=1700",'様式1-2（計画排出量）'!$S$16:$S$515,"廃止")</f>
        <v>0</v>
      </c>
      <c r="O98" s="327">
        <f>COUNTIFS('様式1-2（計画排出量）'!$B$16:$B$515,$A98,'様式1-2（計画排出量）'!$H$16:$H$515,"マイクロバス",'様式1-2（計画排出量）'!$J$16:$J$515,"&gt;1700",'様式1-2（計画排出量）'!$J$16:$J$515,"&lt;=2500",'様式1-2（計画排出量）'!$S$16:$S$515,"廃止")</f>
        <v>0</v>
      </c>
      <c r="P98" s="327">
        <f>COUNTIFS('様式1-2（計画排出量）'!$B$16:$B$515,$A98,'様式1-2（計画排出量）'!$H$16:$H$515,"マイクロバス",'様式1-2（計画排出量）'!$J$16:$J$515,"&gt;2500",'様式1-2（計画排出量）'!$J$16:$J$515,"&lt;=3500",'様式1-2（計画排出量）'!$S$16:$S$515,"廃止")</f>
        <v>0</v>
      </c>
      <c r="Q98" s="327">
        <f>COUNTIFS('様式1-2（計画排出量）'!$B$16:$B$515,$A98,'様式1-2（計画排出量）'!$H$16:$H$515,"マイクロバス",'様式1-2（計画排出量）'!$J$16:$J$515,"&gt;3500",'様式1-2（計画排出量）'!$S$16:$S$515,"廃止")</f>
        <v>0</v>
      </c>
      <c r="R98" s="327">
        <f>COUNTIFS('様式1-2（計画排出量）'!$B$16:$B$515,$A98,'様式1-2（計画排出量）'!$H$16:$H$515,"特種車*",'様式1-2（計画排出量）'!$J$16:$J$515,"&lt;=1700",'様式1-2（計画排出量）'!$S$16:$S$515,"廃止")</f>
        <v>0</v>
      </c>
      <c r="S98" s="327">
        <f>COUNTIFS('様式1-2（計画排出量）'!$B$16:$B$515,$A98,'様式1-2（計画排出量）'!$H$16:$H$515,"特種車*",'様式1-2（計画排出量）'!$J$16:$J$515,"&gt;1700",'様式1-2（計画排出量）'!$J$16:$J$515,"&lt;=2500",'様式1-2（計画排出量）'!$S$16:$S$515,"廃止")</f>
        <v>0</v>
      </c>
      <c r="T98" s="327">
        <f>COUNTIFS('様式1-2（計画排出量）'!$B$16:$B$515,$A98,'様式1-2（計画排出量）'!$H$16:$H$515,"特種車*",'様式1-2（計画排出量）'!$J$16:$J$515,"&gt;2500",'様式1-2（計画排出量）'!$J$16:$J$515,"&lt;=3500",'様式1-2（計画排出量）'!$S$16:$S$515,"廃止")</f>
        <v>0</v>
      </c>
      <c r="U98" s="327">
        <f>COUNTIFS('様式1-2（計画排出量）'!$B$16:$B$515,$A98,'様式1-2（計画排出量）'!$H$16:$H$515,"特種車*",'様式1-2（計画排出量）'!$J$16:$J$515,"&gt;3500",'様式1-2（計画排出量）'!$S$16:$S$515,"廃止")</f>
        <v>0</v>
      </c>
      <c r="V98" s="327">
        <f>COUNTIFS('様式1-2（計画排出量）'!$B$16:$B$515,$A98,'様式1-2（計画排出量）'!$H$16:$H$515,"乗用車*",'様式1-2（計画排出量）'!$S$16:$S$515,"廃止")</f>
        <v>0</v>
      </c>
      <c r="W98" s="327"/>
    </row>
    <row r="99" spans="1:23" ht="13.75" hidden="1" customHeight="1">
      <c r="A99" s="165">
        <v>30</v>
      </c>
      <c r="B99" s="327">
        <f>COUNTIFS('様式1-2（計画排出量）'!$B$16:$B$515,$A99,'様式1-2（計画排出量）'!$H$16:$H$515,"普通貨物車",'様式1-2（計画排出量）'!$J$16:$J$515,"&lt;=1700",'様式1-2（計画排出量）'!$S$16:$S$515,"廃止")</f>
        <v>0</v>
      </c>
      <c r="C99" s="327">
        <f>COUNTIFS('様式1-2（計画排出量）'!$B$16:$B$515,$A99,'様式1-2（計画排出量）'!$H$16:$H$515,"普通貨物車",'様式1-2（計画排出量）'!$J$16:$J$515,"&gt;1700",'様式1-2（計画排出量）'!$J$16:$J$515,"&lt;=2500",'様式1-2（計画排出量）'!$S$16:$S$515,"廃止")</f>
        <v>0</v>
      </c>
      <c r="D99" s="327">
        <f>COUNTIFS('様式1-2（計画排出量）'!$B$16:$B$515,$A99,'様式1-2（計画排出量）'!$H$16:$H$515,"普通貨物車",'様式1-2（計画排出量）'!$J$16:$J$515,"&gt;2500",'様式1-2（計画排出量）'!$J$16:$J$515,"&lt;=3500",'様式1-2（計画排出量）'!$S$16:$S$515,"廃止")</f>
        <v>0</v>
      </c>
      <c r="E99" s="327">
        <f>COUNTIFS('様式1-2（計画排出量）'!$B$16:$B$515,$A99,'様式1-2（計画排出量）'!$H$16:$H$515,"普通貨物車",'様式1-2（計画排出量）'!$J$16:$J$515,"&gt;3500",'様式1-2（計画排出量）'!$S$16:$S$515,"廃止")</f>
        <v>0</v>
      </c>
      <c r="F99" s="327">
        <f>COUNTIFS('様式1-2（計画排出量）'!$B$16:$B$515,$A99,'様式1-2（計画排出量）'!$H$16:$H$515,"小型貨物車",'様式1-2（計画排出量）'!$J$16:$J$515,"&lt;=1700",'様式1-2（計画排出量）'!$S$16:$S$515,"廃止")</f>
        <v>0</v>
      </c>
      <c r="G99" s="327">
        <f>COUNTIFS('様式1-2（計画排出量）'!$B$16:$B$515,$A99,'様式1-2（計画排出量）'!$H$16:$H$515,"小型貨物車",'様式1-2（計画排出量）'!$J$16:$J$515,"&gt;1700",'様式1-2（計画排出量）'!$J$16:$J$515,"&lt;=2500",'様式1-2（計画排出量）'!$S$16:$S$515,"廃止")</f>
        <v>0</v>
      </c>
      <c r="H99" s="327">
        <f>COUNTIFS('様式1-2（計画排出量）'!$B$16:$B$515,$A99,'様式1-2（計画排出量）'!$H$16:$H$515,"小型貨物車",'様式1-2（計画排出量）'!$J$16:$J$515,"&gt;2500",'様式1-2（計画排出量）'!$J$16:$J$515,"&lt;=3500",'様式1-2（計画排出量）'!$S$16:$S$515,"廃止")</f>
        <v>0</v>
      </c>
      <c r="I99" s="327">
        <f>COUNTIFS('様式1-2（計画排出量）'!$B$16:$B$515,$A99,'様式1-2（計画排出量）'!$H$16:$H$515,"小型貨物車",'様式1-2（計画排出量）'!$J$16:$J$515,"&gt;3500",'様式1-2（計画排出量）'!$S$16:$S$515,"廃止")</f>
        <v>0</v>
      </c>
      <c r="J99" s="327">
        <f>COUNTIFS('様式1-2（計画排出量）'!$B$16:$B$515,$A99,'様式1-2（計画排出量）'!$H$16:$H$515,"大型バス",'様式1-2（計画排出量）'!$J$16:$J$515,"&lt;=1700",'様式1-2（計画排出量）'!$S$16:$S$515,"廃止")</f>
        <v>0</v>
      </c>
      <c r="K99" s="327">
        <f>COUNTIFS('様式1-2（計画排出量）'!$B$16:$B$515,$A99,'様式1-2（計画排出量）'!$H$16:$H$515,"大型バス",'様式1-2（計画排出量）'!$J$16:$J$515,"&gt;1700",'様式1-2（計画排出量）'!$J$16:$J$515,"&lt;=2500",'様式1-2（計画排出量）'!$S$16:$S$515,"廃止")</f>
        <v>0</v>
      </c>
      <c r="L99" s="327">
        <f>COUNTIFS('様式1-2（計画排出量）'!$B$16:$B$515,$A99,'様式1-2（計画排出量）'!$H$16:$H$515,"大型バス",'様式1-2（計画排出量）'!$J$16:$J$515,"&gt;2500",'様式1-2（計画排出量）'!$J$16:$J$515,"&lt;=3500",'様式1-2（計画排出量）'!$S$16:$S$515,"廃止")</f>
        <v>0</v>
      </c>
      <c r="M99" s="327">
        <f>COUNTIFS('様式1-2（計画排出量）'!$B$16:$B$515,$A99,'様式1-2（計画排出量）'!$H$16:$H$515,"大型バス",'様式1-2（計画排出量）'!$J$16:$J$515,"&gt;3500",'様式1-2（計画排出量）'!$S$16:$S$515,"廃止")</f>
        <v>0</v>
      </c>
      <c r="N99" s="327">
        <f>COUNTIFS('様式1-2（計画排出量）'!$B$16:$B$515,$A99,'様式1-2（計画排出量）'!$H$16:$H$515,"マイクロバス",'様式1-2（計画排出量）'!$J$16:$J$515,"&lt;=1700",'様式1-2（計画排出量）'!$S$16:$S$515,"廃止")</f>
        <v>0</v>
      </c>
      <c r="O99" s="327">
        <f>COUNTIFS('様式1-2（計画排出量）'!$B$16:$B$515,$A99,'様式1-2（計画排出量）'!$H$16:$H$515,"マイクロバス",'様式1-2（計画排出量）'!$J$16:$J$515,"&gt;1700",'様式1-2（計画排出量）'!$J$16:$J$515,"&lt;=2500",'様式1-2（計画排出量）'!$S$16:$S$515,"廃止")</f>
        <v>0</v>
      </c>
      <c r="P99" s="327">
        <f>COUNTIFS('様式1-2（計画排出量）'!$B$16:$B$515,$A99,'様式1-2（計画排出量）'!$H$16:$H$515,"マイクロバス",'様式1-2（計画排出量）'!$J$16:$J$515,"&gt;2500",'様式1-2（計画排出量）'!$J$16:$J$515,"&lt;=3500",'様式1-2（計画排出量）'!$S$16:$S$515,"廃止")</f>
        <v>0</v>
      </c>
      <c r="Q99" s="327">
        <f>COUNTIFS('様式1-2（計画排出量）'!$B$16:$B$515,$A99,'様式1-2（計画排出量）'!$H$16:$H$515,"マイクロバス",'様式1-2（計画排出量）'!$J$16:$J$515,"&gt;3500",'様式1-2（計画排出量）'!$S$16:$S$515,"廃止")</f>
        <v>0</v>
      </c>
      <c r="R99" s="327">
        <f>COUNTIFS('様式1-2（計画排出量）'!$B$16:$B$515,$A99,'様式1-2（計画排出量）'!$H$16:$H$515,"特種車*",'様式1-2（計画排出量）'!$J$16:$J$515,"&lt;=1700",'様式1-2（計画排出量）'!$S$16:$S$515,"廃止")</f>
        <v>0</v>
      </c>
      <c r="S99" s="327">
        <f>COUNTIFS('様式1-2（計画排出量）'!$B$16:$B$515,$A99,'様式1-2（計画排出量）'!$H$16:$H$515,"特種車*",'様式1-2（計画排出量）'!$J$16:$J$515,"&gt;1700",'様式1-2（計画排出量）'!$J$16:$J$515,"&lt;=2500",'様式1-2（計画排出量）'!$S$16:$S$515,"廃止")</f>
        <v>0</v>
      </c>
      <c r="T99" s="327">
        <f>COUNTIFS('様式1-2（計画排出量）'!$B$16:$B$515,$A99,'様式1-2（計画排出量）'!$H$16:$H$515,"特種車*",'様式1-2（計画排出量）'!$J$16:$J$515,"&gt;2500",'様式1-2（計画排出量）'!$J$16:$J$515,"&lt;=3500",'様式1-2（計画排出量）'!$S$16:$S$515,"廃止")</f>
        <v>0</v>
      </c>
      <c r="U99" s="327">
        <f>COUNTIFS('様式1-2（計画排出量）'!$B$16:$B$515,$A99,'様式1-2（計画排出量）'!$H$16:$H$515,"特種車*",'様式1-2（計画排出量）'!$J$16:$J$515,"&gt;3500",'様式1-2（計画排出量）'!$S$16:$S$515,"廃止")</f>
        <v>0</v>
      </c>
      <c r="V99" s="327">
        <f>COUNTIFS('様式1-2（計画排出量）'!$B$16:$B$515,$A99,'様式1-2（計画排出量）'!$H$16:$H$515,"乗用車*",'様式1-2（計画排出量）'!$S$16:$S$515,"廃止")</f>
        <v>0</v>
      </c>
      <c r="W99" s="327"/>
    </row>
    <row r="100" spans="1:23" ht="13.75" customHeight="1"/>
    <row r="101" spans="1:23" ht="13.75" customHeight="1"/>
    <row r="102" spans="1:23" ht="13.75" customHeight="1"/>
    <row r="103" spans="1:23" ht="13.75" customHeight="1"/>
    <row r="104" spans="1:23" ht="13.75" customHeight="1"/>
    <row r="105" spans="1:23" ht="13.75" customHeight="1"/>
    <row r="106" spans="1:23" ht="13.75" customHeight="1"/>
    <row r="107" spans="1:23" ht="13.75" customHeight="1"/>
    <row r="108" spans="1:23" ht="13.75" customHeight="1"/>
    <row r="109" spans="1:23" ht="13.75" customHeight="1"/>
    <row r="110" spans="1:23" ht="13.75" customHeight="1"/>
    <row r="111" spans="1:23" ht="13.75" customHeight="1"/>
    <row r="112" spans="1:23"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row r="143" ht="13.75" customHeight="1"/>
    <row r="144" ht="13.75" customHeight="1"/>
    <row r="145" ht="13.75" customHeight="1"/>
    <row r="146" ht="13.75" customHeight="1"/>
    <row r="147" ht="13.75" customHeight="1"/>
    <row r="148" ht="13.75" customHeight="1"/>
    <row r="149" ht="13.75" customHeight="1"/>
    <row r="150" ht="13.75" customHeight="1"/>
    <row r="151" ht="13.75" customHeight="1"/>
    <row r="152" ht="13.75" customHeight="1"/>
    <row r="153" ht="13.75" customHeight="1"/>
    <row r="154" ht="13.75" customHeight="1"/>
    <row r="155" ht="13.75" customHeight="1"/>
    <row r="156" ht="13.75" customHeight="1"/>
    <row r="157" ht="13.75" customHeight="1"/>
    <row r="158" ht="13.75" customHeight="1"/>
    <row r="159" ht="13.75" customHeight="1"/>
    <row r="160" ht="13.75" customHeight="1"/>
    <row r="161" ht="13.75" customHeight="1"/>
    <row r="162" ht="13.75" customHeight="1"/>
    <row r="163" ht="13.75" customHeight="1"/>
    <row r="164" ht="13.75" customHeight="1"/>
    <row r="165" ht="13.75" customHeight="1"/>
    <row r="166" ht="13.75" customHeight="1"/>
    <row r="167" ht="13.75" customHeight="1"/>
    <row r="168" ht="13.75" customHeight="1"/>
    <row r="169" ht="13.75" customHeight="1"/>
    <row r="170" ht="13.75" customHeight="1"/>
    <row r="171" ht="13.75" customHeight="1"/>
    <row r="172" ht="13.75" customHeight="1"/>
    <row r="173" ht="13.75" customHeight="1"/>
    <row r="174" ht="13.75" customHeight="1"/>
    <row r="175" ht="13.75" customHeight="1"/>
    <row r="176" ht="13.75" customHeight="1"/>
    <row r="177" ht="13.75" customHeight="1"/>
    <row r="178" ht="13.75" customHeight="1"/>
    <row r="179" ht="13.75" customHeight="1"/>
    <row r="180" ht="13.75" customHeight="1"/>
    <row r="181" ht="13.75" customHeight="1"/>
    <row r="182" ht="13.75" customHeight="1"/>
    <row r="183" ht="13.75" customHeight="1"/>
    <row r="184" ht="13.75" customHeight="1"/>
    <row r="185" ht="13.75" customHeight="1"/>
    <row r="186" ht="13.75" customHeight="1"/>
    <row r="187" ht="13.75" customHeight="1"/>
    <row r="188" ht="13.75" customHeight="1"/>
    <row r="189" ht="13.75" customHeight="1"/>
    <row r="190" ht="13.75" customHeight="1"/>
    <row r="191" ht="13.75" customHeight="1"/>
    <row r="192" ht="13.75" customHeight="1"/>
    <row r="193" ht="13.75" customHeight="1"/>
    <row r="194" ht="13.75" customHeight="1"/>
    <row r="195" ht="13.75" customHeight="1"/>
    <row r="196" ht="13.75" customHeight="1"/>
    <row r="197" ht="13.75" customHeight="1"/>
    <row r="198" ht="13.75" customHeight="1"/>
    <row r="199" ht="13.75" customHeight="1"/>
    <row r="200" ht="13.75" customHeight="1"/>
    <row r="201" ht="13.75" customHeight="1"/>
    <row r="202" ht="13.75" customHeight="1"/>
    <row r="203" ht="13.75" customHeight="1"/>
    <row r="204" ht="13.75" customHeight="1"/>
    <row r="205" ht="13.75" customHeight="1"/>
    <row r="206" ht="13.75" customHeight="1"/>
    <row r="207" ht="13.75" customHeight="1"/>
    <row r="208" ht="13.75" customHeight="1"/>
    <row r="209" ht="13.75" customHeight="1"/>
    <row r="210" ht="13.75" customHeight="1"/>
    <row r="211" ht="13.75" customHeight="1"/>
    <row r="212" ht="13.75" customHeight="1"/>
    <row r="213" ht="13.75" customHeight="1"/>
    <row r="214" ht="13.75" customHeight="1"/>
    <row r="215" ht="13.75" customHeight="1"/>
    <row r="216" ht="13.75" customHeight="1"/>
    <row r="217" ht="13.75" customHeight="1"/>
    <row r="218" ht="13.75" customHeight="1"/>
    <row r="219" ht="13.75" customHeight="1"/>
    <row r="220" ht="13.75" customHeight="1"/>
    <row r="221" ht="13.75" customHeight="1"/>
    <row r="222" ht="13.75" customHeight="1"/>
    <row r="223" ht="13.75" customHeight="1"/>
    <row r="224" ht="13.75" customHeight="1"/>
    <row r="225" ht="13.75" customHeight="1"/>
    <row r="226" ht="13.75" customHeight="1"/>
    <row r="227" ht="13.75" customHeight="1"/>
    <row r="228" ht="13.75" customHeight="1"/>
    <row r="229" ht="13.75" customHeight="1"/>
    <row r="230" ht="13.75" customHeight="1"/>
    <row r="231" ht="13.75" customHeight="1"/>
    <row r="232" ht="13.75" customHeight="1"/>
    <row r="233" ht="13.75" customHeight="1"/>
    <row r="234" ht="13.75" customHeight="1"/>
    <row r="235" ht="13.75" customHeight="1"/>
    <row r="236" ht="13.75" customHeight="1"/>
    <row r="237" ht="13.75" customHeight="1"/>
    <row r="238" ht="13.75" customHeight="1"/>
    <row r="239" ht="13.75" customHeight="1"/>
    <row r="240" ht="13.75" customHeight="1"/>
    <row r="241" ht="13.75" customHeight="1"/>
    <row r="242" ht="13.75" customHeight="1"/>
    <row r="243" ht="13.75" customHeight="1"/>
    <row r="244" ht="13.75" customHeight="1"/>
    <row r="245" ht="13.75" customHeight="1"/>
    <row r="246" ht="13.75" customHeight="1"/>
    <row r="247" ht="13.75" customHeight="1"/>
    <row r="248" ht="13.75" customHeight="1"/>
    <row r="249" ht="13.75" customHeight="1"/>
    <row r="250" ht="13.75" customHeight="1"/>
    <row r="251" ht="13.75" customHeight="1"/>
    <row r="252" ht="13.75" customHeight="1"/>
    <row r="253" ht="13.75" customHeight="1"/>
    <row r="254" ht="13.75" customHeight="1"/>
    <row r="255" ht="13.75" customHeight="1"/>
    <row r="256" ht="13.75" customHeight="1"/>
    <row r="257" ht="13.75" customHeight="1"/>
    <row r="258" ht="13.75" customHeight="1"/>
    <row r="259" ht="13.75" customHeight="1"/>
    <row r="260" ht="13.75" customHeight="1"/>
    <row r="261" ht="13.75" customHeight="1"/>
    <row r="262" ht="13.75" customHeight="1"/>
    <row r="263" ht="13.75" customHeight="1"/>
    <row r="264" ht="13.75" customHeight="1"/>
    <row r="265" ht="13.75" customHeight="1"/>
    <row r="266" ht="13.75" customHeight="1"/>
    <row r="267" ht="13.75" customHeight="1"/>
    <row r="268" ht="13.75" customHeight="1"/>
    <row r="269" ht="13.75" customHeight="1"/>
    <row r="270" ht="13.75" customHeight="1"/>
    <row r="271" ht="13.75" customHeight="1"/>
    <row r="272" ht="13.75" customHeight="1"/>
    <row r="273" ht="13.75" customHeight="1"/>
    <row r="274" ht="13.75" customHeight="1"/>
    <row r="275" ht="13.75" customHeight="1"/>
    <row r="276" ht="13.75" customHeight="1"/>
    <row r="277" ht="13.75" customHeight="1"/>
    <row r="278" ht="13.75" customHeight="1"/>
    <row r="279" ht="13.75" customHeight="1"/>
    <row r="280" ht="13.75" customHeight="1"/>
    <row r="281" ht="13.75" customHeight="1"/>
    <row r="282" ht="13.75" customHeight="1"/>
    <row r="283" ht="13.75" customHeight="1"/>
    <row r="284" ht="13.75" customHeight="1"/>
    <row r="285" ht="13.75" customHeight="1"/>
    <row r="286" ht="13.75" customHeight="1"/>
    <row r="287" ht="13.75" customHeight="1"/>
    <row r="288" ht="13.75" customHeight="1"/>
    <row r="289" ht="13.75" customHeight="1"/>
    <row r="290" ht="13.75" customHeight="1"/>
    <row r="291" ht="13.75" customHeight="1"/>
    <row r="292" ht="13.75" customHeight="1"/>
    <row r="293" ht="13.75" customHeight="1"/>
    <row r="294" ht="13.75" customHeight="1"/>
    <row r="295" ht="13.75" customHeight="1"/>
    <row r="296" ht="13.75" customHeight="1"/>
    <row r="297" ht="13.75" customHeight="1"/>
    <row r="298" ht="13.75" customHeight="1"/>
    <row r="299" ht="13.75" customHeight="1"/>
    <row r="300" ht="13.75" customHeight="1"/>
    <row r="301" ht="13.75" customHeight="1"/>
    <row r="302" ht="13.75" customHeight="1"/>
    <row r="303" ht="13.75" customHeight="1"/>
    <row r="304" ht="13.75" customHeight="1"/>
    <row r="305" ht="13.75" customHeight="1"/>
    <row r="306" ht="13.75" customHeight="1"/>
    <row r="307" ht="13.75" customHeight="1"/>
    <row r="308" ht="13.75" customHeight="1"/>
    <row r="309" ht="13.75" customHeight="1"/>
    <row r="310" ht="13.75" customHeight="1"/>
    <row r="311" ht="13.75" customHeight="1"/>
    <row r="312" ht="13.75" customHeight="1"/>
    <row r="313" ht="13.75" customHeight="1"/>
    <row r="314" ht="13.75" customHeight="1"/>
    <row r="315" ht="13.75" customHeight="1"/>
    <row r="316" ht="13.75" customHeight="1"/>
    <row r="317" ht="13.75" customHeight="1"/>
    <row r="318" ht="13.75" customHeight="1"/>
    <row r="319" ht="13.75" customHeight="1"/>
    <row r="320" ht="13.75" customHeight="1"/>
    <row r="321" ht="13.75" customHeight="1"/>
    <row r="322" ht="13.75" customHeight="1"/>
    <row r="323" ht="13.75" customHeight="1"/>
    <row r="324" ht="13.75" customHeight="1"/>
    <row r="325" ht="13.75" customHeight="1"/>
    <row r="326" ht="13.75" customHeight="1"/>
    <row r="327" ht="13.75" customHeight="1"/>
    <row r="328" ht="13.75" customHeight="1"/>
    <row r="329" ht="13.75" customHeight="1"/>
    <row r="330" ht="13.75" customHeight="1"/>
    <row r="331" ht="13.75" customHeight="1"/>
    <row r="332" ht="13.75" customHeight="1"/>
    <row r="333" ht="13.75" customHeight="1"/>
    <row r="334" ht="13.75" customHeight="1"/>
    <row r="335" ht="13.75" customHeight="1"/>
    <row r="336" ht="13.75" customHeight="1"/>
    <row r="337" ht="13.75" customHeight="1"/>
    <row r="338" ht="13.75" customHeight="1"/>
    <row r="339" ht="13.75" customHeight="1"/>
    <row r="340" ht="13.75" customHeight="1"/>
    <row r="341" ht="13.75" customHeight="1"/>
    <row r="342" ht="13.75" customHeight="1"/>
    <row r="343" ht="13.75" customHeight="1"/>
    <row r="344" ht="13.75" customHeight="1"/>
    <row r="345" ht="13.75" customHeight="1"/>
    <row r="346" ht="13.75" customHeight="1"/>
    <row r="347" ht="13.75" customHeight="1"/>
    <row r="348" ht="13.75" customHeight="1"/>
    <row r="349" ht="13.75" customHeight="1"/>
    <row r="350" ht="13.75" customHeight="1"/>
    <row r="351" ht="13.75" customHeight="1"/>
    <row r="352" ht="13.75" customHeight="1"/>
    <row r="353" ht="13.75" customHeight="1"/>
    <row r="354" ht="13.75" customHeight="1"/>
    <row r="355" ht="13.75" customHeight="1"/>
    <row r="356" ht="13.75" customHeight="1"/>
    <row r="357" ht="13.75" customHeight="1"/>
    <row r="358" ht="13.75" customHeight="1"/>
    <row r="359" ht="13.75" customHeight="1"/>
    <row r="360" ht="13.75" customHeight="1"/>
    <row r="361" ht="13.75" customHeight="1"/>
    <row r="362" ht="13.75" customHeight="1"/>
    <row r="363" ht="13.75" customHeight="1"/>
    <row r="364" ht="13.75" customHeight="1"/>
    <row r="365" ht="13.75" customHeight="1"/>
    <row r="366" ht="13.75" customHeight="1"/>
    <row r="367" ht="13.75" customHeight="1"/>
    <row r="368" ht="13.75" customHeight="1"/>
    <row r="369" ht="13.75" customHeight="1"/>
    <row r="370" ht="13.75" customHeight="1"/>
    <row r="371" ht="13.75" customHeight="1"/>
    <row r="372" ht="13.75" customHeight="1"/>
    <row r="373" ht="13.75" customHeight="1"/>
    <row r="374" ht="13.75" customHeight="1"/>
    <row r="375" ht="13.75" customHeight="1"/>
    <row r="376" ht="13.75" customHeight="1"/>
    <row r="377" ht="13.75" customHeight="1"/>
    <row r="378" ht="13.75" customHeight="1"/>
    <row r="379" ht="13.75" customHeight="1"/>
    <row r="380" ht="13.75" customHeight="1"/>
    <row r="381" ht="13.75" customHeight="1"/>
    <row r="382" ht="13.75" customHeight="1"/>
    <row r="383" ht="13.75" customHeight="1"/>
    <row r="384" ht="13.75" customHeight="1"/>
    <row r="385" ht="13.75" customHeight="1"/>
    <row r="386" ht="13.75" customHeight="1"/>
    <row r="387" ht="13.75" customHeight="1"/>
    <row r="388" ht="13.75" customHeight="1"/>
    <row r="389" ht="13.75" customHeight="1"/>
    <row r="390" ht="13.75" customHeight="1"/>
    <row r="391" ht="13.75" customHeight="1"/>
    <row r="392" ht="13.75" customHeight="1"/>
    <row r="393" ht="13.75" customHeight="1"/>
    <row r="394" ht="13.75" customHeight="1"/>
    <row r="395" ht="13.75" customHeight="1"/>
    <row r="396" ht="13.75" customHeight="1"/>
    <row r="397" ht="13.75" customHeight="1"/>
    <row r="398" ht="13.75" customHeight="1"/>
    <row r="399" ht="13.75" customHeight="1"/>
    <row r="400" ht="13.75" customHeight="1"/>
    <row r="401" ht="13.75" customHeight="1"/>
    <row r="402" ht="13.75" customHeight="1"/>
    <row r="403" ht="13.75" customHeight="1"/>
    <row r="404" ht="13.75" customHeight="1"/>
    <row r="405" ht="13.75" customHeight="1"/>
    <row r="406" ht="13.75" customHeight="1"/>
    <row r="407" ht="13.75" customHeight="1"/>
    <row r="408" ht="13.75" customHeight="1"/>
    <row r="409" ht="13.75" customHeight="1"/>
    <row r="410" ht="13.75" customHeight="1"/>
    <row r="411" ht="13.75" customHeight="1"/>
    <row r="412" ht="13.75" customHeight="1"/>
    <row r="413" ht="13.75" customHeight="1"/>
    <row r="414" ht="13.75" customHeight="1"/>
    <row r="415" ht="13.75" customHeight="1"/>
    <row r="416" ht="13.75" customHeight="1"/>
    <row r="417" ht="13.75" customHeight="1"/>
    <row r="418" ht="13.75" customHeight="1"/>
    <row r="419" ht="13.75" customHeight="1"/>
    <row r="420" ht="13.75" customHeight="1"/>
    <row r="421" ht="13.75" customHeight="1"/>
    <row r="422" ht="13.75" customHeight="1"/>
    <row r="423" ht="13.75" customHeight="1"/>
    <row r="424" ht="13.75" customHeight="1"/>
    <row r="425" ht="13.75" customHeight="1"/>
    <row r="426" ht="13.75" customHeight="1"/>
    <row r="427" ht="13.75" customHeight="1"/>
    <row r="428" ht="13.75" customHeight="1"/>
    <row r="429" ht="13.75" customHeight="1"/>
    <row r="430" ht="13.75" customHeight="1"/>
    <row r="431" ht="13.75" customHeight="1"/>
    <row r="432" ht="13.75" customHeight="1"/>
    <row r="433" ht="13.75" customHeight="1"/>
    <row r="434" ht="13.75" customHeight="1"/>
    <row r="435" ht="13.75" customHeight="1"/>
    <row r="436" ht="13.75" customHeight="1"/>
    <row r="437" ht="13.75" customHeight="1"/>
    <row r="438" ht="13.75" customHeight="1"/>
    <row r="439" ht="13.75" customHeight="1"/>
    <row r="440" ht="13.75" customHeight="1"/>
    <row r="441" ht="13.75" customHeight="1"/>
    <row r="442" ht="13.75" customHeight="1"/>
    <row r="443" ht="13.75" customHeight="1"/>
    <row r="444" ht="13.75" customHeight="1"/>
    <row r="445" ht="13.75" customHeight="1"/>
    <row r="446" ht="13.75" customHeight="1"/>
    <row r="447" ht="13.75" customHeight="1"/>
    <row r="448" ht="13.75" customHeight="1"/>
    <row r="449" ht="13.75" customHeight="1"/>
    <row r="450" ht="13.75" customHeight="1"/>
    <row r="451" ht="13.75" customHeight="1"/>
    <row r="452" ht="13.75" customHeight="1"/>
    <row r="453" ht="13.75" customHeight="1"/>
    <row r="454" ht="13.75" customHeight="1"/>
    <row r="455" ht="13.75" customHeight="1"/>
    <row r="456" ht="13.75" customHeight="1"/>
    <row r="457" ht="13.75" customHeight="1"/>
    <row r="458" ht="13.75" customHeight="1"/>
    <row r="459" ht="13.75" customHeight="1"/>
    <row r="460" ht="13.75" customHeight="1"/>
    <row r="461" ht="13.75" customHeight="1"/>
    <row r="462" ht="13.75" customHeight="1"/>
    <row r="463" ht="13.75" customHeight="1"/>
    <row r="464" ht="13.75" customHeight="1"/>
    <row r="465" ht="13.75" customHeight="1"/>
    <row r="466" ht="13.75" customHeight="1"/>
    <row r="467" ht="13.75" customHeight="1"/>
    <row r="468" ht="13.75" customHeight="1"/>
    <row r="469" ht="13.75" customHeight="1"/>
    <row r="470" ht="13.75" customHeight="1"/>
    <row r="471" ht="13.75" customHeight="1"/>
    <row r="472" ht="13.75" customHeight="1"/>
    <row r="473" ht="13.75" customHeight="1"/>
    <row r="474" ht="13.75" customHeight="1"/>
    <row r="475" ht="13.75" customHeight="1"/>
    <row r="476" ht="13.75" customHeight="1"/>
    <row r="477" ht="13.75" customHeight="1"/>
    <row r="478" ht="13.75" customHeight="1"/>
    <row r="479" ht="13.75" customHeight="1"/>
    <row r="480" ht="13.75" customHeight="1"/>
    <row r="481" ht="13.75" customHeight="1"/>
    <row r="482" ht="13.75" customHeight="1"/>
    <row r="483" ht="13.75" customHeight="1"/>
    <row r="484" ht="13.75" customHeight="1"/>
    <row r="485" ht="13.75" customHeight="1"/>
    <row r="486" ht="13.75" customHeight="1"/>
    <row r="487" ht="13.75" customHeight="1"/>
    <row r="488" ht="13.75" customHeight="1"/>
    <row r="489" ht="13.75" customHeight="1"/>
    <row r="490" ht="13.75" customHeight="1"/>
    <row r="491" ht="13.75" customHeight="1"/>
    <row r="492" ht="13.75" customHeight="1"/>
    <row r="493" ht="13.75" customHeight="1"/>
    <row r="494" ht="13.75" customHeight="1"/>
    <row r="495" ht="13.75" customHeight="1"/>
    <row r="496" ht="13.75" customHeight="1"/>
    <row r="497" ht="13.75" customHeight="1"/>
    <row r="498" ht="13.75" customHeight="1"/>
    <row r="499" ht="13.75" customHeight="1"/>
    <row r="500" ht="13.75" customHeight="1"/>
    <row r="501" ht="13.75" customHeight="1"/>
    <row r="502" ht="13.75" customHeight="1"/>
    <row r="503" ht="13.75" customHeight="1"/>
    <row r="504" ht="13.75" customHeight="1"/>
    <row r="505" ht="13.75" customHeight="1"/>
    <row r="506" ht="13.75" customHeight="1"/>
    <row r="507" ht="13.75" customHeight="1"/>
    <row r="508" ht="13.75" customHeight="1"/>
    <row r="509" ht="13.75" customHeight="1"/>
    <row r="510" ht="13.75" customHeight="1"/>
    <row r="511" ht="13.75" customHeight="1"/>
    <row r="512" ht="13.75" customHeight="1"/>
    <row r="513" ht="13.75" customHeight="1"/>
    <row r="514" ht="13.75" customHeight="1"/>
    <row r="515" ht="13.75" customHeight="1"/>
    <row r="516" ht="13.75" customHeight="1"/>
    <row r="517" ht="13.75" customHeight="1"/>
    <row r="518" ht="13.75" customHeight="1"/>
    <row r="519" ht="13.75" customHeight="1"/>
    <row r="520" ht="13.75" customHeight="1"/>
    <row r="521" ht="13.75" customHeight="1"/>
    <row r="522" ht="13.75" customHeight="1"/>
    <row r="523" ht="13.75" customHeight="1"/>
    <row r="524" ht="13.75" customHeight="1"/>
    <row r="525" ht="13.75" customHeight="1"/>
    <row r="526" ht="13.75" customHeight="1"/>
    <row r="527" ht="13.75" customHeight="1"/>
    <row r="528" ht="13.75" customHeight="1"/>
    <row r="529" ht="13.75" customHeight="1"/>
    <row r="530" ht="13.75" customHeight="1"/>
    <row r="531" ht="13.75" customHeight="1"/>
    <row r="532" ht="13.75" customHeight="1"/>
    <row r="533" ht="13.75" customHeight="1"/>
    <row r="534" ht="13.75" customHeight="1"/>
    <row r="535" ht="13.75" customHeight="1"/>
    <row r="536" ht="13.75" customHeight="1"/>
    <row r="537" ht="13.75" customHeight="1"/>
    <row r="538" ht="13.75" customHeight="1"/>
    <row r="539" ht="13.75" customHeight="1"/>
    <row r="540" ht="13.75" customHeight="1"/>
    <row r="541" ht="13.75" customHeight="1"/>
    <row r="542" ht="13.75" customHeight="1"/>
    <row r="543" ht="13.75" customHeight="1"/>
    <row r="544" ht="13.75" customHeight="1"/>
    <row r="545" ht="13.75" customHeight="1"/>
    <row r="546" ht="13.75" customHeight="1"/>
    <row r="547" ht="13.75" customHeight="1"/>
    <row r="548" ht="13.75" customHeight="1"/>
    <row r="549" ht="13.75" customHeight="1"/>
    <row r="550" ht="13.75" customHeight="1"/>
    <row r="551" ht="13.75" customHeight="1"/>
    <row r="552" ht="13.75" customHeight="1"/>
    <row r="553" ht="13.75" customHeight="1"/>
    <row r="554" ht="13.75" customHeight="1"/>
    <row r="555" ht="13.75" customHeight="1"/>
    <row r="556" ht="13.75" customHeight="1"/>
    <row r="557" ht="13.75" customHeight="1"/>
    <row r="558" ht="13.75" customHeight="1"/>
    <row r="559" ht="13.75" customHeight="1"/>
    <row r="560" ht="13.75" customHeight="1"/>
    <row r="561" ht="13.75" customHeight="1"/>
    <row r="562" ht="13.75" customHeight="1"/>
    <row r="563" ht="13.75" customHeight="1"/>
    <row r="564" ht="13.75" customHeight="1"/>
    <row r="565" ht="13.75" customHeight="1"/>
    <row r="566" ht="13.75" customHeight="1"/>
    <row r="567" ht="13.75" customHeight="1"/>
    <row r="568" ht="13.75" customHeight="1"/>
    <row r="569" ht="13.75" customHeight="1"/>
    <row r="570" ht="13.75" customHeight="1"/>
    <row r="571" ht="13.75" customHeight="1"/>
    <row r="572" ht="13.75" customHeight="1"/>
    <row r="573" ht="13.75" customHeight="1"/>
    <row r="574" ht="13.75" customHeight="1"/>
    <row r="575" ht="13.75" customHeight="1"/>
    <row r="576" ht="13.75" customHeight="1"/>
    <row r="577" ht="13.75" customHeight="1"/>
    <row r="578" ht="13.75" customHeight="1"/>
    <row r="579" ht="13.75" customHeight="1"/>
    <row r="580" ht="13.75" customHeight="1"/>
    <row r="581" ht="13.75" customHeight="1"/>
    <row r="582" ht="13.75" customHeight="1"/>
    <row r="583" ht="13.75" customHeight="1"/>
    <row r="584" ht="13.75" customHeight="1"/>
    <row r="585" ht="13.75" customHeight="1"/>
    <row r="586" ht="13.75" customHeight="1"/>
    <row r="587" ht="13.75" customHeight="1"/>
    <row r="588" ht="13.75" customHeight="1"/>
    <row r="589" ht="13.75" customHeight="1"/>
    <row r="590" ht="13.75" customHeight="1"/>
    <row r="591" ht="13.75" customHeight="1"/>
    <row r="592" ht="13.75" customHeight="1"/>
    <row r="593" ht="13.75" customHeight="1"/>
    <row r="594" ht="13.75" customHeight="1"/>
    <row r="595" ht="13.75" customHeight="1"/>
    <row r="596" ht="13.75" customHeight="1"/>
    <row r="597" ht="13.75" customHeight="1"/>
    <row r="598" ht="13.75" customHeight="1"/>
    <row r="599" ht="13.75" customHeight="1"/>
    <row r="600" ht="13.75" customHeight="1"/>
    <row r="601" ht="13.75" customHeight="1"/>
    <row r="602" ht="13.75" customHeight="1"/>
    <row r="603" ht="13.75" customHeight="1"/>
    <row r="604" ht="13.75" customHeight="1"/>
    <row r="605" ht="13.75" customHeight="1"/>
    <row r="606" ht="13.75" customHeight="1"/>
    <row r="607" ht="13.75" customHeight="1"/>
    <row r="608" ht="13.75" customHeight="1"/>
    <row r="609" ht="13.75" customHeight="1"/>
    <row r="610" ht="13.75" customHeight="1"/>
    <row r="611" ht="13.75" customHeight="1"/>
    <row r="612" ht="13.75" customHeight="1"/>
    <row r="613" ht="13.75" customHeight="1"/>
    <row r="614" ht="13.75" customHeight="1"/>
    <row r="615" ht="13.75" customHeight="1"/>
    <row r="616" ht="13.75" customHeight="1"/>
    <row r="617" ht="13.75" customHeight="1"/>
    <row r="618" ht="13.75" customHeight="1"/>
    <row r="619" ht="13.75" customHeight="1"/>
    <row r="620" ht="13.75" customHeight="1"/>
    <row r="621" ht="13.75" customHeight="1"/>
    <row r="622" ht="13.75" customHeight="1"/>
    <row r="623" ht="13.75" customHeight="1"/>
    <row r="624" ht="13.75" customHeight="1"/>
    <row r="625" ht="13.75" customHeight="1"/>
    <row r="626" ht="13.75" customHeight="1"/>
    <row r="627" ht="13.75" customHeight="1"/>
    <row r="628" ht="13.75" customHeight="1"/>
    <row r="629" ht="13.75" customHeight="1"/>
    <row r="630" ht="13.75" customHeight="1"/>
    <row r="631" ht="13.75" customHeight="1"/>
    <row r="632" ht="13.75" customHeight="1"/>
    <row r="633" ht="13.75" customHeight="1"/>
    <row r="634" ht="13.75" customHeight="1"/>
    <row r="635" ht="13.75" customHeight="1"/>
    <row r="636" ht="13.75" customHeight="1"/>
    <row r="637" ht="13.75" customHeight="1"/>
    <row r="638" ht="13.75" customHeight="1"/>
    <row r="639" ht="13.75" customHeight="1"/>
    <row r="640" ht="13.75" customHeight="1"/>
    <row r="641" ht="13.75" customHeight="1"/>
    <row r="642" ht="13.75" customHeight="1"/>
    <row r="643" ht="13.75" customHeight="1"/>
    <row r="644" ht="13.75" customHeight="1"/>
    <row r="645" ht="13.75" customHeight="1"/>
    <row r="646" ht="13.75" customHeight="1"/>
    <row r="647" ht="13.75" customHeight="1"/>
    <row r="648" ht="13.75" customHeight="1"/>
    <row r="649" ht="13.75" customHeight="1"/>
    <row r="650" ht="13.75" customHeight="1"/>
    <row r="651" ht="13.75" customHeight="1"/>
    <row r="652" ht="13.75" customHeight="1"/>
    <row r="653" ht="13.75" customHeight="1"/>
    <row r="654" ht="13.75" customHeight="1"/>
    <row r="655" ht="13.75" customHeight="1"/>
    <row r="656" ht="13.75" customHeight="1"/>
    <row r="657" ht="13.75" customHeight="1"/>
    <row r="658" ht="13.75" customHeight="1"/>
    <row r="659" ht="13.75" customHeight="1"/>
    <row r="660" ht="13.75" customHeight="1"/>
    <row r="661" ht="13.75" customHeight="1"/>
    <row r="662" ht="13.75" customHeight="1"/>
    <row r="663" ht="13.75" customHeight="1"/>
    <row r="664" ht="13.75" customHeight="1"/>
    <row r="665" ht="13.75" customHeight="1"/>
    <row r="666" ht="13.75" customHeight="1"/>
    <row r="667" ht="13.75" customHeight="1"/>
    <row r="668" ht="13.75" customHeight="1"/>
    <row r="669" ht="13.75" customHeight="1"/>
    <row r="670" ht="13.75" customHeight="1"/>
    <row r="671" ht="13.75" customHeight="1"/>
    <row r="672" ht="13.75" customHeight="1"/>
    <row r="673" ht="13.75" customHeight="1"/>
    <row r="674" ht="13.75" customHeight="1"/>
    <row r="675" ht="13.75" customHeight="1"/>
    <row r="676" ht="13.75" customHeight="1"/>
    <row r="677" ht="13.75" customHeight="1"/>
    <row r="678" ht="13.75" customHeight="1"/>
    <row r="679" ht="13.75" customHeight="1"/>
    <row r="680" ht="13.75" customHeight="1"/>
    <row r="681" ht="13.75" customHeight="1"/>
    <row r="682" ht="13.75" customHeight="1"/>
    <row r="683" ht="13.75" customHeight="1"/>
    <row r="684" ht="13.75" customHeight="1"/>
    <row r="685" ht="13.75" customHeight="1"/>
    <row r="686" ht="13.75" customHeight="1"/>
    <row r="687" ht="13.75" customHeight="1"/>
    <row r="688" ht="13.75" customHeight="1"/>
    <row r="689" ht="13.75" customHeight="1"/>
    <row r="690" ht="13.75" customHeight="1"/>
    <row r="691" ht="13.75" customHeight="1"/>
    <row r="692" ht="13.75" customHeight="1"/>
    <row r="693" ht="13.75" customHeight="1"/>
    <row r="694" ht="13.75" customHeight="1"/>
    <row r="695" ht="13.75" customHeight="1"/>
    <row r="696" ht="13.75" customHeight="1"/>
    <row r="697" ht="13.75" customHeight="1"/>
    <row r="698" ht="13.75" customHeight="1"/>
    <row r="699" ht="13.75" customHeight="1"/>
    <row r="700" ht="13.75" customHeight="1"/>
    <row r="701" ht="13.75" customHeight="1"/>
    <row r="702" ht="13.75" customHeight="1"/>
    <row r="703" ht="13.75" customHeight="1"/>
    <row r="704" ht="13.75" customHeight="1"/>
    <row r="705" ht="13.75" customHeight="1"/>
    <row r="706" ht="13.75" customHeight="1"/>
    <row r="707" ht="13.75" customHeight="1"/>
    <row r="708" ht="13.75" customHeight="1"/>
    <row r="709" ht="13.75" customHeight="1"/>
    <row r="710" ht="13.75" customHeight="1"/>
    <row r="711" ht="13.75" customHeight="1"/>
    <row r="712" ht="13.75" customHeight="1"/>
    <row r="713" ht="13.75" customHeight="1"/>
    <row r="714" ht="13.75" customHeight="1"/>
    <row r="715" ht="13.75" customHeight="1"/>
    <row r="716" ht="13.75" customHeight="1"/>
    <row r="717" ht="13.75" customHeight="1"/>
    <row r="718" ht="13.75" customHeight="1"/>
    <row r="719" ht="13.75" customHeight="1"/>
    <row r="720" ht="13.75" customHeight="1"/>
    <row r="721" ht="13.75" customHeight="1"/>
    <row r="722" ht="13.75" customHeight="1"/>
    <row r="723" ht="13.75" customHeight="1"/>
    <row r="724" ht="13.75" customHeight="1"/>
    <row r="725" ht="13.75" customHeight="1"/>
    <row r="726" ht="13.75" customHeight="1"/>
    <row r="727" ht="13.75" customHeight="1"/>
    <row r="728" ht="13.75" customHeight="1"/>
    <row r="729" ht="13.75" customHeight="1"/>
    <row r="730" ht="13.75" customHeight="1"/>
    <row r="731" ht="13.75" customHeight="1"/>
    <row r="732" ht="13.75" customHeight="1"/>
    <row r="733" ht="13.75" customHeight="1"/>
    <row r="734" ht="13.75" customHeight="1"/>
    <row r="735" ht="13.75" customHeight="1"/>
    <row r="736" ht="13.75" customHeight="1"/>
    <row r="737" ht="13.75" customHeight="1"/>
    <row r="738" ht="13.75" customHeight="1"/>
    <row r="739" ht="13.75" customHeight="1"/>
    <row r="740" ht="13.75" customHeight="1"/>
    <row r="741" ht="13.75" customHeight="1"/>
    <row r="742" ht="13.75" customHeight="1"/>
    <row r="743" ht="13.75" customHeight="1"/>
    <row r="744" ht="13.75" customHeight="1"/>
    <row r="745" ht="13.75" customHeight="1"/>
    <row r="746" ht="13.75" customHeight="1"/>
    <row r="747" ht="13.75" customHeight="1"/>
    <row r="748" ht="13.75" customHeight="1"/>
    <row r="749" ht="13.75" customHeight="1"/>
    <row r="750" ht="13.75" customHeight="1"/>
    <row r="751" ht="13.75" customHeight="1"/>
    <row r="752" ht="13.75" customHeight="1"/>
    <row r="753" ht="13.75" customHeight="1"/>
    <row r="754" ht="13.75" customHeight="1"/>
    <row r="755" ht="13.75" customHeight="1"/>
    <row r="756" ht="13.75" customHeight="1"/>
    <row r="757" ht="13.75" customHeight="1"/>
    <row r="758" ht="13.75" customHeight="1"/>
    <row r="759" ht="13.75" customHeight="1"/>
    <row r="760" ht="13.75" customHeight="1"/>
    <row r="761" ht="13.75" customHeight="1"/>
    <row r="762" ht="13.75" customHeight="1"/>
    <row r="763" ht="13.75" customHeight="1"/>
    <row r="764" ht="13.75" customHeight="1"/>
    <row r="765" ht="13.75" customHeight="1"/>
    <row r="766" ht="13.75" customHeight="1"/>
    <row r="767" ht="13.75" customHeight="1"/>
    <row r="768" ht="13.75" customHeight="1"/>
    <row r="769" ht="13.75" customHeight="1"/>
    <row r="770" ht="13.75" customHeight="1"/>
    <row r="771" ht="13.75" customHeight="1"/>
    <row r="772" ht="13.75" customHeight="1"/>
    <row r="773" ht="13.75" customHeight="1"/>
    <row r="774" ht="13.75" customHeight="1"/>
    <row r="775" ht="13.75" customHeight="1"/>
    <row r="776" ht="13.75" customHeight="1"/>
    <row r="777" ht="13.75" customHeight="1"/>
    <row r="778" ht="13.75" customHeight="1"/>
    <row r="779" ht="13.75" customHeight="1"/>
    <row r="780" ht="13.75" customHeight="1"/>
    <row r="781" ht="13.75" customHeight="1"/>
    <row r="782" ht="13.75" customHeight="1"/>
    <row r="783" ht="13.75" customHeight="1"/>
    <row r="784" ht="13.75" customHeight="1"/>
    <row r="785" ht="13.75" customHeight="1"/>
    <row r="786" ht="13.75" customHeight="1"/>
    <row r="787" ht="13.75" customHeight="1"/>
    <row r="788" ht="13.75" customHeight="1"/>
    <row r="789" ht="13.75" customHeight="1"/>
    <row r="790" ht="13.75" customHeight="1"/>
    <row r="791" ht="13.75" customHeight="1"/>
    <row r="792" ht="13.75" customHeight="1"/>
    <row r="793" ht="13.75" customHeight="1"/>
    <row r="794" ht="13.75" customHeight="1"/>
    <row r="795" ht="13.75" customHeight="1"/>
    <row r="796" ht="13.75" customHeight="1"/>
    <row r="797" ht="13.75" customHeight="1"/>
    <row r="798" ht="13.75" customHeight="1"/>
    <row r="799" ht="13.75" customHeight="1"/>
    <row r="800" ht="13.75" customHeight="1"/>
    <row r="801" ht="13.75" customHeight="1"/>
    <row r="802" ht="13.75" customHeight="1"/>
    <row r="803" ht="13.75" customHeight="1"/>
    <row r="804" ht="13.75" customHeight="1"/>
    <row r="805" ht="13.75" customHeight="1"/>
    <row r="806" ht="13.75" customHeight="1"/>
    <row r="807" ht="13.75" customHeight="1"/>
    <row r="808" ht="13.75" customHeight="1"/>
    <row r="809" ht="13.75" customHeight="1"/>
    <row r="810" ht="13.75" customHeight="1"/>
    <row r="811" ht="13.75" customHeight="1"/>
    <row r="812" ht="13.75" customHeight="1"/>
    <row r="813" ht="13.75" customHeight="1"/>
    <row r="814" ht="13.75" customHeight="1"/>
    <row r="815" ht="13.75" customHeight="1"/>
    <row r="816" ht="13.75" customHeight="1"/>
    <row r="817" ht="13.75" customHeight="1"/>
    <row r="818" ht="13.75" customHeight="1"/>
    <row r="819" ht="13.75" customHeight="1"/>
    <row r="820" ht="13.75" customHeight="1"/>
    <row r="821" ht="13.75" customHeight="1"/>
    <row r="822" ht="13.75" customHeight="1"/>
    <row r="823" ht="13.75" customHeight="1"/>
    <row r="824" ht="13.75" customHeight="1"/>
    <row r="825" ht="13.75" customHeight="1"/>
    <row r="826" ht="13.75" customHeight="1"/>
    <row r="827" ht="13.75" customHeight="1"/>
    <row r="828" ht="13.75" customHeight="1"/>
    <row r="829" ht="13.75" customHeight="1"/>
    <row r="830" ht="13.75" customHeight="1"/>
    <row r="831" ht="13.75" customHeight="1"/>
    <row r="832" ht="13.75" customHeight="1"/>
    <row r="833" ht="13.75" customHeight="1"/>
    <row r="834" ht="13.75" customHeight="1"/>
    <row r="835" ht="13.75" customHeight="1"/>
    <row r="836" ht="13.75" customHeight="1"/>
    <row r="837" ht="13.75" customHeight="1"/>
    <row r="838" ht="13.75" customHeight="1"/>
    <row r="839" ht="13.75" customHeight="1"/>
    <row r="840" ht="13.75" customHeight="1"/>
    <row r="841" ht="13.75" customHeight="1"/>
    <row r="842" ht="13.75" customHeight="1"/>
    <row r="843" ht="13.75" customHeight="1"/>
    <row r="844" ht="13.75" customHeight="1"/>
    <row r="845" ht="13.75" customHeight="1"/>
    <row r="846" ht="13.75" customHeight="1"/>
    <row r="847" ht="13.75" customHeight="1"/>
    <row r="848" ht="13.75" customHeight="1"/>
    <row r="849" ht="13.75" customHeight="1"/>
    <row r="850" ht="13.75" customHeight="1"/>
    <row r="851" ht="13.75" customHeight="1"/>
    <row r="852" ht="13.75" customHeight="1"/>
    <row r="853" ht="13.75" customHeight="1"/>
    <row r="854" ht="13.75" customHeight="1"/>
    <row r="855" ht="13.75" customHeight="1"/>
    <row r="856" ht="13.75" customHeight="1"/>
    <row r="857" ht="13.75" customHeight="1"/>
    <row r="858" ht="13.75" customHeight="1"/>
    <row r="859" ht="13.75" customHeight="1"/>
    <row r="860" ht="13.75" customHeight="1"/>
    <row r="861" ht="13.75" customHeight="1"/>
    <row r="862" ht="13.75" customHeight="1"/>
    <row r="863" ht="13.75" customHeight="1"/>
    <row r="864" ht="13.75" customHeight="1"/>
    <row r="865" ht="13.75" customHeight="1"/>
    <row r="866" ht="13.75" customHeight="1"/>
    <row r="867" ht="13.75" customHeight="1"/>
    <row r="868" ht="13.75" customHeight="1"/>
    <row r="869" ht="13.75" customHeight="1"/>
    <row r="870" ht="13.75" customHeight="1"/>
    <row r="871" ht="13.75" customHeight="1"/>
    <row r="872" ht="13.75" customHeight="1"/>
    <row r="873" ht="13.75" customHeight="1"/>
    <row r="874" ht="13.75" customHeight="1"/>
    <row r="875" ht="13.75" customHeight="1"/>
    <row r="876" ht="13.75" customHeight="1"/>
    <row r="877" ht="13.75" customHeight="1"/>
    <row r="878" ht="13.75" customHeight="1"/>
    <row r="879" ht="13.75" customHeight="1"/>
    <row r="880" ht="13.75" customHeight="1"/>
    <row r="881" ht="13.75" customHeight="1"/>
    <row r="882" ht="13.75" customHeight="1"/>
    <row r="883" ht="13.75" customHeight="1"/>
    <row r="884" ht="13.75" customHeight="1"/>
    <row r="885" ht="13.75" customHeight="1"/>
    <row r="886" ht="13.75" customHeight="1"/>
    <row r="887" ht="13.75" customHeight="1"/>
    <row r="888" ht="13.75" customHeight="1"/>
    <row r="889" ht="13.75" customHeight="1"/>
    <row r="890" ht="13.75" customHeight="1"/>
    <row r="891" ht="13.75" customHeight="1"/>
    <row r="892" ht="13.75" customHeight="1"/>
    <row r="893" ht="13.75" customHeight="1"/>
    <row r="894" ht="13.75" customHeight="1"/>
    <row r="895" ht="13.75" customHeight="1"/>
    <row r="896" ht="13.75" customHeight="1"/>
    <row r="897" ht="13.75" customHeight="1"/>
    <row r="898" ht="13.75" customHeight="1"/>
    <row r="899" ht="13.75" customHeight="1"/>
    <row r="900" ht="13.75" customHeight="1"/>
    <row r="901" ht="13.75" customHeight="1"/>
    <row r="902" ht="13.75" customHeight="1"/>
    <row r="903" ht="13.75" customHeight="1"/>
    <row r="904" ht="13.75" customHeight="1"/>
    <row r="905" ht="13.75" customHeight="1"/>
    <row r="906" ht="13.75" customHeight="1"/>
    <row r="907" ht="13.75" customHeight="1"/>
    <row r="908" ht="13.75" customHeight="1"/>
    <row r="909" ht="13.75" customHeight="1"/>
    <row r="910" ht="13.75" customHeight="1"/>
    <row r="911" ht="13.75" customHeight="1"/>
    <row r="912" ht="13.75" customHeight="1"/>
    <row r="913" ht="13.75" customHeight="1"/>
    <row r="914" ht="13.75" customHeight="1"/>
    <row r="915" ht="13.75" customHeight="1"/>
    <row r="916" ht="13.75" customHeight="1"/>
    <row r="917" ht="13.75" customHeight="1"/>
    <row r="918" ht="13.75" customHeight="1"/>
    <row r="919" ht="13.75" customHeight="1"/>
    <row r="920" ht="13.75" customHeight="1"/>
    <row r="921" ht="13.75" customHeight="1"/>
    <row r="922" ht="13.75" customHeight="1"/>
    <row r="923" ht="13.75" customHeight="1"/>
    <row r="924" ht="13.75" customHeight="1"/>
    <row r="925" ht="13.75" customHeight="1"/>
    <row r="926" ht="13.75" customHeight="1"/>
    <row r="927" ht="13.75" customHeight="1"/>
    <row r="928" ht="13.75" customHeight="1"/>
    <row r="929" ht="13.75" customHeight="1"/>
    <row r="930" ht="13.75" customHeight="1"/>
    <row r="931" ht="13.75" customHeight="1"/>
    <row r="932" ht="13.75" customHeight="1"/>
    <row r="933" ht="13.75" customHeight="1"/>
    <row r="934" ht="13.75" customHeight="1"/>
    <row r="935" ht="13.75" customHeight="1"/>
    <row r="936" ht="13.75" customHeight="1"/>
    <row r="937" ht="13.75" customHeight="1"/>
    <row r="938" ht="13.75" customHeight="1"/>
    <row r="939" ht="13.75" customHeight="1"/>
    <row r="940" ht="13.75" customHeight="1"/>
    <row r="941" ht="13.75" customHeight="1"/>
    <row r="942" ht="13.75" customHeight="1"/>
    <row r="943" ht="13.75" customHeight="1"/>
    <row r="944" ht="13.75" customHeight="1"/>
    <row r="945" ht="13.75" customHeight="1"/>
    <row r="946" ht="13.75" customHeight="1"/>
    <row r="947" ht="13.75" customHeight="1"/>
    <row r="948" ht="13.75" customHeight="1"/>
    <row r="949" ht="13.75" customHeight="1"/>
    <row r="950" ht="13.75" customHeight="1"/>
    <row r="951" ht="13.75" customHeight="1"/>
    <row r="952" ht="13.75" customHeight="1"/>
    <row r="953" ht="13.75" customHeight="1"/>
    <row r="954" ht="13.75" customHeight="1"/>
    <row r="955" ht="13.75" customHeight="1"/>
    <row r="956" ht="13.75" customHeight="1"/>
    <row r="957" ht="13.75" customHeight="1"/>
    <row r="958" ht="13.75" customHeight="1"/>
    <row r="959" ht="13.75" customHeight="1"/>
    <row r="960" ht="13.75" customHeight="1"/>
    <row r="961" ht="13.75" customHeight="1"/>
    <row r="962" ht="13.75" customHeight="1"/>
    <row r="963" ht="13.75" customHeight="1"/>
    <row r="964" ht="13.75" customHeight="1"/>
    <row r="965" ht="13.75" customHeight="1"/>
    <row r="966" ht="13.75" customHeight="1"/>
    <row r="967" ht="13.75" customHeight="1"/>
    <row r="968" ht="13.75" customHeight="1"/>
    <row r="969" ht="13.75" customHeight="1"/>
    <row r="970" ht="13.75" customHeight="1"/>
    <row r="971" ht="13.75" customHeight="1"/>
    <row r="972" ht="13.75" customHeight="1"/>
    <row r="973" ht="13.75" customHeight="1"/>
    <row r="974" ht="13.75" customHeight="1"/>
    <row r="975" ht="13.75" customHeight="1"/>
    <row r="976" ht="13.75" customHeight="1"/>
    <row r="977" ht="13.75" customHeight="1"/>
    <row r="978" ht="13.75" customHeight="1"/>
    <row r="979" ht="13.75" customHeight="1"/>
    <row r="980" ht="13.75" customHeight="1"/>
    <row r="981" ht="13.75" customHeight="1"/>
    <row r="982" ht="13.75" customHeight="1"/>
    <row r="983" ht="13.75" customHeight="1"/>
    <row r="984" ht="13.75" customHeight="1"/>
    <row r="985" ht="13.75" customHeight="1"/>
    <row r="986" ht="13.75" customHeight="1"/>
    <row r="987" ht="13.75" customHeight="1"/>
    <row r="988" ht="13.75" customHeight="1"/>
    <row r="989" ht="13.75" customHeight="1"/>
    <row r="990" ht="13.75" customHeight="1"/>
    <row r="991" ht="13.75" customHeight="1"/>
    <row r="992" ht="13.75" customHeight="1"/>
    <row r="993" ht="13.75" customHeight="1"/>
    <row r="994" ht="13.75" customHeight="1"/>
    <row r="995" ht="13.75" customHeight="1"/>
    <row r="996" ht="13.75" customHeight="1"/>
    <row r="997" ht="13.75" customHeight="1"/>
    <row r="998" ht="13.75" customHeight="1"/>
    <row r="999" ht="13.75" customHeight="1"/>
    <row r="1000" ht="13.75" customHeight="1"/>
    <row r="1001" ht="13.75" customHeight="1"/>
    <row r="1002" ht="13.75" customHeight="1"/>
    <row r="1003" ht="13.75" customHeight="1"/>
    <row r="1004" ht="13.75" customHeight="1"/>
    <row r="1005" ht="13.75" customHeight="1"/>
    <row r="1006" ht="13.75" customHeight="1"/>
    <row r="1007" ht="13.75" customHeight="1"/>
    <row r="1008" ht="13.75" customHeight="1"/>
    <row r="1009" ht="13.75" customHeight="1"/>
    <row r="1010" ht="13.75" customHeight="1"/>
    <row r="1011" ht="13.75" customHeight="1"/>
    <row r="1012" ht="13.75" customHeight="1"/>
    <row r="1013" ht="13.75" customHeight="1"/>
    <row r="1014" ht="13.75" customHeight="1"/>
    <row r="1015" ht="13.75" customHeight="1"/>
    <row r="1016" ht="13.75" customHeight="1"/>
    <row r="1017" ht="13.75" customHeight="1"/>
    <row r="1018" ht="13.75" customHeight="1"/>
    <row r="1019" ht="13.75" customHeight="1"/>
    <row r="1020" ht="13.75" customHeight="1"/>
    <row r="1021" ht="13.75" customHeight="1"/>
    <row r="1022" ht="13.75" customHeight="1"/>
    <row r="1023" ht="13.75" customHeight="1"/>
    <row r="1024" ht="13.75" customHeight="1"/>
    <row r="1025" ht="13.75" customHeight="1"/>
    <row r="1026" ht="13.75" customHeight="1"/>
    <row r="1027" ht="13.75" customHeight="1"/>
    <row r="1028" ht="13.75" customHeight="1"/>
    <row r="1029" ht="13.75" customHeight="1"/>
    <row r="1030" ht="13.75" customHeight="1"/>
    <row r="1031" ht="13.75" customHeight="1"/>
    <row r="1032" ht="13.75" customHeight="1"/>
    <row r="1033" ht="13.75" customHeight="1"/>
    <row r="1034" ht="13.75" customHeight="1"/>
    <row r="1035" ht="13.75" customHeight="1"/>
    <row r="1036" ht="13.75" customHeight="1"/>
    <row r="1037" ht="13.75" customHeight="1"/>
    <row r="1038" ht="13.75" customHeight="1"/>
    <row r="1039" ht="13.75" customHeight="1"/>
    <row r="1040" ht="13.75" customHeight="1"/>
    <row r="1041" ht="13.75" customHeight="1"/>
    <row r="1042" ht="13.75" customHeight="1"/>
    <row r="1043" ht="13.75" customHeight="1"/>
    <row r="1044" ht="13.75" customHeight="1"/>
    <row r="1045" ht="13.75" customHeight="1"/>
    <row r="1046" ht="13.75" customHeight="1"/>
    <row r="1047" ht="13.75" customHeight="1"/>
    <row r="1048" ht="13.75" customHeight="1"/>
    <row r="1049" ht="13.75" customHeight="1"/>
    <row r="1050" ht="13.75" customHeight="1"/>
    <row r="1051" ht="13.75" customHeight="1"/>
    <row r="1052" ht="13.75" customHeight="1"/>
    <row r="1053" ht="13.75" customHeight="1"/>
    <row r="1054" ht="13.75" customHeight="1"/>
    <row r="1055" ht="13.75" customHeight="1"/>
    <row r="1056" ht="13.75" customHeight="1"/>
    <row r="1057" ht="13.75" customHeight="1"/>
    <row r="1058" ht="13.75" customHeight="1"/>
    <row r="1059" ht="13.75" customHeight="1"/>
    <row r="1060" ht="13.75" customHeight="1"/>
    <row r="1061" ht="13.75" customHeight="1"/>
    <row r="1062" ht="13.75" customHeight="1"/>
    <row r="1063" ht="13.75" customHeight="1"/>
    <row r="1064" ht="13.75" customHeight="1"/>
    <row r="1065" ht="13.75" customHeight="1"/>
    <row r="1066" ht="13.75" customHeight="1"/>
    <row r="1067" ht="13.75" customHeight="1"/>
    <row r="1068" ht="13.75" customHeight="1"/>
    <row r="1069" ht="13.75" customHeight="1"/>
    <row r="1070" ht="13.75" customHeight="1"/>
    <row r="1071" ht="13.75" customHeight="1"/>
    <row r="1072" ht="13.75" customHeight="1"/>
    <row r="1073" ht="13.75" customHeight="1"/>
  </sheetData>
  <sheetProtection password="E798" sheet="1"/>
  <mergeCells count="31">
    <mergeCell ref="B31:W31"/>
    <mergeCell ref="A31:A33"/>
    <mergeCell ref="A20:B23"/>
    <mergeCell ref="A2:C2"/>
    <mergeCell ref="A3:C3"/>
    <mergeCell ref="A4:C4"/>
    <mergeCell ref="A5:C5"/>
    <mergeCell ref="A6:C6"/>
    <mergeCell ref="A12:B15"/>
    <mergeCell ref="A7:B7"/>
    <mergeCell ref="A8:B11"/>
    <mergeCell ref="A28:C28"/>
    <mergeCell ref="A16:B19"/>
    <mergeCell ref="A24:B27"/>
    <mergeCell ref="A29:C29"/>
    <mergeCell ref="A67:A69"/>
    <mergeCell ref="J68:M68"/>
    <mergeCell ref="R68:U68"/>
    <mergeCell ref="B67:W67"/>
    <mergeCell ref="N32:Q32"/>
    <mergeCell ref="W68:W69"/>
    <mergeCell ref="W32:W33"/>
    <mergeCell ref="R32:U32"/>
    <mergeCell ref="V32:V33"/>
    <mergeCell ref="B32:E32"/>
    <mergeCell ref="V68:V69"/>
    <mergeCell ref="F68:I68"/>
    <mergeCell ref="J32:M32"/>
    <mergeCell ref="B68:E68"/>
    <mergeCell ref="N68:Q68"/>
    <mergeCell ref="F32:I32"/>
  </mergeCells>
  <phoneticPr fontId="3"/>
  <dataValidations count="3">
    <dataValidation imeMode="hiragana" allowBlank="1" showInputMessage="1" showErrorMessage="1" sqref="E3:N4" xr:uid="{00000000-0002-0000-0500-000000000000}"/>
    <dataValidation type="whole" imeMode="off" operator="greaterThan" allowBlank="1" showInputMessage="1" showErrorMessage="1" sqref="E6:N6" xr:uid="{00000000-0002-0000-0500-000001000000}">
      <formula1>0</formula1>
    </dataValidation>
    <dataValidation imeMode="off" allowBlank="1" showInputMessage="1" showErrorMessage="1" sqref="E5:N5" xr:uid="{00000000-0002-0000-0500-000002000000}"/>
  </dataValidations>
  <pageMargins left="0.31496062992125984" right="0.31496062992125984" top="0.74803149606299213" bottom="0.74803149606299213" header="0.31496062992125984" footer="0.31496062992125984"/>
  <pageSetup paperSize="9" scale="62" fitToWidth="0" orientation="landscape"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C40"/>
  <sheetViews>
    <sheetView zoomScaleNormal="100" workbookViewId="0">
      <selection sqref="A1:X32"/>
    </sheetView>
  </sheetViews>
  <sheetFormatPr defaultColWidth="9" defaultRowHeight="12.5"/>
  <cols>
    <col min="1" max="7" width="3.453125" style="50" customWidth="1"/>
    <col min="8" max="8" width="9.26953125" style="50" customWidth="1"/>
    <col min="9" max="16" width="3.453125" style="50" customWidth="1"/>
    <col min="17" max="17" width="4.08984375" style="50" customWidth="1"/>
    <col min="18" max="24" width="3.453125" style="50" customWidth="1"/>
    <col min="25" max="25" width="5.6328125" style="50" customWidth="1"/>
    <col min="26" max="26" width="1.6328125" style="50" customWidth="1"/>
    <col min="27" max="16384" width="9" style="50"/>
  </cols>
  <sheetData>
    <row r="1" spans="1:27" ht="15" customHeight="1">
      <c r="A1" s="49" t="s">
        <v>2485</v>
      </c>
      <c r="B1" s="49"/>
      <c r="C1" s="49"/>
      <c r="D1" s="49"/>
      <c r="E1" s="49"/>
      <c r="F1" s="49"/>
      <c r="G1" s="49"/>
      <c r="H1" s="49"/>
      <c r="I1" s="49"/>
      <c r="J1" s="49"/>
      <c r="K1" s="49"/>
      <c r="L1" s="49"/>
      <c r="M1" s="49"/>
      <c r="N1" s="49"/>
      <c r="O1" s="49"/>
      <c r="P1" s="49"/>
      <c r="Q1" s="49"/>
      <c r="R1" s="49"/>
      <c r="S1" s="49"/>
      <c r="T1" s="49"/>
      <c r="U1" s="49"/>
      <c r="V1" s="49"/>
      <c r="W1" s="49"/>
      <c r="X1" s="49"/>
      <c r="Y1" s="49"/>
      <c r="Z1" s="49"/>
      <c r="AA1" s="578" t="s">
        <v>2989</v>
      </c>
    </row>
    <row r="2" spans="1:27" ht="6.75" customHeight="1">
      <c r="A2" s="49"/>
      <c r="B2" s="49"/>
      <c r="C2" s="49"/>
      <c r="D2" s="49"/>
      <c r="E2" s="49"/>
      <c r="F2" s="49"/>
      <c r="G2" s="49"/>
      <c r="H2" s="49"/>
      <c r="I2" s="49"/>
      <c r="J2" s="49"/>
      <c r="K2" s="49"/>
      <c r="L2" s="49"/>
      <c r="M2" s="49"/>
      <c r="N2" s="49"/>
      <c r="O2" s="49"/>
      <c r="P2" s="49"/>
      <c r="Q2" s="49"/>
      <c r="R2" s="49"/>
      <c r="S2" s="49"/>
      <c r="T2" s="49"/>
      <c r="U2" s="49"/>
      <c r="V2" s="49"/>
      <c r="W2" s="49"/>
      <c r="X2" s="49"/>
      <c r="Y2" s="49"/>
      <c r="Z2" s="49"/>
    </row>
    <row r="3" spans="1:27" ht="15" customHeight="1">
      <c r="A3" s="49"/>
      <c r="B3" s="49"/>
      <c r="C3" s="49"/>
      <c r="D3" s="49"/>
      <c r="E3" s="49"/>
      <c r="F3" s="49"/>
      <c r="G3" s="49"/>
      <c r="H3" s="49"/>
      <c r="I3" s="49"/>
      <c r="J3" s="49"/>
      <c r="K3" s="49"/>
      <c r="L3" s="49"/>
      <c r="M3" s="49"/>
      <c r="N3" s="49"/>
      <c r="O3" s="49"/>
      <c r="P3" s="51"/>
      <c r="Q3" s="188"/>
      <c r="R3" s="187"/>
      <c r="S3" s="605" t="s">
        <v>2506</v>
      </c>
      <c r="T3" s="605"/>
      <c r="U3" s="605"/>
      <c r="V3" s="605"/>
      <c r="W3" s="605"/>
      <c r="X3" s="187"/>
      <c r="Y3" s="52"/>
      <c r="Z3" s="49"/>
      <c r="AA3" s="579"/>
    </row>
    <row r="4" spans="1:27" ht="1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579"/>
    </row>
    <row r="5" spans="1:27" ht="15" customHeight="1">
      <c r="A5" s="606" t="s">
        <v>2464</v>
      </c>
      <c r="B5" s="606"/>
      <c r="C5" s="606"/>
      <c r="D5" s="606"/>
      <c r="E5" s="606"/>
      <c r="F5" s="606"/>
      <c r="G5" s="49" t="s">
        <v>2465</v>
      </c>
      <c r="H5" s="49"/>
      <c r="I5" s="49"/>
      <c r="J5" s="49"/>
      <c r="K5" s="49"/>
      <c r="L5" s="49"/>
      <c r="M5" s="49"/>
      <c r="N5" s="49"/>
      <c r="O5" s="49"/>
      <c r="P5" s="49"/>
      <c r="Q5" s="49"/>
      <c r="R5" s="49"/>
      <c r="S5" s="49"/>
      <c r="T5" s="49"/>
      <c r="U5" s="49"/>
      <c r="V5" s="49"/>
      <c r="W5" s="49"/>
      <c r="X5" s="49"/>
      <c r="Y5" s="49"/>
      <c r="Z5" s="49"/>
      <c r="AA5" s="579"/>
    </row>
    <row r="6" spans="1:27" ht="15"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579"/>
    </row>
    <row r="7" spans="1:27" ht="20.149999999999999" customHeight="1">
      <c r="A7" s="49"/>
      <c r="B7" s="49"/>
      <c r="C7" s="49"/>
      <c r="D7" s="49"/>
      <c r="E7" s="49"/>
      <c r="F7" s="49"/>
      <c r="G7" s="49"/>
      <c r="H7" s="49"/>
      <c r="I7" s="49"/>
      <c r="J7" s="49"/>
      <c r="K7" s="49"/>
      <c r="L7" s="49" t="s">
        <v>2243</v>
      </c>
      <c r="M7" s="607"/>
      <c r="N7" s="608"/>
      <c r="O7" s="186" t="s">
        <v>2244</v>
      </c>
      <c r="P7" s="609"/>
      <c r="Q7" s="610"/>
      <c r="R7" s="49"/>
      <c r="S7" s="49"/>
      <c r="T7" s="49"/>
      <c r="U7" s="49"/>
      <c r="V7" s="49"/>
      <c r="W7" s="49"/>
      <c r="X7" s="49"/>
      <c r="Y7" s="49"/>
      <c r="Z7" s="49"/>
      <c r="AA7" s="579"/>
    </row>
    <row r="8" spans="1:27" ht="20.149999999999999" customHeight="1">
      <c r="A8" s="49"/>
      <c r="B8" s="49"/>
      <c r="C8" s="49"/>
      <c r="D8" s="49"/>
      <c r="E8" s="49"/>
      <c r="F8" s="49"/>
      <c r="G8" s="49"/>
      <c r="H8" s="49"/>
      <c r="I8" s="49"/>
      <c r="J8" s="49" t="s">
        <v>2336</v>
      </c>
      <c r="K8" s="49"/>
      <c r="L8" s="53"/>
      <c r="M8" s="611"/>
      <c r="N8" s="612"/>
      <c r="O8" s="612"/>
      <c r="P8" s="612"/>
      <c r="Q8" s="612"/>
      <c r="R8" s="612"/>
      <c r="S8" s="612"/>
      <c r="T8" s="612"/>
      <c r="U8" s="612"/>
      <c r="V8" s="612"/>
      <c r="W8" s="612"/>
      <c r="X8" s="613"/>
      <c r="Y8" s="52"/>
      <c r="Z8" s="49"/>
      <c r="AA8" s="579"/>
    </row>
    <row r="9" spans="1:27" ht="20.149999999999999" customHeight="1">
      <c r="A9" s="49"/>
      <c r="B9" s="49"/>
      <c r="C9" s="49"/>
      <c r="D9" s="49"/>
      <c r="E9" s="49"/>
      <c r="F9" s="49"/>
      <c r="G9" s="49"/>
      <c r="H9" s="49"/>
      <c r="I9" s="49"/>
      <c r="J9" s="49"/>
      <c r="K9" s="49"/>
      <c r="L9" s="53"/>
      <c r="M9" s="614"/>
      <c r="N9" s="615"/>
      <c r="O9" s="615"/>
      <c r="P9" s="615"/>
      <c r="Q9" s="615"/>
      <c r="R9" s="615"/>
      <c r="S9" s="615"/>
      <c r="T9" s="615"/>
      <c r="U9" s="615"/>
      <c r="V9" s="615"/>
      <c r="W9" s="615"/>
      <c r="X9" s="616"/>
      <c r="Y9" s="52"/>
      <c r="Z9" s="49"/>
      <c r="AA9" s="579"/>
    </row>
    <row r="10" spans="1:27" ht="20.149999999999999" customHeight="1">
      <c r="A10" s="49"/>
      <c r="B10" s="49"/>
      <c r="C10" s="49"/>
      <c r="D10" s="49"/>
      <c r="E10" s="49"/>
      <c r="F10" s="49"/>
      <c r="G10" s="49"/>
      <c r="H10" s="49"/>
      <c r="I10" s="49"/>
      <c r="J10" s="617" t="s">
        <v>2010</v>
      </c>
      <c r="K10" s="617"/>
      <c r="L10" s="54"/>
      <c r="M10" s="618"/>
      <c r="N10" s="619"/>
      <c r="O10" s="619"/>
      <c r="P10" s="619"/>
      <c r="Q10" s="619"/>
      <c r="R10" s="619"/>
      <c r="S10" s="619"/>
      <c r="T10" s="619"/>
      <c r="U10" s="619"/>
      <c r="V10" s="619"/>
      <c r="W10" s="619"/>
      <c r="X10" s="620"/>
      <c r="Y10" s="52"/>
      <c r="Z10" s="49"/>
      <c r="AA10" s="579"/>
    </row>
    <row r="11" spans="1:27" ht="20.149999999999999" customHeight="1">
      <c r="A11" s="49"/>
      <c r="B11" s="49"/>
      <c r="C11" s="49"/>
      <c r="D11" s="49"/>
      <c r="E11" s="49"/>
      <c r="F11" s="49"/>
      <c r="G11" s="49"/>
      <c r="H11" s="49"/>
      <c r="I11" s="49"/>
      <c r="J11" s="49" t="s">
        <v>2337</v>
      </c>
      <c r="K11" s="49"/>
      <c r="L11" s="49"/>
      <c r="M11" s="621"/>
      <c r="N11" s="622"/>
      <c r="O11" s="622"/>
      <c r="P11" s="622"/>
      <c r="Q11" s="622"/>
      <c r="R11" s="622"/>
      <c r="S11" s="622"/>
      <c r="T11" s="622"/>
      <c r="U11" s="622"/>
      <c r="V11" s="622"/>
      <c r="W11" s="622"/>
      <c r="X11" s="623"/>
      <c r="Y11" s="52"/>
      <c r="Z11" s="49"/>
      <c r="AA11" s="579"/>
    </row>
    <row r="12" spans="1:27" ht="20.149999999999999" customHeight="1">
      <c r="A12" s="49"/>
      <c r="B12" s="49"/>
      <c r="C12" s="49"/>
      <c r="D12" s="49"/>
      <c r="E12" s="49"/>
      <c r="F12" s="49"/>
      <c r="G12" s="49"/>
      <c r="H12" s="49"/>
      <c r="I12" s="49"/>
      <c r="J12" s="49"/>
      <c r="K12" s="49"/>
      <c r="L12" s="49"/>
      <c r="M12" s="614"/>
      <c r="N12" s="615"/>
      <c r="O12" s="615"/>
      <c r="P12" s="615"/>
      <c r="Q12" s="615"/>
      <c r="R12" s="615"/>
      <c r="S12" s="615"/>
      <c r="T12" s="615"/>
      <c r="U12" s="615"/>
      <c r="V12" s="615"/>
      <c r="W12" s="615"/>
      <c r="X12" s="616"/>
      <c r="Y12" s="80"/>
      <c r="Z12" s="49"/>
      <c r="AA12" s="579"/>
    </row>
    <row r="13" spans="1:27" ht="15" customHeight="1">
      <c r="A13" s="49"/>
      <c r="B13" s="49"/>
      <c r="C13" s="49"/>
      <c r="D13" s="49"/>
      <c r="E13" s="49"/>
      <c r="F13" s="49"/>
      <c r="G13" s="49"/>
      <c r="H13" s="49"/>
      <c r="I13" s="49"/>
      <c r="J13" s="49"/>
      <c r="K13" s="49"/>
      <c r="L13" s="49"/>
      <c r="M13" s="52" t="s">
        <v>2011</v>
      </c>
      <c r="N13" s="49"/>
      <c r="O13" s="49"/>
      <c r="P13" s="49"/>
      <c r="Q13" s="49"/>
      <c r="R13" s="49"/>
      <c r="S13" s="49"/>
      <c r="T13" s="49"/>
      <c r="U13" s="49"/>
      <c r="V13" s="49"/>
      <c r="W13" s="49"/>
      <c r="X13" s="49"/>
      <c r="Y13" s="49"/>
      <c r="Z13" s="49"/>
      <c r="AA13" s="579"/>
    </row>
    <row r="14" spans="1:27" ht="1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579"/>
    </row>
    <row r="15" spans="1:27" ht="21.75" customHeight="1">
      <c r="A15" s="624" t="s">
        <v>2463</v>
      </c>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49"/>
      <c r="Z15" s="49"/>
      <c r="AA15" s="579"/>
    </row>
    <row r="16" spans="1:27" ht="6.75"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579"/>
    </row>
    <row r="17" spans="1:29" ht="39.25" customHeight="1">
      <c r="A17" s="831" t="s">
        <v>2417</v>
      </c>
      <c r="B17" s="831"/>
      <c r="C17" s="831"/>
      <c r="D17" s="831"/>
      <c r="E17" s="831"/>
      <c r="F17" s="831"/>
      <c r="G17" s="831"/>
      <c r="H17" s="831"/>
      <c r="I17" s="831"/>
      <c r="J17" s="831"/>
      <c r="K17" s="831"/>
      <c r="L17" s="831"/>
      <c r="M17" s="831"/>
      <c r="N17" s="831"/>
      <c r="O17" s="831"/>
      <c r="P17" s="831"/>
      <c r="Q17" s="831"/>
      <c r="R17" s="831"/>
      <c r="S17" s="831"/>
      <c r="T17" s="831"/>
      <c r="U17" s="831"/>
      <c r="V17" s="831"/>
      <c r="W17" s="831"/>
      <c r="X17" s="831"/>
      <c r="Y17" s="49"/>
      <c r="Z17" s="49"/>
      <c r="AA17" s="579"/>
    </row>
    <row r="18" spans="1:29" ht="23.25" customHeight="1">
      <c r="A18" s="626" t="s">
        <v>2333</v>
      </c>
      <c r="B18" s="627"/>
      <c r="C18" s="627"/>
      <c r="D18" s="627"/>
      <c r="E18" s="627"/>
      <c r="F18" s="627"/>
      <c r="G18" s="627"/>
      <c r="H18" s="628"/>
      <c r="I18" s="626">
        <f>M11</f>
        <v>0</v>
      </c>
      <c r="J18" s="632"/>
      <c r="K18" s="632"/>
      <c r="L18" s="632"/>
      <c r="M18" s="632"/>
      <c r="N18" s="632"/>
      <c r="O18" s="632"/>
      <c r="P18" s="632"/>
      <c r="Q18" s="632"/>
      <c r="R18" s="632"/>
      <c r="S18" s="632"/>
      <c r="T18" s="632"/>
      <c r="U18" s="632"/>
      <c r="V18" s="632"/>
      <c r="W18" s="632"/>
      <c r="X18" s="633"/>
      <c r="Y18" s="55"/>
      <c r="Z18" s="102"/>
      <c r="AA18" s="588"/>
      <c r="AB18" s="103"/>
    </row>
    <row r="19" spans="1:29" ht="23.25" customHeight="1">
      <c r="A19" s="629"/>
      <c r="B19" s="630"/>
      <c r="C19" s="630"/>
      <c r="D19" s="630"/>
      <c r="E19" s="630"/>
      <c r="F19" s="630"/>
      <c r="G19" s="630"/>
      <c r="H19" s="631"/>
      <c r="I19" s="634">
        <f>M12</f>
        <v>0</v>
      </c>
      <c r="J19" s="635"/>
      <c r="K19" s="635"/>
      <c r="L19" s="635"/>
      <c r="M19" s="635"/>
      <c r="N19" s="635"/>
      <c r="O19" s="635"/>
      <c r="P19" s="635"/>
      <c r="Q19" s="635"/>
      <c r="R19" s="635"/>
      <c r="S19" s="635"/>
      <c r="T19" s="635"/>
      <c r="U19" s="635"/>
      <c r="V19" s="635"/>
      <c r="W19" s="635"/>
      <c r="X19" s="636"/>
      <c r="Y19" s="55"/>
      <c r="Z19" s="102"/>
      <c r="AA19" s="588"/>
      <c r="AB19" s="103"/>
    </row>
    <row r="20" spans="1:29" ht="21.75" customHeight="1">
      <c r="A20" s="832" t="s">
        <v>2467</v>
      </c>
      <c r="B20" s="627"/>
      <c r="C20" s="627"/>
      <c r="D20" s="627"/>
      <c r="E20" s="627"/>
      <c r="F20" s="627"/>
      <c r="G20" s="627"/>
      <c r="H20" s="628"/>
      <c r="I20" s="405" t="s">
        <v>2243</v>
      </c>
      <c r="J20" s="833"/>
      <c r="K20" s="638"/>
      <c r="L20" s="406" t="s">
        <v>2244</v>
      </c>
      <c r="M20" s="639"/>
      <c r="N20" s="834"/>
      <c r="O20" s="835"/>
      <c r="P20" s="644"/>
      <c r="Q20" s="644"/>
      <c r="R20" s="644"/>
      <c r="S20" s="644"/>
      <c r="T20" s="644"/>
      <c r="U20" s="644"/>
      <c r="V20" s="644"/>
      <c r="W20" s="644"/>
      <c r="X20" s="645"/>
      <c r="Y20" s="64"/>
      <c r="Z20" s="102"/>
      <c r="AA20" s="588"/>
      <c r="AB20" s="103"/>
    </row>
    <row r="21" spans="1:29" ht="21.75" customHeight="1">
      <c r="A21" s="629"/>
      <c r="B21" s="630"/>
      <c r="C21" s="630"/>
      <c r="D21" s="630"/>
      <c r="E21" s="630"/>
      <c r="F21" s="630"/>
      <c r="G21" s="630"/>
      <c r="H21" s="631"/>
      <c r="I21" s="641"/>
      <c r="J21" s="642"/>
      <c r="K21" s="642"/>
      <c r="L21" s="642"/>
      <c r="M21" s="642"/>
      <c r="N21" s="642"/>
      <c r="O21" s="642"/>
      <c r="P21" s="642"/>
      <c r="Q21" s="642"/>
      <c r="R21" s="642"/>
      <c r="S21" s="642"/>
      <c r="T21" s="642"/>
      <c r="U21" s="642"/>
      <c r="V21" s="642"/>
      <c r="W21" s="642"/>
      <c r="X21" s="643"/>
      <c r="Y21" s="55"/>
      <c r="Z21" s="102"/>
      <c r="AA21" s="588"/>
      <c r="AB21" s="103"/>
    </row>
    <row r="22" spans="1:29" ht="20.25" customHeight="1">
      <c r="A22" s="626" t="s">
        <v>2334</v>
      </c>
      <c r="B22" s="627"/>
      <c r="C22" s="627"/>
      <c r="D22" s="627"/>
      <c r="E22" s="627"/>
      <c r="F22" s="627"/>
      <c r="G22" s="627"/>
      <c r="H22" s="628"/>
      <c r="I22" s="626">
        <f>'様式2-5（実績事業場）'!D29-SUM('様式2-2(実績排出量）'!I10:I11)</f>
        <v>0</v>
      </c>
      <c r="J22" s="627"/>
      <c r="K22" s="627"/>
      <c r="L22" s="627"/>
      <c r="M22" s="627" t="s">
        <v>2338</v>
      </c>
      <c r="N22" s="57"/>
      <c r="O22" s="57"/>
      <c r="P22" s="57"/>
      <c r="Q22" s="58"/>
      <c r="R22" s="57"/>
      <c r="S22" s="646"/>
      <c r="T22" s="646"/>
      <c r="U22" s="646"/>
      <c r="V22" s="57"/>
      <c r="W22" s="57"/>
      <c r="X22" s="59"/>
      <c r="Y22" s="49"/>
      <c r="Z22" s="49"/>
      <c r="AA22" s="579"/>
    </row>
    <row r="23" spans="1:29" ht="20.25" customHeight="1">
      <c r="A23" s="629"/>
      <c r="B23" s="630"/>
      <c r="C23" s="630"/>
      <c r="D23" s="630"/>
      <c r="E23" s="630"/>
      <c r="F23" s="630"/>
      <c r="G23" s="630"/>
      <c r="H23" s="631"/>
      <c r="I23" s="629"/>
      <c r="J23" s="630"/>
      <c r="K23" s="630"/>
      <c r="L23" s="630"/>
      <c r="M23" s="630"/>
      <c r="N23" s="60"/>
      <c r="O23" s="60"/>
      <c r="P23" s="60"/>
      <c r="Q23" s="61"/>
      <c r="R23" s="60"/>
      <c r="S23" s="647"/>
      <c r="T23" s="647"/>
      <c r="U23" s="647"/>
      <c r="V23" s="60"/>
      <c r="W23" s="60"/>
      <c r="X23" s="62"/>
      <c r="Y23" s="49"/>
      <c r="Z23" s="49"/>
      <c r="AA23" s="579"/>
    </row>
    <row r="24" spans="1:29" ht="36" customHeight="1">
      <c r="A24" s="648" t="s">
        <v>2012</v>
      </c>
      <c r="B24" s="649"/>
      <c r="C24" s="649"/>
      <c r="D24" s="649"/>
      <c r="E24" s="649"/>
      <c r="F24" s="649"/>
      <c r="G24" s="649"/>
      <c r="H24" s="650"/>
      <c r="I24" s="648" t="str">
        <f>IF(T24="","",VLOOKUP('様式2-1（実績表紙）'!T24,産業分類表!A4:B100,2,FALSE))</f>
        <v/>
      </c>
      <c r="J24" s="649"/>
      <c r="K24" s="649"/>
      <c r="L24" s="649"/>
      <c r="M24" s="649"/>
      <c r="N24" s="649"/>
      <c r="O24" s="649"/>
      <c r="P24" s="649"/>
      <c r="Q24" s="650"/>
      <c r="R24" s="648" t="s">
        <v>2013</v>
      </c>
      <c r="S24" s="650"/>
      <c r="T24" s="651"/>
      <c r="U24" s="651"/>
      <c r="V24" s="651"/>
      <c r="W24" s="651"/>
      <c r="X24" s="652"/>
      <c r="Y24" s="55"/>
      <c r="Z24" s="64"/>
      <c r="AA24" s="588"/>
      <c r="AB24" s="103"/>
      <c r="AC24" s="103"/>
    </row>
    <row r="25" spans="1:29" ht="36" customHeight="1">
      <c r="A25" s="648" t="s">
        <v>2470</v>
      </c>
      <c r="B25" s="649"/>
      <c r="C25" s="649"/>
      <c r="D25" s="649"/>
      <c r="E25" s="649"/>
      <c r="F25" s="649"/>
      <c r="G25" s="649"/>
      <c r="H25" s="650"/>
      <c r="I25" s="653"/>
      <c r="J25" s="654"/>
      <c r="K25" s="654"/>
      <c r="L25" s="654"/>
      <c r="M25" s="654"/>
      <c r="N25" s="654"/>
      <c r="O25" s="654"/>
      <c r="P25" s="654"/>
      <c r="Q25" s="654"/>
      <c r="R25" s="654"/>
      <c r="S25" s="654"/>
      <c r="T25" s="654"/>
      <c r="U25" s="654"/>
      <c r="V25" s="654"/>
      <c r="W25" s="654"/>
      <c r="X25" s="655"/>
      <c r="Y25" s="64"/>
      <c r="Z25" s="64"/>
      <c r="AA25" s="588"/>
      <c r="AB25" s="103"/>
      <c r="AC25" s="103"/>
    </row>
    <row r="26" spans="1:29" ht="36" customHeight="1">
      <c r="A26" s="626" t="s">
        <v>2014</v>
      </c>
      <c r="B26" s="627"/>
      <c r="C26" s="627"/>
      <c r="D26" s="627"/>
      <c r="E26" s="627"/>
      <c r="F26" s="627"/>
      <c r="G26" s="627"/>
      <c r="H26" s="628"/>
      <c r="I26" s="648">
        <f>'様式2-5（実績事業場）'!D6</f>
        <v>0</v>
      </c>
      <c r="J26" s="649"/>
      <c r="K26" s="649"/>
      <c r="L26" s="649"/>
      <c r="M26" s="649"/>
      <c r="N26" s="649"/>
      <c r="O26" s="63" t="s">
        <v>2335</v>
      </c>
      <c r="P26" s="63"/>
      <c r="Q26" s="65"/>
      <c r="R26" s="63"/>
      <c r="S26" s="63"/>
      <c r="T26" s="63"/>
      <c r="U26" s="63"/>
      <c r="V26" s="63"/>
      <c r="W26" s="63"/>
      <c r="X26" s="66"/>
      <c r="Y26" s="49"/>
      <c r="Z26" s="49"/>
      <c r="AA26" s="579"/>
    </row>
    <row r="27" spans="1:29" ht="20.149999999999999" customHeight="1">
      <c r="A27" s="626" t="s">
        <v>2015</v>
      </c>
      <c r="B27" s="627"/>
      <c r="C27" s="627"/>
      <c r="D27" s="627"/>
      <c r="E27" s="627"/>
      <c r="F27" s="627"/>
      <c r="G27" s="627"/>
      <c r="H27" s="628"/>
      <c r="I27" s="836" t="s">
        <v>2468</v>
      </c>
      <c r="J27" s="837"/>
      <c r="K27" s="837"/>
      <c r="L27" s="838"/>
      <c r="M27" s="662"/>
      <c r="N27" s="839"/>
      <c r="O27" s="839"/>
      <c r="P27" s="839"/>
      <c r="Q27" s="839"/>
      <c r="R27" s="839"/>
      <c r="S27" s="839"/>
      <c r="T27" s="839"/>
      <c r="U27" s="839"/>
      <c r="V27" s="839"/>
      <c r="W27" s="839"/>
      <c r="X27" s="840"/>
      <c r="Y27" s="67"/>
      <c r="Z27" s="68"/>
      <c r="AA27" s="579"/>
    </row>
    <row r="28" spans="1:29" ht="20.149999999999999" customHeight="1">
      <c r="A28" s="656"/>
      <c r="B28" s="657"/>
      <c r="C28" s="657"/>
      <c r="D28" s="657"/>
      <c r="E28" s="657"/>
      <c r="F28" s="657"/>
      <c r="G28" s="657"/>
      <c r="H28" s="658"/>
      <c r="I28" s="841" t="s">
        <v>2471</v>
      </c>
      <c r="J28" s="842"/>
      <c r="K28" s="842"/>
      <c r="L28" s="843"/>
      <c r="M28" s="662"/>
      <c r="N28" s="675"/>
      <c r="O28" s="675"/>
      <c r="P28" s="675"/>
      <c r="Q28" s="675"/>
      <c r="R28" s="675"/>
      <c r="S28" s="675"/>
      <c r="T28" s="675"/>
      <c r="U28" s="675"/>
      <c r="V28" s="675"/>
      <c r="W28" s="675"/>
      <c r="X28" s="676"/>
      <c r="Y28" s="67"/>
      <c r="Z28" s="68"/>
      <c r="AA28" s="579"/>
    </row>
    <row r="29" spans="1:29" ht="20.149999999999999" customHeight="1">
      <c r="A29" s="656"/>
      <c r="B29" s="657"/>
      <c r="C29" s="657"/>
      <c r="D29" s="657"/>
      <c r="E29" s="657"/>
      <c r="F29" s="657"/>
      <c r="G29" s="657"/>
      <c r="H29" s="658"/>
      <c r="I29" s="665" t="s">
        <v>2332</v>
      </c>
      <c r="J29" s="666"/>
      <c r="K29" s="666"/>
      <c r="L29" s="667"/>
      <c r="M29" s="668"/>
      <c r="N29" s="669"/>
      <c r="O29" s="669"/>
      <c r="P29" s="669"/>
      <c r="Q29" s="669"/>
      <c r="R29" s="669"/>
      <c r="S29" s="669"/>
      <c r="T29" s="669"/>
      <c r="U29" s="669"/>
      <c r="V29" s="669"/>
      <c r="W29" s="669"/>
      <c r="X29" s="670"/>
      <c r="Y29" s="67"/>
      <c r="Z29" s="68"/>
      <c r="AA29" s="579"/>
    </row>
    <row r="30" spans="1:29" ht="20.149999999999999" customHeight="1">
      <c r="A30" s="656"/>
      <c r="B30" s="657"/>
      <c r="C30" s="657"/>
      <c r="D30" s="657"/>
      <c r="E30" s="657"/>
      <c r="F30" s="657"/>
      <c r="G30" s="657"/>
      <c r="H30" s="658"/>
      <c r="I30" s="665" t="s">
        <v>2016</v>
      </c>
      <c r="J30" s="666"/>
      <c r="K30" s="666"/>
      <c r="L30" s="667"/>
      <c r="M30" s="668"/>
      <c r="N30" s="669"/>
      <c r="O30" s="669"/>
      <c r="P30" s="669"/>
      <c r="Q30" s="669"/>
      <c r="R30" s="669"/>
      <c r="S30" s="669"/>
      <c r="T30" s="669"/>
      <c r="U30" s="669"/>
      <c r="V30" s="669"/>
      <c r="W30" s="669"/>
      <c r="X30" s="670"/>
      <c r="Y30" s="49"/>
      <c r="Z30" s="49"/>
      <c r="AA30" s="579"/>
    </row>
    <row r="31" spans="1:29" ht="20.149999999999999" customHeight="1">
      <c r="A31" s="629"/>
      <c r="B31" s="630"/>
      <c r="C31" s="630"/>
      <c r="D31" s="630"/>
      <c r="E31" s="630"/>
      <c r="F31" s="630"/>
      <c r="G31" s="630"/>
      <c r="H31" s="631"/>
      <c r="I31" s="671" t="s">
        <v>2017</v>
      </c>
      <c r="J31" s="672"/>
      <c r="K31" s="672"/>
      <c r="L31" s="673"/>
      <c r="M31" s="674"/>
      <c r="N31" s="675"/>
      <c r="O31" s="675"/>
      <c r="P31" s="675"/>
      <c r="Q31" s="675"/>
      <c r="R31" s="675"/>
      <c r="S31" s="675"/>
      <c r="T31" s="675"/>
      <c r="U31" s="675"/>
      <c r="V31" s="675"/>
      <c r="W31" s="675"/>
      <c r="X31" s="676"/>
      <c r="Y31" s="49"/>
      <c r="Z31" s="49"/>
      <c r="AA31" s="579"/>
    </row>
    <row r="32" spans="1:29" ht="20.149999999999999" customHeight="1">
      <c r="A32" s="602" t="s">
        <v>2473</v>
      </c>
      <c r="B32" s="603"/>
      <c r="C32" s="603"/>
      <c r="D32" s="603"/>
      <c r="E32" s="603"/>
      <c r="F32" s="603"/>
      <c r="G32" s="603"/>
      <c r="H32" s="604"/>
      <c r="I32" s="602"/>
      <c r="J32" s="603"/>
      <c r="K32" s="603"/>
      <c r="L32" s="603"/>
      <c r="M32" s="603"/>
      <c r="N32" s="603"/>
      <c r="O32" s="603"/>
      <c r="P32" s="603"/>
      <c r="Q32" s="603"/>
      <c r="R32" s="603"/>
      <c r="S32" s="603"/>
      <c r="T32" s="603"/>
      <c r="U32" s="603"/>
      <c r="V32" s="603"/>
      <c r="W32" s="603"/>
      <c r="X32" s="604"/>
      <c r="Y32" s="69"/>
    </row>
    <row r="33" spans="1:25" s="71" customFormat="1" ht="20.25"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row>
    <row r="34" spans="1:25" s="71" customFormat="1" ht="16.5" customHeight="1">
      <c r="A34" s="72"/>
      <c r="B34" s="70"/>
      <c r="C34" s="70"/>
      <c r="D34" s="70"/>
      <c r="E34" s="70"/>
      <c r="F34" s="70"/>
      <c r="G34" s="70"/>
      <c r="H34" s="70"/>
      <c r="I34" s="70"/>
      <c r="J34" s="70"/>
      <c r="K34" s="70"/>
      <c r="L34" s="70"/>
      <c r="M34" s="70"/>
      <c r="N34" s="70"/>
      <c r="O34" s="70"/>
      <c r="P34" s="70"/>
      <c r="Q34" s="70"/>
      <c r="R34" s="70"/>
      <c r="S34" s="70"/>
      <c r="T34" s="70"/>
      <c r="U34" s="70"/>
      <c r="V34" s="70"/>
      <c r="W34" s="70"/>
      <c r="X34" s="70"/>
      <c r="Y34" s="70"/>
    </row>
    <row r="35" spans="1:25" s="71" customFormat="1" ht="16.5" customHeight="1">
      <c r="A35" s="72"/>
      <c r="B35" s="70"/>
      <c r="C35" s="70"/>
      <c r="D35" s="70"/>
      <c r="E35" s="70"/>
      <c r="F35" s="70"/>
      <c r="G35" s="70"/>
      <c r="H35" s="70"/>
      <c r="I35" s="70"/>
      <c r="J35" s="70"/>
      <c r="K35" s="70"/>
      <c r="L35" s="70"/>
      <c r="M35" s="70"/>
      <c r="N35" s="70"/>
      <c r="O35" s="70"/>
      <c r="P35" s="70"/>
      <c r="Q35" s="70"/>
      <c r="R35" s="70"/>
      <c r="S35" s="70"/>
      <c r="T35" s="70"/>
      <c r="U35" s="70"/>
      <c r="V35" s="70"/>
      <c r="W35" s="70"/>
      <c r="X35" s="70"/>
      <c r="Y35" s="70"/>
    </row>
    <row r="36" spans="1:25" s="71" customFormat="1" ht="16.5" customHeight="1">
      <c r="A36" s="72"/>
      <c r="B36" s="70"/>
      <c r="C36" s="70"/>
      <c r="D36" s="70"/>
      <c r="E36" s="70"/>
      <c r="F36" s="70"/>
      <c r="G36" s="70"/>
      <c r="H36" s="70"/>
      <c r="I36" s="70"/>
      <c r="J36" s="70"/>
      <c r="K36" s="70"/>
      <c r="L36" s="70"/>
      <c r="M36" s="70"/>
      <c r="N36" s="70"/>
      <c r="O36" s="70"/>
      <c r="P36" s="70"/>
      <c r="Q36" s="70"/>
      <c r="R36" s="70"/>
      <c r="S36" s="70"/>
      <c r="T36" s="70"/>
      <c r="U36" s="70"/>
      <c r="V36" s="70"/>
      <c r="W36" s="70"/>
      <c r="X36" s="70"/>
      <c r="Y36" s="70"/>
    </row>
    <row r="37" spans="1:25" s="71" customFormat="1" ht="16.5" customHeight="1">
      <c r="A37" s="72"/>
      <c r="B37" s="70"/>
      <c r="C37" s="70"/>
      <c r="D37" s="70"/>
      <c r="E37" s="70"/>
      <c r="F37" s="70"/>
      <c r="G37" s="70"/>
      <c r="H37" s="70"/>
      <c r="I37" s="70"/>
      <c r="J37" s="70"/>
      <c r="K37" s="70"/>
      <c r="L37" s="70"/>
      <c r="M37" s="70"/>
      <c r="N37" s="70"/>
      <c r="O37" s="70"/>
      <c r="P37" s="70"/>
      <c r="Q37" s="70"/>
      <c r="R37" s="70"/>
      <c r="S37" s="70"/>
      <c r="T37" s="70"/>
      <c r="U37" s="70"/>
      <c r="V37" s="70"/>
      <c r="W37" s="70"/>
      <c r="X37" s="70"/>
      <c r="Y37" s="70"/>
    </row>
    <row r="38" spans="1:25" s="71" customFormat="1" ht="16.5" customHeight="1">
      <c r="A38" s="72"/>
      <c r="B38" s="70"/>
      <c r="C38" s="70"/>
      <c r="D38" s="70"/>
      <c r="E38" s="70"/>
      <c r="F38" s="70"/>
      <c r="G38" s="70"/>
      <c r="H38" s="70"/>
      <c r="I38" s="70"/>
      <c r="J38" s="70"/>
      <c r="K38" s="70"/>
      <c r="L38" s="70"/>
      <c r="M38" s="70"/>
      <c r="N38" s="70"/>
      <c r="O38" s="70"/>
      <c r="P38" s="70"/>
      <c r="Q38" s="70"/>
      <c r="R38" s="70"/>
      <c r="S38" s="70"/>
      <c r="T38" s="70"/>
      <c r="U38" s="70"/>
      <c r="V38" s="70"/>
      <c r="W38" s="70"/>
      <c r="X38" s="70"/>
      <c r="Y38" s="70"/>
    </row>
    <row r="39" spans="1:25" s="71" customFormat="1" ht="16.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row>
    <row r="40" spans="1:25" s="71" customFormat="1" ht="20.25" customHeight="1"/>
  </sheetData>
  <sheetProtection algorithmName="SHA-512" hashValue="BNHlds0vTYRD/CJnH3snMjqocic/q2hxaUAJPHppYijF6MVIhIAOQ5OTbadnVBuIstgxr/4XPUN1QPGH/5TD/g==" saltValue="/s7S0REwPIcUqgg4nq3t9A==" spinCount="100000" sheet="1" objects="1" scenarios="1"/>
  <mergeCells count="45">
    <mergeCell ref="A27:H31"/>
    <mergeCell ref="I27:L27"/>
    <mergeCell ref="M27:X27"/>
    <mergeCell ref="I29:L29"/>
    <mergeCell ref="M29:X29"/>
    <mergeCell ref="I30:L30"/>
    <mergeCell ref="M30:X30"/>
    <mergeCell ref="I31:L31"/>
    <mergeCell ref="M31:X31"/>
    <mergeCell ref="I28:L28"/>
    <mergeCell ref="M28:X28"/>
    <mergeCell ref="A24:H24"/>
    <mergeCell ref="I24:Q24"/>
    <mergeCell ref="R24:S24"/>
    <mergeCell ref="T24:X24"/>
    <mergeCell ref="A26:H26"/>
    <mergeCell ref="I26:N26"/>
    <mergeCell ref="A25:H25"/>
    <mergeCell ref="I25:X25"/>
    <mergeCell ref="A22:H23"/>
    <mergeCell ref="I22:L23"/>
    <mergeCell ref="M22:M23"/>
    <mergeCell ref="S22:U22"/>
    <mergeCell ref="S23:U23"/>
    <mergeCell ref="A20:H21"/>
    <mergeCell ref="J20:K20"/>
    <mergeCell ref="M20:N20"/>
    <mergeCell ref="I21:X21"/>
    <mergeCell ref="O20:X20"/>
    <mergeCell ref="A32:H32"/>
    <mergeCell ref="I32:X32"/>
    <mergeCell ref="S3:W3"/>
    <mergeCell ref="A5:F5"/>
    <mergeCell ref="M7:N7"/>
    <mergeCell ref="P7:Q7"/>
    <mergeCell ref="M8:X9"/>
    <mergeCell ref="J10:K10"/>
    <mergeCell ref="M10:X10"/>
    <mergeCell ref="M11:X11"/>
    <mergeCell ref="M12:X12"/>
    <mergeCell ref="A15:X15"/>
    <mergeCell ref="A17:X17"/>
    <mergeCell ref="A18:H19"/>
    <mergeCell ref="I18:X18"/>
    <mergeCell ref="I19:X19"/>
  </mergeCells>
  <phoneticPr fontId="3"/>
  <dataValidations count="10">
    <dataValidation imeMode="halfAlpha" allowBlank="1" showInputMessage="1" showErrorMessage="1" sqref="M31:X31 M29:X30 I32:X32" xr:uid="{00000000-0002-0000-0600-000000000000}"/>
    <dataValidation imeMode="hiragana" allowBlank="1" showInputMessage="1" showErrorMessage="1" sqref="M8:X9 M11:X12 A5:F5 M27:M28 N27:X27 I21:X21 I25:X25" xr:uid="{00000000-0002-0000-0600-000001000000}"/>
    <dataValidation type="whole" allowBlank="1" showInputMessage="1" showErrorMessage="1" sqref="R3" xr:uid="{00000000-0002-0000-0600-000002000000}">
      <formula1>1</formula1>
      <formula2>99</formula2>
    </dataValidation>
    <dataValidation type="whole" imeMode="off" allowBlank="1" showInputMessage="1" showErrorMessage="1" sqref="P7:Q7" xr:uid="{00000000-0002-0000-0600-000003000000}">
      <formula1>0</formula1>
      <formula2>9999</formula2>
    </dataValidation>
    <dataValidation type="whole" imeMode="off" allowBlank="1" showInputMessage="1" showErrorMessage="1" sqref="M7:N7" xr:uid="{00000000-0002-0000-0600-000004000000}">
      <formula1>0</formula1>
      <formula2>999</formula2>
    </dataValidation>
    <dataValidation imeMode="halfKatakana" allowBlank="1" showInputMessage="1" showErrorMessage="1" sqref="M10:X10" xr:uid="{00000000-0002-0000-0600-000005000000}"/>
    <dataValidation imeMode="off" allowBlank="1" showInputMessage="1" showErrorMessage="1" sqref="O7 L20" xr:uid="{00000000-0002-0000-0600-000006000000}"/>
    <dataValidation type="whole" imeMode="halfAlpha" allowBlank="1" showInputMessage="1" showErrorMessage="1" sqref="J20:K20" xr:uid="{00000000-0002-0000-0600-000007000000}">
      <formula1>0</formula1>
      <formula2>999</formula2>
    </dataValidation>
    <dataValidation type="whole" imeMode="halfAlpha" allowBlank="1" showInputMessage="1" showErrorMessage="1" sqref="M20:N20" xr:uid="{00000000-0002-0000-0600-000008000000}">
      <formula1>0</formula1>
      <formula2>9999</formula2>
    </dataValidation>
    <dataValidation type="whole" imeMode="halfAlpha" allowBlank="1" showInputMessage="1" showErrorMessage="1" sqref="T24:X24" xr:uid="{00000000-0002-0000-0600-000009000000}">
      <formula1>1</formula1>
      <formula2>99</formula2>
    </dataValidation>
  </dataValidations>
  <pageMargins left="0.7" right="0.7" top="0.75" bottom="0.75" header="0.3" footer="0.3"/>
  <pageSetup paperSize="9" scale="96" orientation="portrait" horizontalDpi="300" verticalDpi="300" r:id="rId1"/>
  <colBreaks count="1" manualBreakCount="1">
    <brk id="24"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CR754"/>
  <sheetViews>
    <sheetView zoomScale="85" zoomScaleNormal="85" workbookViewId="0">
      <selection activeCell="CK16" sqref="CK16:CK515"/>
    </sheetView>
  </sheetViews>
  <sheetFormatPr defaultColWidth="9" defaultRowHeight="13"/>
  <cols>
    <col min="1" max="1" width="5" style="3" bestFit="1" customWidth="1"/>
    <col min="2" max="2" width="2.90625" style="3" customWidth="1"/>
    <col min="3" max="3" width="6.6328125" style="3" customWidth="1"/>
    <col min="4" max="4" width="4.26953125" style="3" customWidth="1"/>
    <col min="5" max="5" width="2.6328125" style="3" customWidth="1"/>
    <col min="6" max="6" width="4.26953125" style="3" customWidth="1"/>
    <col min="7" max="7" width="10.90625" style="3" customWidth="1"/>
    <col min="8" max="8" width="15.6328125" style="3" customWidth="1"/>
    <col min="9" max="9" width="4.90625" style="4" customWidth="1"/>
    <col min="10" max="10" width="9" style="3" customWidth="1"/>
    <col min="11" max="11" width="15.6328125" style="3" customWidth="1"/>
    <col min="12" max="12" width="8.6328125" style="3" hidden="1" customWidth="1"/>
    <col min="13" max="14" width="10.6328125" style="3" hidden="1" customWidth="1"/>
    <col min="15" max="15" width="16" style="3" bestFit="1" customWidth="1"/>
    <col min="16" max="17" width="4.90625" style="3" hidden="1" customWidth="1"/>
    <col min="18" max="19" width="5.6328125" style="3" hidden="1" customWidth="1"/>
    <col min="20" max="20" width="10.08984375" style="3" customWidth="1"/>
    <col min="21" max="21" width="4.90625" style="3" customWidth="1"/>
    <col min="22" max="22" width="14.7265625" style="3" hidden="1" customWidth="1"/>
    <col min="23" max="23" width="14.36328125" style="3" hidden="1" customWidth="1"/>
    <col min="24" max="24" width="5.26953125" style="6" hidden="1" customWidth="1"/>
    <col min="25" max="27" width="5.26953125" style="3" hidden="1" customWidth="1"/>
    <col min="28" max="28" width="8.08984375" style="3" hidden="1" customWidth="1"/>
    <col min="29" max="29" width="14.36328125" style="3" hidden="1" customWidth="1"/>
    <col min="30" max="30" width="16" style="3" hidden="1" customWidth="1"/>
    <col min="31" max="31" width="11" style="3" hidden="1" customWidth="1"/>
    <col min="32" max="32" width="7" style="3" hidden="1" customWidth="1"/>
    <col min="33" max="33" width="7.7265625" style="3" hidden="1" customWidth="1"/>
    <col min="34" max="34" width="12.7265625" style="3" hidden="1" customWidth="1"/>
    <col min="35" max="35" width="8.7265625" style="3" hidden="1" customWidth="1"/>
    <col min="36" max="36" width="12.90625" style="3" hidden="1" customWidth="1"/>
    <col min="37" max="37" width="11.453125" style="3" hidden="1" customWidth="1"/>
    <col min="38" max="38" width="23.6328125" style="3" hidden="1" customWidth="1"/>
    <col min="39" max="40" width="12.36328125" style="3" hidden="1" customWidth="1"/>
    <col min="41" max="41" width="23.08984375" style="3" hidden="1" customWidth="1"/>
    <col min="42" max="43" width="11.36328125" style="3" hidden="1" customWidth="1"/>
    <col min="44" max="44" width="9.7265625" style="3" hidden="1" customWidth="1"/>
    <col min="45" max="45" width="10.90625" style="3" hidden="1" customWidth="1"/>
    <col min="46" max="46" width="8" style="3" hidden="1" customWidth="1"/>
    <col min="47" max="47" width="9.453125" style="3" hidden="1" customWidth="1"/>
    <col min="48" max="48" width="5.26953125" style="3" hidden="1" customWidth="1"/>
    <col min="49" max="49" width="6.7265625" style="3" hidden="1" customWidth="1"/>
    <col min="50" max="50" width="5.26953125" style="3" hidden="1" customWidth="1"/>
    <col min="51" max="51" width="16.08984375" style="3" hidden="1" customWidth="1"/>
    <col min="52" max="52" width="5.08984375" style="3" hidden="1" customWidth="1"/>
    <col min="53" max="54" width="5.90625" style="3" hidden="1" customWidth="1"/>
    <col min="55" max="55" width="8" style="3" hidden="1" customWidth="1"/>
    <col min="56" max="56" width="5.36328125" style="3" hidden="1" customWidth="1"/>
    <col min="57" max="57" width="13.90625" style="3" hidden="1" customWidth="1"/>
    <col min="58" max="58" width="2.36328125" style="3" hidden="1" customWidth="1"/>
    <col min="59" max="59" width="16.7265625" style="3" hidden="1" customWidth="1"/>
    <col min="60" max="60" width="5.90625" style="3" hidden="1" customWidth="1"/>
    <col min="61" max="61" width="22.90625" style="3" hidden="1" customWidth="1"/>
    <col min="62" max="63" width="5.90625" style="3" hidden="1" customWidth="1"/>
    <col min="64" max="64" width="16" style="3" hidden="1" customWidth="1"/>
    <col min="65" max="65" width="11.453125" style="3" hidden="1" customWidth="1"/>
    <col min="66" max="66" width="10.26953125" style="3" hidden="1" customWidth="1"/>
    <col min="67" max="69" width="9" style="3" hidden="1" customWidth="1"/>
    <col min="70" max="70" width="7.453125" style="3" hidden="1" customWidth="1"/>
    <col min="71" max="71" width="8" style="3" hidden="1" customWidth="1"/>
    <col min="72" max="75" width="9" style="3" hidden="1" customWidth="1"/>
    <col min="76" max="77" width="18" style="3" hidden="1" customWidth="1"/>
    <col min="78" max="84" width="9" style="3" hidden="1" customWidth="1"/>
    <col min="85" max="86" width="9" hidden="1" customWidth="1"/>
    <col min="87" max="87" width="14.08984375" style="3" hidden="1" customWidth="1"/>
    <col min="88" max="88" width="10.08984375" style="3" hidden="1" customWidth="1"/>
    <col min="89" max="89" width="9" style="3" customWidth="1"/>
    <col min="90" max="16384" width="9" style="3"/>
  </cols>
  <sheetData>
    <row r="1" spans="1:96" ht="21.25" customHeight="1" thickBot="1">
      <c r="A1" s="315" t="s">
        <v>2997</v>
      </c>
      <c r="C1"/>
      <c r="E1"/>
      <c r="F1"/>
      <c r="G1"/>
      <c r="H1"/>
      <c r="I1" s="30"/>
      <c r="J1"/>
      <c r="K1"/>
      <c r="L1"/>
      <c r="M1"/>
      <c r="N1"/>
      <c r="O1"/>
    </row>
    <row r="2" spans="1:96" ht="28.5" customHeight="1" thickTop="1" thickBot="1">
      <c r="A2" s="81"/>
      <c r="B2" s="844"/>
      <c r="C2" s="845"/>
      <c r="D2" s="845"/>
      <c r="E2" s="845"/>
      <c r="F2" s="845"/>
      <c r="G2" s="407" t="s">
        <v>1955</v>
      </c>
      <c r="H2"/>
      <c r="I2"/>
      <c r="J2"/>
      <c r="K2"/>
      <c r="L2"/>
      <c r="M2"/>
      <c r="N2"/>
      <c r="O2"/>
    </row>
    <row r="3" spans="1:96" ht="17" hidden="1" thickTop="1">
      <c r="B3" s="852" t="s">
        <v>1954</v>
      </c>
      <c r="C3" s="853"/>
      <c r="D3" s="854"/>
      <c r="E3" s="854"/>
      <c r="F3" s="855"/>
      <c r="G3" s="297" t="s">
        <v>1955</v>
      </c>
      <c r="H3" s="416">
        <f>IF(SUM($R$16:$R$515)=0,0,SUM($R$16:$R$515))</f>
        <v>0</v>
      </c>
      <c r="I3" s="859" t="s">
        <v>1955</v>
      </c>
      <c r="J3" s="860"/>
      <c r="K3" s="156" t="str">
        <f>IF(H3=0,"",AVERAGE($R$16:$R$515))</f>
        <v/>
      </c>
      <c r="L3" s="861" t="str">
        <f>IF(H3=0,"",SUM($R$16:$R$515)*1000/SUM($O$16:$O$515))</f>
        <v/>
      </c>
      <c r="M3" s="862"/>
      <c r="O3" s="151" t="s">
        <v>2461</v>
      </c>
    </row>
    <row r="4" spans="1:96" ht="17.5" hidden="1" customHeight="1">
      <c r="B4" s="856"/>
      <c r="C4" s="853"/>
      <c r="D4" s="854"/>
      <c r="E4" s="854"/>
      <c r="F4" s="855"/>
      <c r="G4" s="154" t="s">
        <v>1956</v>
      </c>
      <c r="H4" s="417" t="str">
        <f>IF('様式1-2（計画排出量）'!H4="","",'様式1-2（計画排出量）'!H4)</f>
        <v/>
      </c>
      <c r="I4" s="850" t="s">
        <v>2469</v>
      </c>
      <c r="J4" s="851"/>
      <c r="K4" s="198" t="str">
        <f>IF('様式1-2（計画排出量）'!I3="","",'様式1-2（計画排出量）'!I3)</f>
        <v/>
      </c>
      <c r="L4" s="869" t="str">
        <f>IF('様式1-2（計画排出量）'!K3="","",'様式1-2（計画排出量）'!K3)</f>
        <v/>
      </c>
      <c r="M4" s="870"/>
      <c r="O4" s="152"/>
    </row>
    <row r="5" spans="1:96" ht="17.5" hidden="1" customHeight="1" thickBot="1">
      <c r="B5" s="727"/>
      <c r="C5" s="857"/>
      <c r="D5" s="857"/>
      <c r="E5" s="857"/>
      <c r="F5" s="858"/>
      <c r="G5" s="155" t="s">
        <v>2024</v>
      </c>
      <c r="H5" s="199" t="str">
        <f>IF(OR(H3="",H4=""),"",ROUNDDOWN((H4/H3),2))</f>
        <v/>
      </c>
      <c r="I5" s="863" t="s">
        <v>2505</v>
      </c>
      <c r="J5" s="864"/>
      <c r="K5" s="199" t="str">
        <f>IF(OR(K3="",K4=""),"",ROUNDDOWN((K3/K4),2))</f>
        <v/>
      </c>
      <c r="L5" s="873" t="str">
        <f>IF(OR(L3="",L4=""),"",ROUNDDOWN((L3/L4),2))</f>
        <v/>
      </c>
      <c r="M5" s="874"/>
    </row>
    <row r="6" spans="1:96" ht="16.5" hidden="1">
      <c r="B6" s="865" t="s">
        <v>2138</v>
      </c>
      <c r="C6" s="866"/>
      <c r="D6" s="867"/>
      <c r="E6" s="867"/>
      <c r="F6" s="868"/>
      <c r="G6" s="131" t="s">
        <v>1955</v>
      </c>
      <c r="H6" s="418">
        <f>IF(SUM($S$16:$S$515)=0,0,SUM($S$16:$S$515))</f>
        <v>0</v>
      </c>
      <c r="I6" s="859" t="s">
        <v>1955</v>
      </c>
      <c r="J6" s="860"/>
      <c r="K6" s="156" t="str">
        <f>IF(H6=0,"",AVERAGE($S$16:$S$515))</f>
        <v/>
      </c>
      <c r="L6" s="871" t="str">
        <f>IF(H6=0,"",SUM($S$16:$S$515)*1000/SUM($O$16:$O$515))</f>
        <v/>
      </c>
      <c r="M6" s="872"/>
      <c r="O6" s="151" t="s">
        <v>2461</v>
      </c>
    </row>
    <row r="7" spans="1:96" ht="17.5" hidden="1" customHeight="1">
      <c r="B7" s="856"/>
      <c r="C7" s="853"/>
      <c r="D7" s="854"/>
      <c r="E7" s="854"/>
      <c r="F7" s="855"/>
      <c r="G7" s="154" t="s">
        <v>1956</v>
      </c>
      <c r="H7" s="419" t="str">
        <f>IF('様式1-2（計画排出量）'!H7="","",'様式1-2（計画排出量）'!H7)</f>
        <v/>
      </c>
      <c r="I7" s="850" t="s">
        <v>2469</v>
      </c>
      <c r="J7" s="851"/>
      <c r="K7" s="198" t="str">
        <f>IF('様式1-2（計画排出量）'!I6="","",'様式1-2（計画排出量）'!I6)</f>
        <v/>
      </c>
      <c r="L7" s="869" t="str">
        <f>IF('様式1-2（計画排出量）'!K6="","",'様式1-2（計画排出量）'!K6)</f>
        <v/>
      </c>
      <c r="M7" s="870"/>
    </row>
    <row r="8" spans="1:96" ht="17.5" hidden="1" customHeight="1" thickBot="1">
      <c r="B8" s="727"/>
      <c r="C8" s="857"/>
      <c r="D8" s="857"/>
      <c r="E8" s="857"/>
      <c r="F8" s="858"/>
      <c r="G8" s="155" t="s">
        <v>2024</v>
      </c>
      <c r="H8" s="199" t="str">
        <f>IF(OR(H6="",H7=""),"",ROUNDDOWN((H7/H6),2))</f>
        <v/>
      </c>
      <c r="I8" s="863" t="s">
        <v>2505</v>
      </c>
      <c r="J8" s="864"/>
      <c r="K8" s="199" t="str">
        <f>IF(OR(K6="",K7=""),"",ROUNDDOWN((K6/K7),2))</f>
        <v/>
      </c>
      <c r="L8" s="846" t="str">
        <f>IF(OR(L6="",L7=""),"",ROUNDDOWN((L6/L7),2))</f>
        <v/>
      </c>
      <c r="M8" s="847"/>
      <c r="O8" s="96"/>
    </row>
    <row r="9" spans="1:96" ht="17" thickTop="1">
      <c r="B9"/>
      <c r="C9"/>
      <c r="D9"/>
      <c r="E9"/>
      <c r="F9"/>
      <c r="G9"/>
      <c r="H9" s="91"/>
      <c r="I9" s="91" t="s">
        <v>2991</v>
      </c>
      <c r="J9"/>
      <c r="K9"/>
      <c r="L9"/>
      <c r="M9" s="317"/>
      <c r="N9" s="96"/>
      <c r="O9" s="194"/>
    </row>
    <row r="10" spans="1:96" ht="17.5" customHeight="1">
      <c r="B10"/>
      <c r="C10"/>
      <c r="D10"/>
      <c r="E10"/>
      <c r="F10"/>
      <c r="G10"/>
      <c r="H10" s="91" t="s">
        <v>2992</v>
      </c>
      <c r="I10" s="91">
        <f>COUNTIF(I16:I515,"ZA?")</f>
        <v>0</v>
      </c>
      <c r="J10"/>
      <c r="K10"/>
      <c r="L10"/>
      <c r="M10"/>
      <c r="N10" s="153"/>
      <c r="O10" s="96"/>
      <c r="AX10" s="96"/>
    </row>
    <row r="11" spans="1:96" ht="17.5" customHeight="1">
      <c r="B11"/>
      <c r="C11"/>
      <c r="D11"/>
      <c r="E11"/>
      <c r="F11"/>
      <c r="G11"/>
      <c r="H11" s="91" t="s">
        <v>2993</v>
      </c>
      <c r="I11" s="91">
        <f>COUNTIF(I16:I515,"ZB?")</f>
        <v>0</v>
      </c>
      <c r="J11"/>
      <c r="K11"/>
      <c r="L11"/>
      <c r="M11"/>
      <c r="N11" s="153"/>
      <c r="O11" s="96"/>
      <c r="AX11" s="96"/>
    </row>
    <row r="12" spans="1:96" ht="18" customHeight="1">
      <c r="H12" s="46"/>
      <c r="AX12" s="96"/>
    </row>
    <row r="13" spans="1:96" ht="17" thickBot="1">
      <c r="B13" s="3" t="s">
        <v>2145</v>
      </c>
      <c r="H13" s="46" t="str">
        <f>IF(SUM(X16:X515)&gt;=1,"事業場コードを入力してください","")</f>
        <v/>
      </c>
      <c r="K13" s="5"/>
      <c r="AG13" s="470"/>
      <c r="AX13" s="96"/>
    </row>
    <row r="14" spans="1:96" ht="42" customHeight="1">
      <c r="A14" s="690" t="s">
        <v>2432</v>
      </c>
      <c r="B14" s="692" t="s">
        <v>221</v>
      </c>
      <c r="C14" s="694" t="s">
        <v>2023</v>
      </c>
      <c r="D14" s="695"/>
      <c r="E14" s="695"/>
      <c r="F14" s="696"/>
      <c r="G14" s="697" t="s">
        <v>1949</v>
      </c>
      <c r="H14" s="697" t="s">
        <v>2441</v>
      </c>
      <c r="I14" s="699" t="s">
        <v>2442</v>
      </c>
      <c r="J14" s="703" t="s">
        <v>2443</v>
      </c>
      <c r="K14" s="703" t="s">
        <v>1789</v>
      </c>
      <c r="L14" s="694" t="s">
        <v>1951</v>
      </c>
      <c r="M14" s="696"/>
      <c r="N14" s="697" t="s">
        <v>1787</v>
      </c>
      <c r="O14" s="581" t="s">
        <v>2994</v>
      </c>
      <c r="P14" s="705" t="s">
        <v>1964</v>
      </c>
      <c r="Q14" s="706"/>
      <c r="R14" s="705" t="s">
        <v>2137</v>
      </c>
      <c r="S14" s="709"/>
      <c r="T14" s="848" t="s">
        <v>2478</v>
      </c>
      <c r="U14" s="44"/>
      <c r="V14" s="162"/>
      <c r="W14" s="162"/>
      <c r="X14" s="162"/>
      <c r="Y14" s="163"/>
      <c r="Z14" s="163"/>
      <c r="AA14" s="163"/>
      <c r="AB14" s="163"/>
      <c r="AC14" s="163"/>
      <c r="AD14" s="163"/>
      <c r="AE14" s="163"/>
      <c r="AF14" s="163"/>
      <c r="AG14" s="470" t="s">
        <v>2974</v>
      </c>
      <c r="AH14" s="163"/>
      <c r="AJ14" s="163"/>
      <c r="AK14" s="470" t="s">
        <v>2974</v>
      </c>
      <c r="AL14" s="163"/>
      <c r="AM14" s="163"/>
      <c r="AN14" s="470" t="s">
        <v>2974</v>
      </c>
      <c r="AO14" s="163"/>
      <c r="AP14" s="163"/>
      <c r="AQ14" s="163"/>
      <c r="AR14" s="163"/>
      <c r="AS14" s="163"/>
      <c r="AT14" s="163"/>
      <c r="AU14" s="163"/>
      <c r="AV14" s="163"/>
      <c r="AW14" s="163"/>
      <c r="AX14" s="701"/>
      <c r="BD14" s="478" t="s">
        <v>2974</v>
      </c>
      <c r="CK14" s="677" t="s">
        <v>2996</v>
      </c>
    </row>
    <row r="15" spans="1:96" ht="42" customHeight="1" thickBot="1">
      <c r="A15" s="691"/>
      <c r="B15" s="693"/>
      <c r="C15" s="94" t="s">
        <v>2018</v>
      </c>
      <c r="D15" s="94" t="s">
        <v>2019</v>
      </c>
      <c r="E15" s="94" t="s">
        <v>2020</v>
      </c>
      <c r="F15" s="94" t="s">
        <v>2021</v>
      </c>
      <c r="G15" s="698"/>
      <c r="H15" s="698"/>
      <c r="I15" s="700"/>
      <c r="J15" s="704"/>
      <c r="K15" s="704"/>
      <c r="L15" s="94" t="s">
        <v>1952</v>
      </c>
      <c r="M15" s="132" t="s">
        <v>1953</v>
      </c>
      <c r="N15" s="875"/>
      <c r="O15" s="576" t="s">
        <v>2995</v>
      </c>
      <c r="P15" s="38" t="s">
        <v>1965</v>
      </c>
      <c r="Q15" s="38" t="s">
        <v>1966</v>
      </c>
      <c r="R15" s="39" t="s">
        <v>1793</v>
      </c>
      <c r="S15" s="321" t="s">
        <v>1794</v>
      </c>
      <c r="T15" s="849"/>
      <c r="U15" s="45"/>
      <c r="V15" s="158" t="s">
        <v>229</v>
      </c>
      <c r="W15" s="159" t="s">
        <v>230</v>
      </c>
      <c r="X15" s="160" t="s">
        <v>1792</v>
      </c>
      <c r="Y15" s="161" t="s">
        <v>2025</v>
      </c>
      <c r="Z15" s="161" t="s">
        <v>2026</v>
      </c>
      <c r="AA15" s="161" t="s">
        <v>2027</v>
      </c>
      <c r="AB15" s="161" t="s">
        <v>1786</v>
      </c>
      <c r="AC15" s="161" t="s">
        <v>2444</v>
      </c>
      <c r="AD15" s="161" t="s">
        <v>1785</v>
      </c>
      <c r="AE15" s="161" t="s">
        <v>2445</v>
      </c>
      <c r="AF15" s="161" t="s">
        <v>2446</v>
      </c>
      <c r="AG15" s="480" t="s">
        <v>1977</v>
      </c>
      <c r="AH15" s="161" t="s">
        <v>1784</v>
      </c>
      <c r="AI15" s="161" t="s">
        <v>1783</v>
      </c>
      <c r="AJ15" s="161" t="s">
        <v>2424</v>
      </c>
      <c r="AK15" s="480" t="s">
        <v>1782</v>
      </c>
      <c r="AL15" s="161" t="s">
        <v>2425</v>
      </c>
      <c r="AM15" s="161" t="s">
        <v>1923</v>
      </c>
      <c r="AN15" s="480" t="s">
        <v>1924</v>
      </c>
      <c r="AO15" s="161" t="s">
        <v>2426</v>
      </c>
      <c r="AP15" s="161" t="s">
        <v>2427</v>
      </c>
      <c r="AQ15" s="161" t="s">
        <v>2428</v>
      </c>
      <c r="AR15" s="161" t="s">
        <v>2431</v>
      </c>
      <c r="AS15" s="161" t="s">
        <v>200</v>
      </c>
      <c r="AT15" s="161" t="s">
        <v>2274</v>
      </c>
      <c r="AU15" s="161" t="s">
        <v>2272</v>
      </c>
      <c r="AV15" s="161" t="s">
        <v>2276</v>
      </c>
      <c r="AW15" s="161" t="s">
        <v>74</v>
      </c>
      <c r="AX15" s="702"/>
      <c r="BD15" s="470"/>
      <c r="CI15" s="478" t="s">
        <v>2974</v>
      </c>
      <c r="CK15" s="678"/>
    </row>
    <row r="16" spans="1:96" s="13" customFormat="1" ht="13.75" customHeight="1">
      <c r="A16" s="136">
        <v>1</v>
      </c>
      <c r="B16" s="133"/>
      <c r="C16" s="95"/>
      <c r="D16" s="99"/>
      <c r="E16" s="95"/>
      <c r="F16" s="95"/>
      <c r="G16" s="189"/>
      <c r="H16" s="32"/>
      <c r="I16" s="33"/>
      <c r="J16" s="34"/>
      <c r="K16" s="32"/>
      <c r="L16" s="143"/>
      <c r="M16" s="144"/>
      <c r="N16" s="41"/>
      <c r="O16" s="589"/>
      <c r="P16" s="227" t="str">
        <f>IF(ISBLANK(K16)=TRUE,"",IF(ISNUMBER(AJ16)=TRUE,AJ16,"0"))</f>
        <v/>
      </c>
      <c r="Q16" s="227" t="str">
        <f>IF(ISBLANK(K16)=TRUE,"",IF(ISNUMBER(AM16)=TRUE,AM16,"0"))</f>
        <v/>
      </c>
      <c r="R16" s="228" t="str">
        <f>IF(P16="","",IF(ISERROR(P16*V16*AC16),"0",IF(ISBLANK(V16)=TRUE,"0",IF(ISBLANK(P16)=TRUE,"0",IF(AV16=1,"0",P16*AC16*V16/1000)))))</f>
        <v/>
      </c>
      <c r="S16" s="228" t="str">
        <f>IF(Q16="","",IF(ISERROR(Q16*V16*AC16),"0",IF(ISBLANK(V16)=TRUE,"0",IF(ISBLANK(Q16)=TRUE,"0",IF(AV16=1,"0",Q16*AC16*V16/1000)))))</f>
        <v/>
      </c>
      <c r="T16" s="370"/>
      <c r="U16" s="43"/>
      <c r="V16" s="42" t="str">
        <f t="shared" ref="V16:V79" si="0">IF(O16="","",O16)</f>
        <v/>
      </c>
      <c r="W16" s="42" t="e">
        <f>IF(#REF!="","",#REF!)</f>
        <v>#REF!</v>
      </c>
      <c r="X16" s="31" t="str">
        <f t="shared" ref="X16:X79" si="1">IF(ISBLANK(H16)=TRUE,"",IF(OR(ISBLANK(B16)=TRUE),1,""))</f>
        <v/>
      </c>
      <c r="Y16" s="7" t="e">
        <f t="shared" ref="Y16:Y79" si="2">VLOOKUP(H16,$AY$17:$BB$23,2,FALSE)</f>
        <v>#N/A</v>
      </c>
      <c r="Z16" s="7" t="e">
        <f t="shared" ref="Z16:Z79" si="3">VLOOKUP(H16,$AY$17:$BB$23,3,FALSE)</f>
        <v>#N/A</v>
      </c>
      <c r="AA16" s="7" t="e">
        <f t="shared" ref="AA16:AA79" si="4">VLOOKUP(H16,$AY$17:$BB$23,4,FALSE)</f>
        <v>#N/A</v>
      </c>
      <c r="AB16" s="7" t="str">
        <f t="shared" ref="AB16:AB79" si="5">IF(ISERROR(SEARCH("-",I16,1))=TRUE,ASC(UPPER(I16)),ASC(UPPER(LEFT(I16,SEARCH("-",I16,1)-1))))</f>
        <v/>
      </c>
      <c r="AC16" s="11">
        <f t="shared" ref="AC16:AC79" si="6">IF(J16&gt;3500,J16/1000,1)</f>
        <v>1</v>
      </c>
      <c r="AD16" s="7" t="e">
        <f t="shared" ref="AD16:AD79" si="7">IF(AA16=9,0,IF(J16&lt;=1700,1,IF(J16&lt;=2500,2,IF(J16&lt;=3500,3,4))))</f>
        <v>#N/A</v>
      </c>
      <c r="AE16" s="7" t="e">
        <f t="shared" ref="AE16:AE79" si="8">IF(AA16=5,0,IF(AA16=9,0,IF(J16&lt;=1700,1,IF(J16&lt;=2500,2,IF(J16&lt;=3500,3,4)))))</f>
        <v>#N/A</v>
      </c>
      <c r="AF16" s="7" t="e">
        <f t="shared" ref="AF16:AF79" si="9">VLOOKUP(K16,$BG$17:$BH$25,2,FALSE)</f>
        <v>#N/A</v>
      </c>
      <c r="AG16" s="472" t="e">
        <f>VLOOKUP(AI16,'排出係数(2017)'!$A$4:$I$1151,9,FALSE)</f>
        <v>#N/A</v>
      </c>
      <c r="AH16" s="12" t="str">
        <f t="shared" ref="AH16:AH79" si="10">IF(OR(ISBLANK(K16)=TRUE,ISBLANK(B16)=TRUE)," ",CONCATENATE(B16,AA16,AD16))</f>
        <v xml:space="preserve"> </v>
      </c>
      <c r="AI16" s="7" t="e">
        <f>CONCATENATE(Y16,AE16,AF16,AB16)</f>
        <v>#N/A</v>
      </c>
      <c r="AJ16" s="7" t="e">
        <f t="shared" ref="AJ16:AJ79" si="11">IF(AND(L16="あり",AF16="軽"),AL16,AK16)</f>
        <v>#N/A</v>
      </c>
      <c r="AK16" s="472" t="e">
        <f>VLOOKUP(AI16,'排出係数(2017)'!$A$4:$I$1151,6,FALSE)</f>
        <v>#N/A</v>
      </c>
      <c r="AL16" s="7" t="e">
        <f t="shared" ref="AL16:AL79" si="12">VLOOKUP(AE16,$BU$17:$BY$21,2,FALSE)</f>
        <v>#N/A</v>
      </c>
      <c r="AM16" s="7" t="e">
        <f t="shared" ref="AM16:AM79" si="13">IF(AND(L16="あり",M16="なし",AF16="軽"),AO16,IF(AND(L16="あり",M16="あり(H17なし)",AF16="軽"),AO16,IF(AND(L16="あり",M16="",AF16="軽"),AO16,IF(AND(L16="なし",M16="あり(H17なし)",AF16="軽"),AP16,IF(AND(L16="",M16="あり(H17なし)",AF16="軽"),AP16,IF(AND(M16="あり(H17あり)",AF16="軽"),AQ16,AN16))))))</f>
        <v>#N/A</v>
      </c>
      <c r="AN16" s="472" t="e">
        <f>VLOOKUP(AI16,'排出係数(2017)'!$A$4:$I$1151,7,FALSE)</f>
        <v>#N/A</v>
      </c>
      <c r="AO16" s="7" t="e">
        <f t="shared" ref="AO16:AO79" si="14">VLOOKUP(AE16,$BU$17:$BY$21,3,FALSE)</f>
        <v>#N/A</v>
      </c>
      <c r="AP16" s="7" t="e">
        <f t="shared" ref="AP16:AP79" si="15">VLOOKUP(AE16,$BU$17:$BY$21,4,FALSE)</f>
        <v>#N/A</v>
      </c>
      <c r="AQ16" s="7" t="e">
        <f>VLOOKUP(AE16,$BU$17:$BY$21,5,FALSE)</f>
        <v>#N/A</v>
      </c>
      <c r="AR16" s="7">
        <f t="shared" ref="AR16:AR79" si="16">IF(AND(L16="なし",M16="なし"),0,IF(AND(L16="",M16=""),0,IF(AND(L16="",M16="なし"),0,IF(AND(L16="なし",M16=""),0,1))))</f>
        <v>0</v>
      </c>
      <c r="AS16" s="7" t="e">
        <f>VLOOKUP(AI16,排出係数表,8,FALSE)</f>
        <v>#N/A</v>
      </c>
      <c r="AT16" s="7" t="str">
        <f t="shared" ref="AT16:AT79" si="17">IF(H16="","",VLOOKUP(H16,$AY$17:$BC$25,5,FALSE))</f>
        <v/>
      </c>
      <c r="AU16" s="7" t="str">
        <f t="shared" ref="AU16:AU79" si="18">IF(D16="","",VLOOKUP(CONCATENATE("A",LEFT(D16)),$BR$17:$BS$26,2,FALSE))</f>
        <v/>
      </c>
      <c r="AV16" s="7" t="str">
        <f t="shared" ref="AV16:AV79" si="19">IF(AT16=AU16,"",1)</f>
        <v/>
      </c>
      <c r="AW16" s="7" t="str">
        <f t="shared" ref="AW16:AW79" si="20">CONCATENATE(C16,D16,E16,F16)</f>
        <v/>
      </c>
      <c r="AX16" s="97"/>
      <c r="AY16" s="164" t="s">
        <v>2140</v>
      </c>
      <c r="AZ16" s="164" t="s">
        <v>2025</v>
      </c>
      <c r="BA16" s="164" t="s">
        <v>2026</v>
      </c>
      <c r="BB16" s="164" t="s">
        <v>2027</v>
      </c>
      <c r="BC16" s="164" t="s">
        <v>2028</v>
      </c>
      <c r="BD16" s="479" t="s">
        <v>2442</v>
      </c>
      <c r="BE16" s="164" t="s">
        <v>2141</v>
      </c>
      <c r="BF16" s="164"/>
      <c r="BG16" s="164" t="s">
        <v>2142</v>
      </c>
      <c r="BH16" s="164" t="s">
        <v>2447</v>
      </c>
      <c r="BI16" s="164" t="s">
        <v>2455</v>
      </c>
      <c r="BJ16" s="164" t="s">
        <v>2447</v>
      </c>
      <c r="BK16" s="164" t="s">
        <v>1967</v>
      </c>
      <c r="BL16" s="164" t="s">
        <v>2144</v>
      </c>
      <c r="BM16" s="164"/>
      <c r="BN16" s="164" t="s">
        <v>221</v>
      </c>
      <c r="BO16" s="164" t="s">
        <v>2143</v>
      </c>
      <c r="BP16" s="164" t="s">
        <v>227</v>
      </c>
      <c r="BQ16" s="164"/>
      <c r="BR16" s="164" t="s">
        <v>74</v>
      </c>
      <c r="BS16" s="164" t="s">
        <v>1790</v>
      </c>
      <c r="BT16" s="164" t="s">
        <v>2141</v>
      </c>
      <c r="BU16" s="164" t="s">
        <v>2422</v>
      </c>
      <c r="BV16" s="164" t="s">
        <v>2423</v>
      </c>
      <c r="BW16" s="164" t="s">
        <v>2347</v>
      </c>
      <c r="BX16" s="164" t="s">
        <v>2429</v>
      </c>
      <c r="BY16" s="164" t="s">
        <v>2430</v>
      </c>
      <c r="CA16" s="164" t="s">
        <v>1854</v>
      </c>
      <c r="CB16" s="164" t="s">
        <v>43</v>
      </c>
      <c r="CC16" s="164" t="s">
        <v>2271</v>
      </c>
      <c r="CD16" s="164" t="s">
        <v>1796</v>
      </c>
      <c r="CE16" s="164" t="s">
        <v>44</v>
      </c>
      <c r="CF16" s="164" t="s">
        <v>2273</v>
      </c>
      <c r="CG16"/>
      <c r="CH16"/>
      <c r="CI16" s="479" t="s">
        <v>2475</v>
      </c>
      <c r="CJ16" s="324" t="s">
        <v>2476</v>
      </c>
      <c r="CK16" s="591" t="str">
        <f>IF(COUNTA(B16:F16,H16:K16)&gt;0,IF(OR(ISNUMBER(AK16)=FALSE,ISNUMBER(AN16)=FALSE,COUNTA(B16:F16,H16:K16)&lt;9),"×","〇"),"")</f>
        <v/>
      </c>
      <c r="CL16" s="421" t="str">
        <f>IF(T16="廃止","※前年度に「廃止」報告をした自動車はその行を空白にしてください。",IF(T16="新規かつ廃止","※「新規」と「廃止」の両方に該当する自動車かご確認ください。",""))</f>
        <v/>
      </c>
      <c r="CM16" s="594"/>
      <c r="CN16" s="594"/>
      <c r="CO16" s="594"/>
      <c r="CP16" s="594"/>
      <c r="CQ16" s="594"/>
      <c r="CR16" s="594"/>
    </row>
    <row r="17" spans="1:96" s="13" customFormat="1" ht="13.75" customHeight="1">
      <c r="A17" s="137">
        <v>2</v>
      </c>
      <c r="B17" s="134"/>
      <c r="C17" s="8"/>
      <c r="D17" s="100"/>
      <c r="E17" s="8"/>
      <c r="F17" s="8"/>
      <c r="G17" s="190"/>
      <c r="H17" s="8"/>
      <c r="I17" s="9"/>
      <c r="J17" s="10"/>
      <c r="K17" s="8"/>
      <c r="L17" s="145"/>
      <c r="M17" s="146"/>
      <c r="N17" s="8"/>
      <c r="O17" s="589"/>
      <c r="P17" s="229" t="str">
        <f t="shared" ref="P17:P80" si="21">IF(ISBLANK(K17)=TRUE,"",IF(ISNUMBER(AJ17)=TRUE,AJ17,"0"))</f>
        <v/>
      </c>
      <c r="Q17" s="229" t="str">
        <f t="shared" ref="Q17:Q80" si="22">IF(ISBLANK(K17)=TRUE,"",IF(ISNUMBER(AM17)=TRUE,AM17,"0"))</f>
        <v/>
      </c>
      <c r="R17" s="230" t="str">
        <f t="shared" ref="R17:R80" si="23">IF(P17="","",IF(ISERROR(P17*V17*AC17),"0",IF(ISBLANK(V17)=TRUE,"0",IF(ISBLANK(P17)=TRUE,"0",IF(AV17=1,"0",P17*AC17*V17/1000)))))</f>
        <v/>
      </c>
      <c r="S17" s="230" t="str">
        <f t="shared" ref="S17:S80" si="24">IF(Q17="","",IF(ISERROR(Q17*V17*AC17),"0",IF(ISBLANK(V17)=TRUE,"0",IF(ISBLANK(Q17)=TRUE,"0",IF(AV17=1,"0",Q17*AC17*V17/1000)))))</f>
        <v/>
      </c>
      <c r="T17" s="351"/>
      <c r="U17" s="43"/>
      <c r="V17" s="42" t="str">
        <f t="shared" si="0"/>
        <v/>
      </c>
      <c r="W17" s="42" t="e">
        <f>IF(#REF!="","",#REF!)</f>
        <v>#REF!</v>
      </c>
      <c r="X17" s="31" t="str">
        <f t="shared" si="1"/>
        <v/>
      </c>
      <c r="Y17" s="7" t="e">
        <f t="shared" si="2"/>
        <v>#N/A</v>
      </c>
      <c r="Z17" s="7" t="e">
        <f t="shared" si="3"/>
        <v>#N/A</v>
      </c>
      <c r="AA17" s="7" t="e">
        <f t="shared" si="4"/>
        <v>#N/A</v>
      </c>
      <c r="AB17" s="7" t="str">
        <f t="shared" si="5"/>
        <v/>
      </c>
      <c r="AC17" s="11">
        <f t="shared" si="6"/>
        <v>1</v>
      </c>
      <c r="AD17" s="7" t="e">
        <f t="shared" si="7"/>
        <v>#N/A</v>
      </c>
      <c r="AE17" s="7" t="e">
        <f t="shared" si="8"/>
        <v>#N/A</v>
      </c>
      <c r="AF17" s="7" t="e">
        <f t="shared" si="9"/>
        <v>#N/A</v>
      </c>
      <c r="AG17" s="472" t="e">
        <f>VLOOKUP(AI17,'排出係数(2017)'!$A$4:$I$1151,9,FALSE)</f>
        <v>#N/A</v>
      </c>
      <c r="AH17" s="12" t="str">
        <f t="shared" si="10"/>
        <v xml:space="preserve"> </v>
      </c>
      <c r="AI17" s="7" t="e">
        <f t="shared" ref="AI17:AI80" si="25">CONCATENATE(Y17,AE17,AF17,AB17)</f>
        <v>#N/A</v>
      </c>
      <c r="AJ17" s="7" t="e">
        <f t="shared" si="11"/>
        <v>#N/A</v>
      </c>
      <c r="AK17" s="472" t="e">
        <f>VLOOKUP(AI17,'排出係数(2017)'!$A$4:$I$1151,6,FALSE)</f>
        <v>#N/A</v>
      </c>
      <c r="AL17" s="7" t="e">
        <f t="shared" si="12"/>
        <v>#N/A</v>
      </c>
      <c r="AM17" s="7" t="e">
        <f t="shared" si="13"/>
        <v>#N/A</v>
      </c>
      <c r="AN17" s="472" t="e">
        <f>VLOOKUP(AI17,'排出係数(2017)'!$A$4:$I$1151,7,FALSE)</f>
        <v>#N/A</v>
      </c>
      <c r="AO17" s="7" t="e">
        <f t="shared" si="14"/>
        <v>#N/A</v>
      </c>
      <c r="AP17" s="7" t="e">
        <f t="shared" si="15"/>
        <v>#N/A</v>
      </c>
      <c r="AQ17" s="7" t="e">
        <f t="shared" ref="AQ17:AQ80" si="26">VLOOKUP(AE17,$BU$17:$BY$21,5,FALSE)</f>
        <v>#N/A</v>
      </c>
      <c r="AR17" s="7">
        <f t="shared" si="16"/>
        <v>0</v>
      </c>
      <c r="AS17" s="7" t="e">
        <f t="shared" ref="AS17:AS80" si="27">VLOOKUP(AI17,排出係数表,8,FALSE)</f>
        <v>#N/A</v>
      </c>
      <c r="AT17" s="7" t="str">
        <f t="shared" si="17"/>
        <v/>
      </c>
      <c r="AU17" s="7" t="str">
        <f t="shared" si="18"/>
        <v/>
      </c>
      <c r="AV17" s="7" t="str">
        <f t="shared" si="19"/>
        <v/>
      </c>
      <c r="AW17" s="7" t="str">
        <f t="shared" si="20"/>
        <v/>
      </c>
      <c r="AX17" s="97"/>
      <c r="AY17" s="13" t="s">
        <v>224</v>
      </c>
      <c r="AZ17" s="13" t="s">
        <v>2448</v>
      </c>
      <c r="BA17" s="13" t="s">
        <v>2448</v>
      </c>
      <c r="BB17" s="13">
        <v>1</v>
      </c>
      <c r="BC17" s="13" t="s">
        <v>43</v>
      </c>
      <c r="BD17" s="453" t="s">
        <v>2457</v>
      </c>
      <c r="BE17" s="13" t="s">
        <v>2437</v>
      </c>
      <c r="BF17" s="13">
        <v>1</v>
      </c>
      <c r="BG17" s="18" t="s">
        <v>2454</v>
      </c>
      <c r="BH17" s="13" t="s">
        <v>2452</v>
      </c>
      <c r="BI17" s="17" t="s">
        <v>1976</v>
      </c>
      <c r="BJ17" s="13" t="s">
        <v>2346</v>
      </c>
      <c r="BK17" s="13" t="s">
        <v>2346</v>
      </c>
      <c r="BL17" s="13" t="s">
        <v>1958</v>
      </c>
      <c r="BN17" s="17">
        <v>1</v>
      </c>
      <c r="BO17" s="13" t="s">
        <v>1855</v>
      </c>
      <c r="BP17" s="13" t="s">
        <v>1788</v>
      </c>
      <c r="BR17" s="13" t="s">
        <v>2275</v>
      </c>
      <c r="BS17" s="13" t="s">
        <v>43</v>
      </c>
      <c r="BT17" s="13" t="s">
        <v>2273</v>
      </c>
      <c r="BU17" s="13">
        <v>0</v>
      </c>
      <c r="BV17" s="13">
        <v>0.48</v>
      </c>
      <c r="BW17" s="13">
        <v>5.5E-2</v>
      </c>
      <c r="BX17" s="13">
        <v>5.5E-2</v>
      </c>
      <c r="BY17" s="13">
        <v>5.5E-2</v>
      </c>
      <c r="CA17" s="13" t="s">
        <v>43</v>
      </c>
      <c r="CB17" s="13" t="s">
        <v>224</v>
      </c>
      <c r="CC17" s="13" t="s">
        <v>225</v>
      </c>
      <c r="CD17" s="13" t="s">
        <v>223</v>
      </c>
      <c r="CE17" s="13" t="s">
        <v>226</v>
      </c>
      <c r="CF17" s="13" t="s">
        <v>1978</v>
      </c>
      <c r="CG17"/>
      <c r="CH17"/>
      <c r="CI17" s="468" t="s">
        <v>2698</v>
      </c>
      <c r="CK17" s="592" t="str">
        <f t="shared" ref="CK17:CK80" si="28">IF(COUNTA(B17:F17,H17:K17)&gt;0,IF(OR(ISNUMBER(AK17)=FALSE,ISNUMBER(AN17)=FALSE,COUNTA(B17:F17,H17:K17)&lt;9),"×","〇"),"")</f>
        <v/>
      </c>
      <c r="CL17" s="421" t="str">
        <f t="shared" ref="CL17:CL80" si="29">IF(T17="廃止","※前年度に「廃止」報告をした自動車はその行を空白にしてください。",IF(T17="新規かつ廃止","※「新規」と「廃止」の両方に該当する自動車かご確認ください。",""))</f>
        <v/>
      </c>
      <c r="CM17" s="594"/>
      <c r="CN17" s="594"/>
      <c r="CO17" s="594"/>
      <c r="CP17" s="594"/>
      <c r="CQ17" s="594"/>
      <c r="CR17" s="594"/>
    </row>
    <row r="18" spans="1:96" s="13" customFormat="1" ht="13.75" customHeight="1">
      <c r="A18" s="137">
        <v>3</v>
      </c>
      <c r="B18" s="134"/>
      <c r="C18" s="8"/>
      <c r="D18" s="100"/>
      <c r="E18" s="8"/>
      <c r="F18" s="8"/>
      <c r="G18" s="190"/>
      <c r="H18" s="8"/>
      <c r="I18" s="9"/>
      <c r="J18" s="10"/>
      <c r="K18" s="8"/>
      <c r="L18" s="145"/>
      <c r="M18" s="146"/>
      <c r="N18" s="8"/>
      <c r="O18" s="589"/>
      <c r="P18" s="229" t="str">
        <f t="shared" si="21"/>
        <v/>
      </c>
      <c r="Q18" s="229" t="str">
        <f t="shared" si="22"/>
        <v/>
      </c>
      <c r="R18" s="230" t="str">
        <f t="shared" si="23"/>
        <v/>
      </c>
      <c r="S18" s="230" t="str">
        <f t="shared" si="24"/>
        <v/>
      </c>
      <c r="T18" s="351"/>
      <c r="U18" s="43"/>
      <c r="V18" s="42" t="str">
        <f t="shared" si="0"/>
        <v/>
      </c>
      <c r="W18" s="42" t="e">
        <f>IF(#REF!="","",#REF!)</f>
        <v>#REF!</v>
      </c>
      <c r="X18" s="31" t="str">
        <f t="shared" si="1"/>
        <v/>
      </c>
      <c r="Y18" s="7" t="e">
        <f t="shared" si="2"/>
        <v>#N/A</v>
      </c>
      <c r="Z18" s="7" t="e">
        <f t="shared" si="3"/>
        <v>#N/A</v>
      </c>
      <c r="AA18" s="7" t="e">
        <f t="shared" si="4"/>
        <v>#N/A</v>
      </c>
      <c r="AB18" s="7" t="str">
        <f t="shared" si="5"/>
        <v/>
      </c>
      <c r="AC18" s="11">
        <f t="shared" si="6"/>
        <v>1</v>
      </c>
      <c r="AD18" s="7" t="e">
        <f t="shared" si="7"/>
        <v>#N/A</v>
      </c>
      <c r="AE18" s="7" t="e">
        <f t="shared" si="8"/>
        <v>#N/A</v>
      </c>
      <c r="AF18" s="7" t="e">
        <f t="shared" si="9"/>
        <v>#N/A</v>
      </c>
      <c r="AG18" s="472" t="e">
        <f>VLOOKUP(AI18,'排出係数(2017)'!$A$4:$I$1151,9,FALSE)</f>
        <v>#N/A</v>
      </c>
      <c r="AH18" s="12" t="str">
        <f t="shared" si="10"/>
        <v xml:space="preserve"> </v>
      </c>
      <c r="AI18" s="7" t="e">
        <f t="shared" si="25"/>
        <v>#N/A</v>
      </c>
      <c r="AJ18" s="7" t="e">
        <f t="shared" si="11"/>
        <v>#N/A</v>
      </c>
      <c r="AK18" s="472" t="e">
        <f>VLOOKUP(AI18,'排出係数(2017)'!$A$4:$I$1151,6,FALSE)</f>
        <v>#N/A</v>
      </c>
      <c r="AL18" s="7" t="e">
        <f t="shared" si="12"/>
        <v>#N/A</v>
      </c>
      <c r="AM18" s="7" t="e">
        <f t="shared" si="13"/>
        <v>#N/A</v>
      </c>
      <c r="AN18" s="472" t="e">
        <f>VLOOKUP(AI18,'排出係数(2017)'!$A$4:$I$1151,7,FALSE)</f>
        <v>#N/A</v>
      </c>
      <c r="AO18" s="7" t="e">
        <f t="shared" si="14"/>
        <v>#N/A</v>
      </c>
      <c r="AP18" s="7" t="e">
        <f t="shared" si="15"/>
        <v>#N/A</v>
      </c>
      <c r="AQ18" s="7" t="e">
        <f t="shared" si="26"/>
        <v>#N/A</v>
      </c>
      <c r="AR18" s="7">
        <f t="shared" si="16"/>
        <v>0</v>
      </c>
      <c r="AS18" s="7" t="e">
        <f t="shared" si="27"/>
        <v>#N/A</v>
      </c>
      <c r="AT18" s="7" t="str">
        <f t="shared" si="17"/>
        <v/>
      </c>
      <c r="AU18" s="7" t="str">
        <f t="shared" si="18"/>
        <v/>
      </c>
      <c r="AV18" s="7" t="str">
        <f t="shared" si="19"/>
        <v/>
      </c>
      <c r="AW18" s="7" t="str">
        <f t="shared" si="20"/>
        <v/>
      </c>
      <c r="AX18" s="97"/>
      <c r="AY18" s="13" t="s">
        <v>225</v>
      </c>
      <c r="AZ18" s="13" t="s">
        <v>2448</v>
      </c>
      <c r="BA18" s="13" t="s">
        <v>2449</v>
      </c>
      <c r="BB18" s="13">
        <v>2</v>
      </c>
      <c r="BC18" s="13" t="s">
        <v>2271</v>
      </c>
      <c r="BD18" s="453" t="s">
        <v>35</v>
      </c>
      <c r="BE18" s="13" t="s">
        <v>2438</v>
      </c>
      <c r="BF18" s="13">
        <v>2</v>
      </c>
      <c r="BG18" s="18" t="s">
        <v>1757</v>
      </c>
      <c r="BH18" s="13" t="s">
        <v>1797</v>
      </c>
      <c r="BI18" s="18" t="s">
        <v>2197</v>
      </c>
      <c r="BJ18" s="13" t="s">
        <v>1797</v>
      </c>
      <c r="BK18" s="13" t="s">
        <v>2200</v>
      </c>
      <c r="BL18" s="13" t="s">
        <v>1957</v>
      </c>
      <c r="BN18" s="18">
        <v>2</v>
      </c>
      <c r="BO18" s="13" t="s">
        <v>1856</v>
      </c>
      <c r="BP18" s="13" t="s">
        <v>228</v>
      </c>
      <c r="BR18" s="13" t="s">
        <v>1795</v>
      </c>
      <c r="BS18" s="13" t="s">
        <v>1796</v>
      </c>
      <c r="BT18" s="13" t="s">
        <v>2437</v>
      </c>
      <c r="BU18" s="13">
        <v>1</v>
      </c>
      <c r="BV18" s="13">
        <v>0.48</v>
      </c>
      <c r="BW18" s="13">
        <v>5.5E-2</v>
      </c>
      <c r="BX18" s="13">
        <v>0.08</v>
      </c>
      <c r="BY18" s="13">
        <v>5.1999999999999998E-2</v>
      </c>
      <c r="CA18" s="13" t="s">
        <v>1796</v>
      </c>
      <c r="CD18" s="13" t="s">
        <v>1799</v>
      </c>
      <c r="CE18" s="13" t="s">
        <v>1950</v>
      </c>
      <c r="CG18"/>
      <c r="CH18"/>
      <c r="CI18" s="468" t="s">
        <v>2699</v>
      </c>
      <c r="CJ18" s="13" t="s">
        <v>2477</v>
      </c>
      <c r="CK18" s="592" t="str">
        <f t="shared" si="28"/>
        <v/>
      </c>
      <c r="CL18" s="421" t="str">
        <f t="shared" si="29"/>
        <v/>
      </c>
      <c r="CM18" s="594"/>
      <c r="CN18" s="594"/>
      <c r="CO18" s="594"/>
      <c r="CP18" s="594"/>
      <c r="CQ18" s="594"/>
      <c r="CR18" s="594"/>
    </row>
    <row r="19" spans="1:96" s="13" customFormat="1" ht="13.75" customHeight="1">
      <c r="A19" s="137">
        <v>4</v>
      </c>
      <c r="B19" s="134"/>
      <c r="C19" s="8"/>
      <c r="D19" s="100"/>
      <c r="E19" s="8"/>
      <c r="F19" s="8"/>
      <c r="G19" s="190"/>
      <c r="H19" s="8"/>
      <c r="I19" s="9"/>
      <c r="J19" s="10"/>
      <c r="K19" s="8"/>
      <c r="L19" s="145"/>
      <c r="M19" s="146"/>
      <c r="N19" s="8"/>
      <c r="O19" s="589"/>
      <c r="P19" s="229" t="str">
        <f t="shared" si="21"/>
        <v/>
      </c>
      <c r="Q19" s="229" t="str">
        <f t="shared" si="22"/>
        <v/>
      </c>
      <c r="R19" s="230" t="str">
        <f t="shared" si="23"/>
        <v/>
      </c>
      <c r="S19" s="230" t="str">
        <f t="shared" si="24"/>
        <v/>
      </c>
      <c r="T19" s="351"/>
      <c r="U19" s="43"/>
      <c r="V19" s="42" t="str">
        <f t="shared" si="0"/>
        <v/>
      </c>
      <c r="W19" s="42" t="e">
        <f>IF(#REF!="","",#REF!)</f>
        <v>#REF!</v>
      </c>
      <c r="X19" s="31" t="str">
        <f t="shared" si="1"/>
        <v/>
      </c>
      <c r="Y19" s="7" t="e">
        <f t="shared" si="2"/>
        <v>#N/A</v>
      </c>
      <c r="Z19" s="7" t="e">
        <f t="shared" si="3"/>
        <v>#N/A</v>
      </c>
      <c r="AA19" s="7" t="e">
        <f t="shared" si="4"/>
        <v>#N/A</v>
      </c>
      <c r="AB19" s="7" t="str">
        <f t="shared" si="5"/>
        <v/>
      </c>
      <c r="AC19" s="11">
        <f t="shared" si="6"/>
        <v>1</v>
      </c>
      <c r="AD19" s="7" t="e">
        <f t="shared" si="7"/>
        <v>#N/A</v>
      </c>
      <c r="AE19" s="7" t="e">
        <f t="shared" si="8"/>
        <v>#N/A</v>
      </c>
      <c r="AF19" s="7" t="e">
        <f t="shared" si="9"/>
        <v>#N/A</v>
      </c>
      <c r="AG19" s="472" t="e">
        <f>VLOOKUP(AI19,'排出係数(2017)'!$A$4:$I$1151,9,FALSE)</f>
        <v>#N/A</v>
      </c>
      <c r="AH19" s="12" t="str">
        <f t="shared" si="10"/>
        <v xml:space="preserve"> </v>
      </c>
      <c r="AI19" s="7" t="e">
        <f t="shared" si="25"/>
        <v>#N/A</v>
      </c>
      <c r="AJ19" s="7" t="e">
        <f t="shared" si="11"/>
        <v>#N/A</v>
      </c>
      <c r="AK19" s="472" t="e">
        <f>VLOOKUP(AI19,'排出係数(2017)'!$A$4:$I$1151,6,FALSE)</f>
        <v>#N/A</v>
      </c>
      <c r="AL19" s="7" t="e">
        <f t="shared" si="12"/>
        <v>#N/A</v>
      </c>
      <c r="AM19" s="7" t="e">
        <f t="shared" si="13"/>
        <v>#N/A</v>
      </c>
      <c r="AN19" s="472" t="e">
        <f>VLOOKUP(AI19,'排出係数(2017)'!$A$4:$I$1151,7,FALSE)</f>
        <v>#N/A</v>
      </c>
      <c r="AO19" s="7" t="e">
        <f t="shared" si="14"/>
        <v>#N/A</v>
      </c>
      <c r="AP19" s="7" t="e">
        <f t="shared" si="15"/>
        <v>#N/A</v>
      </c>
      <c r="AQ19" s="7" t="e">
        <f t="shared" si="26"/>
        <v>#N/A</v>
      </c>
      <c r="AR19" s="7">
        <f t="shared" si="16"/>
        <v>0</v>
      </c>
      <c r="AS19" s="7" t="e">
        <f t="shared" si="27"/>
        <v>#N/A</v>
      </c>
      <c r="AT19" s="7" t="str">
        <f t="shared" si="17"/>
        <v/>
      </c>
      <c r="AU19" s="7" t="str">
        <f t="shared" si="18"/>
        <v/>
      </c>
      <c r="AV19" s="7" t="str">
        <f t="shared" si="19"/>
        <v/>
      </c>
      <c r="AW19" s="7" t="str">
        <f t="shared" si="20"/>
        <v/>
      </c>
      <c r="AX19" s="97"/>
      <c r="AY19" s="13" t="s">
        <v>223</v>
      </c>
      <c r="AZ19" s="13" t="s">
        <v>2448</v>
      </c>
      <c r="BA19" s="13" t="s">
        <v>2450</v>
      </c>
      <c r="BB19" s="13">
        <v>3</v>
      </c>
      <c r="BC19" s="13" t="s">
        <v>1796</v>
      </c>
      <c r="BD19" s="453" t="s">
        <v>1402</v>
      </c>
      <c r="BE19" s="13" t="s">
        <v>2439</v>
      </c>
      <c r="BF19" s="13">
        <v>3</v>
      </c>
      <c r="BG19" s="18" t="s">
        <v>1975</v>
      </c>
      <c r="BH19" s="13" t="s">
        <v>1833</v>
      </c>
      <c r="BI19" s="18" t="s">
        <v>2198</v>
      </c>
      <c r="BJ19" s="13" t="s">
        <v>1797</v>
      </c>
      <c r="BK19" s="13" t="s">
        <v>2202</v>
      </c>
      <c r="BL19" s="13" t="s">
        <v>1856</v>
      </c>
      <c r="BN19" s="18">
        <v>3</v>
      </c>
      <c r="BR19" s="13" t="s">
        <v>1798</v>
      </c>
      <c r="BS19" s="13" t="s">
        <v>2273</v>
      </c>
      <c r="BT19" s="13" t="s">
        <v>2438</v>
      </c>
      <c r="BU19" s="13">
        <v>2</v>
      </c>
      <c r="BV19" s="13">
        <v>0.63</v>
      </c>
      <c r="BW19" s="13">
        <v>0.06</v>
      </c>
      <c r="BX19" s="13">
        <v>0.09</v>
      </c>
      <c r="BY19" s="13">
        <v>0.06</v>
      </c>
      <c r="CA19" s="13" t="s">
        <v>2273</v>
      </c>
      <c r="CG19"/>
      <c r="CH19"/>
      <c r="CI19" s="468" t="s">
        <v>2700</v>
      </c>
      <c r="CJ19" s="13" t="s">
        <v>2474</v>
      </c>
      <c r="CK19" s="592" t="str">
        <f t="shared" si="28"/>
        <v/>
      </c>
      <c r="CL19" s="421" t="str">
        <f t="shared" si="29"/>
        <v/>
      </c>
      <c r="CM19" s="594"/>
      <c r="CN19" s="594"/>
      <c r="CO19" s="594"/>
      <c r="CP19" s="594"/>
      <c r="CQ19" s="594"/>
      <c r="CR19" s="594"/>
    </row>
    <row r="20" spans="1:96" s="13" customFormat="1" ht="13.75" customHeight="1">
      <c r="A20" s="137">
        <v>5</v>
      </c>
      <c r="B20" s="134"/>
      <c r="C20" s="8"/>
      <c r="D20" s="100"/>
      <c r="E20" s="8"/>
      <c r="F20" s="8"/>
      <c r="G20" s="190"/>
      <c r="H20" s="8"/>
      <c r="I20" s="9"/>
      <c r="J20" s="10"/>
      <c r="K20" s="8"/>
      <c r="L20" s="145"/>
      <c r="M20" s="146"/>
      <c r="N20" s="8"/>
      <c r="O20" s="589"/>
      <c r="P20" s="229" t="str">
        <f t="shared" si="21"/>
        <v/>
      </c>
      <c r="Q20" s="229" t="str">
        <f t="shared" si="22"/>
        <v/>
      </c>
      <c r="R20" s="230" t="str">
        <f t="shared" si="23"/>
        <v/>
      </c>
      <c r="S20" s="230" t="str">
        <f t="shared" si="24"/>
        <v/>
      </c>
      <c r="T20" s="351"/>
      <c r="U20" s="43"/>
      <c r="V20" s="42" t="str">
        <f t="shared" si="0"/>
        <v/>
      </c>
      <c r="W20" s="42" t="e">
        <f>IF(#REF!="","",#REF!)</f>
        <v>#REF!</v>
      </c>
      <c r="X20" s="31" t="str">
        <f t="shared" si="1"/>
        <v/>
      </c>
      <c r="Y20" s="7" t="e">
        <f t="shared" si="2"/>
        <v>#N/A</v>
      </c>
      <c r="Z20" s="7" t="e">
        <f t="shared" si="3"/>
        <v>#N/A</v>
      </c>
      <c r="AA20" s="7" t="e">
        <f t="shared" si="4"/>
        <v>#N/A</v>
      </c>
      <c r="AB20" s="7" t="str">
        <f t="shared" si="5"/>
        <v/>
      </c>
      <c r="AC20" s="11">
        <f t="shared" si="6"/>
        <v>1</v>
      </c>
      <c r="AD20" s="7" t="e">
        <f t="shared" si="7"/>
        <v>#N/A</v>
      </c>
      <c r="AE20" s="7" t="e">
        <f t="shared" si="8"/>
        <v>#N/A</v>
      </c>
      <c r="AF20" s="7" t="e">
        <f t="shared" si="9"/>
        <v>#N/A</v>
      </c>
      <c r="AG20" s="472" t="e">
        <f>VLOOKUP(AI20,'排出係数(2017)'!$A$4:$I$1151,9,FALSE)</f>
        <v>#N/A</v>
      </c>
      <c r="AH20" s="12" t="str">
        <f t="shared" si="10"/>
        <v xml:space="preserve"> </v>
      </c>
      <c r="AI20" s="7" t="e">
        <f t="shared" si="25"/>
        <v>#N/A</v>
      </c>
      <c r="AJ20" s="7" t="e">
        <f t="shared" si="11"/>
        <v>#N/A</v>
      </c>
      <c r="AK20" s="472" t="e">
        <f>VLOOKUP(AI20,'排出係数(2017)'!$A$4:$I$1151,6,FALSE)</f>
        <v>#N/A</v>
      </c>
      <c r="AL20" s="7" t="e">
        <f t="shared" si="12"/>
        <v>#N/A</v>
      </c>
      <c r="AM20" s="7" t="e">
        <f t="shared" si="13"/>
        <v>#N/A</v>
      </c>
      <c r="AN20" s="472" t="e">
        <f>VLOOKUP(AI20,'排出係数(2017)'!$A$4:$I$1151,7,FALSE)</f>
        <v>#N/A</v>
      </c>
      <c r="AO20" s="7" t="e">
        <f t="shared" si="14"/>
        <v>#N/A</v>
      </c>
      <c r="AP20" s="7" t="e">
        <f t="shared" si="15"/>
        <v>#N/A</v>
      </c>
      <c r="AQ20" s="7" t="e">
        <f t="shared" si="26"/>
        <v>#N/A</v>
      </c>
      <c r="AR20" s="7">
        <f t="shared" si="16"/>
        <v>0</v>
      </c>
      <c r="AS20" s="7" t="e">
        <f t="shared" si="27"/>
        <v>#N/A</v>
      </c>
      <c r="AT20" s="7" t="str">
        <f t="shared" si="17"/>
        <v/>
      </c>
      <c r="AU20" s="7" t="str">
        <f t="shared" si="18"/>
        <v/>
      </c>
      <c r="AV20" s="7" t="str">
        <f t="shared" si="19"/>
        <v/>
      </c>
      <c r="AW20" s="7" t="str">
        <f t="shared" si="20"/>
        <v/>
      </c>
      <c r="AX20" s="97"/>
      <c r="AY20" s="13" t="s">
        <v>1799</v>
      </c>
      <c r="AZ20" s="13" t="s">
        <v>2448</v>
      </c>
      <c r="BA20" s="13" t="s">
        <v>2450</v>
      </c>
      <c r="BB20" s="13">
        <v>4</v>
      </c>
      <c r="BC20" s="13" t="s">
        <v>1796</v>
      </c>
      <c r="BD20" s="453" t="s">
        <v>255</v>
      </c>
      <c r="BE20" s="13" t="s">
        <v>2440</v>
      </c>
      <c r="BF20" s="13">
        <v>4</v>
      </c>
      <c r="BG20" s="17" t="s">
        <v>1976</v>
      </c>
      <c r="BH20" s="13" t="s">
        <v>2346</v>
      </c>
      <c r="BI20" s="18" t="s">
        <v>2199</v>
      </c>
      <c r="BJ20" s="13" t="s">
        <v>1797</v>
      </c>
      <c r="BK20" s="13" t="s">
        <v>2201</v>
      </c>
      <c r="BN20" s="18">
        <v>4</v>
      </c>
      <c r="BR20" s="13" t="s">
        <v>1800</v>
      </c>
      <c r="BS20" s="13" t="s">
        <v>2271</v>
      </c>
      <c r="BT20" s="13" t="s">
        <v>2439</v>
      </c>
      <c r="BU20" s="13">
        <v>3</v>
      </c>
      <c r="BV20" s="13">
        <v>0.63</v>
      </c>
      <c r="BW20" s="13">
        <v>0.06</v>
      </c>
      <c r="BX20" s="13">
        <v>0.09</v>
      </c>
      <c r="BY20" s="13">
        <v>0.06</v>
      </c>
      <c r="CA20" s="13" t="s">
        <v>2271</v>
      </c>
      <c r="CG20"/>
      <c r="CH20"/>
      <c r="CI20" s="468" t="s">
        <v>2701</v>
      </c>
      <c r="CJ20" s="468" t="s">
        <v>2706</v>
      </c>
      <c r="CK20" s="592" t="str">
        <f t="shared" si="28"/>
        <v/>
      </c>
      <c r="CL20" s="421" t="str">
        <f t="shared" si="29"/>
        <v/>
      </c>
      <c r="CM20" s="594"/>
      <c r="CN20" s="594"/>
      <c r="CO20" s="594"/>
      <c r="CP20" s="594"/>
      <c r="CQ20" s="594"/>
      <c r="CR20" s="594"/>
    </row>
    <row r="21" spans="1:96" s="13" customFormat="1" ht="13.75" customHeight="1">
      <c r="A21" s="137">
        <v>6</v>
      </c>
      <c r="B21" s="134"/>
      <c r="C21" s="8"/>
      <c r="D21" s="100"/>
      <c r="E21" s="8"/>
      <c r="F21" s="8"/>
      <c r="G21" s="190"/>
      <c r="H21" s="8"/>
      <c r="I21" s="9"/>
      <c r="J21" s="10"/>
      <c r="K21" s="8"/>
      <c r="L21" s="145"/>
      <c r="M21" s="146"/>
      <c r="N21" s="8"/>
      <c r="O21" s="589"/>
      <c r="P21" s="229" t="str">
        <f t="shared" si="21"/>
        <v/>
      </c>
      <c r="Q21" s="229" t="str">
        <f t="shared" si="22"/>
        <v/>
      </c>
      <c r="R21" s="230" t="str">
        <f t="shared" si="23"/>
        <v/>
      </c>
      <c r="S21" s="230" t="str">
        <f t="shared" si="24"/>
        <v/>
      </c>
      <c r="T21" s="351"/>
      <c r="U21" s="43"/>
      <c r="V21" s="42" t="str">
        <f t="shared" si="0"/>
        <v/>
      </c>
      <c r="W21" s="42" t="e">
        <f>IF(#REF!="","",#REF!)</f>
        <v>#REF!</v>
      </c>
      <c r="X21" s="31" t="str">
        <f t="shared" si="1"/>
        <v/>
      </c>
      <c r="Y21" s="7" t="e">
        <f t="shared" si="2"/>
        <v>#N/A</v>
      </c>
      <c r="Z21" s="7" t="e">
        <f t="shared" si="3"/>
        <v>#N/A</v>
      </c>
      <c r="AA21" s="7" t="e">
        <f t="shared" si="4"/>
        <v>#N/A</v>
      </c>
      <c r="AB21" s="7" t="str">
        <f t="shared" si="5"/>
        <v/>
      </c>
      <c r="AC21" s="11">
        <f t="shared" si="6"/>
        <v>1</v>
      </c>
      <c r="AD21" s="7" t="e">
        <f t="shared" si="7"/>
        <v>#N/A</v>
      </c>
      <c r="AE21" s="7" t="e">
        <f t="shared" si="8"/>
        <v>#N/A</v>
      </c>
      <c r="AF21" s="7" t="e">
        <f t="shared" si="9"/>
        <v>#N/A</v>
      </c>
      <c r="AG21" s="472" t="e">
        <f>VLOOKUP(AI21,'排出係数(2017)'!$A$4:$I$1151,9,FALSE)</f>
        <v>#N/A</v>
      </c>
      <c r="AH21" s="12" t="str">
        <f t="shared" si="10"/>
        <v xml:space="preserve"> </v>
      </c>
      <c r="AI21" s="7" t="e">
        <f t="shared" si="25"/>
        <v>#N/A</v>
      </c>
      <c r="AJ21" s="7" t="e">
        <f t="shared" si="11"/>
        <v>#N/A</v>
      </c>
      <c r="AK21" s="472" t="e">
        <f>VLOOKUP(AI21,'排出係数(2017)'!$A$4:$I$1151,6,FALSE)</f>
        <v>#N/A</v>
      </c>
      <c r="AL21" s="7" t="e">
        <f t="shared" si="12"/>
        <v>#N/A</v>
      </c>
      <c r="AM21" s="7" t="e">
        <f t="shared" si="13"/>
        <v>#N/A</v>
      </c>
      <c r="AN21" s="472" t="e">
        <f>VLOOKUP(AI21,'排出係数(2017)'!$A$4:$I$1151,7,FALSE)</f>
        <v>#N/A</v>
      </c>
      <c r="AO21" s="7" t="e">
        <f t="shared" si="14"/>
        <v>#N/A</v>
      </c>
      <c r="AP21" s="7" t="e">
        <f t="shared" si="15"/>
        <v>#N/A</v>
      </c>
      <c r="AQ21" s="7" t="e">
        <f t="shared" si="26"/>
        <v>#N/A</v>
      </c>
      <c r="AR21" s="7">
        <f t="shared" si="16"/>
        <v>0</v>
      </c>
      <c r="AS21" s="7" t="e">
        <f t="shared" si="27"/>
        <v>#N/A</v>
      </c>
      <c r="AT21" s="7" t="str">
        <f t="shared" si="17"/>
        <v/>
      </c>
      <c r="AU21" s="7" t="str">
        <f t="shared" si="18"/>
        <v/>
      </c>
      <c r="AV21" s="7" t="str">
        <f t="shared" si="19"/>
        <v/>
      </c>
      <c r="AW21" s="7" t="str">
        <f t="shared" si="20"/>
        <v/>
      </c>
      <c r="AX21" s="97"/>
      <c r="AY21" s="13" t="s">
        <v>226</v>
      </c>
      <c r="AZ21" s="13" t="s">
        <v>2451</v>
      </c>
      <c r="BA21" s="13" t="s">
        <v>2451</v>
      </c>
      <c r="BB21" s="13">
        <v>5</v>
      </c>
      <c r="BC21" s="13" t="s">
        <v>44</v>
      </c>
      <c r="BD21" s="453" t="s">
        <v>303</v>
      </c>
      <c r="BG21" s="18" t="s">
        <v>1801</v>
      </c>
      <c r="BH21" s="13" t="s">
        <v>1797</v>
      </c>
      <c r="BI21" s="18" t="s">
        <v>1968</v>
      </c>
      <c r="BJ21" s="13" t="s">
        <v>2452</v>
      </c>
      <c r="BK21" s="13" t="s">
        <v>1971</v>
      </c>
      <c r="BN21" s="18">
        <v>5</v>
      </c>
      <c r="BR21" s="13" t="s">
        <v>1802</v>
      </c>
      <c r="BS21" s="13" t="s">
        <v>2273</v>
      </c>
      <c r="BT21" s="13" t="s">
        <v>2440</v>
      </c>
      <c r="BU21" s="13">
        <v>4</v>
      </c>
      <c r="BV21" s="13">
        <v>0.35</v>
      </c>
      <c r="BW21" s="13">
        <v>2.3E-2</v>
      </c>
      <c r="BX21" s="13">
        <v>2.3E-2</v>
      </c>
      <c r="BY21" s="13">
        <v>1.7000000000000001E-2</v>
      </c>
      <c r="CA21" s="13" t="s">
        <v>44</v>
      </c>
      <c r="CG21"/>
      <c r="CH21"/>
      <c r="CI21" s="468" t="s">
        <v>2702</v>
      </c>
      <c r="CK21" s="592" t="str">
        <f t="shared" si="28"/>
        <v/>
      </c>
      <c r="CL21" s="421" t="str">
        <f t="shared" si="29"/>
        <v/>
      </c>
      <c r="CM21" s="594"/>
      <c r="CN21" s="594"/>
      <c r="CO21" s="594"/>
      <c r="CP21" s="594"/>
      <c r="CQ21" s="594"/>
      <c r="CR21" s="594"/>
    </row>
    <row r="22" spans="1:96" s="13" customFormat="1" ht="13.75" customHeight="1">
      <c r="A22" s="137">
        <v>7</v>
      </c>
      <c r="B22" s="134"/>
      <c r="C22" s="8"/>
      <c r="D22" s="100"/>
      <c r="E22" s="8"/>
      <c r="F22" s="8"/>
      <c r="G22" s="190"/>
      <c r="H22" s="8"/>
      <c r="I22" s="9"/>
      <c r="J22" s="10"/>
      <c r="K22" s="8"/>
      <c r="L22" s="145"/>
      <c r="M22" s="146"/>
      <c r="N22" s="8"/>
      <c r="O22" s="589"/>
      <c r="P22" s="229" t="str">
        <f t="shared" si="21"/>
        <v/>
      </c>
      <c r="Q22" s="229" t="str">
        <f t="shared" si="22"/>
        <v/>
      </c>
      <c r="R22" s="230" t="str">
        <f t="shared" si="23"/>
        <v/>
      </c>
      <c r="S22" s="230" t="str">
        <f t="shared" si="24"/>
        <v/>
      </c>
      <c r="T22" s="351"/>
      <c r="U22" s="43"/>
      <c r="V22" s="42" t="str">
        <f t="shared" si="0"/>
        <v/>
      </c>
      <c r="W22" s="42" t="e">
        <f>IF(#REF!="","",#REF!)</f>
        <v>#REF!</v>
      </c>
      <c r="X22" s="31" t="str">
        <f t="shared" si="1"/>
        <v/>
      </c>
      <c r="Y22" s="7" t="e">
        <f t="shared" si="2"/>
        <v>#N/A</v>
      </c>
      <c r="Z22" s="7" t="e">
        <f t="shared" si="3"/>
        <v>#N/A</v>
      </c>
      <c r="AA22" s="7" t="e">
        <f t="shared" si="4"/>
        <v>#N/A</v>
      </c>
      <c r="AB22" s="7" t="str">
        <f t="shared" si="5"/>
        <v/>
      </c>
      <c r="AC22" s="11">
        <f t="shared" si="6"/>
        <v>1</v>
      </c>
      <c r="AD22" s="7" t="e">
        <f t="shared" si="7"/>
        <v>#N/A</v>
      </c>
      <c r="AE22" s="7" t="e">
        <f t="shared" si="8"/>
        <v>#N/A</v>
      </c>
      <c r="AF22" s="7" t="e">
        <f t="shared" si="9"/>
        <v>#N/A</v>
      </c>
      <c r="AG22" s="472" t="e">
        <f>VLOOKUP(AI22,'排出係数(2017)'!$A$4:$I$1151,9,FALSE)</f>
        <v>#N/A</v>
      </c>
      <c r="AH22" s="12" t="str">
        <f t="shared" si="10"/>
        <v xml:space="preserve"> </v>
      </c>
      <c r="AI22" s="7" t="e">
        <f t="shared" si="25"/>
        <v>#N/A</v>
      </c>
      <c r="AJ22" s="7" t="e">
        <f t="shared" si="11"/>
        <v>#N/A</v>
      </c>
      <c r="AK22" s="472" t="e">
        <f>VLOOKUP(AI22,'排出係数(2017)'!$A$4:$I$1151,6,FALSE)</f>
        <v>#N/A</v>
      </c>
      <c r="AL22" s="7" t="e">
        <f t="shared" si="12"/>
        <v>#N/A</v>
      </c>
      <c r="AM22" s="7" t="e">
        <f t="shared" si="13"/>
        <v>#N/A</v>
      </c>
      <c r="AN22" s="472" t="e">
        <f>VLOOKUP(AI22,'排出係数(2017)'!$A$4:$I$1151,7,FALSE)</f>
        <v>#N/A</v>
      </c>
      <c r="AO22" s="7" t="e">
        <f t="shared" si="14"/>
        <v>#N/A</v>
      </c>
      <c r="AP22" s="7" t="e">
        <f t="shared" si="15"/>
        <v>#N/A</v>
      </c>
      <c r="AQ22" s="7" t="e">
        <f t="shared" si="26"/>
        <v>#N/A</v>
      </c>
      <c r="AR22" s="7">
        <f t="shared" si="16"/>
        <v>0</v>
      </c>
      <c r="AS22" s="7" t="e">
        <f t="shared" si="27"/>
        <v>#N/A</v>
      </c>
      <c r="AT22" s="7" t="str">
        <f t="shared" si="17"/>
        <v/>
      </c>
      <c r="AU22" s="7" t="str">
        <f t="shared" si="18"/>
        <v/>
      </c>
      <c r="AV22" s="7" t="str">
        <f t="shared" si="19"/>
        <v/>
      </c>
      <c r="AW22" s="7" t="str">
        <f t="shared" si="20"/>
        <v/>
      </c>
      <c r="AX22" s="97"/>
      <c r="AY22" s="13" t="s">
        <v>1950</v>
      </c>
      <c r="AZ22" s="13" t="s">
        <v>2448</v>
      </c>
      <c r="BA22" s="13" t="s">
        <v>2448</v>
      </c>
      <c r="BB22" s="13">
        <v>6</v>
      </c>
      <c r="BC22" s="13" t="s">
        <v>44</v>
      </c>
      <c r="BD22" s="453" t="s">
        <v>383</v>
      </c>
      <c r="BG22" s="18" t="s">
        <v>2139</v>
      </c>
      <c r="BH22" s="13" t="s">
        <v>2452</v>
      </c>
      <c r="BI22" s="18" t="s">
        <v>1969</v>
      </c>
      <c r="BJ22" s="13" t="s">
        <v>2452</v>
      </c>
      <c r="BK22" s="13" t="s">
        <v>1972</v>
      </c>
      <c r="BN22" s="18">
        <v>6</v>
      </c>
      <c r="BR22" s="13" t="s">
        <v>1803</v>
      </c>
      <c r="BS22" s="13" t="s">
        <v>2271</v>
      </c>
      <c r="CA22" s="13" t="s">
        <v>45</v>
      </c>
      <c r="CG22"/>
      <c r="CH22"/>
      <c r="CK22" s="592" t="str">
        <f t="shared" si="28"/>
        <v/>
      </c>
      <c r="CL22" s="421" t="str">
        <f t="shared" si="29"/>
        <v/>
      </c>
      <c r="CM22" s="594"/>
      <c r="CN22" s="594"/>
      <c r="CO22" s="594"/>
      <c r="CP22" s="594"/>
      <c r="CQ22" s="594"/>
      <c r="CR22" s="594"/>
    </row>
    <row r="23" spans="1:96" s="13" customFormat="1" ht="13.75" customHeight="1">
      <c r="A23" s="137">
        <v>8</v>
      </c>
      <c r="B23" s="134"/>
      <c r="C23" s="8"/>
      <c r="D23" s="100"/>
      <c r="E23" s="8"/>
      <c r="F23" s="8"/>
      <c r="G23" s="190"/>
      <c r="H23" s="8"/>
      <c r="I23" s="9"/>
      <c r="J23" s="10"/>
      <c r="K23" s="8"/>
      <c r="L23" s="145"/>
      <c r="M23" s="146"/>
      <c r="N23" s="8"/>
      <c r="O23" s="589"/>
      <c r="P23" s="229" t="str">
        <f t="shared" si="21"/>
        <v/>
      </c>
      <c r="Q23" s="229" t="str">
        <f t="shared" si="22"/>
        <v/>
      </c>
      <c r="R23" s="230" t="str">
        <f t="shared" si="23"/>
        <v/>
      </c>
      <c r="S23" s="230" t="str">
        <f t="shared" si="24"/>
        <v/>
      </c>
      <c r="T23" s="351"/>
      <c r="U23" s="43"/>
      <c r="V23" s="42" t="str">
        <f t="shared" si="0"/>
        <v/>
      </c>
      <c r="W23" s="42" t="e">
        <f>IF(#REF!="","",#REF!)</f>
        <v>#REF!</v>
      </c>
      <c r="X23" s="31" t="str">
        <f t="shared" si="1"/>
        <v/>
      </c>
      <c r="Y23" s="7" t="e">
        <f t="shared" si="2"/>
        <v>#N/A</v>
      </c>
      <c r="Z23" s="7" t="e">
        <f t="shared" si="3"/>
        <v>#N/A</v>
      </c>
      <c r="AA23" s="7" t="e">
        <f t="shared" si="4"/>
        <v>#N/A</v>
      </c>
      <c r="AB23" s="7" t="str">
        <f t="shared" si="5"/>
        <v/>
      </c>
      <c r="AC23" s="11">
        <f t="shared" si="6"/>
        <v>1</v>
      </c>
      <c r="AD23" s="7" t="e">
        <f t="shared" si="7"/>
        <v>#N/A</v>
      </c>
      <c r="AE23" s="7" t="e">
        <f t="shared" si="8"/>
        <v>#N/A</v>
      </c>
      <c r="AF23" s="7" t="e">
        <f t="shared" si="9"/>
        <v>#N/A</v>
      </c>
      <c r="AG23" s="472" t="e">
        <f>VLOOKUP(AI23,'排出係数(2017)'!$A$4:$I$1151,9,FALSE)</f>
        <v>#N/A</v>
      </c>
      <c r="AH23" s="12" t="str">
        <f t="shared" si="10"/>
        <v xml:space="preserve"> </v>
      </c>
      <c r="AI23" s="7" t="e">
        <f t="shared" si="25"/>
        <v>#N/A</v>
      </c>
      <c r="AJ23" s="7" t="e">
        <f t="shared" si="11"/>
        <v>#N/A</v>
      </c>
      <c r="AK23" s="472" t="e">
        <f>VLOOKUP(AI23,'排出係数(2017)'!$A$4:$I$1151,6,FALSE)</f>
        <v>#N/A</v>
      </c>
      <c r="AL23" s="7" t="e">
        <f t="shared" si="12"/>
        <v>#N/A</v>
      </c>
      <c r="AM23" s="7" t="e">
        <f t="shared" si="13"/>
        <v>#N/A</v>
      </c>
      <c r="AN23" s="472" t="e">
        <f>VLOOKUP(AI23,'排出係数(2017)'!$A$4:$I$1151,7,FALSE)</f>
        <v>#N/A</v>
      </c>
      <c r="AO23" s="7" t="e">
        <f t="shared" si="14"/>
        <v>#N/A</v>
      </c>
      <c r="AP23" s="7" t="e">
        <f t="shared" si="15"/>
        <v>#N/A</v>
      </c>
      <c r="AQ23" s="7" t="e">
        <f t="shared" si="26"/>
        <v>#N/A</v>
      </c>
      <c r="AR23" s="7">
        <f t="shared" si="16"/>
        <v>0</v>
      </c>
      <c r="AS23" s="7" t="e">
        <f t="shared" si="27"/>
        <v>#N/A</v>
      </c>
      <c r="AT23" s="7" t="str">
        <f t="shared" si="17"/>
        <v/>
      </c>
      <c r="AU23" s="7" t="str">
        <f t="shared" si="18"/>
        <v/>
      </c>
      <c r="AV23" s="7" t="str">
        <f t="shared" si="19"/>
        <v/>
      </c>
      <c r="AW23" s="7" t="str">
        <f t="shared" si="20"/>
        <v/>
      </c>
      <c r="AX23" s="97"/>
      <c r="AY23" s="13" t="s">
        <v>1978</v>
      </c>
      <c r="AZ23" s="13" t="s">
        <v>2451</v>
      </c>
      <c r="BA23" s="13" t="s">
        <v>2451</v>
      </c>
      <c r="BB23" s="13">
        <v>9</v>
      </c>
      <c r="BC23" s="13" t="s">
        <v>2273</v>
      </c>
      <c r="BD23" s="453" t="s">
        <v>1400</v>
      </c>
      <c r="BG23" s="18" t="s">
        <v>201</v>
      </c>
      <c r="BH23" s="13" t="s">
        <v>42</v>
      </c>
      <c r="BI23" s="18" t="s">
        <v>66</v>
      </c>
      <c r="BJ23" s="13" t="s">
        <v>2452</v>
      </c>
      <c r="BK23" s="13" t="s">
        <v>2340</v>
      </c>
      <c r="BM23" s="18"/>
      <c r="BN23" s="13">
        <v>7</v>
      </c>
      <c r="BR23" s="13" t="s">
        <v>1804</v>
      </c>
      <c r="BS23" s="13" t="s">
        <v>2273</v>
      </c>
      <c r="CG23"/>
      <c r="CH23"/>
      <c r="CK23" s="592" t="str">
        <f t="shared" si="28"/>
        <v/>
      </c>
      <c r="CL23" s="421" t="str">
        <f t="shared" si="29"/>
        <v/>
      </c>
      <c r="CM23" s="594"/>
      <c r="CN23" s="594"/>
      <c r="CO23" s="594"/>
      <c r="CP23" s="594"/>
      <c r="CQ23" s="594"/>
      <c r="CR23" s="594"/>
    </row>
    <row r="24" spans="1:96" s="13" customFormat="1" ht="13.75" customHeight="1">
      <c r="A24" s="137">
        <v>9</v>
      </c>
      <c r="B24" s="134"/>
      <c r="C24" s="8"/>
      <c r="D24" s="100"/>
      <c r="E24" s="8"/>
      <c r="F24" s="8"/>
      <c r="G24" s="190"/>
      <c r="H24" s="8"/>
      <c r="I24" s="9"/>
      <c r="J24" s="10"/>
      <c r="K24" s="8"/>
      <c r="L24" s="145"/>
      <c r="M24" s="146"/>
      <c r="N24" s="8"/>
      <c r="O24" s="589"/>
      <c r="P24" s="229" t="str">
        <f t="shared" si="21"/>
        <v/>
      </c>
      <c r="Q24" s="229" t="str">
        <f t="shared" si="22"/>
        <v/>
      </c>
      <c r="R24" s="230" t="str">
        <f t="shared" si="23"/>
        <v/>
      </c>
      <c r="S24" s="230" t="str">
        <f t="shared" si="24"/>
        <v/>
      </c>
      <c r="T24" s="351"/>
      <c r="U24" s="43"/>
      <c r="V24" s="42" t="str">
        <f t="shared" si="0"/>
        <v/>
      </c>
      <c r="W24" s="42" t="e">
        <f>IF(#REF!="","",#REF!)</f>
        <v>#REF!</v>
      </c>
      <c r="X24" s="31" t="str">
        <f t="shared" si="1"/>
        <v/>
      </c>
      <c r="Y24" s="7" t="e">
        <f t="shared" si="2"/>
        <v>#N/A</v>
      </c>
      <c r="Z24" s="7" t="e">
        <f t="shared" si="3"/>
        <v>#N/A</v>
      </c>
      <c r="AA24" s="7" t="e">
        <f t="shared" si="4"/>
        <v>#N/A</v>
      </c>
      <c r="AB24" s="7" t="str">
        <f t="shared" si="5"/>
        <v/>
      </c>
      <c r="AC24" s="11">
        <f t="shared" si="6"/>
        <v>1</v>
      </c>
      <c r="AD24" s="7" t="e">
        <f t="shared" si="7"/>
        <v>#N/A</v>
      </c>
      <c r="AE24" s="7" t="e">
        <f t="shared" si="8"/>
        <v>#N/A</v>
      </c>
      <c r="AF24" s="7" t="e">
        <f t="shared" si="9"/>
        <v>#N/A</v>
      </c>
      <c r="AG24" s="472" t="e">
        <f>VLOOKUP(AI24,'排出係数(2017)'!$A$4:$I$1151,9,FALSE)</f>
        <v>#N/A</v>
      </c>
      <c r="AH24" s="12" t="str">
        <f t="shared" si="10"/>
        <v xml:space="preserve"> </v>
      </c>
      <c r="AI24" s="7" t="e">
        <f t="shared" si="25"/>
        <v>#N/A</v>
      </c>
      <c r="AJ24" s="7" t="e">
        <f t="shared" si="11"/>
        <v>#N/A</v>
      </c>
      <c r="AK24" s="472" t="e">
        <f>VLOOKUP(AI24,'排出係数(2017)'!$A$4:$I$1151,6,FALSE)</f>
        <v>#N/A</v>
      </c>
      <c r="AL24" s="7" t="e">
        <f t="shared" si="12"/>
        <v>#N/A</v>
      </c>
      <c r="AM24" s="7" t="e">
        <f t="shared" si="13"/>
        <v>#N/A</v>
      </c>
      <c r="AN24" s="472" t="e">
        <f>VLOOKUP(AI24,'排出係数(2017)'!$A$4:$I$1151,7,FALSE)</f>
        <v>#N/A</v>
      </c>
      <c r="AO24" s="7" t="e">
        <f t="shared" si="14"/>
        <v>#N/A</v>
      </c>
      <c r="AP24" s="7" t="e">
        <f t="shared" si="15"/>
        <v>#N/A</v>
      </c>
      <c r="AQ24" s="7" t="e">
        <f t="shared" si="26"/>
        <v>#N/A</v>
      </c>
      <c r="AR24" s="7">
        <f t="shared" si="16"/>
        <v>0</v>
      </c>
      <c r="AS24" s="7" t="e">
        <f t="shared" si="27"/>
        <v>#N/A</v>
      </c>
      <c r="AT24" s="7" t="str">
        <f t="shared" si="17"/>
        <v/>
      </c>
      <c r="AU24" s="7" t="str">
        <f t="shared" si="18"/>
        <v/>
      </c>
      <c r="AV24" s="7" t="str">
        <f t="shared" si="19"/>
        <v/>
      </c>
      <c r="AW24" s="7" t="str">
        <f t="shared" si="20"/>
        <v/>
      </c>
      <c r="AX24" s="97"/>
      <c r="BD24" s="453" t="s">
        <v>253</v>
      </c>
      <c r="BG24" s="18" t="s">
        <v>1963</v>
      </c>
      <c r="BH24" s="13" t="s">
        <v>1962</v>
      </c>
      <c r="BI24" s="18" t="s">
        <v>1970</v>
      </c>
      <c r="BJ24" s="13" t="s">
        <v>2452</v>
      </c>
      <c r="BK24" s="13" t="s">
        <v>1973</v>
      </c>
      <c r="BM24" s="18"/>
      <c r="BN24" s="13">
        <v>8</v>
      </c>
      <c r="BR24" s="13" t="s">
        <v>1806</v>
      </c>
      <c r="BS24" s="13" t="s">
        <v>44</v>
      </c>
      <c r="CG24"/>
      <c r="CH24"/>
      <c r="CK24" s="592" t="str">
        <f t="shared" si="28"/>
        <v/>
      </c>
      <c r="CL24" s="421" t="str">
        <f t="shared" si="29"/>
        <v/>
      </c>
      <c r="CM24" s="594"/>
      <c r="CN24" s="594"/>
      <c r="CO24" s="594"/>
      <c r="CP24" s="594"/>
      <c r="CQ24" s="594"/>
      <c r="CR24" s="594"/>
    </row>
    <row r="25" spans="1:96" s="13" customFormat="1" ht="13.75" customHeight="1">
      <c r="A25" s="137">
        <v>10</v>
      </c>
      <c r="B25" s="134"/>
      <c r="C25" s="8"/>
      <c r="D25" s="100"/>
      <c r="E25" s="8"/>
      <c r="F25" s="8"/>
      <c r="G25" s="190"/>
      <c r="H25" s="8"/>
      <c r="I25" s="9"/>
      <c r="J25" s="10"/>
      <c r="K25" s="8"/>
      <c r="L25" s="145"/>
      <c r="M25" s="146"/>
      <c r="N25" s="8"/>
      <c r="O25" s="589"/>
      <c r="P25" s="229" t="str">
        <f t="shared" si="21"/>
        <v/>
      </c>
      <c r="Q25" s="229" t="str">
        <f t="shared" si="22"/>
        <v/>
      </c>
      <c r="R25" s="230" t="str">
        <f t="shared" si="23"/>
        <v/>
      </c>
      <c r="S25" s="230" t="str">
        <f t="shared" si="24"/>
        <v/>
      </c>
      <c r="T25" s="351"/>
      <c r="U25" s="43"/>
      <c r="V25" s="42" t="str">
        <f t="shared" si="0"/>
        <v/>
      </c>
      <c r="W25" s="42" t="e">
        <f>IF(#REF!="","",#REF!)</f>
        <v>#REF!</v>
      </c>
      <c r="X25" s="31" t="str">
        <f t="shared" si="1"/>
        <v/>
      </c>
      <c r="Y25" s="7" t="e">
        <f t="shared" si="2"/>
        <v>#N/A</v>
      </c>
      <c r="Z25" s="7" t="e">
        <f t="shared" si="3"/>
        <v>#N/A</v>
      </c>
      <c r="AA25" s="7" t="e">
        <f t="shared" si="4"/>
        <v>#N/A</v>
      </c>
      <c r="AB25" s="7" t="str">
        <f t="shared" si="5"/>
        <v/>
      </c>
      <c r="AC25" s="11">
        <f t="shared" si="6"/>
        <v>1</v>
      </c>
      <c r="AD25" s="7" t="e">
        <f t="shared" si="7"/>
        <v>#N/A</v>
      </c>
      <c r="AE25" s="7" t="e">
        <f t="shared" si="8"/>
        <v>#N/A</v>
      </c>
      <c r="AF25" s="7" t="e">
        <f t="shared" si="9"/>
        <v>#N/A</v>
      </c>
      <c r="AG25" s="472" t="e">
        <f>VLOOKUP(AI25,'排出係数(2017)'!$A$4:$I$1151,9,FALSE)</f>
        <v>#N/A</v>
      </c>
      <c r="AH25" s="12" t="str">
        <f t="shared" si="10"/>
        <v xml:space="preserve"> </v>
      </c>
      <c r="AI25" s="7" t="e">
        <f t="shared" si="25"/>
        <v>#N/A</v>
      </c>
      <c r="AJ25" s="7" t="e">
        <f t="shared" si="11"/>
        <v>#N/A</v>
      </c>
      <c r="AK25" s="472" t="e">
        <f>VLOOKUP(AI25,'排出係数(2017)'!$A$4:$I$1151,6,FALSE)</f>
        <v>#N/A</v>
      </c>
      <c r="AL25" s="7" t="e">
        <f t="shared" si="12"/>
        <v>#N/A</v>
      </c>
      <c r="AM25" s="7" t="e">
        <f t="shared" si="13"/>
        <v>#N/A</v>
      </c>
      <c r="AN25" s="472" t="e">
        <f>VLOOKUP(AI25,'排出係数(2017)'!$A$4:$I$1151,7,FALSE)</f>
        <v>#N/A</v>
      </c>
      <c r="AO25" s="7" t="e">
        <f t="shared" si="14"/>
        <v>#N/A</v>
      </c>
      <c r="AP25" s="7" t="e">
        <f t="shared" si="15"/>
        <v>#N/A</v>
      </c>
      <c r="AQ25" s="7" t="e">
        <f t="shared" si="26"/>
        <v>#N/A</v>
      </c>
      <c r="AR25" s="7">
        <f t="shared" si="16"/>
        <v>0</v>
      </c>
      <c r="AS25" s="7" t="e">
        <f t="shared" si="27"/>
        <v>#N/A</v>
      </c>
      <c r="AT25" s="7" t="str">
        <f t="shared" si="17"/>
        <v/>
      </c>
      <c r="AU25" s="7" t="str">
        <f t="shared" si="18"/>
        <v/>
      </c>
      <c r="AV25" s="7" t="str">
        <f t="shared" si="19"/>
        <v/>
      </c>
      <c r="AW25" s="7" t="str">
        <f t="shared" si="20"/>
        <v/>
      </c>
      <c r="AX25" s="97"/>
      <c r="BD25" s="453" t="s">
        <v>301</v>
      </c>
      <c r="BG25" s="13" t="s">
        <v>1791</v>
      </c>
      <c r="BH25" s="13" t="s">
        <v>1805</v>
      </c>
      <c r="BI25" s="18" t="s">
        <v>1801</v>
      </c>
      <c r="BJ25" s="13" t="s">
        <v>1797</v>
      </c>
      <c r="BK25" s="13" t="s">
        <v>1851</v>
      </c>
      <c r="BM25" s="18"/>
      <c r="BN25" s="13">
        <v>9</v>
      </c>
      <c r="BR25" s="13" t="s">
        <v>1807</v>
      </c>
      <c r="BS25" s="13" t="s">
        <v>45</v>
      </c>
      <c r="CG25"/>
      <c r="CH25"/>
      <c r="CK25" s="592" t="str">
        <f t="shared" si="28"/>
        <v/>
      </c>
      <c r="CL25" s="421" t="str">
        <f t="shared" si="29"/>
        <v/>
      </c>
      <c r="CM25" s="594"/>
      <c r="CN25" s="594"/>
      <c r="CO25" s="594"/>
      <c r="CP25" s="594"/>
      <c r="CQ25" s="594"/>
      <c r="CR25" s="594"/>
    </row>
    <row r="26" spans="1:96" s="13" customFormat="1" ht="13.75" customHeight="1">
      <c r="A26" s="137">
        <v>11</v>
      </c>
      <c r="B26" s="134"/>
      <c r="C26" s="8"/>
      <c r="D26" s="100"/>
      <c r="E26" s="8"/>
      <c r="F26" s="8"/>
      <c r="G26" s="190"/>
      <c r="H26" s="8"/>
      <c r="I26" s="9"/>
      <c r="J26" s="10"/>
      <c r="K26" s="8"/>
      <c r="L26" s="145"/>
      <c r="M26" s="146"/>
      <c r="N26" s="8"/>
      <c r="O26" s="589"/>
      <c r="P26" s="229" t="str">
        <f t="shared" si="21"/>
        <v/>
      </c>
      <c r="Q26" s="229" t="str">
        <f t="shared" si="22"/>
        <v/>
      </c>
      <c r="R26" s="230" t="str">
        <f t="shared" si="23"/>
        <v/>
      </c>
      <c r="S26" s="230" t="str">
        <f t="shared" si="24"/>
        <v/>
      </c>
      <c r="T26" s="351"/>
      <c r="U26" s="43"/>
      <c r="V26" s="42" t="str">
        <f t="shared" si="0"/>
        <v/>
      </c>
      <c r="W26" s="42" t="e">
        <f>IF(#REF!="","",#REF!)</f>
        <v>#REF!</v>
      </c>
      <c r="X26" s="31" t="str">
        <f t="shared" si="1"/>
        <v/>
      </c>
      <c r="Y26" s="7" t="e">
        <f t="shared" si="2"/>
        <v>#N/A</v>
      </c>
      <c r="Z26" s="7" t="e">
        <f t="shared" si="3"/>
        <v>#N/A</v>
      </c>
      <c r="AA26" s="7" t="e">
        <f t="shared" si="4"/>
        <v>#N/A</v>
      </c>
      <c r="AB26" s="7" t="str">
        <f t="shared" si="5"/>
        <v/>
      </c>
      <c r="AC26" s="11">
        <f t="shared" si="6"/>
        <v>1</v>
      </c>
      <c r="AD26" s="7" t="e">
        <f t="shared" si="7"/>
        <v>#N/A</v>
      </c>
      <c r="AE26" s="7" t="e">
        <f t="shared" si="8"/>
        <v>#N/A</v>
      </c>
      <c r="AF26" s="7" t="e">
        <f t="shared" si="9"/>
        <v>#N/A</v>
      </c>
      <c r="AG26" s="472" t="e">
        <f>VLOOKUP(AI26,'排出係数(2017)'!$A$4:$I$1151,9,FALSE)</f>
        <v>#N/A</v>
      </c>
      <c r="AH26" s="12" t="str">
        <f t="shared" si="10"/>
        <v xml:space="preserve"> </v>
      </c>
      <c r="AI26" s="7" t="e">
        <f t="shared" si="25"/>
        <v>#N/A</v>
      </c>
      <c r="AJ26" s="7" t="e">
        <f t="shared" si="11"/>
        <v>#N/A</v>
      </c>
      <c r="AK26" s="472" t="e">
        <f>VLOOKUP(AI26,'排出係数(2017)'!$A$4:$I$1151,6,FALSE)</f>
        <v>#N/A</v>
      </c>
      <c r="AL26" s="7" t="e">
        <f t="shared" si="12"/>
        <v>#N/A</v>
      </c>
      <c r="AM26" s="7" t="e">
        <f t="shared" si="13"/>
        <v>#N/A</v>
      </c>
      <c r="AN26" s="472" t="e">
        <f>VLOOKUP(AI26,'排出係数(2017)'!$A$4:$I$1151,7,FALSE)</f>
        <v>#N/A</v>
      </c>
      <c r="AO26" s="7" t="e">
        <f t="shared" si="14"/>
        <v>#N/A</v>
      </c>
      <c r="AP26" s="7" t="e">
        <f t="shared" si="15"/>
        <v>#N/A</v>
      </c>
      <c r="AQ26" s="7" t="e">
        <f t="shared" si="26"/>
        <v>#N/A</v>
      </c>
      <c r="AR26" s="7">
        <f t="shared" si="16"/>
        <v>0</v>
      </c>
      <c r="AS26" s="7" t="e">
        <f t="shared" si="27"/>
        <v>#N/A</v>
      </c>
      <c r="AT26" s="7" t="str">
        <f t="shared" si="17"/>
        <v/>
      </c>
      <c r="AU26" s="7" t="str">
        <f t="shared" si="18"/>
        <v/>
      </c>
      <c r="AV26" s="7" t="str">
        <f t="shared" si="19"/>
        <v/>
      </c>
      <c r="AW26" s="7" t="str">
        <f t="shared" si="20"/>
        <v/>
      </c>
      <c r="AX26" s="97"/>
      <c r="BD26" s="453" t="s">
        <v>381</v>
      </c>
      <c r="BI26" s="18" t="s">
        <v>2139</v>
      </c>
      <c r="BJ26" s="13" t="s">
        <v>2452</v>
      </c>
      <c r="BK26" s="13" t="s">
        <v>1851</v>
      </c>
      <c r="BM26" s="18"/>
      <c r="BN26" s="13">
        <v>10</v>
      </c>
      <c r="BR26" s="13" t="s">
        <v>1808</v>
      </c>
      <c r="BS26" s="13" t="s">
        <v>45</v>
      </c>
      <c r="CG26"/>
      <c r="CH26"/>
      <c r="CK26" s="592" t="str">
        <f t="shared" si="28"/>
        <v/>
      </c>
      <c r="CL26" s="421" t="str">
        <f t="shared" si="29"/>
        <v/>
      </c>
      <c r="CM26" s="594"/>
      <c r="CN26" s="594"/>
      <c r="CO26" s="594"/>
      <c r="CP26" s="594"/>
      <c r="CQ26" s="594"/>
      <c r="CR26" s="594"/>
    </row>
    <row r="27" spans="1:96" s="13" customFormat="1" ht="13.75" customHeight="1">
      <c r="A27" s="137">
        <v>12</v>
      </c>
      <c r="B27" s="134"/>
      <c r="C27" s="8"/>
      <c r="D27" s="100"/>
      <c r="E27" s="8"/>
      <c r="F27" s="8"/>
      <c r="G27" s="190"/>
      <c r="H27" s="8"/>
      <c r="I27" s="9"/>
      <c r="J27" s="10"/>
      <c r="K27" s="8"/>
      <c r="L27" s="145"/>
      <c r="M27" s="146"/>
      <c r="N27" s="8"/>
      <c r="O27" s="589"/>
      <c r="P27" s="229" t="str">
        <f t="shared" si="21"/>
        <v/>
      </c>
      <c r="Q27" s="229" t="str">
        <f t="shared" si="22"/>
        <v/>
      </c>
      <c r="R27" s="230" t="str">
        <f t="shared" si="23"/>
        <v/>
      </c>
      <c r="S27" s="230" t="str">
        <f t="shared" si="24"/>
        <v/>
      </c>
      <c r="T27" s="351"/>
      <c r="U27" s="43"/>
      <c r="V27" s="42" t="str">
        <f t="shared" si="0"/>
        <v/>
      </c>
      <c r="W27" s="42" t="e">
        <f>IF(#REF!="","",#REF!)</f>
        <v>#REF!</v>
      </c>
      <c r="X27" s="31" t="str">
        <f t="shared" si="1"/>
        <v/>
      </c>
      <c r="Y27" s="7" t="e">
        <f t="shared" si="2"/>
        <v>#N/A</v>
      </c>
      <c r="Z27" s="7" t="e">
        <f t="shared" si="3"/>
        <v>#N/A</v>
      </c>
      <c r="AA27" s="7" t="e">
        <f t="shared" si="4"/>
        <v>#N/A</v>
      </c>
      <c r="AB27" s="7" t="str">
        <f t="shared" si="5"/>
        <v/>
      </c>
      <c r="AC27" s="11">
        <f t="shared" si="6"/>
        <v>1</v>
      </c>
      <c r="AD27" s="7" t="e">
        <f t="shared" si="7"/>
        <v>#N/A</v>
      </c>
      <c r="AE27" s="7" t="e">
        <f t="shared" si="8"/>
        <v>#N/A</v>
      </c>
      <c r="AF27" s="7" t="e">
        <f t="shared" si="9"/>
        <v>#N/A</v>
      </c>
      <c r="AG27" s="472" t="e">
        <f>VLOOKUP(AI27,'排出係数(2017)'!$A$4:$I$1151,9,FALSE)</f>
        <v>#N/A</v>
      </c>
      <c r="AH27" s="12" t="str">
        <f t="shared" si="10"/>
        <v xml:space="preserve"> </v>
      </c>
      <c r="AI27" s="7" t="e">
        <f t="shared" si="25"/>
        <v>#N/A</v>
      </c>
      <c r="AJ27" s="7" t="e">
        <f t="shared" si="11"/>
        <v>#N/A</v>
      </c>
      <c r="AK27" s="472" t="e">
        <f>VLOOKUP(AI27,'排出係数(2017)'!$A$4:$I$1151,6,FALSE)</f>
        <v>#N/A</v>
      </c>
      <c r="AL27" s="7" t="e">
        <f t="shared" si="12"/>
        <v>#N/A</v>
      </c>
      <c r="AM27" s="7" t="e">
        <f t="shared" si="13"/>
        <v>#N/A</v>
      </c>
      <c r="AN27" s="472" t="e">
        <f>VLOOKUP(AI27,'排出係数(2017)'!$A$4:$I$1151,7,FALSE)</f>
        <v>#N/A</v>
      </c>
      <c r="AO27" s="7" t="e">
        <f t="shared" si="14"/>
        <v>#N/A</v>
      </c>
      <c r="AP27" s="7" t="e">
        <f t="shared" si="15"/>
        <v>#N/A</v>
      </c>
      <c r="AQ27" s="7" t="e">
        <f t="shared" si="26"/>
        <v>#N/A</v>
      </c>
      <c r="AR27" s="7">
        <f t="shared" si="16"/>
        <v>0</v>
      </c>
      <c r="AS27" s="7" t="e">
        <f t="shared" si="27"/>
        <v>#N/A</v>
      </c>
      <c r="AT27" s="7" t="str">
        <f t="shared" si="17"/>
        <v/>
      </c>
      <c r="AU27" s="7" t="str">
        <f t="shared" si="18"/>
        <v/>
      </c>
      <c r="AV27" s="7" t="str">
        <f t="shared" si="19"/>
        <v/>
      </c>
      <c r="AW27" s="7" t="str">
        <f t="shared" si="20"/>
        <v/>
      </c>
      <c r="AX27" s="97"/>
      <c r="BD27" s="453" t="s">
        <v>1546</v>
      </c>
      <c r="BI27" s="18" t="s">
        <v>201</v>
      </c>
      <c r="BJ27" s="13" t="s">
        <v>42</v>
      </c>
      <c r="BK27" s="13" t="s">
        <v>42</v>
      </c>
      <c r="BM27" s="18"/>
      <c r="BN27" s="13">
        <v>11</v>
      </c>
      <c r="CG27"/>
      <c r="CH27"/>
      <c r="CK27" s="592" t="str">
        <f t="shared" si="28"/>
        <v/>
      </c>
      <c r="CL27" s="421" t="str">
        <f t="shared" si="29"/>
        <v/>
      </c>
      <c r="CM27" s="594"/>
      <c r="CN27" s="594"/>
      <c r="CO27" s="594"/>
      <c r="CP27" s="594"/>
      <c r="CQ27" s="594"/>
      <c r="CR27" s="594"/>
    </row>
    <row r="28" spans="1:96" s="13" customFormat="1" ht="13.75" customHeight="1">
      <c r="A28" s="137">
        <v>13</v>
      </c>
      <c r="B28" s="134"/>
      <c r="C28" s="8"/>
      <c r="D28" s="100"/>
      <c r="E28" s="8"/>
      <c r="F28" s="8"/>
      <c r="G28" s="190"/>
      <c r="H28" s="8"/>
      <c r="I28" s="9"/>
      <c r="J28" s="10"/>
      <c r="K28" s="8"/>
      <c r="L28" s="145"/>
      <c r="M28" s="146"/>
      <c r="N28" s="8"/>
      <c r="O28" s="589"/>
      <c r="P28" s="229" t="str">
        <f t="shared" si="21"/>
        <v/>
      </c>
      <c r="Q28" s="229" t="str">
        <f t="shared" si="22"/>
        <v/>
      </c>
      <c r="R28" s="230" t="str">
        <f t="shared" si="23"/>
        <v/>
      </c>
      <c r="S28" s="230" t="str">
        <f t="shared" si="24"/>
        <v/>
      </c>
      <c r="T28" s="351"/>
      <c r="U28" s="43"/>
      <c r="V28" s="42" t="str">
        <f t="shared" si="0"/>
        <v/>
      </c>
      <c r="W28" s="42" t="e">
        <f>IF(#REF!="","",#REF!)</f>
        <v>#REF!</v>
      </c>
      <c r="X28" s="31" t="str">
        <f t="shared" si="1"/>
        <v/>
      </c>
      <c r="Y28" s="7" t="e">
        <f t="shared" si="2"/>
        <v>#N/A</v>
      </c>
      <c r="Z28" s="7" t="e">
        <f t="shared" si="3"/>
        <v>#N/A</v>
      </c>
      <c r="AA28" s="7" t="e">
        <f t="shared" si="4"/>
        <v>#N/A</v>
      </c>
      <c r="AB28" s="7" t="str">
        <f t="shared" si="5"/>
        <v/>
      </c>
      <c r="AC28" s="11">
        <f t="shared" si="6"/>
        <v>1</v>
      </c>
      <c r="AD28" s="7" t="e">
        <f t="shared" si="7"/>
        <v>#N/A</v>
      </c>
      <c r="AE28" s="7" t="e">
        <f t="shared" si="8"/>
        <v>#N/A</v>
      </c>
      <c r="AF28" s="7" t="e">
        <f t="shared" si="9"/>
        <v>#N/A</v>
      </c>
      <c r="AG28" s="472" t="e">
        <f>VLOOKUP(AI28,'排出係数(2017)'!$A$4:$I$1151,9,FALSE)</f>
        <v>#N/A</v>
      </c>
      <c r="AH28" s="12" t="str">
        <f t="shared" si="10"/>
        <v xml:space="preserve"> </v>
      </c>
      <c r="AI28" s="7" t="e">
        <f t="shared" si="25"/>
        <v>#N/A</v>
      </c>
      <c r="AJ28" s="7" t="e">
        <f t="shared" si="11"/>
        <v>#N/A</v>
      </c>
      <c r="AK28" s="472" t="e">
        <f>VLOOKUP(AI28,'排出係数(2017)'!$A$4:$I$1151,6,FALSE)</f>
        <v>#N/A</v>
      </c>
      <c r="AL28" s="7" t="e">
        <f t="shared" si="12"/>
        <v>#N/A</v>
      </c>
      <c r="AM28" s="7" t="e">
        <f t="shared" si="13"/>
        <v>#N/A</v>
      </c>
      <c r="AN28" s="472" t="e">
        <f>VLOOKUP(AI28,'排出係数(2017)'!$A$4:$I$1151,7,FALSE)</f>
        <v>#N/A</v>
      </c>
      <c r="AO28" s="7" t="e">
        <f t="shared" si="14"/>
        <v>#N/A</v>
      </c>
      <c r="AP28" s="7" t="e">
        <f t="shared" si="15"/>
        <v>#N/A</v>
      </c>
      <c r="AQ28" s="7" t="e">
        <f t="shared" si="26"/>
        <v>#N/A</v>
      </c>
      <c r="AR28" s="7">
        <f t="shared" si="16"/>
        <v>0</v>
      </c>
      <c r="AS28" s="7" t="e">
        <f t="shared" si="27"/>
        <v>#N/A</v>
      </c>
      <c r="AT28" s="7" t="str">
        <f t="shared" si="17"/>
        <v/>
      </c>
      <c r="AU28" s="7" t="str">
        <f t="shared" si="18"/>
        <v/>
      </c>
      <c r="AV28" s="7" t="str">
        <f t="shared" si="19"/>
        <v/>
      </c>
      <c r="AW28" s="7" t="str">
        <f t="shared" si="20"/>
        <v/>
      </c>
      <c r="AX28" s="97"/>
      <c r="BD28" s="453" t="s">
        <v>1548</v>
      </c>
      <c r="BI28" s="13" t="s">
        <v>1791</v>
      </c>
      <c r="BJ28" s="13" t="s">
        <v>1805</v>
      </c>
      <c r="BK28" s="13" t="s">
        <v>1805</v>
      </c>
      <c r="BM28" s="18"/>
      <c r="BN28" s="13">
        <v>12</v>
      </c>
      <c r="CG28"/>
      <c r="CH28"/>
      <c r="CK28" s="592" t="str">
        <f t="shared" si="28"/>
        <v/>
      </c>
      <c r="CL28" s="421" t="str">
        <f t="shared" si="29"/>
        <v/>
      </c>
      <c r="CM28" s="594"/>
      <c r="CN28" s="594"/>
      <c r="CO28" s="594"/>
      <c r="CP28" s="594"/>
      <c r="CQ28" s="594"/>
      <c r="CR28" s="594"/>
    </row>
    <row r="29" spans="1:96" s="13" customFormat="1" ht="13.75" customHeight="1">
      <c r="A29" s="137">
        <v>14</v>
      </c>
      <c r="B29" s="134"/>
      <c r="C29" s="8"/>
      <c r="D29" s="100"/>
      <c r="E29" s="8"/>
      <c r="F29" s="8"/>
      <c r="G29" s="190"/>
      <c r="H29" s="8"/>
      <c r="I29" s="9"/>
      <c r="J29" s="10"/>
      <c r="K29" s="8"/>
      <c r="L29" s="145"/>
      <c r="M29" s="146"/>
      <c r="N29" s="8"/>
      <c r="O29" s="589"/>
      <c r="P29" s="229" t="str">
        <f t="shared" si="21"/>
        <v/>
      </c>
      <c r="Q29" s="229" t="str">
        <f t="shared" si="22"/>
        <v/>
      </c>
      <c r="R29" s="230" t="str">
        <f t="shared" si="23"/>
        <v/>
      </c>
      <c r="S29" s="230" t="str">
        <f t="shared" si="24"/>
        <v/>
      </c>
      <c r="T29" s="351"/>
      <c r="U29" s="43"/>
      <c r="V29" s="42" t="str">
        <f t="shared" si="0"/>
        <v/>
      </c>
      <c r="W29" s="42" t="e">
        <f>IF(#REF!="","",#REF!)</f>
        <v>#REF!</v>
      </c>
      <c r="X29" s="31" t="str">
        <f t="shared" si="1"/>
        <v/>
      </c>
      <c r="Y29" s="7" t="e">
        <f t="shared" si="2"/>
        <v>#N/A</v>
      </c>
      <c r="Z29" s="7" t="e">
        <f t="shared" si="3"/>
        <v>#N/A</v>
      </c>
      <c r="AA29" s="7" t="e">
        <f t="shared" si="4"/>
        <v>#N/A</v>
      </c>
      <c r="AB29" s="7" t="str">
        <f t="shared" si="5"/>
        <v/>
      </c>
      <c r="AC29" s="11">
        <f t="shared" si="6"/>
        <v>1</v>
      </c>
      <c r="AD29" s="7" t="e">
        <f t="shared" si="7"/>
        <v>#N/A</v>
      </c>
      <c r="AE29" s="7" t="e">
        <f t="shared" si="8"/>
        <v>#N/A</v>
      </c>
      <c r="AF29" s="7" t="e">
        <f t="shared" si="9"/>
        <v>#N/A</v>
      </c>
      <c r="AG29" s="472" t="e">
        <f>VLOOKUP(AI29,'排出係数(2017)'!$A$4:$I$1151,9,FALSE)</f>
        <v>#N/A</v>
      </c>
      <c r="AH29" s="12" t="str">
        <f t="shared" si="10"/>
        <v xml:space="preserve"> </v>
      </c>
      <c r="AI29" s="7" t="e">
        <f t="shared" si="25"/>
        <v>#N/A</v>
      </c>
      <c r="AJ29" s="7" t="e">
        <f t="shared" si="11"/>
        <v>#N/A</v>
      </c>
      <c r="AK29" s="472" t="e">
        <f>VLOOKUP(AI29,'排出係数(2017)'!$A$4:$I$1151,6,FALSE)</f>
        <v>#N/A</v>
      </c>
      <c r="AL29" s="7" t="e">
        <f t="shared" si="12"/>
        <v>#N/A</v>
      </c>
      <c r="AM29" s="7" t="e">
        <f t="shared" si="13"/>
        <v>#N/A</v>
      </c>
      <c r="AN29" s="472" t="e">
        <f>VLOOKUP(AI29,'排出係数(2017)'!$A$4:$I$1151,7,FALSE)</f>
        <v>#N/A</v>
      </c>
      <c r="AO29" s="7" t="e">
        <f t="shared" si="14"/>
        <v>#N/A</v>
      </c>
      <c r="AP29" s="7" t="e">
        <f t="shared" si="15"/>
        <v>#N/A</v>
      </c>
      <c r="AQ29" s="7" t="e">
        <f t="shared" si="26"/>
        <v>#N/A</v>
      </c>
      <c r="AR29" s="7">
        <f t="shared" si="16"/>
        <v>0</v>
      </c>
      <c r="AS29" s="7" t="e">
        <f t="shared" si="27"/>
        <v>#N/A</v>
      </c>
      <c r="AT29" s="7" t="str">
        <f t="shared" si="17"/>
        <v/>
      </c>
      <c r="AU29" s="7" t="str">
        <f t="shared" si="18"/>
        <v/>
      </c>
      <c r="AV29" s="7" t="str">
        <f t="shared" si="19"/>
        <v/>
      </c>
      <c r="AW29" s="7" t="str">
        <f t="shared" si="20"/>
        <v/>
      </c>
      <c r="AX29" s="97"/>
      <c r="BD29" s="453" t="s">
        <v>566</v>
      </c>
      <c r="BI29" s="18" t="s">
        <v>1963</v>
      </c>
      <c r="BJ29" s="13" t="s">
        <v>1962</v>
      </c>
      <c r="BK29" s="13" t="s">
        <v>1962</v>
      </c>
      <c r="BM29" s="18"/>
      <c r="BN29" s="13">
        <v>13</v>
      </c>
      <c r="CG29"/>
      <c r="CH29"/>
      <c r="CK29" s="592" t="str">
        <f t="shared" si="28"/>
        <v/>
      </c>
      <c r="CL29" s="421" t="str">
        <f t="shared" si="29"/>
        <v/>
      </c>
      <c r="CM29" s="594"/>
      <c r="CN29" s="594"/>
      <c r="CO29" s="594"/>
      <c r="CP29" s="594"/>
      <c r="CQ29" s="594"/>
      <c r="CR29" s="594"/>
    </row>
    <row r="30" spans="1:96" s="13" customFormat="1" ht="13.75" customHeight="1">
      <c r="A30" s="137">
        <v>15</v>
      </c>
      <c r="B30" s="134"/>
      <c r="C30" s="8"/>
      <c r="D30" s="100"/>
      <c r="E30" s="8"/>
      <c r="F30" s="8"/>
      <c r="G30" s="190"/>
      <c r="H30" s="8"/>
      <c r="I30" s="9"/>
      <c r="J30" s="10"/>
      <c r="K30" s="8"/>
      <c r="L30" s="145"/>
      <c r="M30" s="146"/>
      <c r="N30" s="8"/>
      <c r="O30" s="589"/>
      <c r="P30" s="229" t="str">
        <f t="shared" si="21"/>
        <v/>
      </c>
      <c r="Q30" s="229" t="str">
        <f t="shared" si="22"/>
        <v/>
      </c>
      <c r="R30" s="230" t="str">
        <f t="shared" si="23"/>
        <v/>
      </c>
      <c r="S30" s="230" t="str">
        <f t="shared" si="24"/>
        <v/>
      </c>
      <c r="T30" s="351"/>
      <c r="U30" s="43"/>
      <c r="V30" s="42" t="str">
        <f t="shared" si="0"/>
        <v/>
      </c>
      <c r="W30" s="42" t="e">
        <f>IF(#REF!="","",#REF!)</f>
        <v>#REF!</v>
      </c>
      <c r="X30" s="31" t="str">
        <f t="shared" si="1"/>
        <v/>
      </c>
      <c r="Y30" s="7" t="e">
        <f t="shared" si="2"/>
        <v>#N/A</v>
      </c>
      <c r="Z30" s="7" t="e">
        <f t="shared" si="3"/>
        <v>#N/A</v>
      </c>
      <c r="AA30" s="7" t="e">
        <f t="shared" si="4"/>
        <v>#N/A</v>
      </c>
      <c r="AB30" s="7" t="str">
        <f t="shared" si="5"/>
        <v/>
      </c>
      <c r="AC30" s="11">
        <f t="shared" si="6"/>
        <v>1</v>
      </c>
      <c r="AD30" s="7" t="e">
        <f t="shared" si="7"/>
        <v>#N/A</v>
      </c>
      <c r="AE30" s="7" t="e">
        <f t="shared" si="8"/>
        <v>#N/A</v>
      </c>
      <c r="AF30" s="7" t="e">
        <f t="shared" si="9"/>
        <v>#N/A</v>
      </c>
      <c r="AG30" s="472" t="e">
        <f>VLOOKUP(AI30,'排出係数(2017)'!$A$4:$I$1151,9,FALSE)</f>
        <v>#N/A</v>
      </c>
      <c r="AH30" s="12" t="str">
        <f t="shared" si="10"/>
        <v xml:space="preserve"> </v>
      </c>
      <c r="AI30" s="7" t="e">
        <f t="shared" si="25"/>
        <v>#N/A</v>
      </c>
      <c r="AJ30" s="7" t="e">
        <f t="shared" si="11"/>
        <v>#N/A</v>
      </c>
      <c r="AK30" s="472" t="e">
        <f>VLOOKUP(AI30,'排出係数(2017)'!$A$4:$I$1151,6,FALSE)</f>
        <v>#N/A</v>
      </c>
      <c r="AL30" s="7" t="e">
        <f t="shared" si="12"/>
        <v>#N/A</v>
      </c>
      <c r="AM30" s="7" t="e">
        <f t="shared" si="13"/>
        <v>#N/A</v>
      </c>
      <c r="AN30" s="472" t="e">
        <f>VLOOKUP(AI30,'排出係数(2017)'!$A$4:$I$1151,7,FALSE)</f>
        <v>#N/A</v>
      </c>
      <c r="AO30" s="7" t="e">
        <f t="shared" si="14"/>
        <v>#N/A</v>
      </c>
      <c r="AP30" s="7" t="e">
        <f t="shared" si="15"/>
        <v>#N/A</v>
      </c>
      <c r="AQ30" s="7" t="e">
        <f t="shared" si="26"/>
        <v>#N/A</v>
      </c>
      <c r="AR30" s="7">
        <f t="shared" si="16"/>
        <v>0</v>
      </c>
      <c r="AS30" s="7" t="e">
        <f t="shared" si="27"/>
        <v>#N/A</v>
      </c>
      <c r="AT30" s="7" t="str">
        <f t="shared" si="17"/>
        <v/>
      </c>
      <c r="AU30" s="7" t="str">
        <f t="shared" si="18"/>
        <v/>
      </c>
      <c r="AV30" s="7" t="str">
        <f t="shared" si="19"/>
        <v/>
      </c>
      <c r="AW30" s="7" t="str">
        <f t="shared" si="20"/>
        <v/>
      </c>
      <c r="AX30" s="97"/>
      <c r="BD30" s="453" t="s">
        <v>717</v>
      </c>
      <c r="BI30" s="18"/>
      <c r="BM30" s="18"/>
      <c r="BN30" s="13">
        <v>14</v>
      </c>
      <c r="CG30"/>
      <c r="CH30"/>
      <c r="CK30" s="592" t="str">
        <f t="shared" si="28"/>
        <v/>
      </c>
      <c r="CL30" s="421" t="str">
        <f t="shared" si="29"/>
        <v/>
      </c>
      <c r="CM30" s="594"/>
      <c r="CN30" s="594"/>
      <c r="CO30" s="594"/>
      <c r="CP30" s="594"/>
      <c r="CQ30" s="594"/>
      <c r="CR30" s="594"/>
    </row>
    <row r="31" spans="1:96" s="13" customFormat="1" ht="13.75" customHeight="1">
      <c r="A31" s="137">
        <v>16</v>
      </c>
      <c r="B31" s="134"/>
      <c r="C31" s="8"/>
      <c r="D31" s="100"/>
      <c r="E31" s="8"/>
      <c r="F31" s="8"/>
      <c r="G31" s="190"/>
      <c r="H31" s="8"/>
      <c r="I31" s="9"/>
      <c r="J31" s="10"/>
      <c r="K31" s="8"/>
      <c r="L31" s="145"/>
      <c r="M31" s="146"/>
      <c r="N31" s="8"/>
      <c r="O31" s="589"/>
      <c r="P31" s="229" t="str">
        <f t="shared" si="21"/>
        <v/>
      </c>
      <c r="Q31" s="229" t="str">
        <f t="shared" si="22"/>
        <v/>
      </c>
      <c r="R31" s="230" t="str">
        <f t="shared" si="23"/>
        <v/>
      </c>
      <c r="S31" s="230" t="str">
        <f t="shared" si="24"/>
        <v/>
      </c>
      <c r="T31" s="351"/>
      <c r="U31" s="43"/>
      <c r="V31" s="42" t="str">
        <f t="shared" si="0"/>
        <v/>
      </c>
      <c r="W31" s="42" t="e">
        <f>IF(#REF!="","",#REF!)</f>
        <v>#REF!</v>
      </c>
      <c r="X31" s="31" t="str">
        <f t="shared" si="1"/>
        <v/>
      </c>
      <c r="Y31" s="7" t="e">
        <f t="shared" si="2"/>
        <v>#N/A</v>
      </c>
      <c r="Z31" s="7" t="e">
        <f t="shared" si="3"/>
        <v>#N/A</v>
      </c>
      <c r="AA31" s="7" t="e">
        <f t="shared" si="4"/>
        <v>#N/A</v>
      </c>
      <c r="AB31" s="7" t="str">
        <f t="shared" si="5"/>
        <v/>
      </c>
      <c r="AC31" s="11">
        <f t="shared" si="6"/>
        <v>1</v>
      </c>
      <c r="AD31" s="7" t="e">
        <f t="shared" si="7"/>
        <v>#N/A</v>
      </c>
      <c r="AE31" s="7" t="e">
        <f t="shared" si="8"/>
        <v>#N/A</v>
      </c>
      <c r="AF31" s="7" t="e">
        <f t="shared" si="9"/>
        <v>#N/A</v>
      </c>
      <c r="AG31" s="472" t="e">
        <f>VLOOKUP(AI31,'排出係数(2017)'!$A$4:$I$1151,9,FALSE)</f>
        <v>#N/A</v>
      </c>
      <c r="AH31" s="12" t="str">
        <f t="shared" si="10"/>
        <v xml:space="preserve"> </v>
      </c>
      <c r="AI31" s="7" t="e">
        <f t="shared" si="25"/>
        <v>#N/A</v>
      </c>
      <c r="AJ31" s="7" t="e">
        <f t="shared" si="11"/>
        <v>#N/A</v>
      </c>
      <c r="AK31" s="472" t="e">
        <f>VLOOKUP(AI31,'排出係数(2017)'!$A$4:$I$1151,6,FALSE)</f>
        <v>#N/A</v>
      </c>
      <c r="AL31" s="7" t="e">
        <f t="shared" si="12"/>
        <v>#N/A</v>
      </c>
      <c r="AM31" s="7" t="e">
        <f t="shared" si="13"/>
        <v>#N/A</v>
      </c>
      <c r="AN31" s="472" t="e">
        <f>VLOOKUP(AI31,'排出係数(2017)'!$A$4:$I$1151,7,FALSE)</f>
        <v>#N/A</v>
      </c>
      <c r="AO31" s="7" t="e">
        <f t="shared" si="14"/>
        <v>#N/A</v>
      </c>
      <c r="AP31" s="7" t="e">
        <f t="shared" si="15"/>
        <v>#N/A</v>
      </c>
      <c r="AQ31" s="7" t="e">
        <f t="shared" si="26"/>
        <v>#N/A</v>
      </c>
      <c r="AR31" s="7">
        <f t="shared" si="16"/>
        <v>0</v>
      </c>
      <c r="AS31" s="7" t="e">
        <f t="shared" si="27"/>
        <v>#N/A</v>
      </c>
      <c r="AT31" s="7" t="str">
        <f t="shared" si="17"/>
        <v/>
      </c>
      <c r="AU31" s="7" t="str">
        <f t="shared" si="18"/>
        <v/>
      </c>
      <c r="AV31" s="7" t="str">
        <f t="shared" si="19"/>
        <v/>
      </c>
      <c r="AW31" s="7" t="str">
        <f t="shared" si="20"/>
        <v/>
      </c>
      <c r="AX31" s="97"/>
      <c r="BD31" s="467" t="s">
        <v>1009</v>
      </c>
      <c r="BF31" s="14"/>
      <c r="BG31" s="14"/>
      <c r="BH31" s="14"/>
      <c r="BI31" s="18"/>
      <c r="BN31" s="13">
        <v>15</v>
      </c>
      <c r="CG31"/>
      <c r="CH31"/>
      <c r="CK31" s="592" t="str">
        <f t="shared" si="28"/>
        <v/>
      </c>
      <c r="CL31" s="421" t="str">
        <f t="shared" si="29"/>
        <v/>
      </c>
      <c r="CM31" s="594"/>
      <c r="CN31" s="594"/>
      <c r="CO31" s="594"/>
      <c r="CP31" s="594"/>
      <c r="CQ31" s="594"/>
      <c r="CR31" s="594"/>
    </row>
    <row r="32" spans="1:96" s="13" customFormat="1" ht="13.75" customHeight="1">
      <c r="A32" s="137">
        <v>17</v>
      </c>
      <c r="B32" s="134"/>
      <c r="C32" s="8"/>
      <c r="D32" s="100"/>
      <c r="E32" s="8"/>
      <c r="F32" s="8"/>
      <c r="G32" s="190"/>
      <c r="H32" s="8"/>
      <c r="I32" s="9"/>
      <c r="J32" s="10"/>
      <c r="K32" s="8"/>
      <c r="L32" s="145"/>
      <c r="M32" s="146"/>
      <c r="N32" s="8"/>
      <c r="O32" s="589"/>
      <c r="P32" s="229" t="str">
        <f t="shared" si="21"/>
        <v/>
      </c>
      <c r="Q32" s="229" t="str">
        <f t="shared" si="22"/>
        <v/>
      </c>
      <c r="R32" s="230" t="str">
        <f t="shared" si="23"/>
        <v/>
      </c>
      <c r="S32" s="230" t="str">
        <f t="shared" si="24"/>
        <v/>
      </c>
      <c r="T32" s="351"/>
      <c r="U32" s="43"/>
      <c r="V32" s="42" t="str">
        <f t="shared" si="0"/>
        <v/>
      </c>
      <c r="W32" s="42" t="e">
        <f>IF(#REF!="","",#REF!)</f>
        <v>#REF!</v>
      </c>
      <c r="X32" s="31" t="str">
        <f t="shared" si="1"/>
        <v/>
      </c>
      <c r="Y32" s="7" t="e">
        <f t="shared" si="2"/>
        <v>#N/A</v>
      </c>
      <c r="Z32" s="7" t="e">
        <f t="shared" si="3"/>
        <v>#N/A</v>
      </c>
      <c r="AA32" s="7" t="e">
        <f t="shared" si="4"/>
        <v>#N/A</v>
      </c>
      <c r="AB32" s="7" t="str">
        <f t="shared" si="5"/>
        <v/>
      </c>
      <c r="AC32" s="11">
        <f t="shared" si="6"/>
        <v>1</v>
      </c>
      <c r="AD32" s="7" t="e">
        <f t="shared" si="7"/>
        <v>#N/A</v>
      </c>
      <c r="AE32" s="7" t="e">
        <f t="shared" si="8"/>
        <v>#N/A</v>
      </c>
      <c r="AF32" s="7" t="e">
        <f t="shared" si="9"/>
        <v>#N/A</v>
      </c>
      <c r="AG32" s="472" t="e">
        <f>VLOOKUP(AI32,'排出係数(2017)'!$A$4:$I$1151,9,FALSE)</f>
        <v>#N/A</v>
      </c>
      <c r="AH32" s="12" t="str">
        <f t="shared" si="10"/>
        <v xml:space="preserve"> </v>
      </c>
      <c r="AI32" s="7" t="e">
        <f t="shared" si="25"/>
        <v>#N/A</v>
      </c>
      <c r="AJ32" s="7" t="e">
        <f t="shared" si="11"/>
        <v>#N/A</v>
      </c>
      <c r="AK32" s="472" t="e">
        <f>VLOOKUP(AI32,'排出係数(2017)'!$A$4:$I$1151,6,FALSE)</f>
        <v>#N/A</v>
      </c>
      <c r="AL32" s="7" t="e">
        <f t="shared" si="12"/>
        <v>#N/A</v>
      </c>
      <c r="AM32" s="7" t="e">
        <f t="shared" si="13"/>
        <v>#N/A</v>
      </c>
      <c r="AN32" s="472" t="e">
        <f>VLOOKUP(AI32,'排出係数(2017)'!$A$4:$I$1151,7,FALSE)</f>
        <v>#N/A</v>
      </c>
      <c r="AO32" s="7" t="e">
        <f t="shared" si="14"/>
        <v>#N/A</v>
      </c>
      <c r="AP32" s="7" t="e">
        <f t="shared" si="15"/>
        <v>#N/A</v>
      </c>
      <c r="AQ32" s="7" t="e">
        <f t="shared" si="26"/>
        <v>#N/A</v>
      </c>
      <c r="AR32" s="7">
        <f t="shared" si="16"/>
        <v>0</v>
      </c>
      <c r="AS32" s="7" t="e">
        <f t="shared" si="27"/>
        <v>#N/A</v>
      </c>
      <c r="AT32" s="7" t="str">
        <f t="shared" si="17"/>
        <v/>
      </c>
      <c r="AU32" s="7" t="str">
        <f t="shared" si="18"/>
        <v/>
      </c>
      <c r="AV32" s="7" t="str">
        <f t="shared" si="19"/>
        <v/>
      </c>
      <c r="AW32" s="7" t="str">
        <f t="shared" si="20"/>
        <v/>
      </c>
      <c r="AX32" s="97"/>
      <c r="BD32" s="453" t="s">
        <v>1542</v>
      </c>
      <c r="BF32" s="15"/>
      <c r="BG32" s="15"/>
      <c r="BH32" s="15"/>
      <c r="BI32" s="18"/>
      <c r="BN32" s="13">
        <v>16</v>
      </c>
      <c r="CG32"/>
      <c r="CH32"/>
      <c r="CK32" s="592" t="str">
        <f t="shared" si="28"/>
        <v/>
      </c>
      <c r="CL32" s="421" t="str">
        <f t="shared" si="29"/>
        <v/>
      </c>
      <c r="CM32" s="594"/>
      <c r="CN32" s="594"/>
      <c r="CO32" s="594"/>
      <c r="CP32" s="594"/>
      <c r="CQ32" s="594"/>
      <c r="CR32" s="594"/>
    </row>
    <row r="33" spans="1:96" s="13" customFormat="1" ht="13.75" customHeight="1">
      <c r="A33" s="137">
        <v>18</v>
      </c>
      <c r="B33" s="134"/>
      <c r="C33" s="8"/>
      <c r="D33" s="100"/>
      <c r="E33" s="8"/>
      <c r="F33" s="8"/>
      <c r="G33" s="190"/>
      <c r="H33" s="8"/>
      <c r="I33" s="9"/>
      <c r="J33" s="10"/>
      <c r="K33" s="8"/>
      <c r="L33" s="145"/>
      <c r="M33" s="146"/>
      <c r="N33" s="8"/>
      <c r="O33" s="589"/>
      <c r="P33" s="229" t="str">
        <f t="shared" si="21"/>
        <v/>
      </c>
      <c r="Q33" s="229" t="str">
        <f t="shared" si="22"/>
        <v/>
      </c>
      <c r="R33" s="230" t="str">
        <f t="shared" si="23"/>
        <v/>
      </c>
      <c r="S33" s="230" t="str">
        <f t="shared" si="24"/>
        <v/>
      </c>
      <c r="T33" s="351"/>
      <c r="U33" s="43"/>
      <c r="V33" s="42" t="str">
        <f t="shared" si="0"/>
        <v/>
      </c>
      <c r="W33" s="42" t="e">
        <f>IF(#REF!="","",#REF!)</f>
        <v>#REF!</v>
      </c>
      <c r="X33" s="31" t="str">
        <f t="shared" si="1"/>
        <v/>
      </c>
      <c r="Y33" s="7" t="e">
        <f t="shared" si="2"/>
        <v>#N/A</v>
      </c>
      <c r="Z33" s="7" t="e">
        <f t="shared" si="3"/>
        <v>#N/A</v>
      </c>
      <c r="AA33" s="7" t="e">
        <f t="shared" si="4"/>
        <v>#N/A</v>
      </c>
      <c r="AB33" s="7" t="str">
        <f t="shared" si="5"/>
        <v/>
      </c>
      <c r="AC33" s="11">
        <f t="shared" si="6"/>
        <v>1</v>
      </c>
      <c r="AD33" s="7" t="e">
        <f t="shared" si="7"/>
        <v>#N/A</v>
      </c>
      <c r="AE33" s="7" t="e">
        <f t="shared" si="8"/>
        <v>#N/A</v>
      </c>
      <c r="AF33" s="7" t="e">
        <f t="shared" si="9"/>
        <v>#N/A</v>
      </c>
      <c r="AG33" s="472" t="e">
        <f>VLOOKUP(AI33,'排出係数(2017)'!$A$4:$I$1151,9,FALSE)</f>
        <v>#N/A</v>
      </c>
      <c r="AH33" s="12" t="str">
        <f t="shared" si="10"/>
        <v xml:space="preserve"> </v>
      </c>
      <c r="AI33" s="7" t="e">
        <f t="shared" si="25"/>
        <v>#N/A</v>
      </c>
      <c r="AJ33" s="7" t="e">
        <f t="shared" si="11"/>
        <v>#N/A</v>
      </c>
      <c r="AK33" s="472" t="e">
        <f>VLOOKUP(AI33,'排出係数(2017)'!$A$4:$I$1151,6,FALSE)</f>
        <v>#N/A</v>
      </c>
      <c r="AL33" s="7" t="e">
        <f t="shared" si="12"/>
        <v>#N/A</v>
      </c>
      <c r="AM33" s="7" t="e">
        <f t="shared" si="13"/>
        <v>#N/A</v>
      </c>
      <c r="AN33" s="472" t="e">
        <f>VLOOKUP(AI33,'排出係数(2017)'!$A$4:$I$1151,7,FALSE)</f>
        <v>#N/A</v>
      </c>
      <c r="AO33" s="7" t="e">
        <f t="shared" si="14"/>
        <v>#N/A</v>
      </c>
      <c r="AP33" s="7" t="e">
        <f t="shared" si="15"/>
        <v>#N/A</v>
      </c>
      <c r="AQ33" s="7" t="e">
        <f t="shared" si="26"/>
        <v>#N/A</v>
      </c>
      <c r="AR33" s="7">
        <f t="shared" si="16"/>
        <v>0</v>
      </c>
      <c r="AS33" s="7" t="e">
        <f t="shared" si="27"/>
        <v>#N/A</v>
      </c>
      <c r="AT33" s="7" t="str">
        <f t="shared" si="17"/>
        <v/>
      </c>
      <c r="AU33" s="7" t="str">
        <f t="shared" si="18"/>
        <v/>
      </c>
      <c r="AV33" s="7" t="str">
        <f t="shared" si="19"/>
        <v/>
      </c>
      <c r="AW33" s="7" t="str">
        <f t="shared" si="20"/>
        <v/>
      </c>
      <c r="AX33" s="97"/>
      <c r="BD33" s="453" t="s">
        <v>1544</v>
      </c>
      <c r="BF33" s="15"/>
      <c r="BG33" s="15"/>
      <c r="BH33" s="15"/>
      <c r="BN33" s="13">
        <v>17</v>
      </c>
      <c r="CG33"/>
      <c r="CH33"/>
      <c r="CK33" s="592" t="str">
        <f t="shared" si="28"/>
        <v/>
      </c>
      <c r="CL33" s="421" t="str">
        <f t="shared" si="29"/>
        <v/>
      </c>
      <c r="CM33" s="594"/>
      <c r="CN33" s="594"/>
      <c r="CO33" s="594"/>
      <c r="CP33" s="594"/>
      <c r="CQ33" s="594"/>
      <c r="CR33" s="594"/>
    </row>
    <row r="34" spans="1:96" s="13" customFormat="1" ht="13.75" customHeight="1">
      <c r="A34" s="137">
        <v>19</v>
      </c>
      <c r="B34" s="134"/>
      <c r="C34" s="8"/>
      <c r="D34" s="100"/>
      <c r="E34" s="8"/>
      <c r="F34" s="8"/>
      <c r="G34" s="190"/>
      <c r="H34" s="8"/>
      <c r="I34" s="9"/>
      <c r="J34" s="10"/>
      <c r="K34" s="8"/>
      <c r="L34" s="145"/>
      <c r="M34" s="146"/>
      <c r="N34" s="8"/>
      <c r="O34" s="589"/>
      <c r="P34" s="229" t="str">
        <f t="shared" si="21"/>
        <v/>
      </c>
      <c r="Q34" s="229" t="str">
        <f t="shared" si="22"/>
        <v/>
      </c>
      <c r="R34" s="230" t="str">
        <f t="shared" si="23"/>
        <v/>
      </c>
      <c r="S34" s="230" t="str">
        <f t="shared" si="24"/>
        <v/>
      </c>
      <c r="T34" s="351"/>
      <c r="U34" s="43"/>
      <c r="V34" s="42" t="str">
        <f t="shared" si="0"/>
        <v/>
      </c>
      <c r="W34" s="42" t="e">
        <f>IF(#REF!="","",#REF!)</f>
        <v>#REF!</v>
      </c>
      <c r="X34" s="31" t="str">
        <f t="shared" si="1"/>
        <v/>
      </c>
      <c r="Y34" s="7" t="e">
        <f t="shared" si="2"/>
        <v>#N/A</v>
      </c>
      <c r="Z34" s="7" t="e">
        <f t="shared" si="3"/>
        <v>#N/A</v>
      </c>
      <c r="AA34" s="7" t="e">
        <f t="shared" si="4"/>
        <v>#N/A</v>
      </c>
      <c r="AB34" s="7" t="str">
        <f t="shared" si="5"/>
        <v/>
      </c>
      <c r="AC34" s="11">
        <f t="shared" si="6"/>
        <v>1</v>
      </c>
      <c r="AD34" s="7" t="e">
        <f t="shared" si="7"/>
        <v>#N/A</v>
      </c>
      <c r="AE34" s="7" t="e">
        <f t="shared" si="8"/>
        <v>#N/A</v>
      </c>
      <c r="AF34" s="7" t="e">
        <f t="shared" si="9"/>
        <v>#N/A</v>
      </c>
      <c r="AG34" s="472" t="e">
        <f>VLOOKUP(AI34,'排出係数(2017)'!$A$4:$I$1151,9,FALSE)</f>
        <v>#N/A</v>
      </c>
      <c r="AH34" s="12" t="str">
        <f t="shared" si="10"/>
        <v xml:space="preserve"> </v>
      </c>
      <c r="AI34" s="7" t="e">
        <f t="shared" si="25"/>
        <v>#N/A</v>
      </c>
      <c r="AJ34" s="7" t="e">
        <f t="shared" si="11"/>
        <v>#N/A</v>
      </c>
      <c r="AK34" s="472" t="e">
        <f>VLOOKUP(AI34,'排出係数(2017)'!$A$4:$I$1151,6,FALSE)</f>
        <v>#N/A</v>
      </c>
      <c r="AL34" s="7" t="e">
        <f t="shared" si="12"/>
        <v>#N/A</v>
      </c>
      <c r="AM34" s="7" t="e">
        <f t="shared" si="13"/>
        <v>#N/A</v>
      </c>
      <c r="AN34" s="472" t="e">
        <f>VLOOKUP(AI34,'排出係数(2017)'!$A$4:$I$1151,7,FALSE)</f>
        <v>#N/A</v>
      </c>
      <c r="AO34" s="7" t="e">
        <f t="shared" si="14"/>
        <v>#N/A</v>
      </c>
      <c r="AP34" s="7" t="e">
        <f t="shared" si="15"/>
        <v>#N/A</v>
      </c>
      <c r="AQ34" s="7" t="e">
        <f t="shared" si="26"/>
        <v>#N/A</v>
      </c>
      <c r="AR34" s="7">
        <f t="shared" si="16"/>
        <v>0</v>
      </c>
      <c r="AS34" s="7" t="e">
        <f t="shared" si="27"/>
        <v>#N/A</v>
      </c>
      <c r="AT34" s="7" t="str">
        <f t="shared" si="17"/>
        <v/>
      </c>
      <c r="AU34" s="7" t="str">
        <f t="shared" si="18"/>
        <v/>
      </c>
      <c r="AV34" s="7" t="str">
        <f t="shared" si="19"/>
        <v/>
      </c>
      <c r="AW34" s="7" t="str">
        <f t="shared" si="20"/>
        <v/>
      </c>
      <c r="AX34" s="97"/>
      <c r="BD34" s="453" t="s">
        <v>562</v>
      </c>
      <c r="BF34" s="15"/>
      <c r="BG34" s="15"/>
      <c r="BH34" s="15"/>
      <c r="BI34" s="18"/>
      <c r="BN34" s="13">
        <v>18</v>
      </c>
      <c r="CG34"/>
      <c r="CH34"/>
      <c r="CK34" s="592" t="str">
        <f t="shared" si="28"/>
        <v/>
      </c>
      <c r="CL34" s="421" t="str">
        <f t="shared" si="29"/>
        <v/>
      </c>
      <c r="CM34" s="594"/>
      <c r="CN34" s="594"/>
      <c r="CO34" s="594"/>
      <c r="CP34" s="594"/>
      <c r="CQ34" s="594"/>
      <c r="CR34" s="594"/>
    </row>
    <row r="35" spans="1:96" s="13" customFormat="1" ht="13.75" customHeight="1">
      <c r="A35" s="137">
        <v>20</v>
      </c>
      <c r="B35" s="134"/>
      <c r="C35" s="8"/>
      <c r="D35" s="100"/>
      <c r="E35" s="8"/>
      <c r="F35" s="8"/>
      <c r="G35" s="190"/>
      <c r="H35" s="8"/>
      <c r="I35" s="9"/>
      <c r="J35" s="10"/>
      <c r="K35" s="8"/>
      <c r="L35" s="145"/>
      <c r="M35" s="146"/>
      <c r="N35" s="8"/>
      <c r="O35" s="589"/>
      <c r="P35" s="229" t="str">
        <f t="shared" si="21"/>
        <v/>
      </c>
      <c r="Q35" s="229" t="str">
        <f t="shared" si="22"/>
        <v/>
      </c>
      <c r="R35" s="230" t="str">
        <f t="shared" si="23"/>
        <v/>
      </c>
      <c r="S35" s="230" t="str">
        <f t="shared" si="24"/>
        <v/>
      </c>
      <c r="T35" s="351"/>
      <c r="U35" s="43"/>
      <c r="V35" s="42" t="str">
        <f t="shared" si="0"/>
        <v/>
      </c>
      <c r="W35" s="42" t="e">
        <f>IF(#REF!="","",#REF!)</f>
        <v>#REF!</v>
      </c>
      <c r="X35" s="31" t="str">
        <f t="shared" si="1"/>
        <v/>
      </c>
      <c r="Y35" s="7" t="e">
        <f t="shared" si="2"/>
        <v>#N/A</v>
      </c>
      <c r="Z35" s="7" t="e">
        <f t="shared" si="3"/>
        <v>#N/A</v>
      </c>
      <c r="AA35" s="7" t="e">
        <f t="shared" si="4"/>
        <v>#N/A</v>
      </c>
      <c r="AB35" s="7" t="str">
        <f t="shared" si="5"/>
        <v/>
      </c>
      <c r="AC35" s="11">
        <f t="shared" si="6"/>
        <v>1</v>
      </c>
      <c r="AD35" s="7" t="e">
        <f t="shared" si="7"/>
        <v>#N/A</v>
      </c>
      <c r="AE35" s="7" t="e">
        <f t="shared" si="8"/>
        <v>#N/A</v>
      </c>
      <c r="AF35" s="7" t="e">
        <f t="shared" si="9"/>
        <v>#N/A</v>
      </c>
      <c r="AG35" s="472" t="e">
        <f>VLOOKUP(AI35,'排出係数(2017)'!$A$4:$I$1151,9,FALSE)</f>
        <v>#N/A</v>
      </c>
      <c r="AH35" s="12" t="str">
        <f t="shared" si="10"/>
        <v xml:space="preserve"> </v>
      </c>
      <c r="AI35" s="7" t="e">
        <f t="shared" si="25"/>
        <v>#N/A</v>
      </c>
      <c r="AJ35" s="7" t="e">
        <f t="shared" si="11"/>
        <v>#N/A</v>
      </c>
      <c r="AK35" s="472" t="e">
        <f>VLOOKUP(AI35,'排出係数(2017)'!$A$4:$I$1151,6,FALSE)</f>
        <v>#N/A</v>
      </c>
      <c r="AL35" s="7" t="e">
        <f t="shared" si="12"/>
        <v>#N/A</v>
      </c>
      <c r="AM35" s="7" t="e">
        <f t="shared" si="13"/>
        <v>#N/A</v>
      </c>
      <c r="AN35" s="472" t="e">
        <f>VLOOKUP(AI35,'排出係数(2017)'!$A$4:$I$1151,7,FALSE)</f>
        <v>#N/A</v>
      </c>
      <c r="AO35" s="7" t="e">
        <f t="shared" si="14"/>
        <v>#N/A</v>
      </c>
      <c r="AP35" s="7" t="e">
        <f t="shared" si="15"/>
        <v>#N/A</v>
      </c>
      <c r="AQ35" s="7" t="e">
        <f t="shared" si="26"/>
        <v>#N/A</v>
      </c>
      <c r="AR35" s="7">
        <f t="shared" si="16"/>
        <v>0</v>
      </c>
      <c r="AS35" s="7" t="e">
        <f t="shared" si="27"/>
        <v>#N/A</v>
      </c>
      <c r="AT35" s="7" t="str">
        <f t="shared" si="17"/>
        <v/>
      </c>
      <c r="AU35" s="7" t="str">
        <f t="shared" si="18"/>
        <v/>
      </c>
      <c r="AV35" s="7" t="str">
        <f t="shared" si="19"/>
        <v/>
      </c>
      <c r="AW35" s="7" t="str">
        <f t="shared" si="20"/>
        <v/>
      </c>
      <c r="AX35" s="97"/>
      <c r="BD35" s="453" t="s">
        <v>713</v>
      </c>
      <c r="BF35" s="15"/>
      <c r="BG35" s="15"/>
      <c r="BH35" s="15"/>
      <c r="BN35" s="13">
        <v>19</v>
      </c>
      <c r="CG35"/>
      <c r="CH35"/>
      <c r="CK35" s="592" t="str">
        <f t="shared" si="28"/>
        <v/>
      </c>
      <c r="CL35" s="421" t="str">
        <f t="shared" si="29"/>
        <v/>
      </c>
      <c r="CM35" s="594"/>
      <c r="CN35" s="594"/>
      <c r="CO35" s="594"/>
      <c r="CP35" s="594"/>
      <c r="CQ35" s="594"/>
      <c r="CR35" s="594"/>
    </row>
    <row r="36" spans="1:96" s="13" customFormat="1" ht="13.75" customHeight="1">
      <c r="A36" s="137">
        <v>21</v>
      </c>
      <c r="B36" s="134"/>
      <c r="C36" s="8"/>
      <c r="D36" s="100"/>
      <c r="E36" s="8"/>
      <c r="F36" s="8"/>
      <c r="G36" s="190"/>
      <c r="H36" s="8"/>
      <c r="I36" s="9"/>
      <c r="J36" s="10"/>
      <c r="K36" s="8"/>
      <c r="L36" s="145"/>
      <c r="M36" s="146"/>
      <c r="N36" s="8"/>
      <c r="O36" s="589"/>
      <c r="P36" s="229" t="str">
        <f t="shared" si="21"/>
        <v/>
      </c>
      <c r="Q36" s="229" t="str">
        <f t="shared" si="22"/>
        <v/>
      </c>
      <c r="R36" s="230" t="str">
        <f t="shared" si="23"/>
        <v/>
      </c>
      <c r="S36" s="230" t="str">
        <f t="shared" si="24"/>
        <v/>
      </c>
      <c r="T36" s="351"/>
      <c r="U36" s="43"/>
      <c r="V36" s="42" t="str">
        <f t="shared" si="0"/>
        <v/>
      </c>
      <c r="W36" s="42" t="e">
        <f>IF(#REF!="","",#REF!)</f>
        <v>#REF!</v>
      </c>
      <c r="X36" s="31" t="str">
        <f t="shared" si="1"/>
        <v/>
      </c>
      <c r="Y36" s="7" t="e">
        <f t="shared" si="2"/>
        <v>#N/A</v>
      </c>
      <c r="Z36" s="7" t="e">
        <f t="shared" si="3"/>
        <v>#N/A</v>
      </c>
      <c r="AA36" s="7" t="e">
        <f t="shared" si="4"/>
        <v>#N/A</v>
      </c>
      <c r="AB36" s="7" t="str">
        <f t="shared" si="5"/>
        <v/>
      </c>
      <c r="AC36" s="11">
        <f t="shared" si="6"/>
        <v>1</v>
      </c>
      <c r="AD36" s="7" t="e">
        <f t="shared" si="7"/>
        <v>#N/A</v>
      </c>
      <c r="AE36" s="7" t="e">
        <f t="shared" si="8"/>
        <v>#N/A</v>
      </c>
      <c r="AF36" s="7" t="e">
        <f t="shared" si="9"/>
        <v>#N/A</v>
      </c>
      <c r="AG36" s="472" t="e">
        <f>VLOOKUP(AI36,'排出係数(2017)'!$A$4:$I$1151,9,FALSE)</f>
        <v>#N/A</v>
      </c>
      <c r="AH36" s="12" t="str">
        <f t="shared" si="10"/>
        <v xml:space="preserve"> </v>
      </c>
      <c r="AI36" s="7" t="e">
        <f t="shared" si="25"/>
        <v>#N/A</v>
      </c>
      <c r="AJ36" s="7" t="e">
        <f t="shared" si="11"/>
        <v>#N/A</v>
      </c>
      <c r="AK36" s="472" t="e">
        <f>VLOOKUP(AI36,'排出係数(2017)'!$A$4:$I$1151,6,FALSE)</f>
        <v>#N/A</v>
      </c>
      <c r="AL36" s="7" t="e">
        <f t="shared" si="12"/>
        <v>#N/A</v>
      </c>
      <c r="AM36" s="7" t="e">
        <f t="shared" si="13"/>
        <v>#N/A</v>
      </c>
      <c r="AN36" s="472" t="e">
        <f>VLOOKUP(AI36,'排出係数(2017)'!$A$4:$I$1151,7,FALSE)</f>
        <v>#N/A</v>
      </c>
      <c r="AO36" s="7" t="e">
        <f t="shared" si="14"/>
        <v>#N/A</v>
      </c>
      <c r="AP36" s="7" t="e">
        <f t="shared" si="15"/>
        <v>#N/A</v>
      </c>
      <c r="AQ36" s="7" t="e">
        <f t="shared" si="26"/>
        <v>#N/A</v>
      </c>
      <c r="AR36" s="7">
        <f t="shared" si="16"/>
        <v>0</v>
      </c>
      <c r="AS36" s="7" t="e">
        <f t="shared" si="27"/>
        <v>#N/A</v>
      </c>
      <c r="AT36" s="7" t="str">
        <f t="shared" si="17"/>
        <v/>
      </c>
      <c r="AU36" s="7" t="str">
        <f t="shared" si="18"/>
        <v/>
      </c>
      <c r="AV36" s="7" t="str">
        <f t="shared" si="19"/>
        <v/>
      </c>
      <c r="AW36" s="7" t="str">
        <f t="shared" si="20"/>
        <v/>
      </c>
      <c r="AX36" s="97"/>
      <c r="BD36" s="467" t="s">
        <v>1005</v>
      </c>
      <c r="BF36" s="15"/>
      <c r="BG36" s="15"/>
      <c r="BH36" s="15"/>
      <c r="BN36" s="13">
        <v>20</v>
      </c>
      <c r="CG36"/>
      <c r="CH36"/>
      <c r="CK36" s="592" t="str">
        <f t="shared" si="28"/>
        <v/>
      </c>
      <c r="CL36" s="421" t="str">
        <f t="shared" si="29"/>
        <v/>
      </c>
      <c r="CM36" s="594"/>
      <c r="CN36" s="594"/>
      <c r="CO36" s="594"/>
      <c r="CP36" s="594"/>
      <c r="CQ36" s="594"/>
      <c r="CR36" s="594"/>
    </row>
    <row r="37" spans="1:96" s="13" customFormat="1" ht="13.75" customHeight="1">
      <c r="A37" s="137">
        <v>22</v>
      </c>
      <c r="B37" s="134"/>
      <c r="C37" s="8"/>
      <c r="D37" s="100"/>
      <c r="E37" s="8"/>
      <c r="F37" s="8"/>
      <c r="G37" s="190"/>
      <c r="H37" s="8"/>
      <c r="I37" s="9"/>
      <c r="J37" s="10"/>
      <c r="K37" s="8"/>
      <c r="L37" s="145"/>
      <c r="M37" s="146"/>
      <c r="N37" s="8"/>
      <c r="O37" s="589"/>
      <c r="P37" s="229" t="str">
        <f t="shared" si="21"/>
        <v/>
      </c>
      <c r="Q37" s="229" t="str">
        <f t="shared" si="22"/>
        <v/>
      </c>
      <c r="R37" s="230" t="str">
        <f t="shared" si="23"/>
        <v/>
      </c>
      <c r="S37" s="230" t="str">
        <f t="shared" si="24"/>
        <v/>
      </c>
      <c r="T37" s="351"/>
      <c r="U37" s="43"/>
      <c r="V37" s="42" t="str">
        <f t="shared" si="0"/>
        <v/>
      </c>
      <c r="W37" s="42" t="e">
        <f>IF(#REF!="","",#REF!)</f>
        <v>#REF!</v>
      </c>
      <c r="X37" s="31" t="str">
        <f t="shared" si="1"/>
        <v/>
      </c>
      <c r="Y37" s="7" t="e">
        <f t="shared" si="2"/>
        <v>#N/A</v>
      </c>
      <c r="Z37" s="7" t="e">
        <f t="shared" si="3"/>
        <v>#N/A</v>
      </c>
      <c r="AA37" s="7" t="e">
        <f t="shared" si="4"/>
        <v>#N/A</v>
      </c>
      <c r="AB37" s="7" t="str">
        <f t="shared" si="5"/>
        <v/>
      </c>
      <c r="AC37" s="11">
        <f t="shared" si="6"/>
        <v>1</v>
      </c>
      <c r="AD37" s="7" t="e">
        <f t="shared" si="7"/>
        <v>#N/A</v>
      </c>
      <c r="AE37" s="7" t="e">
        <f t="shared" si="8"/>
        <v>#N/A</v>
      </c>
      <c r="AF37" s="7" t="e">
        <f t="shared" si="9"/>
        <v>#N/A</v>
      </c>
      <c r="AG37" s="472" t="e">
        <f>VLOOKUP(AI37,'排出係数(2017)'!$A$4:$I$1151,9,FALSE)</f>
        <v>#N/A</v>
      </c>
      <c r="AH37" s="12" t="str">
        <f t="shared" si="10"/>
        <v xml:space="preserve"> </v>
      </c>
      <c r="AI37" s="7" t="e">
        <f t="shared" si="25"/>
        <v>#N/A</v>
      </c>
      <c r="AJ37" s="7" t="e">
        <f t="shared" si="11"/>
        <v>#N/A</v>
      </c>
      <c r="AK37" s="472" t="e">
        <f>VLOOKUP(AI37,'排出係数(2017)'!$A$4:$I$1151,6,FALSE)</f>
        <v>#N/A</v>
      </c>
      <c r="AL37" s="7" t="e">
        <f t="shared" si="12"/>
        <v>#N/A</v>
      </c>
      <c r="AM37" s="7" t="e">
        <f t="shared" si="13"/>
        <v>#N/A</v>
      </c>
      <c r="AN37" s="472" t="e">
        <f>VLOOKUP(AI37,'排出係数(2017)'!$A$4:$I$1151,7,FALSE)</f>
        <v>#N/A</v>
      </c>
      <c r="AO37" s="7" t="e">
        <f t="shared" si="14"/>
        <v>#N/A</v>
      </c>
      <c r="AP37" s="7" t="e">
        <f t="shared" si="15"/>
        <v>#N/A</v>
      </c>
      <c r="AQ37" s="7" t="e">
        <f t="shared" si="26"/>
        <v>#N/A</v>
      </c>
      <c r="AR37" s="7">
        <f t="shared" si="16"/>
        <v>0</v>
      </c>
      <c r="AS37" s="7" t="e">
        <f t="shared" si="27"/>
        <v>#N/A</v>
      </c>
      <c r="AT37" s="7" t="str">
        <f t="shared" si="17"/>
        <v/>
      </c>
      <c r="AU37" s="7" t="str">
        <f t="shared" si="18"/>
        <v/>
      </c>
      <c r="AV37" s="7" t="str">
        <f t="shared" si="19"/>
        <v/>
      </c>
      <c r="AW37" s="7" t="str">
        <f t="shared" si="20"/>
        <v/>
      </c>
      <c r="AX37" s="97"/>
      <c r="BD37" s="453" t="s">
        <v>1667</v>
      </c>
      <c r="BF37" s="15"/>
      <c r="BG37" s="15"/>
      <c r="BH37" s="15"/>
      <c r="BI37" s="17"/>
      <c r="BN37" s="13">
        <v>21</v>
      </c>
      <c r="CG37"/>
      <c r="CH37"/>
      <c r="CK37" s="592" t="str">
        <f t="shared" si="28"/>
        <v/>
      </c>
      <c r="CL37" s="421" t="str">
        <f t="shared" si="29"/>
        <v/>
      </c>
      <c r="CM37" s="594"/>
      <c r="CN37" s="594"/>
      <c r="CO37" s="594"/>
      <c r="CP37" s="594"/>
      <c r="CQ37" s="594"/>
      <c r="CR37" s="594"/>
    </row>
    <row r="38" spans="1:96" s="13" customFormat="1" ht="13.75" customHeight="1">
      <c r="A38" s="137">
        <v>23</v>
      </c>
      <c r="B38" s="134"/>
      <c r="C38" s="8"/>
      <c r="D38" s="100"/>
      <c r="E38" s="8"/>
      <c r="F38" s="8"/>
      <c r="G38" s="190"/>
      <c r="H38" s="8"/>
      <c r="I38" s="9"/>
      <c r="J38" s="10"/>
      <c r="K38" s="8"/>
      <c r="L38" s="145"/>
      <c r="M38" s="146"/>
      <c r="N38" s="8"/>
      <c r="O38" s="589"/>
      <c r="P38" s="229" t="str">
        <f t="shared" si="21"/>
        <v/>
      </c>
      <c r="Q38" s="229" t="str">
        <f t="shared" si="22"/>
        <v/>
      </c>
      <c r="R38" s="230" t="str">
        <f t="shared" si="23"/>
        <v/>
      </c>
      <c r="S38" s="230" t="str">
        <f t="shared" si="24"/>
        <v/>
      </c>
      <c r="T38" s="351"/>
      <c r="U38" s="43"/>
      <c r="V38" s="42" t="str">
        <f t="shared" si="0"/>
        <v/>
      </c>
      <c r="W38" s="42" t="e">
        <f>IF(#REF!="","",#REF!)</f>
        <v>#REF!</v>
      </c>
      <c r="X38" s="31" t="str">
        <f t="shared" si="1"/>
        <v/>
      </c>
      <c r="Y38" s="7" t="e">
        <f t="shared" si="2"/>
        <v>#N/A</v>
      </c>
      <c r="Z38" s="7" t="e">
        <f t="shared" si="3"/>
        <v>#N/A</v>
      </c>
      <c r="AA38" s="7" t="e">
        <f t="shared" si="4"/>
        <v>#N/A</v>
      </c>
      <c r="AB38" s="7" t="str">
        <f t="shared" si="5"/>
        <v/>
      </c>
      <c r="AC38" s="11">
        <f t="shared" si="6"/>
        <v>1</v>
      </c>
      <c r="AD38" s="7" t="e">
        <f t="shared" si="7"/>
        <v>#N/A</v>
      </c>
      <c r="AE38" s="7" t="e">
        <f t="shared" si="8"/>
        <v>#N/A</v>
      </c>
      <c r="AF38" s="7" t="e">
        <f t="shared" si="9"/>
        <v>#N/A</v>
      </c>
      <c r="AG38" s="472" t="e">
        <f>VLOOKUP(AI38,'排出係数(2017)'!$A$4:$I$1151,9,FALSE)</f>
        <v>#N/A</v>
      </c>
      <c r="AH38" s="12" t="str">
        <f t="shared" si="10"/>
        <v xml:space="preserve"> </v>
      </c>
      <c r="AI38" s="7" t="e">
        <f t="shared" si="25"/>
        <v>#N/A</v>
      </c>
      <c r="AJ38" s="7" t="e">
        <f t="shared" si="11"/>
        <v>#N/A</v>
      </c>
      <c r="AK38" s="472" t="e">
        <f>VLOOKUP(AI38,'排出係数(2017)'!$A$4:$I$1151,6,FALSE)</f>
        <v>#N/A</v>
      </c>
      <c r="AL38" s="7" t="e">
        <f t="shared" si="12"/>
        <v>#N/A</v>
      </c>
      <c r="AM38" s="7" t="e">
        <f t="shared" si="13"/>
        <v>#N/A</v>
      </c>
      <c r="AN38" s="472" t="e">
        <f>VLOOKUP(AI38,'排出係数(2017)'!$A$4:$I$1151,7,FALSE)</f>
        <v>#N/A</v>
      </c>
      <c r="AO38" s="7" t="e">
        <f t="shared" si="14"/>
        <v>#N/A</v>
      </c>
      <c r="AP38" s="7" t="e">
        <f t="shared" si="15"/>
        <v>#N/A</v>
      </c>
      <c r="AQ38" s="7" t="e">
        <f t="shared" si="26"/>
        <v>#N/A</v>
      </c>
      <c r="AR38" s="7">
        <f t="shared" si="16"/>
        <v>0</v>
      </c>
      <c r="AS38" s="7" t="e">
        <f t="shared" si="27"/>
        <v>#N/A</v>
      </c>
      <c r="AT38" s="7" t="str">
        <f t="shared" si="17"/>
        <v/>
      </c>
      <c r="AU38" s="7" t="str">
        <f t="shared" si="18"/>
        <v/>
      </c>
      <c r="AV38" s="7" t="str">
        <f t="shared" si="19"/>
        <v/>
      </c>
      <c r="AW38" s="7" t="str">
        <f t="shared" si="20"/>
        <v/>
      </c>
      <c r="AX38" s="97"/>
      <c r="BD38" s="453" t="s">
        <v>1669</v>
      </c>
      <c r="BF38" s="15"/>
      <c r="BG38" s="15"/>
      <c r="BH38" s="15"/>
      <c r="BI38" s="18"/>
      <c r="BN38" s="13">
        <v>22</v>
      </c>
      <c r="CG38"/>
      <c r="CH38"/>
      <c r="CK38" s="592" t="str">
        <f t="shared" si="28"/>
        <v/>
      </c>
      <c r="CL38" s="421" t="str">
        <f t="shared" si="29"/>
        <v/>
      </c>
      <c r="CM38" s="594"/>
      <c r="CN38" s="594"/>
      <c r="CO38" s="594"/>
      <c r="CP38" s="594"/>
      <c r="CQ38" s="594"/>
      <c r="CR38" s="594"/>
    </row>
    <row r="39" spans="1:96" s="13" customFormat="1" ht="13.75" customHeight="1">
      <c r="A39" s="137">
        <v>24</v>
      </c>
      <c r="B39" s="134"/>
      <c r="C39" s="8"/>
      <c r="D39" s="100"/>
      <c r="E39" s="8"/>
      <c r="F39" s="8"/>
      <c r="G39" s="190"/>
      <c r="H39" s="8"/>
      <c r="I39" s="9"/>
      <c r="J39" s="10"/>
      <c r="K39" s="8"/>
      <c r="L39" s="145"/>
      <c r="M39" s="146"/>
      <c r="N39" s="8"/>
      <c r="O39" s="589"/>
      <c r="P39" s="229" t="str">
        <f t="shared" si="21"/>
        <v/>
      </c>
      <c r="Q39" s="229" t="str">
        <f t="shared" si="22"/>
        <v/>
      </c>
      <c r="R39" s="230" t="str">
        <f t="shared" si="23"/>
        <v/>
      </c>
      <c r="S39" s="230" t="str">
        <f t="shared" si="24"/>
        <v/>
      </c>
      <c r="T39" s="351"/>
      <c r="U39" s="43"/>
      <c r="V39" s="42" t="str">
        <f t="shared" si="0"/>
        <v/>
      </c>
      <c r="W39" s="42" t="e">
        <f>IF(#REF!="","",#REF!)</f>
        <v>#REF!</v>
      </c>
      <c r="X39" s="31" t="str">
        <f t="shared" si="1"/>
        <v/>
      </c>
      <c r="Y39" s="7" t="e">
        <f t="shared" si="2"/>
        <v>#N/A</v>
      </c>
      <c r="Z39" s="7" t="e">
        <f t="shared" si="3"/>
        <v>#N/A</v>
      </c>
      <c r="AA39" s="7" t="e">
        <f t="shared" si="4"/>
        <v>#N/A</v>
      </c>
      <c r="AB39" s="7" t="str">
        <f t="shared" si="5"/>
        <v/>
      </c>
      <c r="AC39" s="11">
        <f t="shared" si="6"/>
        <v>1</v>
      </c>
      <c r="AD39" s="7" t="e">
        <f t="shared" si="7"/>
        <v>#N/A</v>
      </c>
      <c r="AE39" s="7" t="e">
        <f t="shared" si="8"/>
        <v>#N/A</v>
      </c>
      <c r="AF39" s="7" t="e">
        <f t="shared" si="9"/>
        <v>#N/A</v>
      </c>
      <c r="AG39" s="472" t="e">
        <f>VLOOKUP(AI39,'排出係数(2017)'!$A$4:$I$1151,9,FALSE)</f>
        <v>#N/A</v>
      </c>
      <c r="AH39" s="12" t="str">
        <f t="shared" si="10"/>
        <v xml:space="preserve"> </v>
      </c>
      <c r="AI39" s="7" t="e">
        <f t="shared" si="25"/>
        <v>#N/A</v>
      </c>
      <c r="AJ39" s="7" t="e">
        <f t="shared" si="11"/>
        <v>#N/A</v>
      </c>
      <c r="AK39" s="472" t="e">
        <f>VLOOKUP(AI39,'排出係数(2017)'!$A$4:$I$1151,6,FALSE)</f>
        <v>#N/A</v>
      </c>
      <c r="AL39" s="7" t="e">
        <f t="shared" si="12"/>
        <v>#N/A</v>
      </c>
      <c r="AM39" s="7" t="e">
        <f t="shared" si="13"/>
        <v>#N/A</v>
      </c>
      <c r="AN39" s="472" t="e">
        <f>VLOOKUP(AI39,'排出係数(2017)'!$A$4:$I$1151,7,FALSE)</f>
        <v>#N/A</v>
      </c>
      <c r="AO39" s="7" t="e">
        <f t="shared" si="14"/>
        <v>#N/A</v>
      </c>
      <c r="AP39" s="7" t="e">
        <f t="shared" si="15"/>
        <v>#N/A</v>
      </c>
      <c r="AQ39" s="7" t="e">
        <f t="shared" si="26"/>
        <v>#N/A</v>
      </c>
      <c r="AR39" s="7">
        <f t="shared" si="16"/>
        <v>0</v>
      </c>
      <c r="AS39" s="7" t="e">
        <f t="shared" si="27"/>
        <v>#N/A</v>
      </c>
      <c r="AT39" s="7" t="str">
        <f t="shared" si="17"/>
        <v/>
      </c>
      <c r="AU39" s="7" t="str">
        <f t="shared" si="18"/>
        <v/>
      </c>
      <c r="AV39" s="7" t="str">
        <f t="shared" si="19"/>
        <v/>
      </c>
      <c r="AW39" s="7" t="str">
        <f t="shared" si="20"/>
        <v/>
      </c>
      <c r="AX39" s="97"/>
      <c r="BD39" s="453" t="s">
        <v>1136</v>
      </c>
      <c r="BF39" s="15"/>
      <c r="BG39" s="15"/>
      <c r="BH39" s="15"/>
      <c r="BI39" s="18"/>
      <c r="BN39" s="13">
        <v>23</v>
      </c>
      <c r="CG39"/>
      <c r="CH39"/>
      <c r="CK39" s="592" t="str">
        <f t="shared" si="28"/>
        <v/>
      </c>
      <c r="CL39" s="421" t="str">
        <f t="shared" si="29"/>
        <v/>
      </c>
      <c r="CM39" s="594"/>
      <c r="CN39" s="594"/>
      <c r="CO39" s="594"/>
      <c r="CP39" s="594"/>
      <c r="CQ39" s="594"/>
      <c r="CR39" s="594"/>
    </row>
    <row r="40" spans="1:96" s="13" customFormat="1" ht="13.75" customHeight="1">
      <c r="A40" s="137">
        <v>25</v>
      </c>
      <c r="B40" s="134"/>
      <c r="C40" s="8"/>
      <c r="D40" s="100"/>
      <c r="E40" s="8"/>
      <c r="F40" s="8"/>
      <c r="G40" s="190"/>
      <c r="H40" s="8"/>
      <c r="I40" s="9"/>
      <c r="J40" s="10"/>
      <c r="K40" s="8"/>
      <c r="L40" s="145"/>
      <c r="M40" s="146"/>
      <c r="N40" s="8"/>
      <c r="O40" s="589"/>
      <c r="P40" s="229" t="str">
        <f t="shared" si="21"/>
        <v/>
      </c>
      <c r="Q40" s="229" t="str">
        <f t="shared" si="22"/>
        <v/>
      </c>
      <c r="R40" s="230" t="str">
        <f t="shared" si="23"/>
        <v/>
      </c>
      <c r="S40" s="230" t="str">
        <f t="shared" si="24"/>
        <v/>
      </c>
      <c r="T40" s="351"/>
      <c r="U40" s="43"/>
      <c r="V40" s="42" t="str">
        <f t="shared" si="0"/>
        <v/>
      </c>
      <c r="W40" s="42" t="e">
        <f>IF(#REF!="","",#REF!)</f>
        <v>#REF!</v>
      </c>
      <c r="X40" s="31" t="str">
        <f t="shared" si="1"/>
        <v/>
      </c>
      <c r="Y40" s="7" t="e">
        <f t="shared" si="2"/>
        <v>#N/A</v>
      </c>
      <c r="Z40" s="7" t="e">
        <f t="shared" si="3"/>
        <v>#N/A</v>
      </c>
      <c r="AA40" s="7" t="e">
        <f t="shared" si="4"/>
        <v>#N/A</v>
      </c>
      <c r="AB40" s="7" t="str">
        <f t="shared" si="5"/>
        <v/>
      </c>
      <c r="AC40" s="11">
        <f t="shared" si="6"/>
        <v>1</v>
      </c>
      <c r="AD40" s="7" t="e">
        <f t="shared" si="7"/>
        <v>#N/A</v>
      </c>
      <c r="AE40" s="7" t="e">
        <f t="shared" si="8"/>
        <v>#N/A</v>
      </c>
      <c r="AF40" s="7" t="e">
        <f t="shared" si="9"/>
        <v>#N/A</v>
      </c>
      <c r="AG40" s="472" t="e">
        <f>VLOOKUP(AI40,'排出係数(2017)'!$A$4:$I$1151,9,FALSE)</f>
        <v>#N/A</v>
      </c>
      <c r="AH40" s="12" t="str">
        <f t="shared" si="10"/>
        <v xml:space="preserve"> </v>
      </c>
      <c r="AI40" s="7" t="e">
        <f t="shared" si="25"/>
        <v>#N/A</v>
      </c>
      <c r="AJ40" s="7" t="e">
        <f t="shared" si="11"/>
        <v>#N/A</v>
      </c>
      <c r="AK40" s="472" t="e">
        <f>VLOOKUP(AI40,'排出係数(2017)'!$A$4:$I$1151,6,FALSE)</f>
        <v>#N/A</v>
      </c>
      <c r="AL40" s="7" t="e">
        <f t="shared" si="12"/>
        <v>#N/A</v>
      </c>
      <c r="AM40" s="7" t="e">
        <f t="shared" si="13"/>
        <v>#N/A</v>
      </c>
      <c r="AN40" s="472" t="e">
        <f>VLOOKUP(AI40,'排出係数(2017)'!$A$4:$I$1151,7,FALSE)</f>
        <v>#N/A</v>
      </c>
      <c r="AO40" s="7" t="e">
        <f t="shared" si="14"/>
        <v>#N/A</v>
      </c>
      <c r="AP40" s="7" t="e">
        <f t="shared" si="15"/>
        <v>#N/A</v>
      </c>
      <c r="AQ40" s="7" t="e">
        <f t="shared" si="26"/>
        <v>#N/A</v>
      </c>
      <c r="AR40" s="7">
        <f t="shared" si="16"/>
        <v>0</v>
      </c>
      <c r="AS40" s="7" t="e">
        <f t="shared" si="27"/>
        <v>#N/A</v>
      </c>
      <c r="AT40" s="7" t="str">
        <f t="shared" si="17"/>
        <v/>
      </c>
      <c r="AU40" s="7" t="str">
        <f t="shared" si="18"/>
        <v/>
      </c>
      <c r="AV40" s="7" t="str">
        <f t="shared" si="19"/>
        <v/>
      </c>
      <c r="AW40" s="7" t="str">
        <f t="shared" si="20"/>
        <v/>
      </c>
      <c r="AX40" s="97"/>
      <c r="BD40" s="453" t="s">
        <v>1166</v>
      </c>
      <c r="BF40" s="15"/>
      <c r="BG40" s="15"/>
      <c r="BH40" s="15"/>
      <c r="BI40" s="18"/>
      <c r="BN40" s="13">
        <v>24</v>
      </c>
      <c r="CG40"/>
      <c r="CH40"/>
      <c r="CK40" s="592" t="str">
        <f t="shared" si="28"/>
        <v/>
      </c>
      <c r="CL40" s="421" t="str">
        <f t="shared" si="29"/>
        <v/>
      </c>
      <c r="CM40" s="594"/>
      <c r="CN40" s="594"/>
      <c r="CO40" s="594"/>
      <c r="CP40" s="594"/>
      <c r="CQ40" s="594"/>
      <c r="CR40" s="594"/>
    </row>
    <row r="41" spans="1:96" s="13" customFormat="1" ht="13.75" customHeight="1">
      <c r="A41" s="137">
        <v>26</v>
      </c>
      <c r="B41" s="134"/>
      <c r="C41" s="8"/>
      <c r="D41" s="100"/>
      <c r="E41" s="8"/>
      <c r="F41" s="8"/>
      <c r="G41" s="190"/>
      <c r="H41" s="8"/>
      <c r="I41" s="9"/>
      <c r="J41" s="10"/>
      <c r="K41" s="8"/>
      <c r="L41" s="145"/>
      <c r="M41" s="146"/>
      <c r="N41" s="8"/>
      <c r="O41" s="589"/>
      <c r="P41" s="229" t="str">
        <f t="shared" si="21"/>
        <v/>
      </c>
      <c r="Q41" s="229" t="str">
        <f t="shared" si="22"/>
        <v/>
      </c>
      <c r="R41" s="230" t="str">
        <f t="shared" si="23"/>
        <v/>
      </c>
      <c r="S41" s="230" t="str">
        <f t="shared" si="24"/>
        <v/>
      </c>
      <c r="T41" s="351"/>
      <c r="U41" s="43"/>
      <c r="V41" s="42" t="str">
        <f t="shared" si="0"/>
        <v/>
      </c>
      <c r="W41" s="42" t="e">
        <f>IF(#REF!="","",#REF!)</f>
        <v>#REF!</v>
      </c>
      <c r="X41" s="31" t="str">
        <f t="shared" si="1"/>
        <v/>
      </c>
      <c r="Y41" s="7" t="e">
        <f t="shared" si="2"/>
        <v>#N/A</v>
      </c>
      <c r="Z41" s="7" t="e">
        <f t="shared" si="3"/>
        <v>#N/A</v>
      </c>
      <c r="AA41" s="7" t="e">
        <f t="shared" si="4"/>
        <v>#N/A</v>
      </c>
      <c r="AB41" s="7" t="str">
        <f t="shared" si="5"/>
        <v/>
      </c>
      <c r="AC41" s="11">
        <f t="shared" si="6"/>
        <v>1</v>
      </c>
      <c r="AD41" s="7" t="e">
        <f t="shared" si="7"/>
        <v>#N/A</v>
      </c>
      <c r="AE41" s="7" t="e">
        <f t="shared" si="8"/>
        <v>#N/A</v>
      </c>
      <c r="AF41" s="7" t="e">
        <f t="shared" si="9"/>
        <v>#N/A</v>
      </c>
      <c r="AG41" s="472" t="e">
        <f>VLOOKUP(AI41,'排出係数(2017)'!$A$4:$I$1151,9,FALSE)</f>
        <v>#N/A</v>
      </c>
      <c r="AH41" s="12" t="str">
        <f t="shared" si="10"/>
        <v xml:space="preserve"> </v>
      </c>
      <c r="AI41" s="7" t="e">
        <f t="shared" si="25"/>
        <v>#N/A</v>
      </c>
      <c r="AJ41" s="7" t="e">
        <f t="shared" si="11"/>
        <v>#N/A</v>
      </c>
      <c r="AK41" s="472" t="e">
        <f>VLOOKUP(AI41,'排出係数(2017)'!$A$4:$I$1151,6,FALSE)</f>
        <v>#N/A</v>
      </c>
      <c r="AL41" s="7" t="e">
        <f t="shared" si="12"/>
        <v>#N/A</v>
      </c>
      <c r="AM41" s="7" t="e">
        <f t="shared" si="13"/>
        <v>#N/A</v>
      </c>
      <c r="AN41" s="472" t="e">
        <f>VLOOKUP(AI41,'排出係数(2017)'!$A$4:$I$1151,7,FALSE)</f>
        <v>#N/A</v>
      </c>
      <c r="AO41" s="7" t="e">
        <f t="shared" si="14"/>
        <v>#N/A</v>
      </c>
      <c r="AP41" s="7" t="e">
        <f t="shared" si="15"/>
        <v>#N/A</v>
      </c>
      <c r="AQ41" s="7" t="e">
        <f t="shared" si="26"/>
        <v>#N/A</v>
      </c>
      <c r="AR41" s="7">
        <f t="shared" si="16"/>
        <v>0</v>
      </c>
      <c r="AS41" s="7" t="e">
        <f t="shared" si="27"/>
        <v>#N/A</v>
      </c>
      <c r="AT41" s="7" t="str">
        <f t="shared" si="17"/>
        <v/>
      </c>
      <c r="AU41" s="7" t="str">
        <f t="shared" si="18"/>
        <v/>
      </c>
      <c r="AV41" s="7" t="str">
        <f t="shared" si="19"/>
        <v/>
      </c>
      <c r="AW41" s="7" t="str">
        <f t="shared" si="20"/>
        <v/>
      </c>
      <c r="AX41" s="97"/>
      <c r="BD41" s="453" t="s">
        <v>1223</v>
      </c>
      <c r="BF41" s="15"/>
      <c r="BG41" s="15"/>
      <c r="BH41" s="15"/>
      <c r="BI41" s="18"/>
      <c r="BN41" s="13">
        <v>25</v>
      </c>
      <c r="CG41"/>
      <c r="CH41"/>
      <c r="CK41" s="592" t="str">
        <f t="shared" si="28"/>
        <v/>
      </c>
      <c r="CL41" s="421" t="str">
        <f t="shared" si="29"/>
        <v/>
      </c>
      <c r="CM41" s="594"/>
      <c r="CN41" s="594"/>
      <c r="CO41" s="594"/>
      <c r="CP41" s="594"/>
      <c r="CQ41" s="594"/>
      <c r="CR41" s="594"/>
    </row>
    <row r="42" spans="1:96" s="13" customFormat="1" ht="13.75" customHeight="1">
      <c r="A42" s="137">
        <v>27</v>
      </c>
      <c r="B42" s="134"/>
      <c r="C42" s="8"/>
      <c r="D42" s="100"/>
      <c r="E42" s="8"/>
      <c r="F42" s="8"/>
      <c r="G42" s="190"/>
      <c r="H42" s="8"/>
      <c r="I42" s="9"/>
      <c r="J42" s="10"/>
      <c r="K42" s="8"/>
      <c r="L42" s="145"/>
      <c r="M42" s="146"/>
      <c r="N42" s="8"/>
      <c r="O42" s="589"/>
      <c r="P42" s="229" t="str">
        <f t="shared" si="21"/>
        <v/>
      </c>
      <c r="Q42" s="229" t="str">
        <f t="shared" si="22"/>
        <v/>
      </c>
      <c r="R42" s="230" t="str">
        <f t="shared" si="23"/>
        <v/>
      </c>
      <c r="S42" s="230" t="str">
        <f t="shared" si="24"/>
        <v/>
      </c>
      <c r="T42" s="351"/>
      <c r="U42" s="43"/>
      <c r="V42" s="42" t="str">
        <f t="shared" si="0"/>
        <v/>
      </c>
      <c r="W42" s="42" t="e">
        <f>IF(#REF!="","",#REF!)</f>
        <v>#REF!</v>
      </c>
      <c r="X42" s="31" t="str">
        <f t="shared" si="1"/>
        <v/>
      </c>
      <c r="Y42" s="7" t="e">
        <f t="shared" si="2"/>
        <v>#N/A</v>
      </c>
      <c r="Z42" s="7" t="e">
        <f t="shared" si="3"/>
        <v>#N/A</v>
      </c>
      <c r="AA42" s="7" t="e">
        <f t="shared" si="4"/>
        <v>#N/A</v>
      </c>
      <c r="AB42" s="7" t="str">
        <f t="shared" si="5"/>
        <v/>
      </c>
      <c r="AC42" s="11">
        <f t="shared" si="6"/>
        <v>1</v>
      </c>
      <c r="AD42" s="7" t="e">
        <f t="shared" si="7"/>
        <v>#N/A</v>
      </c>
      <c r="AE42" s="7" t="e">
        <f t="shared" si="8"/>
        <v>#N/A</v>
      </c>
      <c r="AF42" s="7" t="e">
        <f t="shared" si="9"/>
        <v>#N/A</v>
      </c>
      <c r="AG42" s="472" t="e">
        <f>VLOOKUP(AI42,'排出係数(2017)'!$A$4:$I$1151,9,FALSE)</f>
        <v>#N/A</v>
      </c>
      <c r="AH42" s="12" t="str">
        <f t="shared" si="10"/>
        <v xml:space="preserve"> </v>
      </c>
      <c r="AI42" s="7" t="e">
        <f t="shared" si="25"/>
        <v>#N/A</v>
      </c>
      <c r="AJ42" s="7" t="e">
        <f t="shared" si="11"/>
        <v>#N/A</v>
      </c>
      <c r="AK42" s="472" t="e">
        <f>VLOOKUP(AI42,'排出係数(2017)'!$A$4:$I$1151,6,FALSE)</f>
        <v>#N/A</v>
      </c>
      <c r="AL42" s="7" t="e">
        <f t="shared" si="12"/>
        <v>#N/A</v>
      </c>
      <c r="AM42" s="7" t="e">
        <f t="shared" si="13"/>
        <v>#N/A</v>
      </c>
      <c r="AN42" s="472" t="e">
        <f>VLOOKUP(AI42,'排出係数(2017)'!$A$4:$I$1151,7,FALSE)</f>
        <v>#N/A</v>
      </c>
      <c r="AO42" s="7" t="e">
        <f t="shared" si="14"/>
        <v>#N/A</v>
      </c>
      <c r="AP42" s="7" t="e">
        <f t="shared" si="15"/>
        <v>#N/A</v>
      </c>
      <c r="AQ42" s="7" t="e">
        <f t="shared" si="26"/>
        <v>#N/A</v>
      </c>
      <c r="AR42" s="7">
        <f t="shared" si="16"/>
        <v>0</v>
      </c>
      <c r="AS42" s="7" t="e">
        <f t="shared" si="27"/>
        <v>#N/A</v>
      </c>
      <c r="AT42" s="7" t="str">
        <f t="shared" si="17"/>
        <v/>
      </c>
      <c r="AU42" s="7" t="str">
        <f t="shared" si="18"/>
        <v/>
      </c>
      <c r="AV42" s="7" t="str">
        <f t="shared" si="19"/>
        <v/>
      </c>
      <c r="AW42" s="7" t="str">
        <f t="shared" si="20"/>
        <v/>
      </c>
      <c r="AX42" s="97"/>
      <c r="BD42" s="453" t="s">
        <v>1663</v>
      </c>
      <c r="BF42" s="15"/>
      <c r="BG42" s="15"/>
      <c r="BH42" s="15"/>
      <c r="BI42" s="18"/>
      <c r="BN42" s="13">
        <v>26</v>
      </c>
      <c r="CG42"/>
      <c r="CH42"/>
      <c r="CK42" s="592" t="str">
        <f t="shared" si="28"/>
        <v/>
      </c>
      <c r="CL42" s="421" t="str">
        <f t="shared" si="29"/>
        <v/>
      </c>
      <c r="CM42" s="594"/>
      <c r="CN42" s="594"/>
      <c r="CO42" s="594"/>
      <c r="CP42" s="594"/>
      <c r="CQ42" s="594"/>
      <c r="CR42" s="594"/>
    </row>
    <row r="43" spans="1:96" s="13" customFormat="1" ht="13.75" customHeight="1">
      <c r="A43" s="137">
        <v>28</v>
      </c>
      <c r="B43" s="134"/>
      <c r="C43" s="8"/>
      <c r="D43" s="100"/>
      <c r="E43" s="8"/>
      <c r="F43" s="8"/>
      <c r="G43" s="190"/>
      <c r="H43" s="8"/>
      <c r="I43" s="9"/>
      <c r="J43" s="10"/>
      <c r="K43" s="8"/>
      <c r="L43" s="145"/>
      <c r="M43" s="146"/>
      <c r="N43" s="8"/>
      <c r="O43" s="589"/>
      <c r="P43" s="229" t="str">
        <f t="shared" si="21"/>
        <v/>
      </c>
      <c r="Q43" s="229" t="str">
        <f t="shared" si="22"/>
        <v/>
      </c>
      <c r="R43" s="230" t="str">
        <f t="shared" si="23"/>
        <v/>
      </c>
      <c r="S43" s="230" t="str">
        <f t="shared" si="24"/>
        <v/>
      </c>
      <c r="T43" s="351"/>
      <c r="U43" s="43"/>
      <c r="V43" s="42" t="str">
        <f t="shared" si="0"/>
        <v/>
      </c>
      <c r="W43" s="42" t="e">
        <f>IF(#REF!="","",#REF!)</f>
        <v>#REF!</v>
      </c>
      <c r="X43" s="31" t="str">
        <f t="shared" si="1"/>
        <v/>
      </c>
      <c r="Y43" s="7" t="e">
        <f t="shared" si="2"/>
        <v>#N/A</v>
      </c>
      <c r="Z43" s="7" t="e">
        <f t="shared" si="3"/>
        <v>#N/A</v>
      </c>
      <c r="AA43" s="7" t="e">
        <f t="shared" si="4"/>
        <v>#N/A</v>
      </c>
      <c r="AB43" s="7" t="str">
        <f t="shared" si="5"/>
        <v/>
      </c>
      <c r="AC43" s="11">
        <f t="shared" si="6"/>
        <v>1</v>
      </c>
      <c r="AD43" s="7" t="e">
        <f t="shared" si="7"/>
        <v>#N/A</v>
      </c>
      <c r="AE43" s="7" t="e">
        <f t="shared" si="8"/>
        <v>#N/A</v>
      </c>
      <c r="AF43" s="7" t="e">
        <f t="shared" si="9"/>
        <v>#N/A</v>
      </c>
      <c r="AG43" s="472" t="e">
        <f>VLOOKUP(AI43,'排出係数(2017)'!$A$4:$I$1151,9,FALSE)</f>
        <v>#N/A</v>
      </c>
      <c r="AH43" s="12" t="str">
        <f t="shared" si="10"/>
        <v xml:space="preserve"> </v>
      </c>
      <c r="AI43" s="7" t="e">
        <f t="shared" si="25"/>
        <v>#N/A</v>
      </c>
      <c r="AJ43" s="7" t="e">
        <f t="shared" si="11"/>
        <v>#N/A</v>
      </c>
      <c r="AK43" s="472" t="e">
        <f>VLOOKUP(AI43,'排出係数(2017)'!$A$4:$I$1151,6,FALSE)</f>
        <v>#N/A</v>
      </c>
      <c r="AL43" s="7" t="e">
        <f t="shared" si="12"/>
        <v>#N/A</v>
      </c>
      <c r="AM43" s="7" t="e">
        <f t="shared" si="13"/>
        <v>#N/A</v>
      </c>
      <c r="AN43" s="472" t="e">
        <f>VLOOKUP(AI43,'排出係数(2017)'!$A$4:$I$1151,7,FALSE)</f>
        <v>#N/A</v>
      </c>
      <c r="AO43" s="7" t="e">
        <f t="shared" si="14"/>
        <v>#N/A</v>
      </c>
      <c r="AP43" s="7" t="e">
        <f t="shared" si="15"/>
        <v>#N/A</v>
      </c>
      <c r="AQ43" s="7" t="e">
        <f t="shared" si="26"/>
        <v>#N/A</v>
      </c>
      <c r="AR43" s="7">
        <f t="shared" si="16"/>
        <v>0</v>
      </c>
      <c r="AS43" s="7" t="e">
        <f t="shared" si="27"/>
        <v>#N/A</v>
      </c>
      <c r="AT43" s="7" t="str">
        <f t="shared" si="17"/>
        <v/>
      </c>
      <c r="AU43" s="7" t="str">
        <f t="shared" si="18"/>
        <v/>
      </c>
      <c r="AV43" s="7" t="str">
        <f t="shared" si="19"/>
        <v/>
      </c>
      <c r="AW43" s="7" t="str">
        <f t="shared" si="20"/>
        <v/>
      </c>
      <c r="AX43" s="97"/>
      <c r="BD43" s="453" t="s">
        <v>1665</v>
      </c>
      <c r="BF43" s="15"/>
      <c r="BG43" s="15"/>
      <c r="BH43" s="15"/>
      <c r="BI43" s="18"/>
      <c r="BN43" s="13">
        <v>27</v>
      </c>
      <c r="CG43"/>
      <c r="CH43"/>
      <c r="CK43" s="592" t="str">
        <f t="shared" si="28"/>
        <v/>
      </c>
      <c r="CL43" s="421" t="str">
        <f t="shared" si="29"/>
        <v/>
      </c>
      <c r="CM43" s="594"/>
      <c r="CN43" s="594"/>
      <c r="CO43" s="594"/>
      <c r="CP43" s="594"/>
      <c r="CQ43" s="594"/>
      <c r="CR43" s="594"/>
    </row>
    <row r="44" spans="1:96" s="13" customFormat="1" ht="13.75" customHeight="1">
      <c r="A44" s="137">
        <v>29</v>
      </c>
      <c r="B44" s="134"/>
      <c r="C44" s="8"/>
      <c r="D44" s="100"/>
      <c r="E44" s="8"/>
      <c r="F44" s="8"/>
      <c r="G44" s="190"/>
      <c r="H44" s="8"/>
      <c r="I44" s="9"/>
      <c r="J44" s="10"/>
      <c r="K44" s="8"/>
      <c r="L44" s="145"/>
      <c r="M44" s="146"/>
      <c r="N44" s="8"/>
      <c r="O44" s="589"/>
      <c r="P44" s="229" t="str">
        <f t="shared" si="21"/>
        <v/>
      </c>
      <c r="Q44" s="229" t="str">
        <f t="shared" si="22"/>
        <v/>
      </c>
      <c r="R44" s="230" t="str">
        <f t="shared" si="23"/>
        <v/>
      </c>
      <c r="S44" s="230" t="str">
        <f t="shared" si="24"/>
        <v/>
      </c>
      <c r="T44" s="351"/>
      <c r="U44" s="43"/>
      <c r="V44" s="42" t="str">
        <f t="shared" si="0"/>
        <v/>
      </c>
      <c r="W44" s="42" t="e">
        <f>IF(#REF!="","",#REF!)</f>
        <v>#REF!</v>
      </c>
      <c r="X44" s="31" t="str">
        <f t="shared" si="1"/>
        <v/>
      </c>
      <c r="Y44" s="7" t="e">
        <f t="shared" si="2"/>
        <v>#N/A</v>
      </c>
      <c r="Z44" s="7" t="e">
        <f t="shared" si="3"/>
        <v>#N/A</v>
      </c>
      <c r="AA44" s="7" t="e">
        <f t="shared" si="4"/>
        <v>#N/A</v>
      </c>
      <c r="AB44" s="7" t="str">
        <f t="shared" si="5"/>
        <v/>
      </c>
      <c r="AC44" s="11">
        <f t="shared" si="6"/>
        <v>1</v>
      </c>
      <c r="AD44" s="7" t="e">
        <f t="shared" si="7"/>
        <v>#N/A</v>
      </c>
      <c r="AE44" s="7" t="e">
        <f t="shared" si="8"/>
        <v>#N/A</v>
      </c>
      <c r="AF44" s="7" t="e">
        <f t="shared" si="9"/>
        <v>#N/A</v>
      </c>
      <c r="AG44" s="472" t="e">
        <f>VLOOKUP(AI44,'排出係数(2017)'!$A$4:$I$1151,9,FALSE)</f>
        <v>#N/A</v>
      </c>
      <c r="AH44" s="12" t="str">
        <f t="shared" si="10"/>
        <v xml:space="preserve"> </v>
      </c>
      <c r="AI44" s="7" t="e">
        <f t="shared" si="25"/>
        <v>#N/A</v>
      </c>
      <c r="AJ44" s="7" t="e">
        <f t="shared" si="11"/>
        <v>#N/A</v>
      </c>
      <c r="AK44" s="472" t="e">
        <f>VLOOKUP(AI44,'排出係数(2017)'!$A$4:$I$1151,6,FALSE)</f>
        <v>#N/A</v>
      </c>
      <c r="AL44" s="7" t="e">
        <f t="shared" si="12"/>
        <v>#N/A</v>
      </c>
      <c r="AM44" s="7" t="e">
        <f t="shared" si="13"/>
        <v>#N/A</v>
      </c>
      <c r="AN44" s="472" t="e">
        <f>VLOOKUP(AI44,'排出係数(2017)'!$A$4:$I$1151,7,FALSE)</f>
        <v>#N/A</v>
      </c>
      <c r="AO44" s="7" t="e">
        <f t="shared" si="14"/>
        <v>#N/A</v>
      </c>
      <c r="AP44" s="7" t="e">
        <f t="shared" si="15"/>
        <v>#N/A</v>
      </c>
      <c r="AQ44" s="7" t="e">
        <f t="shared" si="26"/>
        <v>#N/A</v>
      </c>
      <c r="AR44" s="7">
        <f t="shared" si="16"/>
        <v>0</v>
      </c>
      <c r="AS44" s="7" t="e">
        <f t="shared" si="27"/>
        <v>#N/A</v>
      </c>
      <c r="AT44" s="7" t="str">
        <f t="shared" si="17"/>
        <v/>
      </c>
      <c r="AU44" s="7" t="str">
        <f t="shared" si="18"/>
        <v/>
      </c>
      <c r="AV44" s="7" t="str">
        <f t="shared" si="19"/>
        <v/>
      </c>
      <c r="AW44" s="7" t="str">
        <f t="shared" si="20"/>
        <v/>
      </c>
      <c r="AX44" s="97"/>
      <c r="BD44" s="453" t="s">
        <v>1133</v>
      </c>
      <c r="BF44" s="15"/>
      <c r="BG44" s="15"/>
      <c r="BH44" s="15"/>
      <c r="BI44" s="18"/>
      <c r="BN44" s="13">
        <v>28</v>
      </c>
      <c r="CG44"/>
      <c r="CH44"/>
      <c r="CK44" s="592" t="str">
        <f t="shared" si="28"/>
        <v/>
      </c>
      <c r="CL44" s="421" t="str">
        <f t="shared" si="29"/>
        <v/>
      </c>
      <c r="CM44" s="594"/>
      <c r="CN44" s="594"/>
      <c r="CO44" s="594"/>
      <c r="CP44" s="594"/>
      <c r="CQ44" s="594"/>
      <c r="CR44" s="594"/>
    </row>
    <row r="45" spans="1:96" s="13" customFormat="1" ht="13.75" customHeight="1">
      <c r="A45" s="137">
        <v>30</v>
      </c>
      <c r="B45" s="134"/>
      <c r="C45" s="8"/>
      <c r="D45" s="100"/>
      <c r="E45" s="8"/>
      <c r="F45" s="8"/>
      <c r="G45" s="190"/>
      <c r="H45" s="8"/>
      <c r="I45" s="9"/>
      <c r="J45" s="10"/>
      <c r="K45" s="8"/>
      <c r="L45" s="145"/>
      <c r="M45" s="146"/>
      <c r="N45" s="8"/>
      <c r="O45" s="589"/>
      <c r="P45" s="229" t="str">
        <f t="shared" si="21"/>
        <v/>
      </c>
      <c r="Q45" s="229" t="str">
        <f t="shared" si="22"/>
        <v/>
      </c>
      <c r="R45" s="230" t="str">
        <f t="shared" si="23"/>
        <v/>
      </c>
      <c r="S45" s="230" t="str">
        <f t="shared" si="24"/>
        <v/>
      </c>
      <c r="T45" s="351"/>
      <c r="U45" s="43"/>
      <c r="V45" s="42" t="str">
        <f t="shared" si="0"/>
        <v/>
      </c>
      <c r="W45" s="42" t="e">
        <f>IF(#REF!="","",#REF!)</f>
        <v>#REF!</v>
      </c>
      <c r="X45" s="31" t="str">
        <f t="shared" si="1"/>
        <v/>
      </c>
      <c r="Y45" s="7" t="e">
        <f t="shared" si="2"/>
        <v>#N/A</v>
      </c>
      <c r="Z45" s="7" t="e">
        <f t="shared" si="3"/>
        <v>#N/A</v>
      </c>
      <c r="AA45" s="7" t="e">
        <f t="shared" si="4"/>
        <v>#N/A</v>
      </c>
      <c r="AB45" s="7" t="str">
        <f t="shared" si="5"/>
        <v/>
      </c>
      <c r="AC45" s="11">
        <f t="shared" si="6"/>
        <v>1</v>
      </c>
      <c r="AD45" s="7" t="e">
        <f t="shared" si="7"/>
        <v>#N/A</v>
      </c>
      <c r="AE45" s="7" t="e">
        <f t="shared" si="8"/>
        <v>#N/A</v>
      </c>
      <c r="AF45" s="7" t="e">
        <f t="shared" si="9"/>
        <v>#N/A</v>
      </c>
      <c r="AG45" s="472" t="e">
        <f>VLOOKUP(AI45,'排出係数(2017)'!$A$4:$I$1151,9,FALSE)</f>
        <v>#N/A</v>
      </c>
      <c r="AH45" s="12" t="str">
        <f t="shared" si="10"/>
        <v xml:space="preserve"> </v>
      </c>
      <c r="AI45" s="7" t="e">
        <f t="shared" si="25"/>
        <v>#N/A</v>
      </c>
      <c r="AJ45" s="7" t="e">
        <f t="shared" si="11"/>
        <v>#N/A</v>
      </c>
      <c r="AK45" s="472" t="e">
        <f>VLOOKUP(AI45,'排出係数(2017)'!$A$4:$I$1151,6,FALSE)</f>
        <v>#N/A</v>
      </c>
      <c r="AL45" s="7" t="e">
        <f t="shared" si="12"/>
        <v>#N/A</v>
      </c>
      <c r="AM45" s="7" t="e">
        <f t="shared" si="13"/>
        <v>#N/A</v>
      </c>
      <c r="AN45" s="472" t="e">
        <f>VLOOKUP(AI45,'排出係数(2017)'!$A$4:$I$1151,7,FALSE)</f>
        <v>#N/A</v>
      </c>
      <c r="AO45" s="7" t="e">
        <f t="shared" si="14"/>
        <v>#N/A</v>
      </c>
      <c r="AP45" s="7" t="e">
        <f t="shared" si="15"/>
        <v>#N/A</v>
      </c>
      <c r="AQ45" s="7" t="e">
        <f t="shared" si="26"/>
        <v>#N/A</v>
      </c>
      <c r="AR45" s="7">
        <f t="shared" si="16"/>
        <v>0</v>
      </c>
      <c r="AS45" s="7" t="e">
        <f t="shared" si="27"/>
        <v>#N/A</v>
      </c>
      <c r="AT45" s="7" t="str">
        <f t="shared" si="17"/>
        <v/>
      </c>
      <c r="AU45" s="7" t="str">
        <f t="shared" si="18"/>
        <v/>
      </c>
      <c r="AV45" s="7" t="str">
        <f t="shared" si="19"/>
        <v/>
      </c>
      <c r="AW45" s="7" t="str">
        <f t="shared" si="20"/>
        <v/>
      </c>
      <c r="AX45" s="97"/>
      <c r="BD45" s="453" t="s">
        <v>1164</v>
      </c>
      <c r="BF45" s="15"/>
      <c r="BG45" s="15"/>
      <c r="BH45" s="15"/>
      <c r="BI45" s="15"/>
      <c r="BJ45" s="15"/>
      <c r="BK45" s="15"/>
      <c r="BN45" s="13">
        <v>29</v>
      </c>
      <c r="CG45"/>
      <c r="CH45"/>
      <c r="CK45" s="592" t="str">
        <f t="shared" si="28"/>
        <v/>
      </c>
      <c r="CL45" s="421" t="str">
        <f t="shared" si="29"/>
        <v/>
      </c>
      <c r="CM45" s="594"/>
      <c r="CN45" s="594"/>
      <c r="CO45" s="594"/>
      <c r="CP45" s="594"/>
      <c r="CQ45" s="594"/>
      <c r="CR45" s="594"/>
    </row>
    <row r="46" spans="1:96" s="13" customFormat="1" ht="13.75" customHeight="1">
      <c r="A46" s="137">
        <v>31</v>
      </c>
      <c r="B46" s="134"/>
      <c r="C46" s="8"/>
      <c r="D46" s="100"/>
      <c r="E46" s="8"/>
      <c r="F46" s="8"/>
      <c r="G46" s="190"/>
      <c r="H46" s="8"/>
      <c r="I46" s="9"/>
      <c r="J46" s="10"/>
      <c r="K46" s="8"/>
      <c r="L46" s="145"/>
      <c r="M46" s="146"/>
      <c r="N46" s="8"/>
      <c r="O46" s="589"/>
      <c r="P46" s="229" t="str">
        <f t="shared" si="21"/>
        <v/>
      </c>
      <c r="Q46" s="229" t="str">
        <f t="shared" si="22"/>
        <v/>
      </c>
      <c r="R46" s="230" t="str">
        <f t="shared" si="23"/>
        <v/>
      </c>
      <c r="S46" s="230" t="str">
        <f t="shared" si="24"/>
        <v/>
      </c>
      <c r="T46" s="351"/>
      <c r="U46" s="43"/>
      <c r="V46" s="42" t="str">
        <f t="shared" si="0"/>
        <v/>
      </c>
      <c r="W46" s="42" t="e">
        <f>IF(#REF!="","",#REF!)</f>
        <v>#REF!</v>
      </c>
      <c r="X46" s="31" t="str">
        <f t="shared" si="1"/>
        <v/>
      </c>
      <c r="Y46" s="7" t="e">
        <f t="shared" si="2"/>
        <v>#N/A</v>
      </c>
      <c r="Z46" s="7" t="e">
        <f t="shared" si="3"/>
        <v>#N/A</v>
      </c>
      <c r="AA46" s="7" t="e">
        <f t="shared" si="4"/>
        <v>#N/A</v>
      </c>
      <c r="AB46" s="7" t="str">
        <f t="shared" si="5"/>
        <v/>
      </c>
      <c r="AC46" s="11">
        <f t="shared" si="6"/>
        <v>1</v>
      </c>
      <c r="AD46" s="7" t="e">
        <f t="shared" si="7"/>
        <v>#N/A</v>
      </c>
      <c r="AE46" s="7" t="e">
        <f t="shared" si="8"/>
        <v>#N/A</v>
      </c>
      <c r="AF46" s="7" t="e">
        <f t="shared" si="9"/>
        <v>#N/A</v>
      </c>
      <c r="AG46" s="472" t="e">
        <f>VLOOKUP(AI46,'排出係数(2017)'!$A$4:$I$1151,9,FALSE)</f>
        <v>#N/A</v>
      </c>
      <c r="AH46" s="12" t="str">
        <f t="shared" si="10"/>
        <v xml:space="preserve"> </v>
      </c>
      <c r="AI46" s="7" t="e">
        <f t="shared" si="25"/>
        <v>#N/A</v>
      </c>
      <c r="AJ46" s="7" t="e">
        <f t="shared" si="11"/>
        <v>#N/A</v>
      </c>
      <c r="AK46" s="472" t="e">
        <f>VLOOKUP(AI46,'排出係数(2017)'!$A$4:$I$1151,6,FALSE)</f>
        <v>#N/A</v>
      </c>
      <c r="AL46" s="7" t="e">
        <f t="shared" si="12"/>
        <v>#N/A</v>
      </c>
      <c r="AM46" s="7" t="e">
        <f t="shared" si="13"/>
        <v>#N/A</v>
      </c>
      <c r="AN46" s="472" t="e">
        <f>VLOOKUP(AI46,'排出係数(2017)'!$A$4:$I$1151,7,FALSE)</f>
        <v>#N/A</v>
      </c>
      <c r="AO46" s="7" t="e">
        <f t="shared" si="14"/>
        <v>#N/A</v>
      </c>
      <c r="AP46" s="7" t="e">
        <f t="shared" si="15"/>
        <v>#N/A</v>
      </c>
      <c r="AQ46" s="7" t="e">
        <f t="shared" si="26"/>
        <v>#N/A</v>
      </c>
      <c r="AR46" s="7">
        <f t="shared" si="16"/>
        <v>0</v>
      </c>
      <c r="AS46" s="7" t="e">
        <f t="shared" si="27"/>
        <v>#N/A</v>
      </c>
      <c r="AT46" s="7" t="str">
        <f t="shared" si="17"/>
        <v/>
      </c>
      <c r="AU46" s="7" t="str">
        <f t="shared" si="18"/>
        <v/>
      </c>
      <c r="AV46" s="7" t="str">
        <f t="shared" si="19"/>
        <v/>
      </c>
      <c r="AW46" s="7" t="str">
        <f t="shared" si="20"/>
        <v/>
      </c>
      <c r="AX46" s="97"/>
      <c r="BD46" s="453" t="s">
        <v>1221</v>
      </c>
      <c r="BF46" s="15"/>
      <c r="BG46" s="15"/>
      <c r="BH46" s="15"/>
      <c r="BI46" s="15"/>
      <c r="BJ46" s="15"/>
      <c r="BK46" s="15"/>
      <c r="BN46" s="13">
        <v>30</v>
      </c>
      <c r="CG46"/>
      <c r="CH46"/>
      <c r="CK46" s="592" t="str">
        <f t="shared" si="28"/>
        <v/>
      </c>
      <c r="CL46" s="421" t="str">
        <f t="shared" si="29"/>
        <v/>
      </c>
      <c r="CM46" s="594"/>
      <c r="CN46" s="594"/>
      <c r="CO46" s="594"/>
      <c r="CP46" s="594"/>
      <c r="CQ46" s="594"/>
      <c r="CR46" s="594"/>
    </row>
    <row r="47" spans="1:96" s="13" customFormat="1" ht="13.75" customHeight="1">
      <c r="A47" s="137">
        <v>32</v>
      </c>
      <c r="B47" s="134"/>
      <c r="C47" s="8"/>
      <c r="D47" s="100"/>
      <c r="E47" s="8"/>
      <c r="F47" s="8"/>
      <c r="G47" s="190"/>
      <c r="H47" s="8"/>
      <c r="I47" s="9"/>
      <c r="J47" s="10"/>
      <c r="K47" s="8"/>
      <c r="L47" s="145"/>
      <c r="M47" s="146"/>
      <c r="N47" s="8"/>
      <c r="O47" s="589"/>
      <c r="P47" s="229" t="str">
        <f t="shared" si="21"/>
        <v/>
      </c>
      <c r="Q47" s="229" t="str">
        <f t="shared" si="22"/>
        <v/>
      </c>
      <c r="R47" s="230" t="str">
        <f t="shared" si="23"/>
        <v/>
      </c>
      <c r="S47" s="230" t="str">
        <f t="shared" si="24"/>
        <v/>
      </c>
      <c r="T47" s="351"/>
      <c r="U47" s="43"/>
      <c r="V47" s="42" t="str">
        <f t="shared" si="0"/>
        <v/>
      </c>
      <c r="W47" s="42" t="e">
        <f>IF(#REF!="","",#REF!)</f>
        <v>#REF!</v>
      </c>
      <c r="X47" s="31" t="str">
        <f t="shared" si="1"/>
        <v/>
      </c>
      <c r="Y47" s="7" t="e">
        <f t="shared" si="2"/>
        <v>#N/A</v>
      </c>
      <c r="Z47" s="7" t="e">
        <f t="shared" si="3"/>
        <v>#N/A</v>
      </c>
      <c r="AA47" s="7" t="e">
        <f t="shared" si="4"/>
        <v>#N/A</v>
      </c>
      <c r="AB47" s="7" t="str">
        <f t="shared" si="5"/>
        <v/>
      </c>
      <c r="AC47" s="11">
        <f t="shared" si="6"/>
        <v>1</v>
      </c>
      <c r="AD47" s="7" t="e">
        <f t="shared" si="7"/>
        <v>#N/A</v>
      </c>
      <c r="AE47" s="7" t="e">
        <f t="shared" si="8"/>
        <v>#N/A</v>
      </c>
      <c r="AF47" s="7" t="e">
        <f t="shared" si="9"/>
        <v>#N/A</v>
      </c>
      <c r="AG47" s="472" t="e">
        <f>VLOOKUP(AI47,'排出係数(2017)'!$A$4:$I$1151,9,FALSE)</f>
        <v>#N/A</v>
      </c>
      <c r="AH47" s="12" t="str">
        <f t="shared" si="10"/>
        <v xml:space="preserve"> </v>
      </c>
      <c r="AI47" s="7" t="e">
        <f t="shared" si="25"/>
        <v>#N/A</v>
      </c>
      <c r="AJ47" s="7" t="e">
        <f t="shared" si="11"/>
        <v>#N/A</v>
      </c>
      <c r="AK47" s="472" t="e">
        <f>VLOOKUP(AI47,'排出係数(2017)'!$A$4:$I$1151,6,FALSE)</f>
        <v>#N/A</v>
      </c>
      <c r="AL47" s="7" t="e">
        <f t="shared" si="12"/>
        <v>#N/A</v>
      </c>
      <c r="AM47" s="7" t="e">
        <f t="shared" si="13"/>
        <v>#N/A</v>
      </c>
      <c r="AN47" s="472" t="e">
        <f>VLOOKUP(AI47,'排出係数(2017)'!$A$4:$I$1151,7,FALSE)</f>
        <v>#N/A</v>
      </c>
      <c r="AO47" s="7" t="e">
        <f t="shared" si="14"/>
        <v>#N/A</v>
      </c>
      <c r="AP47" s="7" t="e">
        <f t="shared" si="15"/>
        <v>#N/A</v>
      </c>
      <c r="AQ47" s="7" t="e">
        <f t="shared" si="26"/>
        <v>#N/A</v>
      </c>
      <c r="AR47" s="7">
        <f t="shared" si="16"/>
        <v>0</v>
      </c>
      <c r="AS47" s="7" t="e">
        <f t="shared" si="27"/>
        <v>#N/A</v>
      </c>
      <c r="AT47" s="7" t="str">
        <f t="shared" si="17"/>
        <v/>
      </c>
      <c r="AU47" s="7" t="str">
        <f t="shared" si="18"/>
        <v/>
      </c>
      <c r="AV47" s="7" t="str">
        <f t="shared" si="19"/>
        <v/>
      </c>
      <c r="AW47" s="7" t="str">
        <f t="shared" si="20"/>
        <v/>
      </c>
      <c r="AX47" s="97"/>
      <c r="BD47" s="453" t="s">
        <v>1698</v>
      </c>
      <c r="BF47" s="15"/>
      <c r="BG47" s="15"/>
      <c r="BH47" s="15"/>
      <c r="BI47" s="15"/>
      <c r="BJ47" s="15"/>
      <c r="BK47" s="15"/>
      <c r="CG47"/>
      <c r="CH47"/>
      <c r="CK47" s="592" t="str">
        <f t="shared" si="28"/>
        <v/>
      </c>
      <c r="CL47" s="421" t="str">
        <f t="shared" si="29"/>
        <v/>
      </c>
      <c r="CM47" s="594"/>
      <c r="CN47" s="594"/>
      <c r="CO47" s="594"/>
      <c r="CP47" s="594"/>
      <c r="CQ47" s="594"/>
      <c r="CR47" s="594"/>
    </row>
    <row r="48" spans="1:96" s="13" customFormat="1" ht="13.75" customHeight="1">
      <c r="A48" s="137">
        <v>33</v>
      </c>
      <c r="B48" s="134"/>
      <c r="C48" s="8"/>
      <c r="D48" s="100"/>
      <c r="E48" s="8"/>
      <c r="F48" s="8"/>
      <c r="G48" s="190"/>
      <c r="H48" s="8"/>
      <c r="I48" s="9"/>
      <c r="J48" s="10"/>
      <c r="K48" s="8"/>
      <c r="L48" s="145"/>
      <c r="M48" s="146"/>
      <c r="N48" s="8"/>
      <c r="O48" s="589"/>
      <c r="P48" s="229" t="str">
        <f t="shared" si="21"/>
        <v/>
      </c>
      <c r="Q48" s="229" t="str">
        <f t="shared" si="22"/>
        <v/>
      </c>
      <c r="R48" s="230" t="str">
        <f t="shared" si="23"/>
        <v/>
      </c>
      <c r="S48" s="230" t="str">
        <f t="shared" si="24"/>
        <v/>
      </c>
      <c r="T48" s="351"/>
      <c r="U48" s="43"/>
      <c r="V48" s="42" t="str">
        <f t="shared" si="0"/>
        <v/>
      </c>
      <c r="W48" s="42" t="e">
        <f>IF(#REF!="","",#REF!)</f>
        <v>#REF!</v>
      </c>
      <c r="X48" s="31" t="str">
        <f t="shared" si="1"/>
        <v/>
      </c>
      <c r="Y48" s="7" t="e">
        <f t="shared" si="2"/>
        <v>#N/A</v>
      </c>
      <c r="Z48" s="7" t="e">
        <f t="shared" si="3"/>
        <v>#N/A</v>
      </c>
      <c r="AA48" s="7" t="e">
        <f t="shared" si="4"/>
        <v>#N/A</v>
      </c>
      <c r="AB48" s="7" t="str">
        <f t="shared" si="5"/>
        <v/>
      </c>
      <c r="AC48" s="11">
        <f t="shared" si="6"/>
        <v>1</v>
      </c>
      <c r="AD48" s="7" t="e">
        <f t="shared" si="7"/>
        <v>#N/A</v>
      </c>
      <c r="AE48" s="7" t="e">
        <f t="shared" si="8"/>
        <v>#N/A</v>
      </c>
      <c r="AF48" s="7" t="e">
        <f t="shared" si="9"/>
        <v>#N/A</v>
      </c>
      <c r="AG48" s="472" t="e">
        <f>VLOOKUP(AI48,'排出係数(2017)'!$A$4:$I$1151,9,FALSE)</f>
        <v>#N/A</v>
      </c>
      <c r="AH48" s="12" t="str">
        <f t="shared" si="10"/>
        <v xml:space="preserve"> </v>
      </c>
      <c r="AI48" s="7" t="e">
        <f t="shared" si="25"/>
        <v>#N/A</v>
      </c>
      <c r="AJ48" s="7" t="e">
        <f t="shared" si="11"/>
        <v>#N/A</v>
      </c>
      <c r="AK48" s="472" t="e">
        <f>VLOOKUP(AI48,'排出係数(2017)'!$A$4:$I$1151,6,FALSE)</f>
        <v>#N/A</v>
      </c>
      <c r="AL48" s="7" t="e">
        <f t="shared" si="12"/>
        <v>#N/A</v>
      </c>
      <c r="AM48" s="7" t="e">
        <f t="shared" si="13"/>
        <v>#N/A</v>
      </c>
      <c r="AN48" s="472" t="e">
        <f>VLOOKUP(AI48,'排出係数(2017)'!$A$4:$I$1151,7,FALSE)</f>
        <v>#N/A</v>
      </c>
      <c r="AO48" s="7" t="e">
        <f t="shared" si="14"/>
        <v>#N/A</v>
      </c>
      <c r="AP48" s="7" t="e">
        <f t="shared" si="15"/>
        <v>#N/A</v>
      </c>
      <c r="AQ48" s="7" t="e">
        <f t="shared" si="26"/>
        <v>#N/A</v>
      </c>
      <c r="AR48" s="7">
        <f t="shared" si="16"/>
        <v>0</v>
      </c>
      <c r="AS48" s="7" t="e">
        <f t="shared" si="27"/>
        <v>#N/A</v>
      </c>
      <c r="AT48" s="7" t="str">
        <f t="shared" si="17"/>
        <v/>
      </c>
      <c r="AU48" s="7" t="str">
        <f t="shared" si="18"/>
        <v/>
      </c>
      <c r="AV48" s="7" t="str">
        <f t="shared" si="19"/>
        <v/>
      </c>
      <c r="AW48" s="7" t="str">
        <f t="shared" si="20"/>
        <v/>
      </c>
      <c r="AX48" s="97"/>
      <c r="BD48" s="453" t="s">
        <v>1269</v>
      </c>
      <c r="BF48" s="15"/>
      <c r="BG48" s="15"/>
      <c r="BH48" s="15"/>
      <c r="BI48" s="15"/>
      <c r="BJ48" s="15"/>
      <c r="BK48" s="15"/>
      <c r="CG48"/>
      <c r="CH48"/>
      <c r="CK48" s="592" t="str">
        <f t="shared" si="28"/>
        <v/>
      </c>
      <c r="CL48" s="421" t="str">
        <f t="shared" si="29"/>
        <v/>
      </c>
      <c r="CM48" s="594"/>
      <c r="CN48" s="594"/>
      <c r="CO48" s="594"/>
      <c r="CP48" s="594"/>
      <c r="CQ48" s="594"/>
      <c r="CR48" s="594"/>
    </row>
    <row r="49" spans="1:96" s="13" customFormat="1" ht="13.75" customHeight="1">
      <c r="A49" s="137">
        <v>34</v>
      </c>
      <c r="B49" s="134"/>
      <c r="C49" s="8"/>
      <c r="D49" s="100"/>
      <c r="E49" s="8"/>
      <c r="F49" s="8"/>
      <c r="G49" s="190"/>
      <c r="H49" s="8"/>
      <c r="I49" s="9"/>
      <c r="J49" s="10"/>
      <c r="K49" s="8"/>
      <c r="L49" s="145"/>
      <c r="M49" s="146"/>
      <c r="N49" s="8"/>
      <c r="O49" s="589"/>
      <c r="P49" s="229" t="str">
        <f t="shared" si="21"/>
        <v/>
      </c>
      <c r="Q49" s="229" t="str">
        <f t="shared" si="22"/>
        <v/>
      </c>
      <c r="R49" s="230" t="str">
        <f t="shared" si="23"/>
        <v/>
      </c>
      <c r="S49" s="230" t="str">
        <f t="shared" si="24"/>
        <v/>
      </c>
      <c r="T49" s="351"/>
      <c r="U49" s="43"/>
      <c r="V49" s="42" t="str">
        <f t="shared" si="0"/>
        <v/>
      </c>
      <c r="W49" s="42" t="e">
        <f>IF(#REF!="","",#REF!)</f>
        <v>#REF!</v>
      </c>
      <c r="X49" s="31" t="str">
        <f t="shared" si="1"/>
        <v/>
      </c>
      <c r="Y49" s="7" t="e">
        <f t="shared" si="2"/>
        <v>#N/A</v>
      </c>
      <c r="Z49" s="7" t="e">
        <f t="shared" si="3"/>
        <v>#N/A</v>
      </c>
      <c r="AA49" s="7" t="e">
        <f t="shared" si="4"/>
        <v>#N/A</v>
      </c>
      <c r="AB49" s="7" t="str">
        <f t="shared" si="5"/>
        <v/>
      </c>
      <c r="AC49" s="11">
        <f t="shared" si="6"/>
        <v>1</v>
      </c>
      <c r="AD49" s="7" t="e">
        <f t="shared" si="7"/>
        <v>#N/A</v>
      </c>
      <c r="AE49" s="7" t="e">
        <f t="shared" si="8"/>
        <v>#N/A</v>
      </c>
      <c r="AF49" s="7" t="e">
        <f t="shared" si="9"/>
        <v>#N/A</v>
      </c>
      <c r="AG49" s="472" t="e">
        <f>VLOOKUP(AI49,'排出係数(2017)'!$A$4:$I$1151,9,FALSE)</f>
        <v>#N/A</v>
      </c>
      <c r="AH49" s="12" t="str">
        <f t="shared" si="10"/>
        <v xml:space="preserve"> </v>
      </c>
      <c r="AI49" s="7" t="e">
        <f t="shared" si="25"/>
        <v>#N/A</v>
      </c>
      <c r="AJ49" s="7" t="e">
        <f t="shared" si="11"/>
        <v>#N/A</v>
      </c>
      <c r="AK49" s="472" t="e">
        <f>VLOOKUP(AI49,'排出係数(2017)'!$A$4:$I$1151,6,FALSE)</f>
        <v>#N/A</v>
      </c>
      <c r="AL49" s="7" t="e">
        <f t="shared" si="12"/>
        <v>#N/A</v>
      </c>
      <c r="AM49" s="7" t="e">
        <f t="shared" si="13"/>
        <v>#N/A</v>
      </c>
      <c r="AN49" s="472" t="e">
        <f>VLOOKUP(AI49,'排出係数(2017)'!$A$4:$I$1151,7,FALSE)</f>
        <v>#N/A</v>
      </c>
      <c r="AO49" s="7" t="e">
        <f t="shared" si="14"/>
        <v>#N/A</v>
      </c>
      <c r="AP49" s="7" t="e">
        <f t="shared" si="15"/>
        <v>#N/A</v>
      </c>
      <c r="AQ49" s="7" t="e">
        <f t="shared" si="26"/>
        <v>#N/A</v>
      </c>
      <c r="AR49" s="7">
        <f t="shared" si="16"/>
        <v>0</v>
      </c>
      <c r="AS49" s="7" t="e">
        <f t="shared" si="27"/>
        <v>#N/A</v>
      </c>
      <c r="AT49" s="7" t="str">
        <f t="shared" si="17"/>
        <v/>
      </c>
      <c r="AU49" s="7" t="str">
        <f t="shared" si="18"/>
        <v/>
      </c>
      <c r="AV49" s="7" t="str">
        <f t="shared" si="19"/>
        <v/>
      </c>
      <c r="AW49" s="7" t="str">
        <f t="shared" si="20"/>
        <v/>
      </c>
      <c r="AX49" s="97"/>
      <c r="BD49" s="467" t="s">
        <v>1301</v>
      </c>
      <c r="CG49"/>
      <c r="CH49"/>
      <c r="CK49" s="592" t="str">
        <f t="shared" si="28"/>
        <v/>
      </c>
      <c r="CL49" s="421" t="str">
        <f t="shared" si="29"/>
        <v/>
      </c>
      <c r="CM49" s="594"/>
      <c r="CN49" s="594"/>
      <c r="CO49" s="594"/>
      <c r="CP49" s="594"/>
      <c r="CQ49" s="594"/>
      <c r="CR49" s="594"/>
    </row>
    <row r="50" spans="1:96" s="13" customFormat="1" ht="13.75" customHeight="1">
      <c r="A50" s="137">
        <v>35</v>
      </c>
      <c r="B50" s="134"/>
      <c r="C50" s="8"/>
      <c r="D50" s="100"/>
      <c r="E50" s="8"/>
      <c r="F50" s="8"/>
      <c r="G50" s="190"/>
      <c r="H50" s="8"/>
      <c r="I50" s="9"/>
      <c r="J50" s="10"/>
      <c r="K50" s="8"/>
      <c r="L50" s="145"/>
      <c r="M50" s="146"/>
      <c r="N50" s="8"/>
      <c r="O50" s="589"/>
      <c r="P50" s="229" t="str">
        <f t="shared" si="21"/>
        <v/>
      </c>
      <c r="Q50" s="229" t="str">
        <f t="shared" si="22"/>
        <v/>
      </c>
      <c r="R50" s="230" t="str">
        <f t="shared" si="23"/>
        <v/>
      </c>
      <c r="S50" s="230" t="str">
        <f t="shared" si="24"/>
        <v/>
      </c>
      <c r="T50" s="351"/>
      <c r="U50" s="43"/>
      <c r="V50" s="42" t="str">
        <f t="shared" si="0"/>
        <v/>
      </c>
      <c r="W50" s="42" t="e">
        <f>IF(#REF!="","",#REF!)</f>
        <v>#REF!</v>
      </c>
      <c r="X50" s="31" t="str">
        <f t="shared" si="1"/>
        <v/>
      </c>
      <c r="Y50" s="7" t="e">
        <f t="shared" si="2"/>
        <v>#N/A</v>
      </c>
      <c r="Z50" s="7" t="e">
        <f t="shared" si="3"/>
        <v>#N/A</v>
      </c>
      <c r="AA50" s="7" t="e">
        <f t="shared" si="4"/>
        <v>#N/A</v>
      </c>
      <c r="AB50" s="7" t="str">
        <f t="shared" si="5"/>
        <v/>
      </c>
      <c r="AC50" s="11">
        <f t="shared" si="6"/>
        <v>1</v>
      </c>
      <c r="AD50" s="7" t="e">
        <f t="shared" si="7"/>
        <v>#N/A</v>
      </c>
      <c r="AE50" s="7" t="e">
        <f t="shared" si="8"/>
        <v>#N/A</v>
      </c>
      <c r="AF50" s="7" t="e">
        <f t="shared" si="9"/>
        <v>#N/A</v>
      </c>
      <c r="AG50" s="472" t="e">
        <f>VLOOKUP(AI50,'排出係数(2017)'!$A$4:$I$1151,9,FALSE)</f>
        <v>#N/A</v>
      </c>
      <c r="AH50" s="12" t="str">
        <f t="shared" si="10"/>
        <v xml:space="preserve"> </v>
      </c>
      <c r="AI50" s="7" t="e">
        <f t="shared" si="25"/>
        <v>#N/A</v>
      </c>
      <c r="AJ50" s="7" t="e">
        <f t="shared" si="11"/>
        <v>#N/A</v>
      </c>
      <c r="AK50" s="472" t="e">
        <f>VLOOKUP(AI50,'排出係数(2017)'!$A$4:$I$1151,6,FALSE)</f>
        <v>#N/A</v>
      </c>
      <c r="AL50" s="7" t="e">
        <f t="shared" si="12"/>
        <v>#N/A</v>
      </c>
      <c r="AM50" s="7" t="e">
        <f t="shared" si="13"/>
        <v>#N/A</v>
      </c>
      <c r="AN50" s="472" t="e">
        <f>VLOOKUP(AI50,'排出係数(2017)'!$A$4:$I$1151,7,FALSE)</f>
        <v>#N/A</v>
      </c>
      <c r="AO50" s="7" t="e">
        <f t="shared" si="14"/>
        <v>#N/A</v>
      </c>
      <c r="AP50" s="7" t="e">
        <f t="shared" si="15"/>
        <v>#N/A</v>
      </c>
      <c r="AQ50" s="7" t="e">
        <f t="shared" si="26"/>
        <v>#N/A</v>
      </c>
      <c r="AR50" s="7">
        <f t="shared" si="16"/>
        <v>0</v>
      </c>
      <c r="AS50" s="7" t="e">
        <f t="shared" si="27"/>
        <v>#N/A</v>
      </c>
      <c r="AT50" s="7" t="str">
        <f t="shared" si="17"/>
        <v/>
      </c>
      <c r="AU50" s="7" t="str">
        <f t="shared" si="18"/>
        <v/>
      </c>
      <c r="AV50" s="7" t="str">
        <f t="shared" si="19"/>
        <v/>
      </c>
      <c r="AW50" s="7" t="str">
        <f t="shared" si="20"/>
        <v/>
      </c>
      <c r="AX50" s="97"/>
      <c r="BD50" s="453" t="s">
        <v>1351</v>
      </c>
      <c r="CG50"/>
      <c r="CH50"/>
      <c r="CK50" s="592" t="str">
        <f t="shared" si="28"/>
        <v/>
      </c>
      <c r="CL50" s="421" t="str">
        <f t="shared" si="29"/>
        <v/>
      </c>
      <c r="CM50" s="594"/>
      <c r="CN50" s="594"/>
      <c r="CO50" s="594"/>
      <c r="CP50" s="594"/>
      <c r="CQ50" s="594"/>
      <c r="CR50" s="594"/>
    </row>
    <row r="51" spans="1:96" s="13" customFormat="1" ht="13.75" customHeight="1">
      <c r="A51" s="137">
        <v>36</v>
      </c>
      <c r="B51" s="134"/>
      <c r="C51" s="8"/>
      <c r="D51" s="100"/>
      <c r="E51" s="8"/>
      <c r="F51" s="8"/>
      <c r="G51" s="190"/>
      <c r="H51" s="8"/>
      <c r="I51" s="9"/>
      <c r="J51" s="10"/>
      <c r="K51" s="8"/>
      <c r="L51" s="145"/>
      <c r="M51" s="146"/>
      <c r="N51" s="8"/>
      <c r="O51" s="589"/>
      <c r="P51" s="229" t="str">
        <f t="shared" si="21"/>
        <v/>
      </c>
      <c r="Q51" s="229" t="str">
        <f t="shared" si="22"/>
        <v/>
      </c>
      <c r="R51" s="230" t="str">
        <f t="shared" si="23"/>
        <v/>
      </c>
      <c r="S51" s="230" t="str">
        <f t="shared" si="24"/>
        <v/>
      </c>
      <c r="T51" s="351"/>
      <c r="U51" s="43"/>
      <c r="V51" s="42" t="str">
        <f t="shared" si="0"/>
        <v/>
      </c>
      <c r="W51" s="42" t="e">
        <f>IF(#REF!="","",#REF!)</f>
        <v>#REF!</v>
      </c>
      <c r="X51" s="31" t="str">
        <f t="shared" si="1"/>
        <v/>
      </c>
      <c r="Y51" s="7" t="e">
        <f t="shared" si="2"/>
        <v>#N/A</v>
      </c>
      <c r="Z51" s="7" t="e">
        <f t="shared" si="3"/>
        <v>#N/A</v>
      </c>
      <c r="AA51" s="7" t="e">
        <f t="shared" si="4"/>
        <v>#N/A</v>
      </c>
      <c r="AB51" s="7" t="str">
        <f t="shared" si="5"/>
        <v/>
      </c>
      <c r="AC51" s="11">
        <f t="shared" si="6"/>
        <v>1</v>
      </c>
      <c r="AD51" s="7" t="e">
        <f t="shared" si="7"/>
        <v>#N/A</v>
      </c>
      <c r="AE51" s="7" t="e">
        <f t="shared" si="8"/>
        <v>#N/A</v>
      </c>
      <c r="AF51" s="7" t="e">
        <f t="shared" si="9"/>
        <v>#N/A</v>
      </c>
      <c r="AG51" s="472" t="e">
        <f>VLOOKUP(AI51,'排出係数(2017)'!$A$4:$I$1151,9,FALSE)</f>
        <v>#N/A</v>
      </c>
      <c r="AH51" s="12" t="str">
        <f t="shared" si="10"/>
        <v xml:space="preserve"> </v>
      </c>
      <c r="AI51" s="7" t="e">
        <f t="shared" si="25"/>
        <v>#N/A</v>
      </c>
      <c r="AJ51" s="7" t="e">
        <f t="shared" si="11"/>
        <v>#N/A</v>
      </c>
      <c r="AK51" s="472" t="e">
        <f>VLOOKUP(AI51,'排出係数(2017)'!$A$4:$I$1151,6,FALSE)</f>
        <v>#N/A</v>
      </c>
      <c r="AL51" s="7" t="e">
        <f t="shared" si="12"/>
        <v>#N/A</v>
      </c>
      <c r="AM51" s="7" t="e">
        <f t="shared" si="13"/>
        <v>#N/A</v>
      </c>
      <c r="AN51" s="472" t="e">
        <f>VLOOKUP(AI51,'排出係数(2017)'!$A$4:$I$1151,7,FALSE)</f>
        <v>#N/A</v>
      </c>
      <c r="AO51" s="7" t="e">
        <f t="shared" si="14"/>
        <v>#N/A</v>
      </c>
      <c r="AP51" s="7" t="e">
        <f t="shared" si="15"/>
        <v>#N/A</v>
      </c>
      <c r="AQ51" s="7" t="e">
        <f t="shared" si="26"/>
        <v>#N/A</v>
      </c>
      <c r="AR51" s="7">
        <f t="shared" si="16"/>
        <v>0</v>
      </c>
      <c r="AS51" s="7" t="e">
        <f t="shared" si="27"/>
        <v>#N/A</v>
      </c>
      <c r="AT51" s="7" t="str">
        <f t="shared" si="17"/>
        <v/>
      </c>
      <c r="AU51" s="7" t="str">
        <f t="shared" si="18"/>
        <v/>
      </c>
      <c r="AV51" s="7" t="str">
        <f t="shared" si="19"/>
        <v/>
      </c>
      <c r="AW51" s="7" t="str">
        <f t="shared" si="20"/>
        <v/>
      </c>
      <c r="AX51" s="97"/>
      <c r="BD51" s="453" t="s">
        <v>1696</v>
      </c>
      <c r="CG51"/>
      <c r="CH51"/>
      <c r="CK51" s="592" t="str">
        <f t="shared" si="28"/>
        <v/>
      </c>
      <c r="CL51" s="421" t="str">
        <f t="shared" si="29"/>
        <v/>
      </c>
      <c r="CM51" s="594"/>
      <c r="CN51" s="594"/>
      <c r="CO51" s="594"/>
      <c r="CP51" s="594"/>
      <c r="CQ51" s="594"/>
      <c r="CR51" s="594"/>
    </row>
    <row r="52" spans="1:96" s="13" customFormat="1" ht="13.75" customHeight="1">
      <c r="A52" s="137">
        <v>37</v>
      </c>
      <c r="B52" s="134"/>
      <c r="C52" s="8"/>
      <c r="D52" s="100"/>
      <c r="E52" s="8"/>
      <c r="F52" s="8"/>
      <c r="G52" s="190"/>
      <c r="H52" s="8"/>
      <c r="I52" s="9"/>
      <c r="J52" s="10"/>
      <c r="K52" s="8"/>
      <c r="L52" s="145"/>
      <c r="M52" s="146"/>
      <c r="N52" s="8"/>
      <c r="O52" s="589"/>
      <c r="P52" s="229" t="str">
        <f t="shared" si="21"/>
        <v/>
      </c>
      <c r="Q52" s="229" t="str">
        <f t="shared" si="22"/>
        <v/>
      </c>
      <c r="R52" s="230" t="str">
        <f t="shared" si="23"/>
        <v/>
      </c>
      <c r="S52" s="230" t="str">
        <f t="shared" si="24"/>
        <v/>
      </c>
      <c r="T52" s="351"/>
      <c r="U52" s="43"/>
      <c r="V52" s="42" t="str">
        <f t="shared" si="0"/>
        <v/>
      </c>
      <c r="W52" s="42" t="e">
        <f>IF(#REF!="","",#REF!)</f>
        <v>#REF!</v>
      </c>
      <c r="X52" s="31" t="str">
        <f t="shared" si="1"/>
        <v/>
      </c>
      <c r="Y52" s="7" t="e">
        <f t="shared" si="2"/>
        <v>#N/A</v>
      </c>
      <c r="Z52" s="7" t="e">
        <f t="shared" si="3"/>
        <v>#N/A</v>
      </c>
      <c r="AA52" s="7" t="e">
        <f t="shared" si="4"/>
        <v>#N/A</v>
      </c>
      <c r="AB52" s="7" t="str">
        <f t="shared" si="5"/>
        <v/>
      </c>
      <c r="AC52" s="11">
        <f t="shared" si="6"/>
        <v>1</v>
      </c>
      <c r="AD52" s="7" t="e">
        <f t="shared" si="7"/>
        <v>#N/A</v>
      </c>
      <c r="AE52" s="7" t="e">
        <f t="shared" si="8"/>
        <v>#N/A</v>
      </c>
      <c r="AF52" s="7" t="e">
        <f t="shared" si="9"/>
        <v>#N/A</v>
      </c>
      <c r="AG52" s="472" t="e">
        <f>VLOOKUP(AI52,'排出係数(2017)'!$A$4:$I$1151,9,FALSE)</f>
        <v>#N/A</v>
      </c>
      <c r="AH52" s="12" t="str">
        <f t="shared" si="10"/>
        <v xml:space="preserve"> </v>
      </c>
      <c r="AI52" s="7" t="e">
        <f t="shared" si="25"/>
        <v>#N/A</v>
      </c>
      <c r="AJ52" s="7" t="e">
        <f t="shared" si="11"/>
        <v>#N/A</v>
      </c>
      <c r="AK52" s="472" t="e">
        <f>VLOOKUP(AI52,'排出係数(2017)'!$A$4:$I$1151,6,FALSE)</f>
        <v>#N/A</v>
      </c>
      <c r="AL52" s="7" t="e">
        <f t="shared" si="12"/>
        <v>#N/A</v>
      </c>
      <c r="AM52" s="7" t="e">
        <f t="shared" si="13"/>
        <v>#N/A</v>
      </c>
      <c r="AN52" s="472" t="e">
        <f>VLOOKUP(AI52,'排出係数(2017)'!$A$4:$I$1151,7,FALSE)</f>
        <v>#N/A</v>
      </c>
      <c r="AO52" s="7" t="e">
        <f t="shared" si="14"/>
        <v>#N/A</v>
      </c>
      <c r="AP52" s="7" t="e">
        <f t="shared" si="15"/>
        <v>#N/A</v>
      </c>
      <c r="AQ52" s="7" t="e">
        <f t="shared" si="26"/>
        <v>#N/A</v>
      </c>
      <c r="AR52" s="7">
        <f t="shared" si="16"/>
        <v>0</v>
      </c>
      <c r="AS52" s="7" t="e">
        <f t="shared" si="27"/>
        <v>#N/A</v>
      </c>
      <c r="AT52" s="7" t="str">
        <f t="shared" si="17"/>
        <v/>
      </c>
      <c r="AU52" s="7" t="str">
        <f t="shared" si="18"/>
        <v/>
      </c>
      <c r="AV52" s="7" t="str">
        <f t="shared" si="19"/>
        <v/>
      </c>
      <c r="AW52" s="7" t="str">
        <f t="shared" si="20"/>
        <v/>
      </c>
      <c r="AX52" s="97"/>
      <c r="BD52" s="453" t="s">
        <v>1266</v>
      </c>
      <c r="CG52"/>
      <c r="CH52"/>
      <c r="CK52" s="592" t="str">
        <f t="shared" si="28"/>
        <v/>
      </c>
      <c r="CL52" s="421" t="str">
        <f t="shared" si="29"/>
        <v/>
      </c>
      <c r="CM52" s="594"/>
      <c r="CN52" s="594"/>
      <c r="CO52" s="594"/>
      <c r="CP52" s="594"/>
      <c r="CQ52" s="594"/>
      <c r="CR52" s="594"/>
    </row>
    <row r="53" spans="1:96" s="13" customFormat="1" ht="13.75" customHeight="1">
      <c r="A53" s="137">
        <v>38</v>
      </c>
      <c r="B53" s="134"/>
      <c r="C53" s="8"/>
      <c r="D53" s="100"/>
      <c r="E53" s="8"/>
      <c r="F53" s="8"/>
      <c r="G53" s="190"/>
      <c r="H53" s="8"/>
      <c r="I53" s="9"/>
      <c r="J53" s="10"/>
      <c r="K53" s="8"/>
      <c r="L53" s="145"/>
      <c r="M53" s="146"/>
      <c r="N53" s="8"/>
      <c r="O53" s="589"/>
      <c r="P53" s="229" t="str">
        <f t="shared" si="21"/>
        <v/>
      </c>
      <c r="Q53" s="229" t="str">
        <f t="shared" si="22"/>
        <v/>
      </c>
      <c r="R53" s="230" t="str">
        <f t="shared" si="23"/>
        <v/>
      </c>
      <c r="S53" s="230" t="str">
        <f t="shared" si="24"/>
        <v/>
      </c>
      <c r="T53" s="351"/>
      <c r="U53" s="43"/>
      <c r="V53" s="42" t="str">
        <f t="shared" si="0"/>
        <v/>
      </c>
      <c r="W53" s="42" t="e">
        <f>IF(#REF!="","",#REF!)</f>
        <v>#REF!</v>
      </c>
      <c r="X53" s="31" t="str">
        <f t="shared" si="1"/>
        <v/>
      </c>
      <c r="Y53" s="7" t="e">
        <f t="shared" si="2"/>
        <v>#N/A</v>
      </c>
      <c r="Z53" s="7" t="e">
        <f t="shared" si="3"/>
        <v>#N/A</v>
      </c>
      <c r="AA53" s="7" t="e">
        <f t="shared" si="4"/>
        <v>#N/A</v>
      </c>
      <c r="AB53" s="7" t="str">
        <f t="shared" si="5"/>
        <v/>
      </c>
      <c r="AC53" s="11">
        <f t="shared" si="6"/>
        <v>1</v>
      </c>
      <c r="AD53" s="7" t="e">
        <f t="shared" si="7"/>
        <v>#N/A</v>
      </c>
      <c r="AE53" s="7" t="e">
        <f t="shared" si="8"/>
        <v>#N/A</v>
      </c>
      <c r="AF53" s="7" t="e">
        <f t="shared" si="9"/>
        <v>#N/A</v>
      </c>
      <c r="AG53" s="472" t="e">
        <f>VLOOKUP(AI53,'排出係数(2017)'!$A$4:$I$1151,9,FALSE)</f>
        <v>#N/A</v>
      </c>
      <c r="AH53" s="12" t="str">
        <f t="shared" si="10"/>
        <v xml:space="preserve"> </v>
      </c>
      <c r="AI53" s="7" t="e">
        <f t="shared" si="25"/>
        <v>#N/A</v>
      </c>
      <c r="AJ53" s="7" t="e">
        <f t="shared" si="11"/>
        <v>#N/A</v>
      </c>
      <c r="AK53" s="472" t="e">
        <f>VLOOKUP(AI53,'排出係数(2017)'!$A$4:$I$1151,6,FALSE)</f>
        <v>#N/A</v>
      </c>
      <c r="AL53" s="7" t="e">
        <f t="shared" si="12"/>
        <v>#N/A</v>
      </c>
      <c r="AM53" s="7" t="e">
        <f t="shared" si="13"/>
        <v>#N/A</v>
      </c>
      <c r="AN53" s="472" t="e">
        <f>VLOOKUP(AI53,'排出係数(2017)'!$A$4:$I$1151,7,FALSE)</f>
        <v>#N/A</v>
      </c>
      <c r="AO53" s="7" t="e">
        <f t="shared" si="14"/>
        <v>#N/A</v>
      </c>
      <c r="AP53" s="7" t="e">
        <f t="shared" si="15"/>
        <v>#N/A</v>
      </c>
      <c r="AQ53" s="7" t="e">
        <f t="shared" si="26"/>
        <v>#N/A</v>
      </c>
      <c r="AR53" s="7">
        <f t="shared" si="16"/>
        <v>0</v>
      </c>
      <c r="AS53" s="7" t="e">
        <f t="shared" si="27"/>
        <v>#N/A</v>
      </c>
      <c r="AT53" s="7" t="str">
        <f t="shared" si="17"/>
        <v/>
      </c>
      <c r="AU53" s="7" t="str">
        <f t="shared" si="18"/>
        <v/>
      </c>
      <c r="AV53" s="7" t="str">
        <f t="shared" si="19"/>
        <v/>
      </c>
      <c r="AW53" s="7" t="str">
        <f t="shared" si="20"/>
        <v/>
      </c>
      <c r="AX53" s="97"/>
      <c r="BD53" s="467" t="s">
        <v>1299</v>
      </c>
      <c r="CG53"/>
      <c r="CH53"/>
      <c r="CK53" s="592" t="str">
        <f t="shared" si="28"/>
        <v/>
      </c>
      <c r="CL53" s="421" t="str">
        <f t="shared" si="29"/>
        <v/>
      </c>
      <c r="CM53" s="594"/>
      <c r="CN53" s="594"/>
      <c r="CO53" s="594"/>
      <c r="CP53" s="594"/>
      <c r="CQ53" s="594"/>
      <c r="CR53" s="594"/>
    </row>
    <row r="54" spans="1:96" s="13" customFormat="1" ht="13.75" customHeight="1">
      <c r="A54" s="137">
        <v>39</v>
      </c>
      <c r="B54" s="134"/>
      <c r="C54" s="8"/>
      <c r="D54" s="100"/>
      <c r="E54" s="8"/>
      <c r="F54" s="8"/>
      <c r="G54" s="190"/>
      <c r="H54" s="8"/>
      <c r="I54" s="9"/>
      <c r="J54" s="10"/>
      <c r="K54" s="8"/>
      <c r="L54" s="145"/>
      <c r="M54" s="146"/>
      <c r="N54" s="8"/>
      <c r="O54" s="589"/>
      <c r="P54" s="229" t="str">
        <f t="shared" si="21"/>
        <v/>
      </c>
      <c r="Q54" s="229" t="str">
        <f t="shared" si="22"/>
        <v/>
      </c>
      <c r="R54" s="230" t="str">
        <f t="shared" si="23"/>
        <v/>
      </c>
      <c r="S54" s="230" t="str">
        <f t="shared" si="24"/>
        <v/>
      </c>
      <c r="T54" s="351"/>
      <c r="U54" s="43"/>
      <c r="V54" s="42" t="str">
        <f t="shared" si="0"/>
        <v/>
      </c>
      <c r="W54" s="42" t="e">
        <f>IF(#REF!="","",#REF!)</f>
        <v>#REF!</v>
      </c>
      <c r="X54" s="31" t="str">
        <f t="shared" si="1"/>
        <v/>
      </c>
      <c r="Y54" s="7" t="e">
        <f t="shared" si="2"/>
        <v>#N/A</v>
      </c>
      <c r="Z54" s="7" t="e">
        <f t="shared" si="3"/>
        <v>#N/A</v>
      </c>
      <c r="AA54" s="7" t="e">
        <f t="shared" si="4"/>
        <v>#N/A</v>
      </c>
      <c r="AB54" s="7" t="str">
        <f t="shared" si="5"/>
        <v/>
      </c>
      <c r="AC54" s="11">
        <f t="shared" si="6"/>
        <v>1</v>
      </c>
      <c r="AD54" s="7" t="e">
        <f t="shared" si="7"/>
        <v>#N/A</v>
      </c>
      <c r="AE54" s="7" t="e">
        <f t="shared" si="8"/>
        <v>#N/A</v>
      </c>
      <c r="AF54" s="7" t="e">
        <f t="shared" si="9"/>
        <v>#N/A</v>
      </c>
      <c r="AG54" s="472" t="e">
        <f>VLOOKUP(AI54,'排出係数(2017)'!$A$4:$I$1151,9,FALSE)</f>
        <v>#N/A</v>
      </c>
      <c r="AH54" s="12" t="str">
        <f t="shared" si="10"/>
        <v xml:space="preserve"> </v>
      </c>
      <c r="AI54" s="7" t="e">
        <f t="shared" si="25"/>
        <v>#N/A</v>
      </c>
      <c r="AJ54" s="7" t="e">
        <f t="shared" si="11"/>
        <v>#N/A</v>
      </c>
      <c r="AK54" s="472" t="e">
        <f>VLOOKUP(AI54,'排出係数(2017)'!$A$4:$I$1151,6,FALSE)</f>
        <v>#N/A</v>
      </c>
      <c r="AL54" s="7" t="e">
        <f t="shared" si="12"/>
        <v>#N/A</v>
      </c>
      <c r="AM54" s="7" t="e">
        <f t="shared" si="13"/>
        <v>#N/A</v>
      </c>
      <c r="AN54" s="472" t="e">
        <f>VLOOKUP(AI54,'排出係数(2017)'!$A$4:$I$1151,7,FALSE)</f>
        <v>#N/A</v>
      </c>
      <c r="AO54" s="7" t="e">
        <f t="shared" si="14"/>
        <v>#N/A</v>
      </c>
      <c r="AP54" s="7" t="e">
        <f t="shared" si="15"/>
        <v>#N/A</v>
      </c>
      <c r="AQ54" s="7" t="e">
        <f t="shared" si="26"/>
        <v>#N/A</v>
      </c>
      <c r="AR54" s="7">
        <f t="shared" si="16"/>
        <v>0</v>
      </c>
      <c r="AS54" s="7" t="e">
        <f t="shared" si="27"/>
        <v>#N/A</v>
      </c>
      <c r="AT54" s="7" t="str">
        <f t="shared" si="17"/>
        <v/>
      </c>
      <c r="AU54" s="7" t="str">
        <f t="shared" si="18"/>
        <v/>
      </c>
      <c r="AV54" s="7" t="str">
        <f t="shared" si="19"/>
        <v/>
      </c>
      <c r="AW54" s="7" t="str">
        <f t="shared" si="20"/>
        <v/>
      </c>
      <c r="AX54" s="97"/>
      <c r="BD54" s="453" t="s">
        <v>1349</v>
      </c>
      <c r="CG54"/>
      <c r="CH54"/>
      <c r="CK54" s="592" t="str">
        <f t="shared" si="28"/>
        <v/>
      </c>
      <c r="CL54" s="421" t="str">
        <f t="shared" si="29"/>
        <v/>
      </c>
      <c r="CM54" s="594"/>
      <c r="CN54" s="594"/>
      <c r="CO54" s="594"/>
      <c r="CP54" s="594"/>
      <c r="CQ54" s="594"/>
      <c r="CR54" s="594"/>
    </row>
    <row r="55" spans="1:96" s="13" customFormat="1" ht="13.75" customHeight="1">
      <c r="A55" s="137">
        <v>40</v>
      </c>
      <c r="B55" s="134"/>
      <c r="C55" s="8"/>
      <c r="D55" s="100"/>
      <c r="E55" s="8"/>
      <c r="F55" s="8"/>
      <c r="G55" s="190"/>
      <c r="H55" s="8"/>
      <c r="I55" s="9"/>
      <c r="J55" s="10"/>
      <c r="K55" s="8"/>
      <c r="L55" s="145"/>
      <c r="M55" s="146"/>
      <c r="N55" s="8"/>
      <c r="O55" s="589"/>
      <c r="P55" s="229" t="str">
        <f t="shared" si="21"/>
        <v/>
      </c>
      <c r="Q55" s="229" t="str">
        <f t="shared" si="22"/>
        <v/>
      </c>
      <c r="R55" s="230" t="str">
        <f t="shared" si="23"/>
        <v/>
      </c>
      <c r="S55" s="230" t="str">
        <f t="shared" si="24"/>
        <v/>
      </c>
      <c r="T55" s="351"/>
      <c r="U55" s="43"/>
      <c r="V55" s="42" t="str">
        <f t="shared" si="0"/>
        <v/>
      </c>
      <c r="W55" s="42" t="e">
        <f>IF(#REF!="","",#REF!)</f>
        <v>#REF!</v>
      </c>
      <c r="X55" s="31" t="str">
        <f t="shared" si="1"/>
        <v/>
      </c>
      <c r="Y55" s="7" t="e">
        <f t="shared" si="2"/>
        <v>#N/A</v>
      </c>
      <c r="Z55" s="7" t="e">
        <f t="shared" si="3"/>
        <v>#N/A</v>
      </c>
      <c r="AA55" s="7" t="e">
        <f t="shared" si="4"/>
        <v>#N/A</v>
      </c>
      <c r="AB55" s="7" t="str">
        <f t="shared" si="5"/>
        <v/>
      </c>
      <c r="AC55" s="11">
        <f t="shared" si="6"/>
        <v>1</v>
      </c>
      <c r="AD55" s="7" t="e">
        <f t="shared" si="7"/>
        <v>#N/A</v>
      </c>
      <c r="AE55" s="7" t="e">
        <f t="shared" si="8"/>
        <v>#N/A</v>
      </c>
      <c r="AF55" s="7" t="e">
        <f t="shared" si="9"/>
        <v>#N/A</v>
      </c>
      <c r="AG55" s="472" t="e">
        <f>VLOOKUP(AI55,'排出係数(2017)'!$A$4:$I$1151,9,FALSE)</f>
        <v>#N/A</v>
      </c>
      <c r="AH55" s="12" t="str">
        <f t="shared" si="10"/>
        <v xml:space="preserve"> </v>
      </c>
      <c r="AI55" s="7" t="e">
        <f t="shared" si="25"/>
        <v>#N/A</v>
      </c>
      <c r="AJ55" s="7" t="e">
        <f t="shared" si="11"/>
        <v>#N/A</v>
      </c>
      <c r="AK55" s="472" t="e">
        <f>VLOOKUP(AI55,'排出係数(2017)'!$A$4:$I$1151,6,FALSE)</f>
        <v>#N/A</v>
      </c>
      <c r="AL55" s="7" t="e">
        <f t="shared" si="12"/>
        <v>#N/A</v>
      </c>
      <c r="AM55" s="7" t="e">
        <f t="shared" si="13"/>
        <v>#N/A</v>
      </c>
      <c r="AN55" s="472" t="e">
        <f>VLOOKUP(AI55,'排出係数(2017)'!$A$4:$I$1151,7,FALSE)</f>
        <v>#N/A</v>
      </c>
      <c r="AO55" s="7" t="e">
        <f t="shared" si="14"/>
        <v>#N/A</v>
      </c>
      <c r="AP55" s="7" t="e">
        <f t="shared" si="15"/>
        <v>#N/A</v>
      </c>
      <c r="AQ55" s="7" t="e">
        <f t="shared" si="26"/>
        <v>#N/A</v>
      </c>
      <c r="AR55" s="7">
        <f t="shared" si="16"/>
        <v>0</v>
      </c>
      <c r="AS55" s="7" t="e">
        <f t="shared" si="27"/>
        <v>#N/A</v>
      </c>
      <c r="AT55" s="7" t="str">
        <f t="shared" si="17"/>
        <v/>
      </c>
      <c r="AU55" s="7" t="str">
        <f t="shared" si="18"/>
        <v/>
      </c>
      <c r="AV55" s="7" t="str">
        <f t="shared" si="19"/>
        <v/>
      </c>
      <c r="AW55" s="7" t="str">
        <f t="shared" si="20"/>
        <v/>
      </c>
      <c r="AX55" s="97"/>
      <c r="BD55" s="467" t="s">
        <v>1011</v>
      </c>
      <c r="CG55"/>
      <c r="CH55"/>
      <c r="CK55" s="592" t="str">
        <f t="shared" si="28"/>
        <v/>
      </c>
      <c r="CL55" s="421" t="str">
        <f t="shared" si="29"/>
        <v/>
      </c>
      <c r="CM55" s="594"/>
      <c r="CN55" s="594"/>
      <c r="CO55" s="594"/>
      <c r="CP55" s="594"/>
      <c r="CQ55" s="594"/>
      <c r="CR55" s="594"/>
    </row>
    <row r="56" spans="1:96" s="13" customFormat="1" ht="13.75" customHeight="1">
      <c r="A56" s="137">
        <v>41</v>
      </c>
      <c r="B56" s="134"/>
      <c r="C56" s="8"/>
      <c r="D56" s="100"/>
      <c r="E56" s="8"/>
      <c r="F56" s="8"/>
      <c r="G56" s="190"/>
      <c r="H56" s="8"/>
      <c r="I56" s="9"/>
      <c r="J56" s="10"/>
      <c r="K56" s="8"/>
      <c r="L56" s="145"/>
      <c r="M56" s="146"/>
      <c r="N56" s="8"/>
      <c r="O56" s="589"/>
      <c r="P56" s="229" t="str">
        <f t="shared" si="21"/>
        <v/>
      </c>
      <c r="Q56" s="229" t="str">
        <f t="shared" si="22"/>
        <v/>
      </c>
      <c r="R56" s="230" t="str">
        <f t="shared" si="23"/>
        <v/>
      </c>
      <c r="S56" s="230" t="str">
        <f t="shared" si="24"/>
        <v/>
      </c>
      <c r="T56" s="351"/>
      <c r="U56" s="43"/>
      <c r="V56" s="42" t="str">
        <f t="shared" si="0"/>
        <v/>
      </c>
      <c r="W56" s="42" t="e">
        <f>IF(#REF!="","",#REF!)</f>
        <v>#REF!</v>
      </c>
      <c r="X56" s="31" t="str">
        <f t="shared" si="1"/>
        <v/>
      </c>
      <c r="Y56" s="7" t="e">
        <f t="shared" si="2"/>
        <v>#N/A</v>
      </c>
      <c r="Z56" s="7" t="e">
        <f t="shared" si="3"/>
        <v>#N/A</v>
      </c>
      <c r="AA56" s="7" t="e">
        <f t="shared" si="4"/>
        <v>#N/A</v>
      </c>
      <c r="AB56" s="7" t="str">
        <f t="shared" si="5"/>
        <v/>
      </c>
      <c r="AC56" s="11">
        <f t="shared" si="6"/>
        <v>1</v>
      </c>
      <c r="AD56" s="7" t="e">
        <f t="shared" si="7"/>
        <v>#N/A</v>
      </c>
      <c r="AE56" s="7" t="e">
        <f t="shared" si="8"/>
        <v>#N/A</v>
      </c>
      <c r="AF56" s="7" t="e">
        <f t="shared" si="9"/>
        <v>#N/A</v>
      </c>
      <c r="AG56" s="472" t="e">
        <f>VLOOKUP(AI56,'排出係数(2017)'!$A$4:$I$1151,9,FALSE)</f>
        <v>#N/A</v>
      </c>
      <c r="AH56" s="12" t="str">
        <f t="shared" si="10"/>
        <v xml:space="preserve"> </v>
      </c>
      <c r="AI56" s="7" t="e">
        <f t="shared" si="25"/>
        <v>#N/A</v>
      </c>
      <c r="AJ56" s="7" t="e">
        <f t="shared" si="11"/>
        <v>#N/A</v>
      </c>
      <c r="AK56" s="472" t="e">
        <f>VLOOKUP(AI56,'排出係数(2017)'!$A$4:$I$1151,6,FALSE)</f>
        <v>#N/A</v>
      </c>
      <c r="AL56" s="7" t="e">
        <f t="shared" si="12"/>
        <v>#N/A</v>
      </c>
      <c r="AM56" s="7" t="e">
        <f t="shared" si="13"/>
        <v>#N/A</v>
      </c>
      <c r="AN56" s="472" t="e">
        <f>VLOOKUP(AI56,'排出係数(2017)'!$A$4:$I$1151,7,FALSE)</f>
        <v>#N/A</v>
      </c>
      <c r="AO56" s="7" t="e">
        <f t="shared" si="14"/>
        <v>#N/A</v>
      </c>
      <c r="AP56" s="7" t="e">
        <f t="shared" si="15"/>
        <v>#N/A</v>
      </c>
      <c r="AQ56" s="7" t="e">
        <f t="shared" si="26"/>
        <v>#N/A</v>
      </c>
      <c r="AR56" s="7">
        <f t="shared" si="16"/>
        <v>0</v>
      </c>
      <c r="AS56" s="7" t="e">
        <f t="shared" si="27"/>
        <v>#N/A</v>
      </c>
      <c r="AT56" s="7" t="str">
        <f t="shared" si="17"/>
        <v/>
      </c>
      <c r="AU56" s="7" t="str">
        <f t="shared" si="18"/>
        <v/>
      </c>
      <c r="AV56" s="7" t="str">
        <f t="shared" si="19"/>
        <v/>
      </c>
      <c r="AW56" s="7" t="str">
        <f t="shared" si="20"/>
        <v/>
      </c>
      <c r="AX56" s="97"/>
      <c r="BD56" s="467" t="s">
        <v>1007</v>
      </c>
      <c r="CG56"/>
      <c r="CH56"/>
      <c r="CK56" s="592" t="str">
        <f t="shared" si="28"/>
        <v/>
      </c>
      <c r="CL56" s="421" t="str">
        <f t="shared" si="29"/>
        <v/>
      </c>
      <c r="CM56" s="594"/>
      <c r="CN56" s="594"/>
      <c r="CO56" s="594"/>
      <c r="CP56" s="594"/>
      <c r="CQ56" s="594"/>
      <c r="CR56" s="594"/>
    </row>
    <row r="57" spans="1:96" s="13" customFormat="1" ht="13.75" customHeight="1">
      <c r="A57" s="137">
        <v>42</v>
      </c>
      <c r="B57" s="134"/>
      <c r="C57" s="8"/>
      <c r="D57" s="100"/>
      <c r="E57" s="8"/>
      <c r="F57" s="8"/>
      <c r="G57" s="190"/>
      <c r="H57" s="8"/>
      <c r="I57" s="9"/>
      <c r="J57" s="10"/>
      <c r="K57" s="8"/>
      <c r="L57" s="145"/>
      <c r="M57" s="146"/>
      <c r="N57" s="8"/>
      <c r="O57" s="589"/>
      <c r="P57" s="229" t="str">
        <f t="shared" si="21"/>
        <v/>
      </c>
      <c r="Q57" s="229" t="str">
        <f t="shared" si="22"/>
        <v/>
      </c>
      <c r="R57" s="230" t="str">
        <f t="shared" si="23"/>
        <v/>
      </c>
      <c r="S57" s="230" t="str">
        <f t="shared" si="24"/>
        <v/>
      </c>
      <c r="T57" s="351"/>
      <c r="U57" s="43"/>
      <c r="V57" s="42" t="str">
        <f t="shared" si="0"/>
        <v/>
      </c>
      <c r="W57" s="42" t="e">
        <f>IF(#REF!="","",#REF!)</f>
        <v>#REF!</v>
      </c>
      <c r="X57" s="31" t="str">
        <f t="shared" si="1"/>
        <v/>
      </c>
      <c r="Y57" s="7" t="e">
        <f t="shared" si="2"/>
        <v>#N/A</v>
      </c>
      <c r="Z57" s="7" t="e">
        <f t="shared" si="3"/>
        <v>#N/A</v>
      </c>
      <c r="AA57" s="7" t="e">
        <f t="shared" si="4"/>
        <v>#N/A</v>
      </c>
      <c r="AB57" s="7" t="str">
        <f t="shared" si="5"/>
        <v/>
      </c>
      <c r="AC57" s="11">
        <f t="shared" si="6"/>
        <v>1</v>
      </c>
      <c r="AD57" s="7" t="e">
        <f t="shared" si="7"/>
        <v>#N/A</v>
      </c>
      <c r="AE57" s="7" t="e">
        <f t="shared" si="8"/>
        <v>#N/A</v>
      </c>
      <c r="AF57" s="7" t="e">
        <f t="shared" si="9"/>
        <v>#N/A</v>
      </c>
      <c r="AG57" s="472" t="e">
        <f>VLOOKUP(AI57,'排出係数(2017)'!$A$4:$I$1151,9,FALSE)</f>
        <v>#N/A</v>
      </c>
      <c r="AH57" s="12" t="str">
        <f t="shared" si="10"/>
        <v xml:space="preserve"> </v>
      </c>
      <c r="AI57" s="7" t="e">
        <f t="shared" si="25"/>
        <v>#N/A</v>
      </c>
      <c r="AJ57" s="7" t="e">
        <f t="shared" si="11"/>
        <v>#N/A</v>
      </c>
      <c r="AK57" s="472" t="e">
        <f>VLOOKUP(AI57,'排出係数(2017)'!$A$4:$I$1151,6,FALSE)</f>
        <v>#N/A</v>
      </c>
      <c r="AL57" s="7" t="e">
        <f t="shared" si="12"/>
        <v>#N/A</v>
      </c>
      <c r="AM57" s="7" t="e">
        <f t="shared" si="13"/>
        <v>#N/A</v>
      </c>
      <c r="AN57" s="472" t="e">
        <f>VLOOKUP(AI57,'排出係数(2017)'!$A$4:$I$1151,7,FALSE)</f>
        <v>#N/A</v>
      </c>
      <c r="AO57" s="7" t="e">
        <f t="shared" si="14"/>
        <v>#N/A</v>
      </c>
      <c r="AP57" s="7" t="e">
        <f t="shared" si="15"/>
        <v>#N/A</v>
      </c>
      <c r="AQ57" s="7" t="e">
        <f t="shared" si="26"/>
        <v>#N/A</v>
      </c>
      <c r="AR57" s="7">
        <f t="shared" si="16"/>
        <v>0</v>
      </c>
      <c r="AS57" s="7" t="e">
        <f t="shared" si="27"/>
        <v>#N/A</v>
      </c>
      <c r="AT57" s="7" t="str">
        <f t="shared" si="17"/>
        <v/>
      </c>
      <c r="AU57" s="7" t="str">
        <f t="shared" si="18"/>
        <v/>
      </c>
      <c r="AV57" s="7" t="str">
        <f t="shared" si="19"/>
        <v/>
      </c>
      <c r="AW57" s="7" t="str">
        <f t="shared" si="20"/>
        <v/>
      </c>
      <c r="AX57" s="97"/>
      <c r="BD57" s="453" t="s">
        <v>1404</v>
      </c>
      <c r="CG57"/>
      <c r="CH57"/>
      <c r="CK57" s="592" t="str">
        <f t="shared" si="28"/>
        <v/>
      </c>
      <c r="CL57" s="421" t="str">
        <f t="shared" si="29"/>
        <v/>
      </c>
      <c r="CM57" s="594"/>
      <c r="CN57" s="594"/>
      <c r="CO57" s="594"/>
      <c r="CP57" s="594"/>
      <c r="CQ57" s="594"/>
      <c r="CR57" s="594"/>
    </row>
    <row r="58" spans="1:96" s="13" customFormat="1" ht="13.75" customHeight="1">
      <c r="A58" s="137">
        <v>43</v>
      </c>
      <c r="B58" s="134"/>
      <c r="C58" s="8"/>
      <c r="D58" s="100"/>
      <c r="E58" s="8"/>
      <c r="F58" s="8"/>
      <c r="G58" s="190"/>
      <c r="H58" s="8"/>
      <c r="I58" s="9"/>
      <c r="J58" s="10"/>
      <c r="K58" s="8"/>
      <c r="L58" s="145"/>
      <c r="M58" s="146"/>
      <c r="N58" s="8"/>
      <c r="O58" s="589"/>
      <c r="P58" s="229" t="str">
        <f t="shared" si="21"/>
        <v/>
      </c>
      <c r="Q58" s="229" t="str">
        <f t="shared" si="22"/>
        <v/>
      </c>
      <c r="R58" s="230" t="str">
        <f t="shared" si="23"/>
        <v/>
      </c>
      <c r="S58" s="230" t="str">
        <f t="shared" si="24"/>
        <v/>
      </c>
      <c r="T58" s="351"/>
      <c r="U58" s="43"/>
      <c r="V58" s="42" t="str">
        <f t="shared" si="0"/>
        <v/>
      </c>
      <c r="W58" s="42" t="e">
        <f>IF(#REF!="","",#REF!)</f>
        <v>#REF!</v>
      </c>
      <c r="X58" s="31" t="str">
        <f t="shared" si="1"/>
        <v/>
      </c>
      <c r="Y58" s="7" t="e">
        <f t="shared" si="2"/>
        <v>#N/A</v>
      </c>
      <c r="Z58" s="7" t="e">
        <f t="shared" si="3"/>
        <v>#N/A</v>
      </c>
      <c r="AA58" s="7" t="e">
        <f t="shared" si="4"/>
        <v>#N/A</v>
      </c>
      <c r="AB58" s="7" t="str">
        <f t="shared" si="5"/>
        <v/>
      </c>
      <c r="AC58" s="11">
        <f t="shared" si="6"/>
        <v>1</v>
      </c>
      <c r="AD58" s="7" t="e">
        <f t="shared" si="7"/>
        <v>#N/A</v>
      </c>
      <c r="AE58" s="7" t="e">
        <f t="shared" si="8"/>
        <v>#N/A</v>
      </c>
      <c r="AF58" s="7" t="e">
        <f t="shared" si="9"/>
        <v>#N/A</v>
      </c>
      <c r="AG58" s="472" t="e">
        <f>VLOOKUP(AI58,'排出係数(2017)'!$A$4:$I$1151,9,FALSE)</f>
        <v>#N/A</v>
      </c>
      <c r="AH58" s="12" t="str">
        <f t="shared" si="10"/>
        <v xml:space="preserve"> </v>
      </c>
      <c r="AI58" s="7" t="e">
        <f t="shared" si="25"/>
        <v>#N/A</v>
      </c>
      <c r="AJ58" s="7" t="e">
        <f t="shared" si="11"/>
        <v>#N/A</v>
      </c>
      <c r="AK58" s="472" t="e">
        <f>VLOOKUP(AI58,'排出係数(2017)'!$A$4:$I$1151,6,FALSE)</f>
        <v>#N/A</v>
      </c>
      <c r="AL58" s="7" t="e">
        <f t="shared" si="12"/>
        <v>#N/A</v>
      </c>
      <c r="AM58" s="7" t="e">
        <f t="shared" si="13"/>
        <v>#N/A</v>
      </c>
      <c r="AN58" s="472" t="e">
        <f>VLOOKUP(AI58,'排出係数(2017)'!$A$4:$I$1151,7,FALSE)</f>
        <v>#N/A</v>
      </c>
      <c r="AO58" s="7" t="e">
        <f t="shared" si="14"/>
        <v>#N/A</v>
      </c>
      <c r="AP58" s="7" t="e">
        <f t="shared" si="15"/>
        <v>#N/A</v>
      </c>
      <c r="AQ58" s="7" t="e">
        <f t="shared" si="26"/>
        <v>#N/A</v>
      </c>
      <c r="AR58" s="7">
        <f t="shared" si="16"/>
        <v>0</v>
      </c>
      <c r="AS58" s="7" t="e">
        <f t="shared" si="27"/>
        <v>#N/A</v>
      </c>
      <c r="AT58" s="7" t="str">
        <f t="shared" si="17"/>
        <v/>
      </c>
      <c r="AU58" s="7" t="str">
        <f t="shared" si="18"/>
        <v/>
      </c>
      <c r="AV58" s="7" t="str">
        <f t="shared" si="19"/>
        <v/>
      </c>
      <c r="AW58" s="7" t="str">
        <f t="shared" si="20"/>
        <v/>
      </c>
      <c r="AX58" s="97"/>
      <c r="BD58" s="453" t="s">
        <v>2507</v>
      </c>
      <c r="CG58"/>
      <c r="CH58"/>
      <c r="CK58" s="592" t="str">
        <f t="shared" si="28"/>
        <v/>
      </c>
      <c r="CL58" s="421" t="str">
        <f t="shared" si="29"/>
        <v/>
      </c>
      <c r="CM58" s="594"/>
      <c r="CN58" s="594"/>
      <c r="CO58" s="594"/>
      <c r="CP58" s="594"/>
      <c r="CQ58" s="594"/>
      <c r="CR58" s="594"/>
    </row>
    <row r="59" spans="1:96" s="13" customFormat="1" ht="13.75" customHeight="1">
      <c r="A59" s="137">
        <v>44</v>
      </c>
      <c r="B59" s="134"/>
      <c r="C59" s="8"/>
      <c r="D59" s="100"/>
      <c r="E59" s="8"/>
      <c r="F59" s="8"/>
      <c r="G59" s="190"/>
      <c r="H59" s="8"/>
      <c r="I59" s="9"/>
      <c r="J59" s="10"/>
      <c r="K59" s="8"/>
      <c r="L59" s="145"/>
      <c r="M59" s="146"/>
      <c r="N59" s="8"/>
      <c r="O59" s="589"/>
      <c r="P59" s="229" t="str">
        <f t="shared" si="21"/>
        <v/>
      </c>
      <c r="Q59" s="229" t="str">
        <f t="shared" si="22"/>
        <v/>
      </c>
      <c r="R59" s="230" t="str">
        <f t="shared" si="23"/>
        <v/>
      </c>
      <c r="S59" s="230" t="str">
        <f t="shared" si="24"/>
        <v/>
      </c>
      <c r="T59" s="351"/>
      <c r="U59" s="43"/>
      <c r="V59" s="42" t="str">
        <f t="shared" si="0"/>
        <v/>
      </c>
      <c r="W59" s="42" t="e">
        <f>IF(#REF!="","",#REF!)</f>
        <v>#REF!</v>
      </c>
      <c r="X59" s="31" t="str">
        <f t="shared" si="1"/>
        <v/>
      </c>
      <c r="Y59" s="7" t="e">
        <f t="shared" si="2"/>
        <v>#N/A</v>
      </c>
      <c r="Z59" s="7" t="e">
        <f t="shared" si="3"/>
        <v>#N/A</v>
      </c>
      <c r="AA59" s="7" t="e">
        <f t="shared" si="4"/>
        <v>#N/A</v>
      </c>
      <c r="AB59" s="7" t="str">
        <f t="shared" si="5"/>
        <v/>
      </c>
      <c r="AC59" s="11">
        <f t="shared" si="6"/>
        <v>1</v>
      </c>
      <c r="AD59" s="7" t="e">
        <f t="shared" si="7"/>
        <v>#N/A</v>
      </c>
      <c r="AE59" s="7" t="e">
        <f t="shared" si="8"/>
        <v>#N/A</v>
      </c>
      <c r="AF59" s="7" t="e">
        <f t="shared" si="9"/>
        <v>#N/A</v>
      </c>
      <c r="AG59" s="472" t="e">
        <f>VLOOKUP(AI59,'排出係数(2017)'!$A$4:$I$1151,9,FALSE)</f>
        <v>#N/A</v>
      </c>
      <c r="AH59" s="12" t="str">
        <f t="shared" si="10"/>
        <v xml:space="preserve"> </v>
      </c>
      <c r="AI59" s="7" t="e">
        <f t="shared" si="25"/>
        <v>#N/A</v>
      </c>
      <c r="AJ59" s="7" t="e">
        <f t="shared" si="11"/>
        <v>#N/A</v>
      </c>
      <c r="AK59" s="472" t="e">
        <f>VLOOKUP(AI59,'排出係数(2017)'!$A$4:$I$1151,6,FALSE)</f>
        <v>#N/A</v>
      </c>
      <c r="AL59" s="7" t="e">
        <f t="shared" si="12"/>
        <v>#N/A</v>
      </c>
      <c r="AM59" s="7" t="e">
        <f t="shared" si="13"/>
        <v>#N/A</v>
      </c>
      <c r="AN59" s="472" t="e">
        <f>VLOOKUP(AI59,'排出係数(2017)'!$A$4:$I$1151,7,FALSE)</f>
        <v>#N/A</v>
      </c>
      <c r="AO59" s="7" t="e">
        <f t="shared" si="14"/>
        <v>#N/A</v>
      </c>
      <c r="AP59" s="7" t="e">
        <f t="shared" si="15"/>
        <v>#N/A</v>
      </c>
      <c r="AQ59" s="7" t="e">
        <f t="shared" si="26"/>
        <v>#N/A</v>
      </c>
      <c r="AR59" s="7">
        <f t="shared" si="16"/>
        <v>0</v>
      </c>
      <c r="AS59" s="7" t="e">
        <f t="shared" si="27"/>
        <v>#N/A</v>
      </c>
      <c r="AT59" s="7" t="str">
        <f t="shared" si="17"/>
        <v/>
      </c>
      <c r="AU59" s="7" t="str">
        <f t="shared" si="18"/>
        <v/>
      </c>
      <c r="AV59" s="7" t="str">
        <f t="shared" si="19"/>
        <v/>
      </c>
      <c r="AW59" s="7" t="str">
        <f t="shared" si="20"/>
        <v/>
      </c>
      <c r="AX59" s="97"/>
      <c r="BD59" s="453" t="s">
        <v>2508</v>
      </c>
      <c r="CG59"/>
      <c r="CH59"/>
      <c r="CK59" s="592" t="str">
        <f t="shared" si="28"/>
        <v/>
      </c>
      <c r="CL59" s="421" t="str">
        <f t="shared" si="29"/>
        <v/>
      </c>
      <c r="CM59" s="594"/>
      <c r="CN59" s="594"/>
      <c r="CO59" s="594"/>
      <c r="CP59" s="594"/>
      <c r="CQ59" s="594"/>
      <c r="CR59" s="594"/>
    </row>
    <row r="60" spans="1:96" s="13" customFormat="1" ht="13.75" customHeight="1">
      <c r="A60" s="137">
        <v>45</v>
      </c>
      <c r="B60" s="134"/>
      <c r="C60" s="8"/>
      <c r="D60" s="100"/>
      <c r="E60" s="8"/>
      <c r="F60" s="8"/>
      <c r="G60" s="190"/>
      <c r="H60" s="8"/>
      <c r="I60" s="9"/>
      <c r="J60" s="10"/>
      <c r="K60" s="8"/>
      <c r="L60" s="145"/>
      <c r="M60" s="146"/>
      <c r="N60" s="8"/>
      <c r="O60" s="589"/>
      <c r="P60" s="229" t="str">
        <f t="shared" si="21"/>
        <v/>
      </c>
      <c r="Q60" s="229" t="str">
        <f t="shared" si="22"/>
        <v/>
      </c>
      <c r="R60" s="230" t="str">
        <f t="shared" si="23"/>
        <v/>
      </c>
      <c r="S60" s="230" t="str">
        <f t="shared" si="24"/>
        <v/>
      </c>
      <c r="T60" s="351"/>
      <c r="U60" s="43"/>
      <c r="V60" s="42" t="str">
        <f t="shared" si="0"/>
        <v/>
      </c>
      <c r="W60" s="42" t="e">
        <f>IF(#REF!="","",#REF!)</f>
        <v>#REF!</v>
      </c>
      <c r="X60" s="31" t="str">
        <f t="shared" si="1"/>
        <v/>
      </c>
      <c r="Y60" s="7" t="e">
        <f t="shared" si="2"/>
        <v>#N/A</v>
      </c>
      <c r="Z60" s="7" t="e">
        <f t="shared" si="3"/>
        <v>#N/A</v>
      </c>
      <c r="AA60" s="7" t="e">
        <f t="shared" si="4"/>
        <v>#N/A</v>
      </c>
      <c r="AB60" s="7" t="str">
        <f t="shared" si="5"/>
        <v/>
      </c>
      <c r="AC60" s="11">
        <f t="shared" si="6"/>
        <v>1</v>
      </c>
      <c r="AD60" s="7" t="e">
        <f t="shared" si="7"/>
        <v>#N/A</v>
      </c>
      <c r="AE60" s="7" t="e">
        <f t="shared" si="8"/>
        <v>#N/A</v>
      </c>
      <c r="AF60" s="7" t="e">
        <f t="shared" si="9"/>
        <v>#N/A</v>
      </c>
      <c r="AG60" s="472" t="e">
        <f>VLOOKUP(AI60,'排出係数(2017)'!$A$4:$I$1151,9,FALSE)</f>
        <v>#N/A</v>
      </c>
      <c r="AH60" s="12" t="str">
        <f t="shared" si="10"/>
        <v xml:space="preserve"> </v>
      </c>
      <c r="AI60" s="7" t="e">
        <f t="shared" si="25"/>
        <v>#N/A</v>
      </c>
      <c r="AJ60" s="7" t="e">
        <f t="shared" si="11"/>
        <v>#N/A</v>
      </c>
      <c r="AK60" s="472" t="e">
        <f>VLOOKUP(AI60,'排出係数(2017)'!$A$4:$I$1151,6,FALSE)</f>
        <v>#N/A</v>
      </c>
      <c r="AL60" s="7" t="e">
        <f t="shared" si="12"/>
        <v>#N/A</v>
      </c>
      <c r="AM60" s="7" t="e">
        <f t="shared" si="13"/>
        <v>#N/A</v>
      </c>
      <c r="AN60" s="472" t="e">
        <f>VLOOKUP(AI60,'排出係数(2017)'!$A$4:$I$1151,7,FALSE)</f>
        <v>#N/A</v>
      </c>
      <c r="AO60" s="7" t="e">
        <f t="shared" si="14"/>
        <v>#N/A</v>
      </c>
      <c r="AP60" s="7" t="e">
        <f t="shared" si="15"/>
        <v>#N/A</v>
      </c>
      <c r="AQ60" s="7" t="e">
        <f t="shared" si="26"/>
        <v>#N/A</v>
      </c>
      <c r="AR60" s="7">
        <f t="shared" si="16"/>
        <v>0</v>
      </c>
      <c r="AS60" s="7" t="e">
        <f t="shared" si="27"/>
        <v>#N/A</v>
      </c>
      <c r="AT60" s="7" t="str">
        <f t="shared" si="17"/>
        <v/>
      </c>
      <c r="AU60" s="7" t="str">
        <f t="shared" si="18"/>
        <v/>
      </c>
      <c r="AV60" s="7" t="str">
        <f t="shared" si="19"/>
        <v/>
      </c>
      <c r="AW60" s="7" t="str">
        <f t="shared" si="20"/>
        <v/>
      </c>
      <c r="AX60" s="97"/>
      <c r="BD60" s="453" t="s">
        <v>2509</v>
      </c>
      <c r="CG60"/>
      <c r="CH60"/>
      <c r="CK60" s="592" t="str">
        <f t="shared" si="28"/>
        <v/>
      </c>
      <c r="CL60" s="421" t="str">
        <f t="shared" si="29"/>
        <v/>
      </c>
      <c r="CM60" s="594"/>
      <c r="CN60" s="594"/>
      <c r="CO60" s="594"/>
      <c r="CP60" s="594"/>
      <c r="CQ60" s="594"/>
      <c r="CR60" s="594"/>
    </row>
    <row r="61" spans="1:96" s="13" customFormat="1" ht="13.75" customHeight="1">
      <c r="A61" s="137">
        <v>46</v>
      </c>
      <c r="B61" s="134"/>
      <c r="C61" s="8"/>
      <c r="D61" s="100"/>
      <c r="E61" s="8"/>
      <c r="F61" s="8"/>
      <c r="G61" s="190"/>
      <c r="H61" s="8"/>
      <c r="I61" s="9"/>
      <c r="J61" s="10"/>
      <c r="K61" s="8"/>
      <c r="L61" s="145"/>
      <c r="M61" s="146"/>
      <c r="N61" s="8"/>
      <c r="O61" s="589"/>
      <c r="P61" s="229" t="str">
        <f t="shared" si="21"/>
        <v/>
      </c>
      <c r="Q61" s="229" t="str">
        <f t="shared" si="22"/>
        <v/>
      </c>
      <c r="R61" s="230" t="str">
        <f t="shared" si="23"/>
        <v/>
      </c>
      <c r="S61" s="230" t="str">
        <f t="shared" si="24"/>
        <v/>
      </c>
      <c r="T61" s="351"/>
      <c r="U61" s="43"/>
      <c r="V61" s="42" t="str">
        <f t="shared" si="0"/>
        <v/>
      </c>
      <c r="W61" s="42" t="e">
        <f>IF(#REF!="","",#REF!)</f>
        <v>#REF!</v>
      </c>
      <c r="X61" s="31" t="str">
        <f t="shared" si="1"/>
        <v/>
      </c>
      <c r="Y61" s="7" t="e">
        <f t="shared" si="2"/>
        <v>#N/A</v>
      </c>
      <c r="Z61" s="7" t="e">
        <f t="shared" si="3"/>
        <v>#N/A</v>
      </c>
      <c r="AA61" s="7" t="e">
        <f t="shared" si="4"/>
        <v>#N/A</v>
      </c>
      <c r="AB61" s="7" t="str">
        <f t="shared" si="5"/>
        <v/>
      </c>
      <c r="AC61" s="11">
        <f t="shared" si="6"/>
        <v>1</v>
      </c>
      <c r="AD61" s="7" t="e">
        <f t="shared" si="7"/>
        <v>#N/A</v>
      </c>
      <c r="AE61" s="7" t="e">
        <f t="shared" si="8"/>
        <v>#N/A</v>
      </c>
      <c r="AF61" s="7" t="e">
        <f t="shared" si="9"/>
        <v>#N/A</v>
      </c>
      <c r="AG61" s="472" t="e">
        <f>VLOOKUP(AI61,'排出係数(2017)'!$A$4:$I$1151,9,FALSE)</f>
        <v>#N/A</v>
      </c>
      <c r="AH61" s="12" t="str">
        <f t="shared" si="10"/>
        <v xml:space="preserve"> </v>
      </c>
      <c r="AI61" s="7" t="e">
        <f t="shared" si="25"/>
        <v>#N/A</v>
      </c>
      <c r="AJ61" s="7" t="e">
        <f t="shared" si="11"/>
        <v>#N/A</v>
      </c>
      <c r="AK61" s="472" t="e">
        <f>VLOOKUP(AI61,'排出係数(2017)'!$A$4:$I$1151,6,FALSE)</f>
        <v>#N/A</v>
      </c>
      <c r="AL61" s="7" t="e">
        <f t="shared" si="12"/>
        <v>#N/A</v>
      </c>
      <c r="AM61" s="7" t="e">
        <f t="shared" si="13"/>
        <v>#N/A</v>
      </c>
      <c r="AN61" s="472" t="e">
        <f>VLOOKUP(AI61,'排出係数(2017)'!$A$4:$I$1151,7,FALSE)</f>
        <v>#N/A</v>
      </c>
      <c r="AO61" s="7" t="e">
        <f t="shared" si="14"/>
        <v>#N/A</v>
      </c>
      <c r="AP61" s="7" t="e">
        <f t="shared" si="15"/>
        <v>#N/A</v>
      </c>
      <c r="AQ61" s="7" t="e">
        <f t="shared" si="26"/>
        <v>#N/A</v>
      </c>
      <c r="AR61" s="7">
        <f t="shared" si="16"/>
        <v>0</v>
      </c>
      <c r="AS61" s="7" t="e">
        <f t="shared" si="27"/>
        <v>#N/A</v>
      </c>
      <c r="AT61" s="7" t="str">
        <f t="shared" si="17"/>
        <v/>
      </c>
      <c r="AU61" s="7" t="str">
        <f t="shared" si="18"/>
        <v/>
      </c>
      <c r="AV61" s="7" t="str">
        <f t="shared" si="19"/>
        <v/>
      </c>
      <c r="AW61" s="7" t="str">
        <f t="shared" si="20"/>
        <v/>
      </c>
      <c r="AX61" s="97"/>
      <c r="BD61" s="453" t="s">
        <v>1550</v>
      </c>
      <c r="CG61"/>
      <c r="CH61"/>
      <c r="CK61" s="592" t="str">
        <f t="shared" si="28"/>
        <v/>
      </c>
      <c r="CL61" s="421" t="str">
        <f t="shared" si="29"/>
        <v/>
      </c>
      <c r="CM61" s="594"/>
      <c r="CN61" s="594"/>
      <c r="CO61" s="594"/>
      <c r="CP61" s="594"/>
      <c r="CQ61" s="594"/>
      <c r="CR61" s="594"/>
    </row>
    <row r="62" spans="1:96" s="13" customFormat="1" ht="13.75" customHeight="1">
      <c r="A62" s="137">
        <v>47</v>
      </c>
      <c r="B62" s="134"/>
      <c r="C62" s="8"/>
      <c r="D62" s="100"/>
      <c r="E62" s="8"/>
      <c r="F62" s="8"/>
      <c r="G62" s="190"/>
      <c r="H62" s="8"/>
      <c r="I62" s="9"/>
      <c r="J62" s="10"/>
      <c r="K62" s="8"/>
      <c r="L62" s="145"/>
      <c r="M62" s="146"/>
      <c r="N62" s="8"/>
      <c r="O62" s="589"/>
      <c r="P62" s="229" t="str">
        <f t="shared" si="21"/>
        <v/>
      </c>
      <c r="Q62" s="229" t="str">
        <f t="shared" si="22"/>
        <v/>
      </c>
      <c r="R62" s="230" t="str">
        <f t="shared" si="23"/>
        <v/>
      </c>
      <c r="S62" s="230" t="str">
        <f t="shared" si="24"/>
        <v/>
      </c>
      <c r="T62" s="351"/>
      <c r="U62" s="43"/>
      <c r="V62" s="42" t="str">
        <f t="shared" si="0"/>
        <v/>
      </c>
      <c r="W62" s="42" t="e">
        <f>IF(#REF!="","",#REF!)</f>
        <v>#REF!</v>
      </c>
      <c r="X62" s="31" t="str">
        <f t="shared" si="1"/>
        <v/>
      </c>
      <c r="Y62" s="7" t="e">
        <f t="shared" si="2"/>
        <v>#N/A</v>
      </c>
      <c r="Z62" s="7" t="e">
        <f t="shared" si="3"/>
        <v>#N/A</v>
      </c>
      <c r="AA62" s="7" t="e">
        <f t="shared" si="4"/>
        <v>#N/A</v>
      </c>
      <c r="AB62" s="7" t="str">
        <f t="shared" si="5"/>
        <v/>
      </c>
      <c r="AC62" s="11">
        <f t="shared" si="6"/>
        <v>1</v>
      </c>
      <c r="AD62" s="7" t="e">
        <f t="shared" si="7"/>
        <v>#N/A</v>
      </c>
      <c r="AE62" s="7" t="e">
        <f t="shared" si="8"/>
        <v>#N/A</v>
      </c>
      <c r="AF62" s="7" t="e">
        <f t="shared" si="9"/>
        <v>#N/A</v>
      </c>
      <c r="AG62" s="472" t="e">
        <f>VLOOKUP(AI62,'排出係数(2017)'!$A$4:$I$1151,9,FALSE)</f>
        <v>#N/A</v>
      </c>
      <c r="AH62" s="12" t="str">
        <f t="shared" si="10"/>
        <v xml:space="preserve"> </v>
      </c>
      <c r="AI62" s="7" t="e">
        <f t="shared" si="25"/>
        <v>#N/A</v>
      </c>
      <c r="AJ62" s="7" t="e">
        <f t="shared" si="11"/>
        <v>#N/A</v>
      </c>
      <c r="AK62" s="472" t="e">
        <f>VLOOKUP(AI62,'排出係数(2017)'!$A$4:$I$1151,6,FALSE)</f>
        <v>#N/A</v>
      </c>
      <c r="AL62" s="7" t="e">
        <f t="shared" si="12"/>
        <v>#N/A</v>
      </c>
      <c r="AM62" s="7" t="e">
        <f t="shared" si="13"/>
        <v>#N/A</v>
      </c>
      <c r="AN62" s="472" t="e">
        <f>VLOOKUP(AI62,'排出係数(2017)'!$A$4:$I$1151,7,FALSE)</f>
        <v>#N/A</v>
      </c>
      <c r="AO62" s="7" t="e">
        <f t="shared" si="14"/>
        <v>#N/A</v>
      </c>
      <c r="AP62" s="7" t="e">
        <f t="shared" si="15"/>
        <v>#N/A</v>
      </c>
      <c r="AQ62" s="7" t="e">
        <f t="shared" si="26"/>
        <v>#N/A</v>
      </c>
      <c r="AR62" s="7">
        <f t="shared" si="16"/>
        <v>0</v>
      </c>
      <c r="AS62" s="7" t="e">
        <f t="shared" si="27"/>
        <v>#N/A</v>
      </c>
      <c r="AT62" s="7" t="str">
        <f t="shared" si="17"/>
        <v/>
      </c>
      <c r="AU62" s="7" t="str">
        <f t="shared" si="18"/>
        <v/>
      </c>
      <c r="AV62" s="7" t="str">
        <f t="shared" si="19"/>
        <v/>
      </c>
      <c r="AW62" s="7" t="str">
        <f t="shared" si="20"/>
        <v/>
      </c>
      <c r="AX62" s="97"/>
      <c r="BD62" s="453" t="s">
        <v>1552</v>
      </c>
      <c r="CG62"/>
      <c r="CH62"/>
      <c r="CK62" s="592" t="str">
        <f t="shared" si="28"/>
        <v/>
      </c>
      <c r="CL62" s="421" t="str">
        <f t="shared" si="29"/>
        <v/>
      </c>
      <c r="CM62" s="594"/>
      <c r="CN62" s="594"/>
      <c r="CO62" s="594"/>
      <c r="CP62" s="594"/>
      <c r="CQ62" s="594"/>
      <c r="CR62" s="594"/>
    </row>
    <row r="63" spans="1:96" s="13" customFormat="1" ht="13.75" customHeight="1">
      <c r="A63" s="137">
        <v>48</v>
      </c>
      <c r="B63" s="134"/>
      <c r="C63" s="8"/>
      <c r="D63" s="100"/>
      <c r="E63" s="8"/>
      <c r="F63" s="8"/>
      <c r="G63" s="190"/>
      <c r="H63" s="8"/>
      <c r="I63" s="9"/>
      <c r="J63" s="10"/>
      <c r="K63" s="8"/>
      <c r="L63" s="145"/>
      <c r="M63" s="146"/>
      <c r="N63" s="8"/>
      <c r="O63" s="589"/>
      <c r="P63" s="229" t="str">
        <f t="shared" si="21"/>
        <v/>
      </c>
      <c r="Q63" s="229" t="str">
        <f t="shared" si="22"/>
        <v/>
      </c>
      <c r="R63" s="230" t="str">
        <f t="shared" si="23"/>
        <v/>
      </c>
      <c r="S63" s="230" t="str">
        <f t="shared" si="24"/>
        <v/>
      </c>
      <c r="T63" s="351"/>
      <c r="U63" s="43"/>
      <c r="V63" s="42" t="str">
        <f t="shared" si="0"/>
        <v/>
      </c>
      <c r="W63" s="42" t="e">
        <f>IF(#REF!="","",#REF!)</f>
        <v>#REF!</v>
      </c>
      <c r="X63" s="31" t="str">
        <f t="shared" si="1"/>
        <v/>
      </c>
      <c r="Y63" s="7" t="e">
        <f t="shared" si="2"/>
        <v>#N/A</v>
      </c>
      <c r="Z63" s="7" t="e">
        <f t="shared" si="3"/>
        <v>#N/A</v>
      </c>
      <c r="AA63" s="7" t="e">
        <f t="shared" si="4"/>
        <v>#N/A</v>
      </c>
      <c r="AB63" s="7" t="str">
        <f t="shared" si="5"/>
        <v/>
      </c>
      <c r="AC63" s="11">
        <f t="shared" si="6"/>
        <v>1</v>
      </c>
      <c r="AD63" s="7" t="e">
        <f t="shared" si="7"/>
        <v>#N/A</v>
      </c>
      <c r="AE63" s="7" t="e">
        <f t="shared" si="8"/>
        <v>#N/A</v>
      </c>
      <c r="AF63" s="7" t="e">
        <f t="shared" si="9"/>
        <v>#N/A</v>
      </c>
      <c r="AG63" s="472" t="e">
        <f>VLOOKUP(AI63,'排出係数(2017)'!$A$4:$I$1151,9,FALSE)</f>
        <v>#N/A</v>
      </c>
      <c r="AH63" s="12" t="str">
        <f t="shared" si="10"/>
        <v xml:space="preserve"> </v>
      </c>
      <c r="AI63" s="7" t="e">
        <f t="shared" si="25"/>
        <v>#N/A</v>
      </c>
      <c r="AJ63" s="7" t="e">
        <f t="shared" si="11"/>
        <v>#N/A</v>
      </c>
      <c r="AK63" s="472" t="e">
        <f>VLOOKUP(AI63,'排出係数(2017)'!$A$4:$I$1151,6,FALSE)</f>
        <v>#N/A</v>
      </c>
      <c r="AL63" s="7" t="e">
        <f t="shared" si="12"/>
        <v>#N/A</v>
      </c>
      <c r="AM63" s="7" t="e">
        <f t="shared" si="13"/>
        <v>#N/A</v>
      </c>
      <c r="AN63" s="472" t="e">
        <f>VLOOKUP(AI63,'排出係数(2017)'!$A$4:$I$1151,7,FALSE)</f>
        <v>#N/A</v>
      </c>
      <c r="AO63" s="7" t="e">
        <f t="shared" si="14"/>
        <v>#N/A</v>
      </c>
      <c r="AP63" s="7" t="e">
        <f t="shared" si="15"/>
        <v>#N/A</v>
      </c>
      <c r="AQ63" s="7" t="e">
        <f t="shared" si="26"/>
        <v>#N/A</v>
      </c>
      <c r="AR63" s="7">
        <f t="shared" si="16"/>
        <v>0</v>
      </c>
      <c r="AS63" s="7" t="e">
        <f t="shared" si="27"/>
        <v>#N/A</v>
      </c>
      <c r="AT63" s="7" t="str">
        <f t="shared" si="17"/>
        <v/>
      </c>
      <c r="AU63" s="7" t="str">
        <f t="shared" si="18"/>
        <v/>
      </c>
      <c r="AV63" s="7" t="str">
        <f t="shared" si="19"/>
        <v/>
      </c>
      <c r="AW63" s="7" t="str">
        <f t="shared" si="20"/>
        <v/>
      </c>
      <c r="AX63" s="97"/>
      <c r="BD63" s="453" t="s">
        <v>2510</v>
      </c>
      <c r="CG63"/>
      <c r="CH63"/>
      <c r="CK63" s="592" t="str">
        <f t="shared" si="28"/>
        <v/>
      </c>
      <c r="CL63" s="421" t="str">
        <f t="shared" si="29"/>
        <v/>
      </c>
      <c r="CM63" s="594"/>
      <c r="CN63" s="594"/>
      <c r="CO63" s="594"/>
      <c r="CP63" s="594"/>
      <c r="CQ63" s="594"/>
      <c r="CR63" s="594"/>
    </row>
    <row r="64" spans="1:96" s="13" customFormat="1" ht="13.75" customHeight="1">
      <c r="A64" s="137">
        <v>49</v>
      </c>
      <c r="B64" s="134"/>
      <c r="C64" s="8"/>
      <c r="D64" s="100"/>
      <c r="E64" s="8"/>
      <c r="F64" s="8"/>
      <c r="G64" s="190"/>
      <c r="H64" s="8"/>
      <c r="I64" s="9"/>
      <c r="J64" s="10"/>
      <c r="K64" s="8"/>
      <c r="L64" s="145"/>
      <c r="M64" s="146"/>
      <c r="N64" s="8"/>
      <c r="O64" s="589"/>
      <c r="P64" s="229" t="str">
        <f t="shared" si="21"/>
        <v/>
      </c>
      <c r="Q64" s="229" t="str">
        <f t="shared" si="22"/>
        <v/>
      </c>
      <c r="R64" s="230" t="str">
        <f t="shared" si="23"/>
        <v/>
      </c>
      <c r="S64" s="230" t="str">
        <f t="shared" si="24"/>
        <v/>
      </c>
      <c r="T64" s="351"/>
      <c r="U64" s="43"/>
      <c r="V64" s="42" t="str">
        <f t="shared" si="0"/>
        <v/>
      </c>
      <c r="W64" s="42" t="e">
        <f>IF(#REF!="","",#REF!)</f>
        <v>#REF!</v>
      </c>
      <c r="X64" s="31" t="str">
        <f t="shared" si="1"/>
        <v/>
      </c>
      <c r="Y64" s="7" t="e">
        <f t="shared" si="2"/>
        <v>#N/A</v>
      </c>
      <c r="Z64" s="7" t="e">
        <f t="shared" si="3"/>
        <v>#N/A</v>
      </c>
      <c r="AA64" s="7" t="e">
        <f t="shared" si="4"/>
        <v>#N/A</v>
      </c>
      <c r="AB64" s="7" t="str">
        <f t="shared" si="5"/>
        <v/>
      </c>
      <c r="AC64" s="11">
        <f t="shared" si="6"/>
        <v>1</v>
      </c>
      <c r="AD64" s="7" t="e">
        <f t="shared" si="7"/>
        <v>#N/A</v>
      </c>
      <c r="AE64" s="7" t="e">
        <f t="shared" si="8"/>
        <v>#N/A</v>
      </c>
      <c r="AF64" s="7" t="e">
        <f t="shared" si="9"/>
        <v>#N/A</v>
      </c>
      <c r="AG64" s="472" t="e">
        <f>VLOOKUP(AI64,'排出係数(2017)'!$A$4:$I$1151,9,FALSE)</f>
        <v>#N/A</v>
      </c>
      <c r="AH64" s="12" t="str">
        <f t="shared" si="10"/>
        <v xml:space="preserve"> </v>
      </c>
      <c r="AI64" s="7" t="e">
        <f t="shared" si="25"/>
        <v>#N/A</v>
      </c>
      <c r="AJ64" s="7" t="e">
        <f t="shared" si="11"/>
        <v>#N/A</v>
      </c>
      <c r="AK64" s="472" t="e">
        <f>VLOOKUP(AI64,'排出係数(2017)'!$A$4:$I$1151,6,FALSE)</f>
        <v>#N/A</v>
      </c>
      <c r="AL64" s="7" t="e">
        <f t="shared" si="12"/>
        <v>#N/A</v>
      </c>
      <c r="AM64" s="7" t="e">
        <f t="shared" si="13"/>
        <v>#N/A</v>
      </c>
      <c r="AN64" s="472" t="e">
        <f>VLOOKUP(AI64,'排出係数(2017)'!$A$4:$I$1151,7,FALSE)</f>
        <v>#N/A</v>
      </c>
      <c r="AO64" s="7" t="e">
        <f t="shared" si="14"/>
        <v>#N/A</v>
      </c>
      <c r="AP64" s="7" t="e">
        <f t="shared" si="15"/>
        <v>#N/A</v>
      </c>
      <c r="AQ64" s="7" t="e">
        <f t="shared" si="26"/>
        <v>#N/A</v>
      </c>
      <c r="AR64" s="7">
        <f t="shared" si="16"/>
        <v>0</v>
      </c>
      <c r="AS64" s="7" t="e">
        <f t="shared" si="27"/>
        <v>#N/A</v>
      </c>
      <c r="AT64" s="7" t="str">
        <f t="shared" si="17"/>
        <v/>
      </c>
      <c r="AU64" s="7" t="str">
        <f t="shared" si="18"/>
        <v/>
      </c>
      <c r="AV64" s="7" t="str">
        <f t="shared" si="19"/>
        <v/>
      </c>
      <c r="AW64" s="7" t="str">
        <f t="shared" si="20"/>
        <v/>
      </c>
      <c r="AX64" s="97"/>
      <c r="BD64" s="453" t="s">
        <v>2511</v>
      </c>
      <c r="CG64"/>
      <c r="CH64"/>
      <c r="CK64" s="592" t="str">
        <f t="shared" si="28"/>
        <v/>
      </c>
      <c r="CL64" s="421" t="str">
        <f t="shared" si="29"/>
        <v/>
      </c>
      <c r="CM64" s="594"/>
      <c r="CN64" s="594"/>
      <c r="CO64" s="594"/>
      <c r="CP64" s="594"/>
      <c r="CQ64" s="594"/>
      <c r="CR64" s="594"/>
    </row>
    <row r="65" spans="1:96" s="13" customFormat="1" ht="13.75" customHeight="1">
      <c r="A65" s="137">
        <v>50</v>
      </c>
      <c r="B65" s="138"/>
      <c r="C65" s="139"/>
      <c r="D65" s="140"/>
      <c r="E65" s="139"/>
      <c r="F65" s="139"/>
      <c r="G65" s="191"/>
      <c r="H65" s="139"/>
      <c r="I65" s="141"/>
      <c r="J65" s="142"/>
      <c r="K65" s="139"/>
      <c r="L65" s="147"/>
      <c r="M65" s="148"/>
      <c r="N65" s="139"/>
      <c r="O65" s="589"/>
      <c r="P65" s="229" t="str">
        <f t="shared" si="21"/>
        <v/>
      </c>
      <c r="Q65" s="229" t="str">
        <f t="shared" si="22"/>
        <v/>
      </c>
      <c r="R65" s="230" t="str">
        <f t="shared" si="23"/>
        <v/>
      </c>
      <c r="S65" s="230" t="str">
        <f t="shared" si="24"/>
        <v/>
      </c>
      <c r="T65" s="351"/>
      <c r="U65" s="43"/>
      <c r="V65" s="42" t="str">
        <f t="shared" si="0"/>
        <v/>
      </c>
      <c r="W65" s="42" t="e">
        <f>IF(#REF!="","",#REF!)</f>
        <v>#REF!</v>
      </c>
      <c r="X65" s="31" t="str">
        <f t="shared" si="1"/>
        <v/>
      </c>
      <c r="Y65" s="7" t="e">
        <f t="shared" si="2"/>
        <v>#N/A</v>
      </c>
      <c r="Z65" s="7" t="e">
        <f t="shared" si="3"/>
        <v>#N/A</v>
      </c>
      <c r="AA65" s="7" t="e">
        <f t="shared" si="4"/>
        <v>#N/A</v>
      </c>
      <c r="AB65" s="7" t="str">
        <f t="shared" si="5"/>
        <v/>
      </c>
      <c r="AC65" s="11">
        <f t="shared" si="6"/>
        <v>1</v>
      </c>
      <c r="AD65" s="7" t="e">
        <f t="shared" si="7"/>
        <v>#N/A</v>
      </c>
      <c r="AE65" s="7" t="e">
        <f t="shared" si="8"/>
        <v>#N/A</v>
      </c>
      <c r="AF65" s="7" t="e">
        <f t="shared" si="9"/>
        <v>#N/A</v>
      </c>
      <c r="AG65" s="472" t="e">
        <f>VLOOKUP(AI65,'排出係数(2017)'!$A$4:$I$1151,9,FALSE)</f>
        <v>#N/A</v>
      </c>
      <c r="AH65" s="12" t="str">
        <f t="shared" si="10"/>
        <v xml:space="preserve"> </v>
      </c>
      <c r="AI65" s="7" t="e">
        <f t="shared" si="25"/>
        <v>#N/A</v>
      </c>
      <c r="AJ65" s="7" t="e">
        <f t="shared" si="11"/>
        <v>#N/A</v>
      </c>
      <c r="AK65" s="472" t="e">
        <f>VLOOKUP(AI65,'排出係数(2017)'!$A$4:$I$1151,6,FALSE)</f>
        <v>#N/A</v>
      </c>
      <c r="AL65" s="7" t="e">
        <f t="shared" si="12"/>
        <v>#N/A</v>
      </c>
      <c r="AM65" s="7" t="e">
        <f t="shared" si="13"/>
        <v>#N/A</v>
      </c>
      <c r="AN65" s="472" t="e">
        <f>VLOOKUP(AI65,'排出係数(2017)'!$A$4:$I$1151,7,FALSE)</f>
        <v>#N/A</v>
      </c>
      <c r="AO65" s="7" t="e">
        <f t="shared" si="14"/>
        <v>#N/A</v>
      </c>
      <c r="AP65" s="7" t="e">
        <f t="shared" si="15"/>
        <v>#N/A</v>
      </c>
      <c r="AQ65" s="7" t="e">
        <f t="shared" si="26"/>
        <v>#N/A</v>
      </c>
      <c r="AR65" s="7">
        <f t="shared" si="16"/>
        <v>0</v>
      </c>
      <c r="AS65" s="7" t="e">
        <f t="shared" si="27"/>
        <v>#N/A</v>
      </c>
      <c r="AT65" s="7" t="str">
        <f t="shared" si="17"/>
        <v/>
      </c>
      <c r="AU65" s="7" t="str">
        <f t="shared" si="18"/>
        <v/>
      </c>
      <c r="AV65" s="7" t="str">
        <f t="shared" si="19"/>
        <v/>
      </c>
      <c r="AW65" s="7" t="str">
        <f t="shared" si="20"/>
        <v/>
      </c>
      <c r="AX65" s="97"/>
      <c r="BD65" s="473" t="s">
        <v>2512</v>
      </c>
      <c r="CG65"/>
      <c r="CH65"/>
      <c r="CK65" s="592" t="str">
        <f t="shared" si="28"/>
        <v/>
      </c>
      <c r="CL65" s="421" t="str">
        <f t="shared" si="29"/>
        <v/>
      </c>
      <c r="CM65" s="594"/>
      <c r="CN65" s="594"/>
      <c r="CO65" s="594"/>
      <c r="CP65" s="594"/>
      <c r="CQ65" s="594"/>
      <c r="CR65" s="594"/>
    </row>
    <row r="66" spans="1:96" s="13" customFormat="1" ht="13.75" customHeight="1">
      <c r="A66" s="137">
        <v>51</v>
      </c>
      <c r="B66" s="138"/>
      <c r="C66" s="139"/>
      <c r="D66" s="140"/>
      <c r="E66" s="139"/>
      <c r="F66" s="139"/>
      <c r="G66" s="191"/>
      <c r="H66" s="139"/>
      <c r="I66" s="141"/>
      <c r="J66" s="142"/>
      <c r="K66" s="139"/>
      <c r="L66" s="147"/>
      <c r="M66" s="148"/>
      <c r="N66" s="139"/>
      <c r="O66" s="589"/>
      <c r="P66" s="229" t="str">
        <f t="shared" si="21"/>
        <v/>
      </c>
      <c r="Q66" s="229" t="str">
        <f t="shared" si="22"/>
        <v/>
      </c>
      <c r="R66" s="230" t="str">
        <f t="shared" si="23"/>
        <v/>
      </c>
      <c r="S66" s="230" t="str">
        <f t="shared" si="24"/>
        <v/>
      </c>
      <c r="T66" s="351"/>
      <c r="U66" s="43"/>
      <c r="V66" s="42" t="str">
        <f t="shared" si="0"/>
        <v/>
      </c>
      <c r="W66" s="42" t="e">
        <f>IF(#REF!="","",#REF!)</f>
        <v>#REF!</v>
      </c>
      <c r="X66" s="31" t="str">
        <f t="shared" si="1"/>
        <v/>
      </c>
      <c r="Y66" s="7" t="e">
        <f t="shared" si="2"/>
        <v>#N/A</v>
      </c>
      <c r="Z66" s="7" t="e">
        <f t="shared" si="3"/>
        <v>#N/A</v>
      </c>
      <c r="AA66" s="7" t="e">
        <f t="shared" si="4"/>
        <v>#N/A</v>
      </c>
      <c r="AB66" s="7" t="str">
        <f t="shared" si="5"/>
        <v/>
      </c>
      <c r="AC66" s="11">
        <f t="shared" si="6"/>
        <v>1</v>
      </c>
      <c r="AD66" s="7" t="e">
        <f t="shared" si="7"/>
        <v>#N/A</v>
      </c>
      <c r="AE66" s="7" t="e">
        <f t="shared" si="8"/>
        <v>#N/A</v>
      </c>
      <c r="AF66" s="7" t="e">
        <f t="shared" si="9"/>
        <v>#N/A</v>
      </c>
      <c r="AG66" s="472" t="e">
        <f>VLOOKUP(AI66,'排出係数(2017)'!$A$4:$I$1151,9,FALSE)</f>
        <v>#N/A</v>
      </c>
      <c r="AH66" s="12" t="str">
        <f t="shared" si="10"/>
        <v xml:space="preserve"> </v>
      </c>
      <c r="AI66" s="7" t="e">
        <f t="shared" si="25"/>
        <v>#N/A</v>
      </c>
      <c r="AJ66" s="7" t="e">
        <f t="shared" si="11"/>
        <v>#N/A</v>
      </c>
      <c r="AK66" s="472" t="e">
        <f>VLOOKUP(AI66,'排出係数(2017)'!$A$4:$I$1151,6,FALSE)</f>
        <v>#N/A</v>
      </c>
      <c r="AL66" s="7" t="e">
        <f t="shared" si="12"/>
        <v>#N/A</v>
      </c>
      <c r="AM66" s="7" t="e">
        <f t="shared" si="13"/>
        <v>#N/A</v>
      </c>
      <c r="AN66" s="472" t="e">
        <f>VLOOKUP(AI66,'排出係数(2017)'!$A$4:$I$1151,7,FALSE)</f>
        <v>#N/A</v>
      </c>
      <c r="AO66" s="7" t="e">
        <f t="shared" si="14"/>
        <v>#N/A</v>
      </c>
      <c r="AP66" s="7" t="e">
        <f t="shared" si="15"/>
        <v>#N/A</v>
      </c>
      <c r="AQ66" s="7" t="e">
        <f t="shared" si="26"/>
        <v>#N/A</v>
      </c>
      <c r="AR66" s="7">
        <f t="shared" si="16"/>
        <v>0</v>
      </c>
      <c r="AS66" s="7" t="e">
        <f t="shared" si="27"/>
        <v>#N/A</v>
      </c>
      <c r="AT66" s="7" t="str">
        <f t="shared" si="17"/>
        <v/>
      </c>
      <c r="AU66" s="7" t="str">
        <f t="shared" si="18"/>
        <v/>
      </c>
      <c r="AV66" s="7" t="str">
        <f t="shared" si="19"/>
        <v/>
      </c>
      <c r="AW66" s="7" t="str">
        <f t="shared" si="20"/>
        <v/>
      </c>
      <c r="AX66" s="97"/>
      <c r="BD66" s="453" t="s">
        <v>46</v>
      </c>
      <c r="CG66"/>
      <c r="CH66"/>
      <c r="CK66" s="592" t="str">
        <f t="shared" si="28"/>
        <v/>
      </c>
      <c r="CL66" s="421" t="str">
        <f t="shared" si="29"/>
        <v/>
      </c>
      <c r="CM66" s="594"/>
      <c r="CN66" s="594"/>
      <c r="CO66" s="594"/>
      <c r="CP66" s="594"/>
      <c r="CQ66" s="594"/>
      <c r="CR66" s="594"/>
    </row>
    <row r="67" spans="1:96" s="13" customFormat="1" ht="13.75" customHeight="1">
      <c r="A67" s="137">
        <v>52</v>
      </c>
      <c r="B67" s="138"/>
      <c r="C67" s="139"/>
      <c r="D67" s="140"/>
      <c r="E67" s="139"/>
      <c r="F67" s="139"/>
      <c r="G67" s="191"/>
      <c r="H67" s="139"/>
      <c r="I67" s="141"/>
      <c r="J67" s="142"/>
      <c r="K67" s="139"/>
      <c r="L67" s="147"/>
      <c r="M67" s="148"/>
      <c r="N67" s="139"/>
      <c r="O67" s="589"/>
      <c r="P67" s="229" t="str">
        <f t="shared" si="21"/>
        <v/>
      </c>
      <c r="Q67" s="229" t="str">
        <f t="shared" si="22"/>
        <v/>
      </c>
      <c r="R67" s="230" t="str">
        <f t="shared" si="23"/>
        <v/>
      </c>
      <c r="S67" s="230" t="str">
        <f t="shared" si="24"/>
        <v/>
      </c>
      <c r="T67" s="351"/>
      <c r="U67" s="43"/>
      <c r="V67" s="42" t="str">
        <f t="shared" si="0"/>
        <v/>
      </c>
      <c r="W67" s="42" t="e">
        <f>IF(#REF!="","",#REF!)</f>
        <v>#REF!</v>
      </c>
      <c r="X67" s="31" t="str">
        <f t="shared" si="1"/>
        <v/>
      </c>
      <c r="Y67" s="7" t="e">
        <f t="shared" si="2"/>
        <v>#N/A</v>
      </c>
      <c r="Z67" s="7" t="e">
        <f t="shared" si="3"/>
        <v>#N/A</v>
      </c>
      <c r="AA67" s="7" t="e">
        <f t="shared" si="4"/>
        <v>#N/A</v>
      </c>
      <c r="AB67" s="7" t="str">
        <f t="shared" si="5"/>
        <v/>
      </c>
      <c r="AC67" s="11">
        <f t="shared" si="6"/>
        <v>1</v>
      </c>
      <c r="AD67" s="7" t="e">
        <f t="shared" si="7"/>
        <v>#N/A</v>
      </c>
      <c r="AE67" s="7" t="e">
        <f t="shared" si="8"/>
        <v>#N/A</v>
      </c>
      <c r="AF67" s="7" t="e">
        <f t="shared" si="9"/>
        <v>#N/A</v>
      </c>
      <c r="AG67" s="472" t="e">
        <f>VLOOKUP(AI67,'排出係数(2017)'!$A$4:$I$1151,9,FALSE)</f>
        <v>#N/A</v>
      </c>
      <c r="AH67" s="12" t="str">
        <f t="shared" si="10"/>
        <v xml:space="preserve"> </v>
      </c>
      <c r="AI67" s="7" t="e">
        <f t="shared" si="25"/>
        <v>#N/A</v>
      </c>
      <c r="AJ67" s="7" t="e">
        <f t="shared" si="11"/>
        <v>#N/A</v>
      </c>
      <c r="AK67" s="472" t="e">
        <f>VLOOKUP(AI67,'排出係数(2017)'!$A$4:$I$1151,6,FALSE)</f>
        <v>#N/A</v>
      </c>
      <c r="AL67" s="7" t="e">
        <f t="shared" si="12"/>
        <v>#N/A</v>
      </c>
      <c r="AM67" s="7" t="e">
        <f t="shared" si="13"/>
        <v>#N/A</v>
      </c>
      <c r="AN67" s="472" t="e">
        <f>VLOOKUP(AI67,'排出係数(2017)'!$A$4:$I$1151,7,FALSE)</f>
        <v>#N/A</v>
      </c>
      <c r="AO67" s="7" t="e">
        <f t="shared" si="14"/>
        <v>#N/A</v>
      </c>
      <c r="AP67" s="7" t="e">
        <f t="shared" si="15"/>
        <v>#N/A</v>
      </c>
      <c r="AQ67" s="7" t="e">
        <f t="shared" si="26"/>
        <v>#N/A</v>
      </c>
      <c r="AR67" s="7">
        <f t="shared" si="16"/>
        <v>0</v>
      </c>
      <c r="AS67" s="7" t="e">
        <f t="shared" si="27"/>
        <v>#N/A</v>
      </c>
      <c r="AT67" s="7" t="str">
        <f t="shared" si="17"/>
        <v/>
      </c>
      <c r="AU67" s="7" t="str">
        <f t="shared" si="18"/>
        <v/>
      </c>
      <c r="AV67" s="7" t="str">
        <f t="shared" si="19"/>
        <v/>
      </c>
      <c r="AW67" s="7" t="str">
        <f t="shared" si="20"/>
        <v/>
      </c>
      <c r="AX67" s="97"/>
      <c r="BD67" s="453" t="s">
        <v>1981</v>
      </c>
      <c r="CG67"/>
      <c r="CH67"/>
      <c r="CK67" s="592" t="str">
        <f t="shared" si="28"/>
        <v/>
      </c>
      <c r="CL67" s="421" t="str">
        <f t="shared" si="29"/>
        <v/>
      </c>
      <c r="CM67" s="594"/>
      <c r="CN67" s="594"/>
      <c r="CO67" s="594"/>
      <c r="CP67" s="594"/>
      <c r="CQ67" s="594"/>
      <c r="CR67" s="594"/>
    </row>
    <row r="68" spans="1:96" s="13" customFormat="1" ht="13.75" customHeight="1">
      <c r="A68" s="137">
        <v>53</v>
      </c>
      <c r="B68" s="138"/>
      <c r="C68" s="139"/>
      <c r="D68" s="140"/>
      <c r="E68" s="139"/>
      <c r="F68" s="139"/>
      <c r="G68" s="191"/>
      <c r="H68" s="139"/>
      <c r="I68" s="141"/>
      <c r="J68" s="142"/>
      <c r="K68" s="139"/>
      <c r="L68" s="147"/>
      <c r="M68" s="148"/>
      <c r="N68" s="139"/>
      <c r="O68" s="589"/>
      <c r="P68" s="229" t="str">
        <f t="shared" si="21"/>
        <v/>
      </c>
      <c r="Q68" s="229" t="str">
        <f t="shared" si="22"/>
        <v/>
      </c>
      <c r="R68" s="230" t="str">
        <f t="shared" si="23"/>
        <v/>
      </c>
      <c r="S68" s="230" t="str">
        <f t="shared" si="24"/>
        <v/>
      </c>
      <c r="T68" s="351"/>
      <c r="U68" s="43"/>
      <c r="V68" s="42" t="str">
        <f t="shared" si="0"/>
        <v/>
      </c>
      <c r="W68" s="42" t="e">
        <f>IF(#REF!="","",#REF!)</f>
        <v>#REF!</v>
      </c>
      <c r="X68" s="31" t="str">
        <f t="shared" si="1"/>
        <v/>
      </c>
      <c r="Y68" s="7" t="e">
        <f t="shared" si="2"/>
        <v>#N/A</v>
      </c>
      <c r="Z68" s="7" t="e">
        <f t="shared" si="3"/>
        <v>#N/A</v>
      </c>
      <c r="AA68" s="7" t="e">
        <f t="shared" si="4"/>
        <v>#N/A</v>
      </c>
      <c r="AB68" s="7" t="str">
        <f t="shared" si="5"/>
        <v/>
      </c>
      <c r="AC68" s="11">
        <f t="shared" si="6"/>
        <v>1</v>
      </c>
      <c r="AD68" s="7" t="e">
        <f t="shared" si="7"/>
        <v>#N/A</v>
      </c>
      <c r="AE68" s="7" t="e">
        <f t="shared" si="8"/>
        <v>#N/A</v>
      </c>
      <c r="AF68" s="7" t="e">
        <f t="shared" si="9"/>
        <v>#N/A</v>
      </c>
      <c r="AG68" s="472" t="e">
        <f>VLOOKUP(AI68,'排出係数(2017)'!$A$4:$I$1151,9,FALSE)</f>
        <v>#N/A</v>
      </c>
      <c r="AH68" s="12" t="str">
        <f t="shared" si="10"/>
        <v xml:space="preserve"> </v>
      </c>
      <c r="AI68" s="7" t="e">
        <f t="shared" si="25"/>
        <v>#N/A</v>
      </c>
      <c r="AJ68" s="7" t="e">
        <f t="shared" si="11"/>
        <v>#N/A</v>
      </c>
      <c r="AK68" s="472" t="e">
        <f>VLOOKUP(AI68,'排出係数(2017)'!$A$4:$I$1151,6,FALSE)</f>
        <v>#N/A</v>
      </c>
      <c r="AL68" s="7" t="e">
        <f t="shared" si="12"/>
        <v>#N/A</v>
      </c>
      <c r="AM68" s="7" t="e">
        <f t="shared" si="13"/>
        <v>#N/A</v>
      </c>
      <c r="AN68" s="472" t="e">
        <f>VLOOKUP(AI68,'排出係数(2017)'!$A$4:$I$1151,7,FALSE)</f>
        <v>#N/A</v>
      </c>
      <c r="AO68" s="7" t="e">
        <f t="shared" si="14"/>
        <v>#N/A</v>
      </c>
      <c r="AP68" s="7" t="e">
        <f t="shared" si="15"/>
        <v>#N/A</v>
      </c>
      <c r="AQ68" s="7" t="e">
        <f t="shared" si="26"/>
        <v>#N/A</v>
      </c>
      <c r="AR68" s="7">
        <f t="shared" si="16"/>
        <v>0</v>
      </c>
      <c r="AS68" s="7" t="e">
        <f t="shared" si="27"/>
        <v>#N/A</v>
      </c>
      <c r="AT68" s="7" t="str">
        <f t="shared" si="17"/>
        <v/>
      </c>
      <c r="AU68" s="7" t="str">
        <f t="shared" si="18"/>
        <v/>
      </c>
      <c r="AV68" s="7" t="str">
        <f t="shared" si="19"/>
        <v/>
      </c>
      <c r="AW68" s="7" t="str">
        <f t="shared" si="20"/>
        <v/>
      </c>
      <c r="AX68" s="97"/>
      <c r="BD68" s="453" t="s">
        <v>1982</v>
      </c>
      <c r="CG68"/>
      <c r="CH68"/>
      <c r="CK68" s="592" t="str">
        <f t="shared" si="28"/>
        <v/>
      </c>
      <c r="CL68" s="421" t="str">
        <f t="shared" si="29"/>
        <v/>
      </c>
      <c r="CM68" s="594"/>
      <c r="CN68" s="594"/>
      <c r="CO68" s="594"/>
      <c r="CP68" s="594"/>
      <c r="CQ68" s="594"/>
      <c r="CR68" s="594"/>
    </row>
    <row r="69" spans="1:96" s="13" customFormat="1" ht="13.75" customHeight="1">
      <c r="A69" s="137">
        <v>54</v>
      </c>
      <c r="B69" s="138"/>
      <c r="C69" s="139"/>
      <c r="D69" s="140"/>
      <c r="E69" s="139"/>
      <c r="F69" s="139"/>
      <c r="G69" s="191"/>
      <c r="H69" s="139"/>
      <c r="I69" s="141"/>
      <c r="J69" s="142"/>
      <c r="K69" s="139"/>
      <c r="L69" s="147"/>
      <c r="M69" s="148"/>
      <c r="N69" s="139"/>
      <c r="O69" s="589"/>
      <c r="P69" s="229" t="str">
        <f t="shared" si="21"/>
        <v/>
      </c>
      <c r="Q69" s="229" t="str">
        <f t="shared" si="22"/>
        <v/>
      </c>
      <c r="R69" s="230" t="str">
        <f t="shared" si="23"/>
        <v/>
      </c>
      <c r="S69" s="230" t="str">
        <f t="shared" si="24"/>
        <v/>
      </c>
      <c r="T69" s="351"/>
      <c r="U69" s="43"/>
      <c r="V69" s="42" t="str">
        <f t="shared" si="0"/>
        <v/>
      </c>
      <c r="W69" s="42" t="e">
        <f>IF(#REF!="","",#REF!)</f>
        <v>#REF!</v>
      </c>
      <c r="X69" s="31" t="str">
        <f t="shared" si="1"/>
        <v/>
      </c>
      <c r="Y69" s="7" t="e">
        <f t="shared" si="2"/>
        <v>#N/A</v>
      </c>
      <c r="Z69" s="7" t="e">
        <f t="shared" si="3"/>
        <v>#N/A</v>
      </c>
      <c r="AA69" s="7" t="e">
        <f t="shared" si="4"/>
        <v>#N/A</v>
      </c>
      <c r="AB69" s="7" t="str">
        <f t="shared" si="5"/>
        <v/>
      </c>
      <c r="AC69" s="11">
        <f t="shared" si="6"/>
        <v>1</v>
      </c>
      <c r="AD69" s="7" t="e">
        <f t="shared" si="7"/>
        <v>#N/A</v>
      </c>
      <c r="AE69" s="7" t="e">
        <f t="shared" si="8"/>
        <v>#N/A</v>
      </c>
      <c r="AF69" s="7" t="e">
        <f t="shared" si="9"/>
        <v>#N/A</v>
      </c>
      <c r="AG69" s="472" t="e">
        <f>VLOOKUP(AI69,'排出係数(2017)'!$A$4:$I$1151,9,FALSE)</f>
        <v>#N/A</v>
      </c>
      <c r="AH69" s="12" t="str">
        <f t="shared" si="10"/>
        <v xml:space="preserve"> </v>
      </c>
      <c r="AI69" s="7" t="e">
        <f t="shared" si="25"/>
        <v>#N/A</v>
      </c>
      <c r="AJ69" s="7" t="e">
        <f t="shared" si="11"/>
        <v>#N/A</v>
      </c>
      <c r="AK69" s="472" t="e">
        <f>VLOOKUP(AI69,'排出係数(2017)'!$A$4:$I$1151,6,FALSE)</f>
        <v>#N/A</v>
      </c>
      <c r="AL69" s="7" t="e">
        <f t="shared" si="12"/>
        <v>#N/A</v>
      </c>
      <c r="AM69" s="7" t="e">
        <f t="shared" si="13"/>
        <v>#N/A</v>
      </c>
      <c r="AN69" s="472" t="e">
        <f>VLOOKUP(AI69,'排出係数(2017)'!$A$4:$I$1151,7,FALSE)</f>
        <v>#N/A</v>
      </c>
      <c r="AO69" s="7" t="e">
        <f t="shared" si="14"/>
        <v>#N/A</v>
      </c>
      <c r="AP69" s="7" t="e">
        <f t="shared" si="15"/>
        <v>#N/A</v>
      </c>
      <c r="AQ69" s="7" t="e">
        <f t="shared" si="26"/>
        <v>#N/A</v>
      </c>
      <c r="AR69" s="7">
        <f t="shared" si="16"/>
        <v>0</v>
      </c>
      <c r="AS69" s="7" t="e">
        <f t="shared" si="27"/>
        <v>#N/A</v>
      </c>
      <c r="AT69" s="7" t="str">
        <f t="shared" si="17"/>
        <v/>
      </c>
      <c r="AU69" s="7" t="str">
        <f t="shared" si="18"/>
        <v/>
      </c>
      <c r="AV69" s="7" t="str">
        <f t="shared" si="19"/>
        <v/>
      </c>
      <c r="AW69" s="7" t="str">
        <f t="shared" si="20"/>
        <v/>
      </c>
      <c r="AX69" s="97"/>
      <c r="BD69" s="453" t="s">
        <v>2001</v>
      </c>
      <c r="CG69"/>
      <c r="CH69"/>
      <c r="CK69" s="592" t="str">
        <f t="shared" si="28"/>
        <v/>
      </c>
      <c r="CL69" s="421" t="str">
        <f t="shared" si="29"/>
        <v/>
      </c>
      <c r="CM69" s="594"/>
      <c r="CN69" s="594"/>
      <c r="CO69" s="594"/>
      <c r="CP69" s="594"/>
      <c r="CQ69" s="594"/>
      <c r="CR69" s="594"/>
    </row>
    <row r="70" spans="1:96" s="13" customFormat="1" ht="13.75" customHeight="1">
      <c r="A70" s="137">
        <v>55</v>
      </c>
      <c r="B70" s="138"/>
      <c r="C70" s="139"/>
      <c r="D70" s="140"/>
      <c r="E70" s="139"/>
      <c r="F70" s="139"/>
      <c r="G70" s="191"/>
      <c r="H70" s="139"/>
      <c r="I70" s="141"/>
      <c r="J70" s="142"/>
      <c r="K70" s="139"/>
      <c r="L70" s="147"/>
      <c r="M70" s="148"/>
      <c r="N70" s="139"/>
      <c r="O70" s="589"/>
      <c r="P70" s="229" t="str">
        <f t="shared" si="21"/>
        <v/>
      </c>
      <c r="Q70" s="229" t="str">
        <f t="shared" si="22"/>
        <v/>
      </c>
      <c r="R70" s="230" t="str">
        <f t="shared" si="23"/>
        <v/>
      </c>
      <c r="S70" s="230" t="str">
        <f t="shared" si="24"/>
        <v/>
      </c>
      <c r="T70" s="351"/>
      <c r="U70" s="43"/>
      <c r="V70" s="42" t="str">
        <f t="shared" si="0"/>
        <v/>
      </c>
      <c r="W70" s="42" t="e">
        <f>IF(#REF!="","",#REF!)</f>
        <v>#REF!</v>
      </c>
      <c r="X70" s="31" t="str">
        <f t="shared" si="1"/>
        <v/>
      </c>
      <c r="Y70" s="7" t="e">
        <f t="shared" si="2"/>
        <v>#N/A</v>
      </c>
      <c r="Z70" s="7" t="e">
        <f t="shared" si="3"/>
        <v>#N/A</v>
      </c>
      <c r="AA70" s="7" t="e">
        <f t="shared" si="4"/>
        <v>#N/A</v>
      </c>
      <c r="AB70" s="7" t="str">
        <f t="shared" si="5"/>
        <v/>
      </c>
      <c r="AC70" s="11">
        <f t="shared" si="6"/>
        <v>1</v>
      </c>
      <c r="AD70" s="7" t="e">
        <f t="shared" si="7"/>
        <v>#N/A</v>
      </c>
      <c r="AE70" s="7" t="e">
        <f t="shared" si="8"/>
        <v>#N/A</v>
      </c>
      <c r="AF70" s="7" t="e">
        <f t="shared" si="9"/>
        <v>#N/A</v>
      </c>
      <c r="AG70" s="472" t="e">
        <f>VLOOKUP(AI70,'排出係数(2017)'!$A$4:$I$1151,9,FALSE)</f>
        <v>#N/A</v>
      </c>
      <c r="AH70" s="12" t="str">
        <f t="shared" si="10"/>
        <v xml:space="preserve"> </v>
      </c>
      <c r="AI70" s="7" t="e">
        <f t="shared" si="25"/>
        <v>#N/A</v>
      </c>
      <c r="AJ70" s="7" t="e">
        <f t="shared" si="11"/>
        <v>#N/A</v>
      </c>
      <c r="AK70" s="472" t="e">
        <f>VLOOKUP(AI70,'排出係数(2017)'!$A$4:$I$1151,6,FALSE)</f>
        <v>#N/A</v>
      </c>
      <c r="AL70" s="7" t="e">
        <f t="shared" si="12"/>
        <v>#N/A</v>
      </c>
      <c r="AM70" s="7" t="e">
        <f t="shared" si="13"/>
        <v>#N/A</v>
      </c>
      <c r="AN70" s="472" t="e">
        <f>VLOOKUP(AI70,'排出係数(2017)'!$A$4:$I$1151,7,FALSE)</f>
        <v>#N/A</v>
      </c>
      <c r="AO70" s="7" t="e">
        <f t="shared" si="14"/>
        <v>#N/A</v>
      </c>
      <c r="AP70" s="7" t="e">
        <f t="shared" si="15"/>
        <v>#N/A</v>
      </c>
      <c r="AQ70" s="7" t="e">
        <f t="shared" si="26"/>
        <v>#N/A</v>
      </c>
      <c r="AR70" s="7">
        <f t="shared" si="16"/>
        <v>0</v>
      </c>
      <c r="AS70" s="7" t="e">
        <f t="shared" si="27"/>
        <v>#N/A</v>
      </c>
      <c r="AT70" s="7" t="str">
        <f t="shared" si="17"/>
        <v/>
      </c>
      <c r="AU70" s="7" t="str">
        <f t="shared" si="18"/>
        <v/>
      </c>
      <c r="AV70" s="7" t="str">
        <f t="shared" si="19"/>
        <v/>
      </c>
      <c r="AW70" s="7" t="str">
        <f t="shared" si="20"/>
        <v/>
      </c>
      <c r="AX70" s="97"/>
      <c r="BD70" s="453" t="s">
        <v>2002</v>
      </c>
      <c r="CG70"/>
      <c r="CH70"/>
      <c r="CK70" s="592" t="str">
        <f t="shared" si="28"/>
        <v/>
      </c>
      <c r="CL70" s="421" t="str">
        <f t="shared" si="29"/>
        <v/>
      </c>
      <c r="CM70" s="594"/>
      <c r="CN70" s="594"/>
      <c r="CO70" s="594"/>
      <c r="CP70" s="594"/>
      <c r="CQ70" s="594"/>
      <c r="CR70" s="594"/>
    </row>
    <row r="71" spans="1:96" s="13" customFormat="1" ht="13.75" customHeight="1">
      <c r="A71" s="137">
        <v>56</v>
      </c>
      <c r="B71" s="138"/>
      <c r="C71" s="139"/>
      <c r="D71" s="140"/>
      <c r="E71" s="139"/>
      <c r="F71" s="139"/>
      <c r="G71" s="191"/>
      <c r="H71" s="139"/>
      <c r="I71" s="141"/>
      <c r="J71" s="142"/>
      <c r="K71" s="139"/>
      <c r="L71" s="147"/>
      <c r="M71" s="148"/>
      <c r="N71" s="139"/>
      <c r="O71" s="589"/>
      <c r="P71" s="229" t="str">
        <f t="shared" si="21"/>
        <v/>
      </c>
      <c r="Q71" s="229" t="str">
        <f t="shared" si="22"/>
        <v/>
      </c>
      <c r="R71" s="230" t="str">
        <f t="shared" si="23"/>
        <v/>
      </c>
      <c r="S71" s="230" t="str">
        <f t="shared" si="24"/>
        <v/>
      </c>
      <c r="T71" s="351"/>
      <c r="U71" s="43"/>
      <c r="V71" s="42" t="str">
        <f t="shared" si="0"/>
        <v/>
      </c>
      <c r="W71" s="42" t="e">
        <f>IF(#REF!="","",#REF!)</f>
        <v>#REF!</v>
      </c>
      <c r="X71" s="31" t="str">
        <f t="shared" si="1"/>
        <v/>
      </c>
      <c r="Y71" s="7" t="e">
        <f t="shared" si="2"/>
        <v>#N/A</v>
      </c>
      <c r="Z71" s="7" t="e">
        <f t="shared" si="3"/>
        <v>#N/A</v>
      </c>
      <c r="AA71" s="7" t="e">
        <f t="shared" si="4"/>
        <v>#N/A</v>
      </c>
      <c r="AB71" s="7" t="str">
        <f t="shared" si="5"/>
        <v/>
      </c>
      <c r="AC71" s="11">
        <f t="shared" si="6"/>
        <v>1</v>
      </c>
      <c r="AD71" s="7" t="e">
        <f t="shared" si="7"/>
        <v>#N/A</v>
      </c>
      <c r="AE71" s="7" t="e">
        <f t="shared" si="8"/>
        <v>#N/A</v>
      </c>
      <c r="AF71" s="7" t="e">
        <f t="shared" si="9"/>
        <v>#N/A</v>
      </c>
      <c r="AG71" s="472" t="e">
        <f>VLOOKUP(AI71,'排出係数(2017)'!$A$4:$I$1151,9,FALSE)</f>
        <v>#N/A</v>
      </c>
      <c r="AH71" s="12" t="str">
        <f t="shared" si="10"/>
        <v xml:space="preserve"> </v>
      </c>
      <c r="AI71" s="7" t="e">
        <f t="shared" si="25"/>
        <v>#N/A</v>
      </c>
      <c r="AJ71" s="7" t="e">
        <f t="shared" si="11"/>
        <v>#N/A</v>
      </c>
      <c r="AK71" s="472" t="e">
        <f>VLOOKUP(AI71,'排出係数(2017)'!$A$4:$I$1151,6,FALSE)</f>
        <v>#N/A</v>
      </c>
      <c r="AL71" s="7" t="e">
        <f t="shared" si="12"/>
        <v>#N/A</v>
      </c>
      <c r="AM71" s="7" t="e">
        <f t="shared" si="13"/>
        <v>#N/A</v>
      </c>
      <c r="AN71" s="472" t="e">
        <f>VLOOKUP(AI71,'排出係数(2017)'!$A$4:$I$1151,7,FALSE)</f>
        <v>#N/A</v>
      </c>
      <c r="AO71" s="7" t="e">
        <f t="shared" si="14"/>
        <v>#N/A</v>
      </c>
      <c r="AP71" s="7" t="e">
        <f t="shared" si="15"/>
        <v>#N/A</v>
      </c>
      <c r="AQ71" s="7" t="e">
        <f t="shared" si="26"/>
        <v>#N/A</v>
      </c>
      <c r="AR71" s="7">
        <f t="shared" si="16"/>
        <v>0</v>
      </c>
      <c r="AS71" s="7" t="e">
        <f t="shared" si="27"/>
        <v>#N/A</v>
      </c>
      <c r="AT71" s="7" t="str">
        <f t="shared" si="17"/>
        <v/>
      </c>
      <c r="AU71" s="7" t="str">
        <f t="shared" si="18"/>
        <v/>
      </c>
      <c r="AV71" s="7" t="str">
        <f t="shared" si="19"/>
        <v/>
      </c>
      <c r="AW71" s="7" t="str">
        <f t="shared" si="20"/>
        <v/>
      </c>
      <c r="AX71" s="97"/>
      <c r="BD71" s="473" t="s">
        <v>2069</v>
      </c>
      <c r="CG71"/>
      <c r="CH71"/>
      <c r="CK71" s="592" t="str">
        <f t="shared" si="28"/>
        <v/>
      </c>
      <c r="CL71" s="421" t="str">
        <f t="shared" si="29"/>
        <v/>
      </c>
      <c r="CM71" s="594"/>
      <c r="CN71" s="594"/>
      <c r="CO71" s="594"/>
      <c r="CP71" s="594"/>
      <c r="CQ71" s="594"/>
      <c r="CR71" s="594"/>
    </row>
    <row r="72" spans="1:96" s="13" customFormat="1" ht="13.75" customHeight="1">
      <c r="A72" s="137">
        <v>57</v>
      </c>
      <c r="B72" s="138"/>
      <c r="C72" s="139"/>
      <c r="D72" s="140"/>
      <c r="E72" s="139"/>
      <c r="F72" s="139"/>
      <c r="G72" s="191"/>
      <c r="H72" s="139"/>
      <c r="I72" s="141"/>
      <c r="J72" s="142"/>
      <c r="K72" s="139"/>
      <c r="L72" s="147"/>
      <c r="M72" s="148"/>
      <c r="N72" s="139"/>
      <c r="O72" s="589"/>
      <c r="P72" s="229" t="str">
        <f t="shared" si="21"/>
        <v/>
      </c>
      <c r="Q72" s="229" t="str">
        <f t="shared" si="22"/>
        <v/>
      </c>
      <c r="R72" s="230" t="str">
        <f t="shared" si="23"/>
        <v/>
      </c>
      <c r="S72" s="230" t="str">
        <f t="shared" si="24"/>
        <v/>
      </c>
      <c r="T72" s="351"/>
      <c r="U72" s="43"/>
      <c r="V72" s="42" t="str">
        <f t="shared" si="0"/>
        <v/>
      </c>
      <c r="W72" s="42" t="e">
        <f>IF(#REF!="","",#REF!)</f>
        <v>#REF!</v>
      </c>
      <c r="X72" s="31" t="str">
        <f t="shared" si="1"/>
        <v/>
      </c>
      <c r="Y72" s="7" t="e">
        <f t="shared" si="2"/>
        <v>#N/A</v>
      </c>
      <c r="Z72" s="7" t="e">
        <f t="shared" si="3"/>
        <v>#N/A</v>
      </c>
      <c r="AA72" s="7" t="e">
        <f t="shared" si="4"/>
        <v>#N/A</v>
      </c>
      <c r="AB72" s="7" t="str">
        <f t="shared" si="5"/>
        <v/>
      </c>
      <c r="AC72" s="11">
        <f t="shared" si="6"/>
        <v>1</v>
      </c>
      <c r="AD72" s="7" t="e">
        <f t="shared" si="7"/>
        <v>#N/A</v>
      </c>
      <c r="AE72" s="7" t="e">
        <f t="shared" si="8"/>
        <v>#N/A</v>
      </c>
      <c r="AF72" s="7" t="e">
        <f t="shared" si="9"/>
        <v>#N/A</v>
      </c>
      <c r="AG72" s="472" t="e">
        <f>VLOOKUP(AI72,'排出係数(2017)'!$A$4:$I$1151,9,FALSE)</f>
        <v>#N/A</v>
      </c>
      <c r="AH72" s="12" t="str">
        <f t="shared" si="10"/>
        <v xml:space="preserve"> </v>
      </c>
      <c r="AI72" s="7" t="e">
        <f t="shared" si="25"/>
        <v>#N/A</v>
      </c>
      <c r="AJ72" s="7" t="e">
        <f t="shared" si="11"/>
        <v>#N/A</v>
      </c>
      <c r="AK72" s="472" t="e">
        <f>VLOOKUP(AI72,'排出係数(2017)'!$A$4:$I$1151,6,FALSE)</f>
        <v>#N/A</v>
      </c>
      <c r="AL72" s="7" t="e">
        <f t="shared" si="12"/>
        <v>#N/A</v>
      </c>
      <c r="AM72" s="7" t="e">
        <f t="shared" si="13"/>
        <v>#N/A</v>
      </c>
      <c r="AN72" s="472" t="e">
        <f>VLOOKUP(AI72,'排出係数(2017)'!$A$4:$I$1151,7,FALSE)</f>
        <v>#N/A</v>
      </c>
      <c r="AO72" s="7" t="e">
        <f t="shared" si="14"/>
        <v>#N/A</v>
      </c>
      <c r="AP72" s="7" t="e">
        <f t="shared" si="15"/>
        <v>#N/A</v>
      </c>
      <c r="AQ72" s="7" t="e">
        <f t="shared" si="26"/>
        <v>#N/A</v>
      </c>
      <c r="AR72" s="7">
        <f t="shared" si="16"/>
        <v>0</v>
      </c>
      <c r="AS72" s="7" t="e">
        <f t="shared" si="27"/>
        <v>#N/A</v>
      </c>
      <c r="AT72" s="7" t="str">
        <f t="shared" si="17"/>
        <v/>
      </c>
      <c r="AU72" s="7" t="str">
        <f t="shared" si="18"/>
        <v/>
      </c>
      <c r="AV72" s="7" t="str">
        <f t="shared" si="19"/>
        <v/>
      </c>
      <c r="AW72" s="7" t="str">
        <f t="shared" si="20"/>
        <v/>
      </c>
      <c r="AX72" s="97"/>
      <c r="BD72" s="473" t="s">
        <v>2070</v>
      </c>
      <c r="CG72"/>
      <c r="CH72"/>
      <c r="CK72" s="592" t="str">
        <f t="shared" si="28"/>
        <v/>
      </c>
      <c r="CL72" s="421" t="str">
        <f t="shared" si="29"/>
        <v/>
      </c>
      <c r="CM72" s="594"/>
      <c r="CN72" s="594"/>
      <c r="CO72" s="594"/>
      <c r="CP72" s="594"/>
      <c r="CQ72" s="594"/>
      <c r="CR72" s="594"/>
    </row>
    <row r="73" spans="1:96" s="13" customFormat="1" ht="13.75" customHeight="1">
      <c r="A73" s="137">
        <v>58</v>
      </c>
      <c r="B73" s="138"/>
      <c r="C73" s="139"/>
      <c r="D73" s="140"/>
      <c r="E73" s="139"/>
      <c r="F73" s="139"/>
      <c r="G73" s="191"/>
      <c r="H73" s="139"/>
      <c r="I73" s="141"/>
      <c r="J73" s="142"/>
      <c r="K73" s="139"/>
      <c r="L73" s="147"/>
      <c r="M73" s="148"/>
      <c r="N73" s="139"/>
      <c r="O73" s="589"/>
      <c r="P73" s="229" t="str">
        <f t="shared" si="21"/>
        <v/>
      </c>
      <c r="Q73" s="229" t="str">
        <f t="shared" si="22"/>
        <v/>
      </c>
      <c r="R73" s="230" t="str">
        <f t="shared" si="23"/>
        <v/>
      </c>
      <c r="S73" s="230" t="str">
        <f t="shared" si="24"/>
        <v/>
      </c>
      <c r="T73" s="351"/>
      <c r="U73" s="43"/>
      <c r="V73" s="42" t="str">
        <f t="shared" si="0"/>
        <v/>
      </c>
      <c r="W73" s="42" t="e">
        <f>IF(#REF!="","",#REF!)</f>
        <v>#REF!</v>
      </c>
      <c r="X73" s="31" t="str">
        <f t="shared" si="1"/>
        <v/>
      </c>
      <c r="Y73" s="7" t="e">
        <f t="shared" si="2"/>
        <v>#N/A</v>
      </c>
      <c r="Z73" s="7" t="e">
        <f t="shared" si="3"/>
        <v>#N/A</v>
      </c>
      <c r="AA73" s="7" t="e">
        <f t="shared" si="4"/>
        <v>#N/A</v>
      </c>
      <c r="AB73" s="7" t="str">
        <f t="shared" si="5"/>
        <v/>
      </c>
      <c r="AC73" s="11">
        <f t="shared" si="6"/>
        <v>1</v>
      </c>
      <c r="AD73" s="7" t="e">
        <f t="shared" si="7"/>
        <v>#N/A</v>
      </c>
      <c r="AE73" s="7" t="e">
        <f t="shared" si="8"/>
        <v>#N/A</v>
      </c>
      <c r="AF73" s="7" t="e">
        <f t="shared" si="9"/>
        <v>#N/A</v>
      </c>
      <c r="AG73" s="472" t="e">
        <f>VLOOKUP(AI73,'排出係数(2017)'!$A$4:$I$1151,9,FALSE)</f>
        <v>#N/A</v>
      </c>
      <c r="AH73" s="12" t="str">
        <f t="shared" si="10"/>
        <v xml:space="preserve"> </v>
      </c>
      <c r="AI73" s="7" t="e">
        <f t="shared" si="25"/>
        <v>#N/A</v>
      </c>
      <c r="AJ73" s="7" t="e">
        <f t="shared" si="11"/>
        <v>#N/A</v>
      </c>
      <c r="AK73" s="472" t="e">
        <f>VLOOKUP(AI73,'排出係数(2017)'!$A$4:$I$1151,6,FALSE)</f>
        <v>#N/A</v>
      </c>
      <c r="AL73" s="7" t="e">
        <f t="shared" si="12"/>
        <v>#N/A</v>
      </c>
      <c r="AM73" s="7" t="e">
        <f t="shared" si="13"/>
        <v>#N/A</v>
      </c>
      <c r="AN73" s="472" t="e">
        <f>VLOOKUP(AI73,'排出係数(2017)'!$A$4:$I$1151,7,FALSE)</f>
        <v>#N/A</v>
      </c>
      <c r="AO73" s="7" t="e">
        <f t="shared" si="14"/>
        <v>#N/A</v>
      </c>
      <c r="AP73" s="7" t="e">
        <f t="shared" si="15"/>
        <v>#N/A</v>
      </c>
      <c r="AQ73" s="7" t="e">
        <f t="shared" si="26"/>
        <v>#N/A</v>
      </c>
      <c r="AR73" s="7">
        <f t="shared" si="16"/>
        <v>0</v>
      </c>
      <c r="AS73" s="7" t="e">
        <f t="shared" si="27"/>
        <v>#N/A</v>
      </c>
      <c r="AT73" s="7" t="str">
        <f t="shared" si="17"/>
        <v/>
      </c>
      <c r="AU73" s="7" t="str">
        <f t="shared" si="18"/>
        <v/>
      </c>
      <c r="AV73" s="7" t="str">
        <f t="shared" si="19"/>
        <v/>
      </c>
      <c r="AW73" s="7" t="str">
        <f t="shared" si="20"/>
        <v/>
      </c>
      <c r="AX73" s="97"/>
      <c r="BD73" s="453" t="s">
        <v>2093</v>
      </c>
      <c r="CG73"/>
      <c r="CH73"/>
      <c r="CK73" s="592" t="str">
        <f t="shared" si="28"/>
        <v/>
      </c>
      <c r="CL73" s="421" t="str">
        <f t="shared" si="29"/>
        <v/>
      </c>
      <c r="CM73" s="594"/>
      <c r="CN73" s="594"/>
      <c r="CO73" s="594"/>
      <c r="CP73" s="594"/>
      <c r="CQ73" s="594"/>
      <c r="CR73" s="594"/>
    </row>
    <row r="74" spans="1:96" s="13" customFormat="1" ht="13.75" customHeight="1">
      <c r="A74" s="137">
        <v>59</v>
      </c>
      <c r="B74" s="138"/>
      <c r="C74" s="139"/>
      <c r="D74" s="140"/>
      <c r="E74" s="139"/>
      <c r="F74" s="139"/>
      <c r="G74" s="191"/>
      <c r="H74" s="139"/>
      <c r="I74" s="141"/>
      <c r="J74" s="142"/>
      <c r="K74" s="139"/>
      <c r="L74" s="147"/>
      <c r="M74" s="148"/>
      <c r="N74" s="139"/>
      <c r="O74" s="589"/>
      <c r="P74" s="229" t="str">
        <f t="shared" si="21"/>
        <v/>
      </c>
      <c r="Q74" s="229" t="str">
        <f t="shared" si="22"/>
        <v/>
      </c>
      <c r="R74" s="230" t="str">
        <f t="shared" si="23"/>
        <v/>
      </c>
      <c r="S74" s="230" t="str">
        <f t="shared" si="24"/>
        <v/>
      </c>
      <c r="T74" s="351"/>
      <c r="U74" s="43"/>
      <c r="V74" s="42" t="str">
        <f t="shared" si="0"/>
        <v/>
      </c>
      <c r="W74" s="42" t="e">
        <f>IF(#REF!="","",#REF!)</f>
        <v>#REF!</v>
      </c>
      <c r="X74" s="31" t="str">
        <f t="shared" si="1"/>
        <v/>
      </c>
      <c r="Y74" s="7" t="e">
        <f t="shared" si="2"/>
        <v>#N/A</v>
      </c>
      <c r="Z74" s="7" t="e">
        <f t="shared" si="3"/>
        <v>#N/A</v>
      </c>
      <c r="AA74" s="7" t="e">
        <f t="shared" si="4"/>
        <v>#N/A</v>
      </c>
      <c r="AB74" s="7" t="str">
        <f t="shared" si="5"/>
        <v/>
      </c>
      <c r="AC74" s="11">
        <f t="shared" si="6"/>
        <v>1</v>
      </c>
      <c r="AD74" s="7" t="e">
        <f t="shared" si="7"/>
        <v>#N/A</v>
      </c>
      <c r="AE74" s="7" t="e">
        <f t="shared" si="8"/>
        <v>#N/A</v>
      </c>
      <c r="AF74" s="7" t="e">
        <f t="shared" si="9"/>
        <v>#N/A</v>
      </c>
      <c r="AG74" s="472" t="e">
        <f>VLOOKUP(AI74,'排出係数(2017)'!$A$4:$I$1151,9,FALSE)</f>
        <v>#N/A</v>
      </c>
      <c r="AH74" s="12" t="str">
        <f t="shared" si="10"/>
        <v xml:space="preserve"> </v>
      </c>
      <c r="AI74" s="7" t="e">
        <f t="shared" si="25"/>
        <v>#N/A</v>
      </c>
      <c r="AJ74" s="7" t="e">
        <f t="shared" si="11"/>
        <v>#N/A</v>
      </c>
      <c r="AK74" s="472" t="e">
        <f>VLOOKUP(AI74,'排出係数(2017)'!$A$4:$I$1151,6,FALSE)</f>
        <v>#N/A</v>
      </c>
      <c r="AL74" s="7" t="e">
        <f t="shared" si="12"/>
        <v>#N/A</v>
      </c>
      <c r="AM74" s="7" t="e">
        <f t="shared" si="13"/>
        <v>#N/A</v>
      </c>
      <c r="AN74" s="472" t="e">
        <f>VLOOKUP(AI74,'排出係数(2017)'!$A$4:$I$1151,7,FALSE)</f>
        <v>#N/A</v>
      </c>
      <c r="AO74" s="7" t="e">
        <f t="shared" si="14"/>
        <v>#N/A</v>
      </c>
      <c r="AP74" s="7" t="e">
        <f t="shared" si="15"/>
        <v>#N/A</v>
      </c>
      <c r="AQ74" s="7" t="e">
        <f t="shared" si="26"/>
        <v>#N/A</v>
      </c>
      <c r="AR74" s="7">
        <f t="shared" si="16"/>
        <v>0</v>
      </c>
      <c r="AS74" s="7" t="e">
        <f t="shared" si="27"/>
        <v>#N/A</v>
      </c>
      <c r="AT74" s="7" t="str">
        <f t="shared" si="17"/>
        <v/>
      </c>
      <c r="AU74" s="7" t="str">
        <f t="shared" si="18"/>
        <v/>
      </c>
      <c r="AV74" s="7" t="str">
        <f t="shared" si="19"/>
        <v/>
      </c>
      <c r="AW74" s="7" t="str">
        <f t="shared" si="20"/>
        <v/>
      </c>
      <c r="AX74" s="97"/>
      <c r="BD74" s="453" t="s">
        <v>2094</v>
      </c>
      <c r="CG74"/>
      <c r="CH74"/>
      <c r="CK74" s="592" t="str">
        <f t="shared" si="28"/>
        <v/>
      </c>
      <c r="CL74" s="421" t="str">
        <f t="shared" si="29"/>
        <v/>
      </c>
      <c r="CM74" s="594"/>
      <c r="CN74" s="594"/>
      <c r="CO74" s="594"/>
      <c r="CP74" s="594"/>
      <c r="CQ74" s="594"/>
      <c r="CR74" s="594"/>
    </row>
    <row r="75" spans="1:96" s="13" customFormat="1" ht="13.75" customHeight="1">
      <c r="A75" s="137">
        <v>60</v>
      </c>
      <c r="B75" s="138"/>
      <c r="C75" s="139"/>
      <c r="D75" s="140"/>
      <c r="E75" s="139"/>
      <c r="F75" s="139"/>
      <c r="G75" s="191"/>
      <c r="H75" s="139"/>
      <c r="I75" s="141"/>
      <c r="J75" s="142"/>
      <c r="K75" s="139"/>
      <c r="L75" s="147"/>
      <c r="M75" s="148"/>
      <c r="N75" s="139"/>
      <c r="O75" s="589"/>
      <c r="P75" s="229" t="str">
        <f t="shared" si="21"/>
        <v/>
      </c>
      <c r="Q75" s="229" t="str">
        <f t="shared" si="22"/>
        <v/>
      </c>
      <c r="R75" s="230" t="str">
        <f t="shared" si="23"/>
        <v/>
      </c>
      <c r="S75" s="230" t="str">
        <f t="shared" si="24"/>
        <v/>
      </c>
      <c r="T75" s="351"/>
      <c r="U75" s="43"/>
      <c r="V75" s="42" t="str">
        <f t="shared" si="0"/>
        <v/>
      </c>
      <c r="W75" s="42" t="e">
        <f>IF(#REF!="","",#REF!)</f>
        <v>#REF!</v>
      </c>
      <c r="X75" s="31" t="str">
        <f t="shared" si="1"/>
        <v/>
      </c>
      <c r="Y75" s="7" t="e">
        <f t="shared" si="2"/>
        <v>#N/A</v>
      </c>
      <c r="Z75" s="7" t="e">
        <f t="shared" si="3"/>
        <v>#N/A</v>
      </c>
      <c r="AA75" s="7" t="e">
        <f t="shared" si="4"/>
        <v>#N/A</v>
      </c>
      <c r="AB75" s="7" t="str">
        <f t="shared" si="5"/>
        <v/>
      </c>
      <c r="AC75" s="11">
        <f t="shared" si="6"/>
        <v>1</v>
      </c>
      <c r="AD75" s="7" t="e">
        <f t="shared" si="7"/>
        <v>#N/A</v>
      </c>
      <c r="AE75" s="7" t="e">
        <f t="shared" si="8"/>
        <v>#N/A</v>
      </c>
      <c r="AF75" s="7" t="e">
        <f t="shared" si="9"/>
        <v>#N/A</v>
      </c>
      <c r="AG75" s="472" t="e">
        <f>VLOOKUP(AI75,'排出係数(2017)'!$A$4:$I$1151,9,FALSE)</f>
        <v>#N/A</v>
      </c>
      <c r="AH75" s="12" t="str">
        <f t="shared" si="10"/>
        <v xml:space="preserve"> </v>
      </c>
      <c r="AI75" s="7" t="e">
        <f t="shared" si="25"/>
        <v>#N/A</v>
      </c>
      <c r="AJ75" s="7" t="e">
        <f t="shared" si="11"/>
        <v>#N/A</v>
      </c>
      <c r="AK75" s="472" t="e">
        <f>VLOOKUP(AI75,'排出係数(2017)'!$A$4:$I$1151,6,FALSE)</f>
        <v>#N/A</v>
      </c>
      <c r="AL75" s="7" t="e">
        <f t="shared" si="12"/>
        <v>#N/A</v>
      </c>
      <c r="AM75" s="7" t="e">
        <f t="shared" si="13"/>
        <v>#N/A</v>
      </c>
      <c r="AN75" s="472" t="e">
        <f>VLOOKUP(AI75,'排出係数(2017)'!$A$4:$I$1151,7,FALSE)</f>
        <v>#N/A</v>
      </c>
      <c r="AO75" s="7" t="e">
        <f t="shared" si="14"/>
        <v>#N/A</v>
      </c>
      <c r="AP75" s="7" t="e">
        <f t="shared" si="15"/>
        <v>#N/A</v>
      </c>
      <c r="AQ75" s="7" t="e">
        <f t="shared" si="26"/>
        <v>#N/A</v>
      </c>
      <c r="AR75" s="7">
        <f t="shared" si="16"/>
        <v>0</v>
      </c>
      <c r="AS75" s="7" t="e">
        <f t="shared" si="27"/>
        <v>#N/A</v>
      </c>
      <c r="AT75" s="7" t="str">
        <f t="shared" si="17"/>
        <v/>
      </c>
      <c r="AU75" s="7" t="str">
        <f t="shared" si="18"/>
        <v/>
      </c>
      <c r="AV75" s="7" t="str">
        <f t="shared" si="19"/>
        <v/>
      </c>
      <c r="AW75" s="7" t="str">
        <f t="shared" si="20"/>
        <v/>
      </c>
      <c r="AX75" s="97"/>
      <c r="BD75" s="453" t="s">
        <v>1353</v>
      </c>
      <c r="CG75"/>
      <c r="CH75"/>
      <c r="CK75" s="592" t="str">
        <f t="shared" si="28"/>
        <v/>
      </c>
      <c r="CL75" s="421" t="str">
        <f t="shared" si="29"/>
        <v/>
      </c>
      <c r="CM75" s="594"/>
      <c r="CN75" s="594"/>
      <c r="CO75" s="594"/>
      <c r="CP75" s="594"/>
      <c r="CQ75" s="594"/>
      <c r="CR75" s="594"/>
    </row>
    <row r="76" spans="1:96" s="13" customFormat="1" ht="13.75" customHeight="1">
      <c r="A76" s="137">
        <v>61</v>
      </c>
      <c r="B76" s="138"/>
      <c r="C76" s="139"/>
      <c r="D76" s="140"/>
      <c r="E76" s="139"/>
      <c r="F76" s="139"/>
      <c r="G76" s="191"/>
      <c r="H76" s="139"/>
      <c r="I76" s="141"/>
      <c r="J76" s="142"/>
      <c r="K76" s="139"/>
      <c r="L76" s="147"/>
      <c r="M76" s="148"/>
      <c r="N76" s="139"/>
      <c r="O76" s="589"/>
      <c r="P76" s="229" t="str">
        <f t="shared" si="21"/>
        <v/>
      </c>
      <c r="Q76" s="229" t="str">
        <f t="shared" si="22"/>
        <v/>
      </c>
      <c r="R76" s="230" t="str">
        <f t="shared" si="23"/>
        <v/>
      </c>
      <c r="S76" s="230" t="str">
        <f t="shared" si="24"/>
        <v/>
      </c>
      <c r="T76" s="351"/>
      <c r="U76" s="43"/>
      <c r="V76" s="42" t="str">
        <f t="shared" si="0"/>
        <v/>
      </c>
      <c r="W76" s="42" t="e">
        <f>IF(#REF!="","",#REF!)</f>
        <v>#REF!</v>
      </c>
      <c r="X76" s="31" t="str">
        <f t="shared" si="1"/>
        <v/>
      </c>
      <c r="Y76" s="7" t="e">
        <f t="shared" si="2"/>
        <v>#N/A</v>
      </c>
      <c r="Z76" s="7" t="e">
        <f t="shared" si="3"/>
        <v>#N/A</v>
      </c>
      <c r="AA76" s="7" t="e">
        <f t="shared" si="4"/>
        <v>#N/A</v>
      </c>
      <c r="AB76" s="7" t="str">
        <f t="shared" si="5"/>
        <v/>
      </c>
      <c r="AC76" s="11">
        <f t="shared" si="6"/>
        <v>1</v>
      </c>
      <c r="AD76" s="7" t="e">
        <f t="shared" si="7"/>
        <v>#N/A</v>
      </c>
      <c r="AE76" s="7" t="e">
        <f t="shared" si="8"/>
        <v>#N/A</v>
      </c>
      <c r="AF76" s="7" t="e">
        <f t="shared" si="9"/>
        <v>#N/A</v>
      </c>
      <c r="AG76" s="472" t="e">
        <f>VLOOKUP(AI76,'排出係数(2017)'!$A$4:$I$1151,9,FALSE)</f>
        <v>#N/A</v>
      </c>
      <c r="AH76" s="12" t="str">
        <f t="shared" si="10"/>
        <v xml:space="preserve"> </v>
      </c>
      <c r="AI76" s="7" t="e">
        <f t="shared" si="25"/>
        <v>#N/A</v>
      </c>
      <c r="AJ76" s="7" t="e">
        <f t="shared" si="11"/>
        <v>#N/A</v>
      </c>
      <c r="AK76" s="472" t="e">
        <f>VLOOKUP(AI76,'排出係数(2017)'!$A$4:$I$1151,6,FALSE)</f>
        <v>#N/A</v>
      </c>
      <c r="AL76" s="7" t="e">
        <f t="shared" si="12"/>
        <v>#N/A</v>
      </c>
      <c r="AM76" s="7" t="e">
        <f t="shared" si="13"/>
        <v>#N/A</v>
      </c>
      <c r="AN76" s="472" t="e">
        <f>VLOOKUP(AI76,'排出係数(2017)'!$A$4:$I$1151,7,FALSE)</f>
        <v>#N/A</v>
      </c>
      <c r="AO76" s="7" t="e">
        <f t="shared" si="14"/>
        <v>#N/A</v>
      </c>
      <c r="AP76" s="7" t="e">
        <f t="shared" si="15"/>
        <v>#N/A</v>
      </c>
      <c r="AQ76" s="7" t="e">
        <f t="shared" si="26"/>
        <v>#N/A</v>
      </c>
      <c r="AR76" s="7">
        <f t="shared" si="16"/>
        <v>0</v>
      </c>
      <c r="AS76" s="7" t="e">
        <f t="shared" si="27"/>
        <v>#N/A</v>
      </c>
      <c r="AT76" s="7" t="str">
        <f t="shared" si="17"/>
        <v/>
      </c>
      <c r="AU76" s="7" t="str">
        <f t="shared" si="18"/>
        <v/>
      </c>
      <c r="AV76" s="7" t="str">
        <f t="shared" si="19"/>
        <v/>
      </c>
      <c r="AW76" s="7" t="str">
        <f t="shared" si="20"/>
        <v/>
      </c>
      <c r="AX76" s="97"/>
      <c r="BD76" s="453" t="s">
        <v>1355</v>
      </c>
      <c r="CG76"/>
      <c r="CH76"/>
      <c r="CK76" s="592" t="str">
        <f t="shared" si="28"/>
        <v/>
      </c>
      <c r="CL76" s="421" t="str">
        <f t="shared" si="29"/>
        <v/>
      </c>
      <c r="CM76" s="594"/>
      <c r="CN76" s="594"/>
      <c r="CO76" s="594"/>
      <c r="CP76" s="594"/>
      <c r="CQ76" s="594"/>
      <c r="CR76" s="594"/>
    </row>
    <row r="77" spans="1:96" s="13" customFormat="1" ht="13.75" customHeight="1">
      <c r="A77" s="137">
        <v>62</v>
      </c>
      <c r="B77" s="138"/>
      <c r="C77" s="139"/>
      <c r="D77" s="140"/>
      <c r="E77" s="139"/>
      <c r="F77" s="139"/>
      <c r="G77" s="191"/>
      <c r="H77" s="139"/>
      <c r="I77" s="141"/>
      <c r="J77" s="142"/>
      <c r="K77" s="139"/>
      <c r="L77" s="147"/>
      <c r="M77" s="148"/>
      <c r="N77" s="139"/>
      <c r="O77" s="589"/>
      <c r="P77" s="229" t="str">
        <f t="shared" si="21"/>
        <v/>
      </c>
      <c r="Q77" s="229" t="str">
        <f t="shared" si="22"/>
        <v/>
      </c>
      <c r="R77" s="230" t="str">
        <f t="shared" si="23"/>
        <v/>
      </c>
      <c r="S77" s="230" t="str">
        <f t="shared" si="24"/>
        <v/>
      </c>
      <c r="T77" s="351"/>
      <c r="U77" s="43"/>
      <c r="V77" s="42" t="str">
        <f t="shared" si="0"/>
        <v/>
      </c>
      <c r="W77" s="42" t="e">
        <f>IF(#REF!="","",#REF!)</f>
        <v>#REF!</v>
      </c>
      <c r="X77" s="31" t="str">
        <f t="shared" si="1"/>
        <v/>
      </c>
      <c r="Y77" s="7" t="e">
        <f t="shared" si="2"/>
        <v>#N/A</v>
      </c>
      <c r="Z77" s="7" t="e">
        <f t="shared" si="3"/>
        <v>#N/A</v>
      </c>
      <c r="AA77" s="7" t="e">
        <f t="shared" si="4"/>
        <v>#N/A</v>
      </c>
      <c r="AB77" s="7" t="str">
        <f t="shared" si="5"/>
        <v/>
      </c>
      <c r="AC77" s="11">
        <f t="shared" si="6"/>
        <v>1</v>
      </c>
      <c r="AD77" s="7" t="e">
        <f t="shared" si="7"/>
        <v>#N/A</v>
      </c>
      <c r="AE77" s="7" t="e">
        <f t="shared" si="8"/>
        <v>#N/A</v>
      </c>
      <c r="AF77" s="7" t="e">
        <f t="shared" si="9"/>
        <v>#N/A</v>
      </c>
      <c r="AG77" s="472" t="e">
        <f>VLOOKUP(AI77,'排出係数(2017)'!$A$4:$I$1151,9,FALSE)</f>
        <v>#N/A</v>
      </c>
      <c r="AH77" s="12" t="str">
        <f t="shared" si="10"/>
        <v xml:space="preserve"> </v>
      </c>
      <c r="AI77" s="7" t="e">
        <f t="shared" si="25"/>
        <v>#N/A</v>
      </c>
      <c r="AJ77" s="7" t="e">
        <f t="shared" si="11"/>
        <v>#N/A</v>
      </c>
      <c r="AK77" s="472" t="e">
        <f>VLOOKUP(AI77,'排出係数(2017)'!$A$4:$I$1151,6,FALSE)</f>
        <v>#N/A</v>
      </c>
      <c r="AL77" s="7" t="e">
        <f t="shared" si="12"/>
        <v>#N/A</v>
      </c>
      <c r="AM77" s="7" t="e">
        <f t="shared" si="13"/>
        <v>#N/A</v>
      </c>
      <c r="AN77" s="472" t="e">
        <f>VLOOKUP(AI77,'排出係数(2017)'!$A$4:$I$1151,7,FALSE)</f>
        <v>#N/A</v>
      </c>
      <c r="AO77" s="7" t="e">
        <f t="shared" si="14"/>
        <v>#N/A</v>
      </c>
      <c r="AP77" s="7" t="e">
        <f t="shared" si="15"/>
        <v>#N/A</v>
      </c>
      <c r="AQ77" s="7" t="e">
        <f t="shared" si="26"/>
        <v>#N/A</v>
      </c>
      <c r="AR77" s="7">
        <f t="shared" si="16"/>
        <v>0</v>
      </c>
      <c r="AS77" s="7" t="e">
        <f t="shared" si="27"/>
        <v>#N/A</v>
      </c>
      <c r="AT77" s="7" t="str">
        <f t="shared" si="17"/>
        <v/>
      </c>
      <c r="AU77" s="7" t="str">
        <f t="shared" si="18"/>
        <v/>
      </c>
      <c r="AV77" s="7" t="str">
        <f t="shared" si="19"/>
        <v/>
      </c>
      <c r="AW77" s="7" t="str">
        <f t="shared" si="20"/>
        <v/>
      </c>
      <c r="AX77" s="97"/>
      <c r="BD77" s="473" t="s">
        <v>1014</v>
      </c>
      <c r="CG77"/>
      <c r="CH77"/>
      <c r="CK77" s="592" t="str">
        <f t="shared" si="28"/>
        <v/>
      </c>
      <c r="CL77" s="421" t="str">
        <f t="shared" si="29"/>
        <v/>
      </c>
      <c r="CM77" s="594"/>
      <c r="CN77" s="594"/>
      <c r="CO77" s="594"/>
      <c r="CP77" s="594"/>
      <c r="CQ77" s="594"/>
      <c r="CR77" s="594"/>
    </row>
    <row r="78" spans="1:96" s="13" customFormat="1" ht="13.75" customHeight="1">
      <c r="A78" s="137">
        <v>63</v>
      </c>
      <c r="B78" s="138"/>
      <c r="C78" s="139"/>
      <c r="D78" s="140"/>
      <c r="E78" s="139"/>
      <c r="F78" s="139"/>
      <c r="G78" s="191"/>
      <c r="H78" s="139"/>
      <c r="I78" s="141"/>
      <c r="J78" s="142"/>
      <c r="K78" s="139"/>
      <c r="L78" s="147"/>
      <c r="M78" s="148"/>
      <c r="N78" s="139"/>
      <c r="O78" s="589"/>
      <c r="P78" s="229" t="str">
        <f t="shared" si="21"/>
        <v/>
      </c>
      <c r="Q78" s="229" t="str">
        <f t="shared" si="22"/>
        <v/>
      </c>
      <c r="R78" s="230" t="str">
        <f t="shared" si="23"/>
        <v/>
      </c>
      <c r="S78" s="230" t="str">
        <f t="shared" si="24"/>
        <v/>
      </c>
      <c r="T78" s="351"/>
      <c r="U78" s="43"/>
      <c r="V78" s="42" t="str">
        <f t="shared" si="0"/>
        <v/>
      </c>
      <c r="W78" s="42" t="e">
        <f>IF(#REF!="","",#REF!)</f>
        <v>#REF!</v>
      </c>
      <c r="X78" s="31" t="str">
        <f t="shared" si="1"/>
        <v/>
      </c>
      <c r="Y78" s="7" t="e">
        <f t="shared" si="2"/>
        <v>#N/A</v>
      </c>
      <c r="Z78" s="7" t="e">
        <f t="shared" si="3"/>
        <v>#N/A</v>
      </c>
      <c r="AA78" s="7" t="e">
        <f t="shared" si="4"/>
        <v>#N/A</v>
      </c>
      <c r="AB78" s="7" t="str">
        <f t="shared" si="5"/>
        <v/>
      </c>
      <c r="AC78" s="11">
        <f t="shared" si="6"/>
        <v>1</v>
      </c>
      <c r="AD78" s="7" t="e">
        <f t="shared" si="7"/>
        <v>#N/A</v>
      </c>
      <c r="AE78" s="7" t="e">
        <f t="shared" si="8"/>
        <v>#N/A</v>
      </c>
      <c r="AF78" s="7" t="e">
        <f t="shared" si="9"/>
        <v>#N/A</v>
      </c>
      <c r="AG78" s="472" t="e">
        <f>VLOOKUP(AI78,'排出係数(2017)'!$A$4:$I$1151,9,FALSE)</f>
        <v>#N/A</v>
      </c>
      <c r="AH78" s="12" t="str">
        <f t="shared" si="10"/>
        <v xml:space="preserve"> </v>
      </c>
      <c r="AI78" s="7" t="e">
        <f t="shared" si="25"/>
        <v>#N/A</v>
      </c>
      <c r="AJ78" s="7" t="e">
        <f t="shared" si="11"/>
        <v>#N/A</v>
      </c>
      <c r="AK78" s="472" t="e">
        <f>VLOOKUP(AI78,'排出係数(2017)'!$A$4:$I$1151,6,FALSE)</f>
        <v>#N/A</v>
      </c>
      <c r="AL78" s="7" t="e">
        <f t="shared" si="12"/>
        <v>#N/A</v>
      </c>
      <c r="AM78" s="7" t="e">
        <f t="shared" si="13"/>
        <v>#N/A</v>
      </c>
      <c r="AN78" s="472" t="e">
        <f>VLOOKUP(AI78,'排出係数(2017)'!$A$4:$I$1151,7,FALSE)</f>
        <v>#N/A</v>
      </c>
      <c r="AO78" s="7" t="e">
        <f t="shared" si="14"/>
        <v>#N/A</v>
      </c>
      <c r="AP78" s="7" t="e">
        <f t="shared" si="15"/>
        <v>#N/A</v>
      </c>
      <c r="AQ78" s="7" t="e">
        <f t="shared" si="26"/>
        <v>#N/A</v>
      </c>
      <c r="AR78" s="7">
        <f t="shared" si="16"/>
        <v>0</v>
      </c>
      <c r="AS78" s="7" t="e">
        <f t="shared" si="27"/>
        <v>#N/A</v>
      </c>
      <c r="AT78" s="7" t="str">
        <f t="shared" si="17"/>
        <v/>
      </c>
      <c r="AU78" s="7" t="str">
        <f t="shared" si="18"/>
        <v/>
      </c>
      <c r="AV78" s="7" t="str">
        <f t="shared" si="19"/>
        <v/>
      </c>
      <c r="AW78" s="7" t="str">
        <f t="shared" si="20"/>
        <v/>
      </c>
      <c r="AX78" s="97"/>
      <c r="BD78" s="473" t="s">
        <v>1017</v>
      </c>
      <c r="CG78"/>
      <c r="CH78"/>
      <c r="CK78" s="592" t="str">
        <f t="shared" si="28"/>
        <v/>
      </c>
      <c r="CL78" s="421" t="str">
        <f t="shared" si="29"/>
        <v/>
      </c>
      <c r="CM78" s="594"/>
      <c r="CN78" s="594"/>
      <c r="CO78" s="594"/>
      <c r="CP78" s="594"/>
      <c r="CQ78" s="594"/>
      <c r="CR78" s="594"/>
    </row>
    <row r="79" spans="1:96" s="13" customFormat="1" ht="13.75" customHeight="1">
      <c r="A79" s="137">
        <v>64</v>
      </c>
      <c r="B79" s="138"/>
      <c r="C79" s="139"/>
      <c r="D79" s="140"/>
      <c r="E79" s="139"/>
      <c r="F79" s="139"/>
      <c r="G79" s="191"/>
      <c r="H79" s="139"/>
      <c r="I79" s="141"/>
      <c r="J79" s="142"/>
      <c r="K79" s="139"/>
      <c r="L79" s="147"/>
      <c r="M79" s="148"/>
      <c r="N79" s="139"/>
      <c r="O79" s="589"/>
      <c r="P79" s="229" t="str">
        <f t="shared" si="21"/>
        <v/>
      </c>
      <c r="Q79" s="229" t="str">
        <f t="shared" si="22"/>
        <v/>
      </c>
      <c r="R79" s="230" t="str">
        <f t="shared" si="23"/>
        <v/>
      </c>
      <c r="S79" s="230" t="str">
        <f t="shared" si="24"/>
        <v/>
      </c>
      <c r="T79" s="351"/>
      <c r="U79" s="43"/>
      <c r="V79" s="42" t="str">
        <f t="shared" si="0"/>
        <v/>
      </c>
      <c r="W79" s="42" t="e">
        <f>IF(#REF!="","",#REF!)</f>
        <v>#REF!</v>
      </c>
      <c r="X79" s="31" t="str">
        <f t="shared" si="1"/>
        <v/>
      </c>
      <c r="Y79" s="7" t="e">
        <f t="shared" si="2"/>
        <v>#N/A</v>
      </c>
      <c r="Z79" s="7" t="e">
        <f t="shared" si="3"/>
        <v>#N/A</v>
      </c>
      <c r="AA79" s="7" t="e">
        <f t="shared" si="4"/>
        <v>#N/A</v>
      </c>
      <c r="AB79" s="7" t="str">
        <f t="shared" si="5"/>
        <v/>
      </c>
      <c r="AC79" s="11">
        <f t="shared" si="6"/>
        <v>1</v>
      </c>
      <c r="AD79" s="7" t="e">
        <f t="shared" si="7"/>
        <v>#N/A</v>
      </c>
      <c r="AE79" s="7" t="e">
        <f t="shared" si="8"/>
        <v>#N/A</v>
      </c>
      <c r="AF79" s="7" t="e">
        <f t="shared" si="9"/>
        <v>#N/A</v>
      </c>
      <c r="AG79" s="472" t="e">
        <f>VLOOKUP(AI79,'排出係数(2017)'!$A$4:$I$1151,9,FALSE)</f>
        <v>#N/A</v>
      </c>
      <c r="AH79" s="12" t="str">
        <f t="shared" si="10"/>
        <v xml:space="preserve"> </v>
      </c>
      <c r="AI79" s="7" t="e">
        <f t="shared" si="25"/>
        <v>#N/A</v>
      </c>
      <c r="AJ79" s="7" t="e">
        <f t="shared" si="11"/>
        <v>#N/A</v>
      </c>
      <c r="AK79" s="472" t="e">
        <f>VLOOKUP(AI79,'排出係数(2017)'!$A$4:$I$1151,6,FALSE)</f>
        <v>#N/A</v>
      </c>
      <c r="AL79" s="7" t="e">
        <f t="shared" si="12"/>
        <v>#N/A</v>
      </c>
      <c r="AM79" s="7" t="e">
        <f t="shared" si="13"/>
        <v>#N/A</v>
      </c>
      <c r="AN79" s="472" t="e">
        <f>VLOOKUP(AI79,'排出係数(2017)'!$A$4:$I$1151,7,FALSE)</f>
        <v>#N/A</v>
      </c>
      <c r="AO79" s="7" t="e">
        <f t="shared" si="14"/>
        <v>#N/A</v>
      </c>
      <c r="AP79" s="7" t="e">
        <f t="shared" si="15"/>
        <v>#N/A</v>
      </c>
      <c r="AQ79" s="7" t="e">
        <f t="shared" si="26"/>
        <v>#N/A</v>
      </c>
      <c r="AR79" s="7">
        <f t="shared" si="16"/>
        <v>0</v>
      </c>
      <c r="AS79" s="7" t="e">
        <f t="shared" si="27"/>
        <v>#N/A</v>
      </c>
      <c r="AT79" s="7" t="str">
        <f t="shared" si="17"/>
        <v/>
      </c>
      <c r="AU79" s="7" t="str">
        <f t="shared" si="18"/>
        <v/>
      </c>
      <c r="AV79" s="7" t="str">
        <f t="shared" si="19"/>
        <v/>
      </c>
      <c r="AW79" s="7" t="str">
        <f t="shared" si="20"/>
        <v/>
      </c>
      <c r="AX79" s="97"/>
      <c r="BD79" s="453" t="s">
        <v>2513</v>
      </c>
      <c r="CG79"/>
      <c r="CH79"/>
      <c r="CK79" s="592" t="str">
        <f t="shared" si="28"/>
        <v/>
      </c>
      <c r="CL79" s="421" t="str">
        <f t="shared" si="29"/>
        <v/>
      </c>
      <c r="CM79" s="594"/>
      <c r="CN79" s="594"/>
      <c r="CO79" s="594"/>
      <c r="CP79" s="594"/>
      <c r="CQ79" s="594"/>
      <c r="CR79" s="594"/>
    </row>
    <row r="80" spans="1:96" s="13" customFormat="1" ht="13.75" customHeight="1">
      <c r="A80" s="137">
        <v>65</v>
      </c>
      <c r="B80" s="138"/>
      <c r="C80" s="139"/>
      <c r="D80" s="140"/>
      <c r="E80" s="139"/>
      <c r="F80" s="139"/>
      <c r="G80" s="191"/>
      <c r="H80" s="139"/>
      <c r="I80" s="141"/>
      <c r="J80" s="142"/>
      <c r="K80" s="139"/>
      <c r="L80" s="147"/>
      <c r="M80" s="148"/>
      <c r="N80" s="139"/>
      <c r="O80" s="589"/>
      <c r="P80" s="229" t="str">
        <f t="shared" si="21"/>
        <v/>
      </c>
      <c r="Q80" s="229" t="str">
        <f t="shared" si="22"/>
        <v/>
      </c>
      <c r="R80" s="230" t="str">
        <f t="shared" si="23"/>
        <v/>
      </c>
      <c r="S80" s="230" t="str">
        <f t="shared" si="24"/>
        <v/>
      </c>
      <c r="T80" s="351"/>
      <c r="U80" s="43"/>
      <c r="V80" s="42" t="str">
        <f t="shared" ref="V80:V143" si="30">IF(O80="","",O80)</f>
        <v/>
      </c>
      <c r="W80" s="42" t="e">
        <f>IF(#REF!="","",#REF!)</f>
        <v>#REF!</v>
      </c>
      <c r="X80" s="31" t="str">
        <f t="shared" ref="X80:X143" si="31">IF(ISBLANK(H80)=TRUE,"",IF(OR(ISBLANK(B80)=TRUE),1,""))</f>
        <v/>
      </c>
      <c r="Y80" s="7" t="e">
        <f t="shared" ref="Y80:Y143" si="32">VLOOKUP(H80,$AY$17:$BB$23,2,FALSE)</f>
        <v>#N/A</v>
      </c>
      <c r="Z80" s="7" t="e">
        <f t="shared" ref="Z80:Z143" si="33">VLOOKUP(H80,$AY$17:$BB$23,3,FALSE)</f>
        <v>#N/A</v>
      </c>
      <c r="AA80" s="7" t="e">
        <f t="shared" ref="AA80:AA143" si="34">VLOOKUP(H80,$AY$17:$BB$23,4,FALSE)</f>
        <v>#N/A</v>
      </c>
      <c r="AB80" s="7" t="str">
        <f t="shared" ref="AB80:AB143" si="35">IF(ISERROR(SEARCH("-",I80,1))=TRUE,ASC(UPPER(I80)),ASC(UPPER(LEFT(I80,SEARCH("-",I80,1)-1))))</f>
        <v/>
      </c>
      <c r="AC80" s="11">
        <f t="shared" ref="AC80:AC143" si="36">IF(J80&gt;3500,J80/1000,1)</f>
        <v>1</v>
      </c>
      <c r="AD80" s="7" t="e">
        <f t="shared" ref="AD80:AD143" si="37">IF(AA80=9,0,IF(J80&lt;=1700,1,IF(J80&lt;=2500,2,IF(J80&lt;=3500,3,4))))</f>
        <v>#N/A</v>
      </c>
      <c r="AE80" s="7" t="e">
        <f t="shared" ref="AE80:AE143" si="38">IF(AA80=5,0,IF(AA80=9,0,IF(J80&lt;=1700,1,IF(J80&lt;=2500,2,IF(J80&lt;=3500,3,4)))))</f>
        <v>#N/A</v>
      </c>
      <c r="AF80" s="7" t="e">
        <f t="shared" ref="AF80:AF143" si="39">VLOOKUP(K80,$BG$17:$BH$25,2,FALSE)</f>
        <v>#N/A</v>
      </c>
      <c r="AG80" s="472" t="e">
        <f>VLOOKUP(AI80,'排出係数(2017)'!$A$4:$I$1151,9,FALSE)</f>
        <v>#N/A</v>
      </c>
      <c r="AH80" s="12" t="str">
        <f t="shared" ref="AH80:AH143" si="40">IF(OR(ISBLANK(K80)=TRUE,ISBLANK(B80)=TRUE)," ",CONCATENATE(B80,AA80,AD80))</f>
        <v xml:space="preserve"> </v>
      </c>
      <c r="AI80" s="7" t="e">
        <f t="shared" si="25"/>
        <v>#N/A</v>
      </c>
      <c r="AJ80" s="7" t="e">
        <f t="shared" ref="AJ80:AJ143" si="41">IF(AND(L80="あり",AF80="軽"),AL80,AK80)</f>
        <v>#N/A</v>
      </c>
      <c r="AK80" s="472" t="e">
        <f>VLOOKUP(AI80,'排出係数(2017)'!$A$4:$I$1151,6,FALSE)</f>
        <v>#N/A</v>
      </c>
      <c r="AL80" s="7" t="e">
        <f t="shared" ref="AL80:AL143" si="42">VLOOKUP(AE80,$BU$17:$BY$21,2,FALSE)</f>
        <v>#N/A</v>
      </c>
      <c r="AM80" s="7" t="e">
        <f t="shared" ref="AM80:AM143" si="43">IF(AND(L80="あり",M80="なし",AF80="軽"),AO80,IF(AND(L80="あり",M80="あり(H17なし)",AF80="軽"),AO80,IF(AND(L80="あり",M80="",AF80="軽"),AO80,IF(AND(L80="なし",M80="あり(H17なし)",AF80="軽"),AP80,IF(AND(L80="",M80="あり(H17なし)",AF80="軽"),AP80,IF(AND(M80="あり(H17あり)",AF80="軽"),AQ80,AN80))))))</f>
        <v>#N/A</v>
      </c>
      <c r="AN80" s="472" t="e">
        <f>VLOOKUP(AI80,'排出係数(2017)'!$A$4:$I$1151,7,FALSE)</f>
        <v>#N/A</v>
      </c>
      <c r="AO80" s="7" t="e">
        <f t="shared" ref="AO80:AO143" si="44">VLOOKUP(AE80,$BU$17:$BY$21,3,FALSE)</f>
        <v>#N/A</v>
      </c>
      <c r="AP80" s="7" t="e">
        <f t="shared" ref="AP80:AP143" si="45">VLOOKUP(AE80,$BU$17:$BY$21,4,FALSE)</f>
        <v>#N/A</v>
      </c>
      <c r="AQ80" s="7" t="e">
        <f t="shared" si="26"/>
        <v>#N/A</v>
      </c>
      <c r="AR80" s="7">
        <f t="shared" ref="AR80:AR143" si="46">IF(AND(L80="なし",M80="なし"),0,IF(AND(L80="",M80=""),0,IF(AND(L80="",M80="なし"),0,IF(AND(L80="なし",M80=""),0,1))))</f>
        <v>0</v>
      </c>
      <c r="AS80" s="7" t="e">
        <f t="shared" si="27"/>
        <v>#N/A</v>
      </c>
      <c r="AT80" s="7" t="str">
        <f t="shared" ref="AT80:AT143" si="47">IF(H80="","",VLOOKUP(H80,$AY$17:$BC$25,5,FALSE))</f>
        <v/>
      </c>
      <c r="AU80" s="7" t="str">
        <f t="shared" ref="AU80:AU143" si="48">IF(D80="","",VLOOKUP(CONCATENATE("A",LEFT(D80)),$BR$17:$BS$26,2,FALSE))</f>
        <v/>
      </c>
      <c r="AV80" s="7" t="str">
        <f t="shared" ref="AV80:AV143" si="49">IF(AT80=AU80,"",1)</f>
        <v/>
      </c>
      <c r="AW80" s="7" t="str">
        <f t="shared" ref="AW80:AW143" si="50">CONCATENATE(C80,D80,E80,F80)</f>
        <v/>
      </c>
      <c r="AX80" s="97"/>
      <c r="BD80" s="473" t="s">
        <v>2514</v>
      </c>
      <c r="CG80"/>
      <c r="CH80"/>
      <c r="CK80" s="592" t="str">
        <f t="shared" si="28"/>
        <v/>
      </c>
      <c r="CL80" s="421" t="str">
        <f t="shared" si="29"/>
        <v/>
      </c>
      <c r="CM80" s="594"/>
      <c r="CN80" s="594"/>
      <c r="CO80" s="594"/>
      <c r="CP80" s="594"/>
      <c r="CQ80" s="594"/>
      <c r="CR80" s="594"/>
    </row>
    <row r="81" spans="1:96" s="13" customFormat="1" ht="13.75" customHeight="1">
      <c r="A81" s="137">
        <v>66</v>
      </c>
      <c r="B81" s="138"/>
      <c r="C81" s="139"/>
      <c r="D81" s="140"/>
      <c r="E81" s="139"/>
      <c r="F81" s="139"/>
      <c r="G81" s="191"/>
      <c r="H81" s="139"/>
      <c r="I81" s="141"/>
      <c r="J81" s="142"/>
      <c r="K81" s="139"/>
      <c r="L81" s="147"/>
      <c r="M81" s="148"/>
      <c r="N81" s="139"/>
      <c r="O81" s="589"/>
      <c r="P81" s="229" t="str">
        <f t="shared" ref="P81:P144" si="51">IF(ISBLANK(K81)=TRUE,"",IF(ISNUMBER(AJ81)=TRUE,AJ81,"0"))</f>
        <v/>
      </c>
      <c r="Q81" s="229" t="str">
        <f t="shared" ref="Q81:Q144" si="52">IF(ISBLANK(K81)=TRUE,"",IF(ISNUMBER(AM81)=TRUE,AM81,"0"))</f>
        <v/>
      </c>
      <c r="R81" s="230" t="str">
        <f t="shared" ref="R81:R144" si="53">IF(P81="","",IF(ISERROR(P81*V81*AC81),"0",IF(ISBLANK(V81)=TRUE,"0",IF(ISBLANK(P81)=TRUE,"0",IF(AV81=1,"0",P81*AC81*V81/1000)))))</f>
        <v/>
      </c>
      <c r="S81" s="230" t="str">
        <f t="shared" ref="S81:S144" si="54">IF(Q81="","",IF(ISERROR(Q81*V81*AC81),"0",IF(ISBLANK(V81)=TRUE,"0",IF(ISBLANK(Q81)=TRUE,"0",IF(AV81=1,"0",Q81*AC81*V81/1000)))))</f>
        <v/>
      </c>
      <c r="T81" s="351"/>
      <c r="U81" s="43"/>
      <c r="V81" s="42" t="str">
        <f t="shared" si="30"/>
        <v/>
      </c>
      <c r="W81" s="42" t="e">
        <f>IF(#REF!="","",#REF!)</f>
        <v>#REF!</v>
      </c>
      <c r="X81" s="31" t="str">
        <f t="shared" si="31"/>
        <v/>
      </c>
      <c r="Y81" s="7" t="e">
        <f t="shared" si="32"/>
        <v>#N/A</v>
      </c>
      <c r="Z81" s="7" t="e">
        <f t="shared" si="33"/>
        <v>#N/A</v>
      </c>
      <c r="AA81" s="7" t="e">
        <f t="shared" si="34"/>
        <v>#N/A</v>
      </c>
      <c r="AB81" s="7" t="str">
        <f t="shared" si="35"/>
        <v/>
      </c>
      <c r="AC81" s="11">
        <f t="shared" si="36"/>
        <v>1</v>
      </c>
      <c r="AD81" s="7" t="e">
        <f t="shared" si="37"/>
        <v>#N/A</v>
      </c>
      <c r="AE81" s="7" t="e">
        <f t="shared" si="38"/>
        <v>#N/A</v>
      </c>
      <c r="AF81" s="7" t="e">
        <f t="shared" si="39"/>
        <v>#N/A</v>
      </c>
      <c r="AG81" s="472" t="e">
        <f>VLOOKUP(AI81,'排出係数(2017)'!$A$4:$I$1151,9,FALSE)</f>
        <v>#N/A</v>
      </c>
      <c r="AH81" s="12" t="str">
        <f t="shared" si="40"/>
        <v xml:space="preserve"> </v>
      </c>
      <c r="AI81" s="7" t="e">
        <f t="shared" ref="AI81:AI144" si="55">CONCATENATE(Y81,AE81,AF81,AB81)</f>
        <v>#N/A</v>
      </c>
      <c r="AJ81" s="7" t="e">
        <f t="shared" si="41"/>
        <v>#N/A</v>
      </c>
      <c r="AK81" s="472" t="e">
        <f>VLOOKUP(AI81,'排出係数(2017)'!$A$4:$I$1151,6,FALSE)</f>
        <v>#N/A</v>
      </c>
      <c r="AL81" s="7" t="e">
        <f t="shared" si="42"/>
        <v>#N/A</v>
      </c>
      <c r="AM81" s="7" t="e">
        <f t="shared" si="43"/>
        <v>#N/A</v>
      </c>
      <c r="AN81" s="472" t="e">
        <f>VLOOKUP(AI81,'排出係数(2017)'!$A$4:$I$1151,7,FALSE)</f>
        <v>#N/A</v>
      </c>
      <c r="AO81" s="7" t="e">
        <f t="shared" si="44"/>
        <v>#N/A</v>
      </c>
      <c r="AP81" s="7" t="e">
        <f t="shared" si="45"/>
        <v>#N/A</v>
      </c>
      <c r="AQ81" s="7" t="e">
        <f t="shared" ref="AQ81:AQ144" si="56">VLOOKUP(AE81,$BU$17:$BY$21,5,FALSE)</f>
        <v>#N/A</v>
      </c>
      <c r="AR81" s="7">
        <f t="shared" si="46"/>
        <v>0</v>
      </c>
      <c r="AS81" s="7" t="e">
        <f t="shared" ref="AS81:AS144" si="57">VLOOKUP(AI81,排出係数表,8,FALSE)</f>
        <v>#N/A</v>
      </c>
      <c r="AT81" s="7" t="str">
        <f t="shared" si="47"/>
        <v/>
      </c>
      <c r="AU81" s="7" t="str">
        <f t="shared" si="48"/>
        <v/>
      </c>
      <c r="AV81" s="7" t="str">
        <f t="shared" si="49"/>
        <v/>
      </c>
      <c r="AW81" s="7" t="str">
        <f t="shared" si="50"/>
        <v/>
      </c>
      <c r="AX81" s="97"/>
      <c r="BD81" s="453" t="s">
        <v>47</v>
      </c>
      <c r="CG81"/>
      <c r="CH81"/>
      <c r="CK81" s="592" t="str">
        <f t="shared" ref="CK81:CK144" si="58">IF(COUNTA(B81:F81,H81:K81)&gt;0,IF(OR(ISNUMBER(AK81)=FALSE,ISNUMBER(AN81)=FALSE,COUNTA(B81:F81,H81:K81)&lt;9),"×","〇"),"")</f>
        <v/>
      </c>
      <c r="CL81" s="421" t="str">
        <f t="shared" ref="CL81:CL144" si="59">IF(T81="廃止","※前年度に「廃止」報告をした自動車はその行を空白にしてください。",IF(T81="新規かつ廃止","※「新規」と「廃止」の両方に該当する自動車かご確認ください。",""))</f>
        <v/>
      </c>
      <c r="CM81" s="594"/>
      <c r="CN81" s="594"/>
      <c r="CO81" s="594"/>
      <c r="CP81" s="594"/>
      <c r="CQ81" s="594"/>
      <c r="CR81" s="594"/>
    </row>
    <row r="82" spans="1:96" s="13" customFormat="1" ht="13.75" customHeight="1">
      <c r="A82" s="137">
        <v>67</v>
      </c>
      <c r="B82" s="138"/>
      <c r="C82" s="139"/>
      <c r="D82" s="140"/>
      <c r="E82" s="139"/>
      <c r="F82" s="139"/>
      <c r="G82" s="191"/>
      <c r="H82" s="139"/>
      <c r="I82" s="141"/>
      <c r="J82" s="142"/>
      <c r="K82" s="139"/>
      <c r="L82" s="147"/>
      <c r="M82" s="148"/>
      <c r="N82" s="139"/>
      <c r="O82" s="589"/>
      <c r="P82" s="229" t="str">
        <f t="shared" si="51"/>
        <v/>
      </c>
      <c r="Q82" s="229" t="str">
        <f t="shared" si="52"/>
        <v/>
      </c>
      <c r="R82" s="230" t="str">
        <f t="shared" si="53"/>
        <v/>
      </c>
      <c r="S82" s="230" t="str">
        <f t="shared" si="54"/>
        <v/>
      </c>
      <c r="T82" s="351"/>
      <c r="U82" s="43"/>
      <c r="V82" s="42" t="str">
        <f t="shared" si="30"/>
        <v/>
      </c>
      <c r="W82" s="42" t="e">
        <f>IF(#REF!="","",#REF!)</f>
        <v>#REF!</v>
      </c>
      <c r="X82" s="31" t="str">
        <f t="shared" si="31"/>
        <v/>
      </c>
      <c r="Y82" s="7" t="e">
        <f t="shared" si="32"/>
        <v>#N/A</v>
      </c>
      <c r="Z82" s="7" t="e">
        <f t="shared" si="33"/>
        <v>#N/A</v>
      </c>
      <c r="AA82" s="7" t="e">
        <f t="shared" si="34"/>
        <v>#N/A</v>
      </c>
      <c r="AB82" s="7" t="str">
        <f t="shared" si="35"/>
        <v/>
      </c>
      <c r="AC82" s="11">
        <f t="shared" si="36"/>
        <v>1</v>
      </c>
      <c r="AD82" s="7" t="e">
        <f t="shared" si="37"/>
        <v>#N/A</v>
      </c>
      <c r="AE82" s="7" t="e">
        <f t="shared" si="38"/>
        <v>#N/A</v>
      </c>
      <c r="AF82" s="7" t="e">
        <f t="shared" si="39"/>
        <v>#N/A</v>
      </c>
      <c r="AG82" s="472" t="e">
        <f>VLOOKUP(AI82,'排出係数(2017)'!$A$4:$I$1151,9,FALSE)</f>
        <v>#N/A</v>
      </c>
      <c r="AH82" s="12" t="str">
        <f t="shared" si="40"/>
        <v xml:space="preserve"> </v>
      </c>
      <c r="AI82" s="7" t="e">
        <f t="shared" si="55"/>
        <v>#N/A</v>
      </c>
      <c r="AJ82" s="7" t="e">
        <f t="shared" si="41"/>
        <v>#N/A</v>
      </c>
      <c r="AK82" s="472" t="e">
        <f>VLOOKUP(AI82,'排出係数(2017)'!$A$4:$I$1151,6,FALSE)</f>
        <v>#N/A</v>
      </c>
      <c r="AL82" s="7" t="e">
        <f t="shared" si="42"/>
        <v>#N/A</v>
      </c>
      <c r="AM82" s="7" t="e">
        <f t="shared" si="43"/>
        <v>#N/A</v>
      </c>
      <c r="AN82" s="472" t="e">
        <f>VLOOKUP(AI82,'排出係数(2017)'!$A$4:$I$1151,7,FALSE)</f>
        <v>#N/A</v>
      </c>
      <c r="AO82" s="7" t="e">
        <f t="shared" si="44"/>
        <v>#N/A</v>
      </c>
      <c r="AP82" s="7" t="e">
        <f t="shared" si="45"/>
        <v>#N/A</v>
      </c>
      <c r="AQ82" s="7" t="e">
        <f t="shared" si="56"/>
        <v>#N/A</v>
      </c>
      <c r="AR82" s="7">
        <f t="shared" si="46"/>
        <v>0</v>
      </c>
      <c r="AS82" s="7" t="e">
        <f t="shared" si="57"/>
        <v>#N/A</v>
      </c>
      <c r="AT82" s="7" t="str">
        <f t="shared" si="47"/>
        <v/>
      </c>
      <c r="AU82" s="7" t="str">
        <f t="shared" si="48"/>
        <v/>
      </c>
      <c r="AV82" s="7" t="str">
        <f t="shared" si="49"/>
        <v/>
      </c>
      <c r="AW82" s="7" t="str">
        <f t="shared" si="50"/>
        <v/>
      </c>
      <c r="AX82" s="97"/>
      <c r="BD82" s="453" t="s">
        <v>2109</v>
      </c>
      <c r="CG82"/>
      <c r="CH82"/>
      <c r="CK82" s="592" t="str">
        <f t="shared" si="58"/>
        <v/>
      </c>
      <c r="CL82" s="421" t="str">
        <f t="shared" si="59"/>
        <v/>
      </c>
      <c r="CM82" s="594"/>
      <c r="CN82" s="594"/>
      <c r="CO82" s="594"/>
      <c r="CP82" s="594"/>
      <c r="CQ82" s="594"/>
      <c r="CR82" s="594"/>
    </row>
    <row r="83" spans="1:96" s="13" customFormat="1" ht="13.75" customHeight="1">
      <c r="A83" s="137">
        <v>68</v>
      </c>
      <c r="B83" s="138"/>
      <c r="C83" s="139"/>
      <c r="D83" s="140"/>
      <c r="E83" s="139"/>
      <c r="F83" s="139"/>
      <c r="G83" s="191"/>
      <c r="H83" s="139"/>
      <c r="I83" s="141"/>
      <c r="J83" s="142"/>
      <c r="K83" s="139"/>
      <c r="L83" s="147"/>
      <c r="M83" s="148"/>
      <c r="N83" s="139"/>
      <c r="O83" s="589"/>
      <c r="P83" s="229" t="str">
        <f t="shared" si="51"/>
        <v/>
      </c>
      <c r="Q83" s="229" t="str">
        <f t="shared" si="52"/>
        <v/>
      </c>
      <c r="R83" s="230" t="str">
        <f t="shared" si="53"/>
        <v/>
      </c>
      <c r="S83" s="230" t="str">
        <f t="shared" si="54"/>
        <v/>
      </c>
      <c r="T83" s="351"/>
      <c r="U83" s="43"/>
      <c r="V83" s="42" t="str">
        <f t="shared" si="30"/>
        <v/>
      </c>
      <c r="W83" s="42" t="e">
        <f>IF(#REF!="","",#REF!)</f>
        <v>#REF!</v>
      </c>
      <c r="X83" s="31" t="str">
        <f t="shared" si="31"/>
        <v/>
      </c>
      <c r="Y83" s="7" t="e">
        <f t="shared" si="32"/>
        <v>#N/A</v>
      </c>
      <c r="Z83" s="7" t="e">
        <f t="shared" si="33"/>
        <v>#N/A</v>
      </c>
      <c r="AA83" s="7" t="e">
        <f t="shared" si="34"/>
        <v>#N/A</v>
      </c>
      <c r="AB83" s="7" t="str">
        <f t="shared" si="35"/>
        <v/>
      </c>
      <c r="AC83" s="11">
        <f t="shared" si="36"/>
        <v>1</v>
      </c>
      <c r="AD83" s="7" t="e">
        <f t="shared" si="37"/>
        <v>#N/A</v>
      </c>
      <c r="AE83" s="7" t="e">
        <f t="shared" si="38"/>
        <v>#N/A</v>
      </c>
      <c r="AF83" s="7" t="e">
        <f t="shared" si="39"/>
        <v>#N/A</v>
      </c>
      <c r="AG83" s="472" t="e">
        <f>VLOOKUP(AI83,'排出係数(2017)'!$A$4:$I$1151,9,FALSE)</f>
        <v>#N/A</v>
      </c>
      <c r="AH83" s="12" t="str">
        <f t="shared" si="40"/>
        <v xml:space="preserve"> </v>
      </c>
      <c r="AI83" s="7" t="e">
        <f t="shared" si="55"/>
        <v>#N/A</v>
      </c>
      <c r="AJ83" s="7" t="e">
        <f t="shared" si="41"/>
        <v>#N/A</v>
      </c>
      <c r="AK83" s="472" t="e">
        <f>VLOOKUP(AI83,'排出係数(2017)'!$A$4:$I$1151,6,FALSE)</f>
        <v>#N/A</v>
      </c>
      <c r="AL83" s="7" t="e">
        <f t="shared" si="42"/>
        <v>#N/A</v>
      </c>
      <c r="AM83" s="7" t="e">
        <f t="shared" si="43"/>
        <v>#N/A</v>
      </c>
      <c r="AN83" s="472" t="e">
        <f>VLOOKUP(AI83,'排出係数(2017)'!$A$4:$I$1151,7,FALSE)</f>
        <v>#N/A</v>
      </c>
      <c r="AO83" s="7" t="e">
        <f t="shared" si="44"/>
        <v>#N/A</v>
      </c>
      <c r="AP83" s="7" t="e">
        <f t="shared" si="45"/>
        <v>#N/A</v>
      </c>
      <c r="AQ83" s="7" t="e">
        <f t="shared" si="56"/>
        <v>#N/A</v>
      </c>
      <c r="AR83" s="7">
        <f t="shared" si="46"/>
        <v>0</v>
      </c>
      <c r="AS83" s="7" t="e">
        <f t="shared" si="57"/>
        <v>#N/A</v>
      </c>
      <c r="AT83" s="7" t="str">
        <f t="shared" si="47"/>
        <v/>
      </c>
      <c r="AU83" s="7" t="str">
        <f t="shared" si="48"/>
        <v/>
      </c>
      <c r="AV83" s="7" t="str">
        <f t="shared" si="49"/>
        <v/>
      </c>
      <c r="AW83" s="7" t="str">
        <f t="shared" si="50"/>
        <v/>
      </c>
      <c r="AX83" s="97"/>
      <c r="BD83" s="453" t="s">
        <v>1983</v>
      </c>
      <c r="CG83"/>
      <c r="CH83"/>
      <c r="CK83" s="592" t="str">
        <f t="shared" si="58"/>
        <v/>
      </c>
      <c r="CL83" s="421" t="str">
        <f t="shared" si="59"/>
        <v/>
      </c>
      <c r="CM83" s="594"/>
      <c r="CN83" s="594"/>
      <c r="CO83" s="594"/>
      <c r="CP83" s="594"/>
      <c r="CQ83" s="594"/>
      <c r="CR83" s="594"/>
    </row>
    <row r="84" spans="1:96" s="13" customFormat="1" ht="13.75" customHeight="1">
      <c r="A84" s="137">
        <v>69</v>
      </c>
      <c r="B84" s="138"/>
      <c r="C84" s="139"/>
      <c r="D84" s="140"/>
      <c r="E84" s="139"/>
      <c r="F84" s="139"/>
      <c r="G84" s="191"/>
      <c r="H84" s="139"/>
      <c r="I84" s="141"/>
      <c r="J84" s="142"/>
      <c r="K84" s="139"/>
      <c r="L84" s="147"/>
      <c r="M84" s="148"/>
      <c r="N84" s="139"/>
      <c r="O84" s="589"/>
      <c r="P84" s="229" t="str">
        <f t="shared" si="51"/>
        <v/>
      </c>
      <c r="Q84" s="229" t="str">
        <f t="shared" si="52"/>
        <v/>
      </c>
      <c r="R84" s="230" t="str">
        <f t="shared" si="53"/>
        <v/>
      </c>
      <c r="S84" s="230" t="str">
        <f t="shared" si="54"/>
        <v/>
      </c>
      <c r="T84" s="351"/>
      <c r="U84" s="43"/>
      <c r="V84" s="42" t="str">
        <f t="shared" si="30"/>
        <v/>
      </c>
      <c r="W84" s="42" t="e">
        <f>IF(#REF!="","",#REF!)</f>
        <v>#REF!</v>
      </c>
      <c r="X84" s="31" t="str">
        <f t="shared" si="31"/>
        <v/>
      </c>
      <c r="Y84" s="7" t="e">
        <f t="shared" si="32"/>
        <v>#N/A</v>
      </c>
      <c r="Z84" s="7" t="e">
        <f t="shared" si="33"/>
        <v>#N/A</v>
      </c>
      <c r="AA84" s="7" t="e">
        <f t="shared" si="34"/>
        <v>#N/A</v>
      </c>
      <c r="AB84" s="7" t="str">
        <f t="shared" si="35"/>
        <v/>
      </c>
      <c r="AC84" s="11">
        <f t="shared" si="36"/>
        <v>1</v>
      </c>
      <c r="AD84" s="7" t="e">
        <f t="shared" si="37"/>
        <v>#N/A</v>
      </c>
      <c r="AE84" s="7" t="e">
        <f t="shared" si="38"/>
        <v>#N/A</v>
      </c>
      <c r="AF84" s="7" t="e">
        <f t="shared" si="39"/>
        <v>#N/A</v>
      </c>
      <c r="AG84" s="472" t="e">
        <f>VLOOKUP(AI84,'排出係数(2017)'!$A$4:$I$1151,9,FALSE)</f>
        <v>#N/A</v>
      </c>
      <c r="AH84" s="12" t="str">
        <f t="shared" si="40"/>
        <v xml:space="preserve"> </v>
      </c>
      <c r="AI84" s="7" t="e">
        <f t="shared" si="55"/>
        <v>#N/A</v>
      </c>
      <c r="AJ84" s="7" t="e">
        <f t="shared" si="41"/>
        <v>#N/A</v>
      </c>
      <c r="AK84" s="472" t="e">
        <f>VLOOKUP(AI84,'排出係数(2017)'!$A$4:$I$1151,6,FALSE)</f>
        <v>#N/A</v>
      </c>
      <c r="AL84" s="7" t="e">
        <f t="shared" si="42"/>
        <v>#N/A</v>
      </c>
      <c r="AM84" s="7" t="e">
        <f t="shared" si="43"/>
        <v>#N/A</v>
      </c>
      <c r="AN84" s="472" t="e">
        <f>VLOOKUP(AI84,'排出係数(2017)'!$A$4:$I$1151,7,FALSE)</f>
        <v>#N/A</v>
      </c>
      <c r="AO84" s="7" t="e">
        <f t="shared" si="44"/>
        <v>#N/A</v>
      </c>
      <c r="AP84" s="7" t="e">
        <f t="shared" si="45"/>
        <v>#N/A</v>
      </c>
      <c r="AQ84" s="7" t="e">
        <f t="shared" si="56"/>
        <v>#N/A</v>
      </c>
      <c r="AR84" s="7">
        <f t="shared" si="46"/>
        <v>0</v>
      </c>
      <c r="AS84" s="7" t="e">
        <f t="shared" si="57"/>
        <v>#N/A</v>
      </c>
      <c r="AT84" s="7" t="str">
        <f t="shared" si="47"/>
        <v/>
      </c>
      <c r="AU84" s="7" t="str">
        <f t="shared" si="48"/>
        <v/>
      </c>
      <c r="AV84" s="7" t="str">
        <f t="shared" si="49"/>
        <v/>
      </c>
      <c r="AW84" s="7" t="str">
        <f t="shared" si="50"/>
        <v/>
      </c>
      <c r="AX84" s="97"/>
      <c r="BD84" s="453" t="s">
        <v>1991</v>
      </c>
      <c r="CG84"/>
      <c r="CH84"/>
      <c r="CK84" s="592" t="str">
        <f t="shared" si="58"/>
        <v/>
      </c>
      <c r="CL84" s="421" t="str">
        <f t="shared" si="59"/>
        <v/>
      </c>
      <c r="CM84" s="594"/>
      <c r="CN84" s="594"/>
      <c r="CO84" s="594"/>
      <c r="CP84" s="594"/>
      <c r="CQ84" s="594"/>
      <c r="CR84" s="594"/>
    </row>
    <row r="85" spans="1:96" s="13" customFormat="1" ht="13.75" customHeight="1">
      <c r="A85" s="137">
        <v>70</v>
      </c>
      <c r="B85" s="138"/>
      <c r="C85" s="139"/>
      <c r="D85" s="140"/>
      <c r="E85" s="139"/>
      <c r="F85" s="139"/>
      <c r="G85" s="191"/>
      <c r="H85" s="139"/>
      <c r="I85" s="141"/>
      <c r="J85" s="142"/>
      <c r="K85" s="139"/>
      <c r="L85" s="147"/>
      <c r="M85" s="148"/>
      <c r="N85" s="139"/>
      <c r="O85" s="589"/>
      <c r="P85" s="229" t="str">
        <f t="shared" si="51"/>
        <v/>
      </c>
      <c r="Q85" s="229" t="str">
        <f t="shared" si="52"/>
        <v/>
      </c>
      <c r="R85" s="230" t="str">
        <f t="shared" si="53"/>
        <v/>
      </c>
      <c r="S85" s="230" t="str">
        <f t="shared" si="54"/>
        <v/>
      </c>
      <c r="T85" s="351"/>
      <c r="U85" s="43"/>
      <c r="V85" s="42" t="str">
        <f t="shared" si="30"/>
        <v/>
      </c>
      <c r="W85" s="42" t="e">
        <f>IF(#REF!="","",#REF!)</f>
        <v>#REF!</v>
      </c>
      <c r="X85" s="31" t="str">
        <f t="shared" si="31"/>
        <v/>
      </c>
      <c r="Y85" s="7" t="e">
        <f t="shared" si="32"/>
        <v>#N/A</v>
      </c>
      <c r="Z85" s="7" t="e">
        <f t="shared" si="33"/>
        <v>#N/A</v>
      </c>
      <c r="AA85" s="7" t="e">
        <f t="shared" si="34"/>
        <v>#N/A</v>
      </c>
      <c r="AB85" s="7" t="str">
        <f t="shared" si="35"/>
        <v/>
      </c>
      <c r="AC85" s="11">
        <f t="shared" si="36"/>
        <v>1</v>
      </c>
      <c r="AD85" s="7" t="e">
        <f t="shared" si="37"/>
        <v>#N/A</v>
      </c>
      <c r="AE85" s="7" t="e">
        <f t="shared" si="38"/>
        <v>#N/A</v>
      </c>
      <c r="AF85" s="7" t="e">
        <f t="shared" si="39"/>
        <v>#N/A</v>
      </c>
      <c r="AG85" s="472" t="e">
        <f>VLOOKUP(AI85,'排出係数(2017)'!$A$4:$I$1151,9,FALSE)</f>
        <v>#N/A</v>
      </c>
      <c r="AH85" s="12" t="str">
        <f t="shared" si="40"/>
        <v xml:space="preserve"> </v>
      </c>
      <c r="AI85" s="7" t="e">
        <f t="shared" si="55"/>
        <v>#N/A</v>
      </c>
      <c r="AJ85" s="7" t="e">
        <f t="shared" si="41"/>
        <v>#N/A</v>
      </c>
      <c r="AK85" s="472" t="e">
        <f>VLOOKUP(AI85,'排出係数(2017)'!$A$4:$I$1151,6,FALSE)</f>
        <v>#N/A</v>
      </c>
      <c r="AL85" s="7" t="e">
        <f t="shared" si="42"/>
        <v>#N/A</v>
      </c>
      <c r="AM85" s="7" t="e">
        <f t="shared" si="43"/>
        <v>#N/A</v>
      </c>
      <c r="AN85" s="472" t="e">
        <f>VLOOKUP(AI85,'排出係数(2017)'!$A$4:$I$1151,7,FALSE)</f>
        <v>#N/A</v>
      </c>
      <c r="AO85" s="7" t="e">
        <f t="shared" si="44"/>
        <v>#N/A</v>
      </c>
      <c r="AP85" s="7" t="e">
        <f t="shared" si="45"/>
        <v>#N/A</v>
      </c>
      <c r="AQ85" s="7" t="e">
        <f t="shared" si="56"/>
        <v>#N/A</v>
      </c>
      <c r="AR85" s="7">
        <f t="shared" si="46"/>
        <v>0</v>
      </c>
      <c r="AS85" s="7" t="e">
        <f t="shared" si="57"/>
        <v>#N/A</v>
      </c>
      <c r="AT85" s="7" t="str">
        <f t="shared" si="47"/>
        <v/>
      </c>
      <c r="AU85" s="7" t="str">
        <f t="shared" si="48"/>
        <v/>
      </c>
      <c r="AV85" s="7" t="str">
        <f t="shared" si="49"/>
        <v/>
      </c>
      <c r="AW85" s="7" t="str">
        <f t="shared" si="50"/>
        <v/>
      </c>
      <c r="AX85" s="97"/>
      <c r="BD85" s="453" t="s">
        <v>2110</v>
      </c>
      <c r="CG85"/>
      <c r="CH85"/>
      <c r="CK85" s="592" t="str">
        <f t="shared" si="58"/>
        <v/>
      </c>
      <c r="CL85" s="421" t="str">
        <f t="shared" si="59"/>
        <v/>
      </c>
      <c r="CM85" s="594"/>
      <c r="CN85" s="594"/>
      <c r="CO85" s="594"/>
      <c r="CP85" s="594"/>
      <c r="CQ85" s="594"/>
      <c r="CR85" s="594"/>
    </row>
    <row r="86" spans="1:96" s="13" customFormat="1" ht="13.75" customHeight="1">
      <c r="A86" s="137">
        <v>71</v>
      </c>
      <c r="B86" s="138"/>
      <c r="C86" s="139"/>
      <c r="D86" s="140"/>
      <c r="E86" s="139"/>
      <c r="F86" s="139"/>
      <c r="G86" s="191"/>
      <c r="H86" s="139"/>
      <c r="I86" s="141"/>
      <c r="J86" s="142"/>
      <c r="K86" s="139"/>
      <c r="L86" s="147"/>
      <c r="M86" s="148"/>
      <c r="N86" s="139"/>
      <c r="O86" s="589"/>
      <c r="P86" s="229" t="str">
        <f t="shared" si="51"/>
        <v/>
      </c>
      <c r="Q86" s="229" t="str">
        <f t="shared" si="52"/>
        <v/>
      </c>
      <c r="R86" s="230" t="str">
        <f t="shared" si="53"/>
        <v/>
      </c>
      <c r="S86" s="230" t="str">
        <f t="shared" si="54"/>
        <v/>
      </c>
      <c r="T86" s="351"/>
      <c r="U86" s="43"/>
      <c r="V86" s="42" t="str">
        <f t="shared" si="30"/>
        <v/>
      </c>
      <c r="W86" s="42" t="e">
        <f>IF(#REF!="","",#REF!)</f>
        <v>#REF!</v>
      </c>
      <c r="X86" s="31" t="str">
        <f t="shared" si="31"/>
        <v/>
      </c>
      <c r="Y86" s="7" t="e">
        <f t="shared" si="32"/>
        <v>#N/A</v>
      </c>
      <c r="Z86" s="7" t="e">
        <f t="shared" si="33"/>
        <v>#N/A</v>
      </c>
      <c r="AA86" s="7" t="e">
        <f t="shared" si="34"/>
        <v>#N/A</v>
      </c>
      <c r="AB86" s="7" t="str">
        <f t="shared" si="35"/>
        <v/>
      </c>
      <c r="AC86" s="11">
        <f t="shared" si="36"/>
        <v>1</v>
      </c>
      <c r="AD86" s="7" t="e">
        <f t="shared" si="37"/>
        <v>#N/A</v>
      </c>
      <c r="AE86" s="7" t="e">
        <f t="shared" si="38"/>
        <v>#N/A</v>
      </c>
      <c r="AF86" s="7" t="e">
        <f t="shared" si="39"/>
        <v>#N/A</v>
      </c>
      <c r="AG86" s="472" t="e">
        <f>VLOOKUP(AI86,'排出係数(2017)'!$A$4:$I$1151,9,FALSE)</f>
        <v>#N/A</v>
      </c>
      <c r="AH86" s="12" t="str">
        <f t="shared" si="40"/>
        <v xml:space="preserve"> </v>
      </c>
      <c r="AI86" s="7" t="e">
        <f t="shared" si="55"/>
        <v>#N/A</v>
      </c>
      <c r="AJ86" s="7" t="e">
        <f t="shared" si="41"/>
        <v>#N/A</v>
      </c>
      <c r="AK86" s="472" t="e">
        <f>VLOOKUP(AI86,'排出係数(2017)'!$A$4:$I$1151,6,FALSE)</f>
        <v>#N/A</v>
      </c>
      <c r="AL86" s="7" t="e">
        <f t="shared" si="42"/>
        <v>#N/A</v>
      </c>
      <c r="AM86" s="7" t="e">
        <f t="shared" si="43"/>
        <v>#N/A</v>
      </c>
      <c r="AN86" s="472" t="e">
        <f>VLOOKUP(AI86,'排出係数(2017)'!$A$4:$I$1151,7,FALSE)</f>
        <v>#N/A</v>
      </c>
      <c r="AO86" s="7" t="e">
        <f t="shared" si="44"/>
        <v>#N/A</v>
      </c>
      <c r="AP86" s="7" t="e">
        <f t="shared" si="45"/>
        <v>#N/A</v>
      </c>
      <c r="AQ86" s="7" t="e">
        <f t="shared" si="56"/>
        <v>#N/A</v>
      </c>
      <c r="AR86" s="7">
        <f t="shared" si="46"/>
        <v>0</v>
      </c>
      <c r="AS86" s="7" t="e">
        <f t="shared" si="57"/>
        <v>#N/A</v>
      </c>
      <c r="AT86" s="7" t="str">
        <f t="shared" si="47"/>
        <v/>
      </c>
      <c r="AU86" s="7" t="str">
        <f t="shared" si="48"/>
        <v/>
      </c>
      <c r="AV86" s="7" t="str">
        <f t="shared" si="49"/>
        <v/>
      </c>
      <c r="AW86" s="7" t="str">
        <f t="shared" si="50"/>
        <v/>
      </c>
      <c r="AX86" s="97"/>
      <c r="BD86" s="453" t="s">
        <v>1984</v>
      </c>
      <c r="CG86"/>
      <c r="CH86"/>
      <c r="CK86" s="592" t="str">
        <f t="shared" si="58"/>
        <v/>
      </c>
      <c r="CL86" s="421" t="str">
        <f t="shared" si="59"/>
        <v/>
      </c>
      <c r="CM86" s="594"/>
      <c r="CN86" s="594"/>
      <c r="CO86" s="594"/>
      <c r="CP86" s="594"/>
      <c r="CQ86" s="594"/>
      <c r="CR86" s="594"/>
    </row>
    <row r="87" spans="1:96" s="13" customFormat="1" ht="13.75" customHeight="1">
      <c r="A87" s="137">
        <v>72</v>
      </c>
      <c r="B87" s="138"/>
      <c r="C87" s="139"/>
      <c r="D87" s="140"/>
      <c r="E87" s="139"/>
      <c r="F87" s="139"/>
      <c r="G87" s="191"/>
      <c r="H87" s="139"/>
      <c r="I87" s="141"/>
      <c r="J87" s="142"/>
      <c r="K87" s="139"/>
      <c r="L87" s="147"/>
      <c r="M87" s="148"/>
      <c r="N87" s="139"/>
      <c r="O87" s="589"/>
      <c r="P87" s="229" t="str">
        <f t="shared" si="51"/>
        <v/>
      </c>
      <c r="Q87" s="229" t="str">
        <f t="shared" si="52"/>
        <v/>
      </c>
      <c r="R87" s="230" t="str">
        <f t="shared" si="53"/>
        <v/>
      </c>
      <c r="S87" s="230" t="str">
        <f t="shared" si="54"/>
        <v/>
      </c>
      <c r="T87" s="351"/>
      <c r="U87" s="43"/>
      <c r="V87" s="42" t="str">
        <f t="shared" si="30"/>
        <v/>
      </c>
      <c r="W87" s="42" t="e">
        <f>IF(#REF!="","",#REF!)</f>
        <v>#REF!</v>
      </c>
      <c r="X87" s="31" t="str">
        <f t="shared" si="31"/>
        <v/>
      </c>
      <c r="Y87" s="7" t="e">
        <f t="shared" si="32"/>
        <v>#N/A</v>
      </c>
      <c r="Z87" s="7" t="e">
        <f t="shared" si="33"/>
        <v>#N/A</v>
      </c>
      <c r="AA87" s="7" t="e">
        <f t="shared" si="34"/>
        <v>#N/A</v>
      </c>
      <c r="AB87" s="7" t="str">
        <f t="shared" si="35"/>
        <v/>
      </c>
      <c r="AC87" s="11">
        <f t="shared" si="36"/>
        <v>1</v>
      </c>
      <c r="AD87" s="7" t="e">
        <f t="shared" si="37"/>
        <v>#N/A</v>
      </c>
      <c r="AE87" s="7" t="e">
        <f t="shared" si="38"/>
        <v>#N/A</v>
      </c>
      <c r="AF87" s="7" t="e">
        <f t="shared" si="39"/>
        <v>#N/A</v>
      </c>
      <c r="AG87" s="472" t="e">
        <f>VLOOKUP(AI87,'排出係数(2017)'!$A$4:$I$1151,9,FALSE)</f>
        <v>#N/A</v>
      </c>
      <c r="AH87" s="12" t="str">
        <f t="shared" si="40"/>
        <v xml:space="preserve"> </v>
      </c>
      <c r="AI87" s="7" t="e">
        <f t="shared" si="55"/>
        <v>#N/A</v>
      </c>
      <c r="AJ87" s="7" t="e">
        <f t="shared" si="41"/>
        <v>#N/A</v>
      </c>
      <c r="AK87" s="472" t="e">
        <f>VLOOKUP(AI87,'排出係数(2017)'!$A$4:$I$1151,6,FALSE)</f>
        <v>#N/A</v>
      </c>
      <c r="AL87" s="7" t="e">
        <f t="shared" si="42"/>
        <v>#N/A</v>
      </c>
      <c r="AM87" s="7" t="e">
        <f t="shared" si="43"/>
        <v>#N/A</v>
      </c>
      <c r="AN87" s="472" t="e">
        <f>VLOOKUP(AI87,'排出係数(2017)'!$A$4:$I$1151,7,FALSE)</f>
        <v>#N/A</v>
      </c>
      <c r="AO87" s="7" t="e">
        <f t="shared" si="44"/>
        <v>#N/A</v>
      </c>
      <c r="AP87" s="7" t="e">
        <f t="shared" si="45"/>
        <v>#N/A</v>
      </c>
      <c r="AQ87" s="7" t="e">
        <f t="shared" si="56"/>
        <v>#N/A</v>
      </c>
      <c r="AR87" s="7">
        <f t="shared" si="46"/>
        <v>0</v>
      </c>
      <c r="AS87" s="7" t="e">
        <f t="shared" si="57"/>
        <v>#N/A</v>
      </c>
      <c r="AT87" s="7" t="str">
        <f t="shared" si="47"/>
        <v/>
      </c>
      <c r="AU87" s="7" t="str">
        <f t="shared" si="48"/>
        <v/>
      </c>
      <c r="AV87" s="7" t="str">
        <f t="shared" si="49"/>
        <v/>
      </c>
      <c r="AW87" s="7" t="str">
        <f t="shared" si="50"/>
        <v/>
      </c>
      <c r="AX87" s="97"/>
      <c r="BD87" s="453" t="s">
        <v>1992</v>
      </c>
      <c r="CG87"/>
      <c r="CH87"/>
      <c r="CK87" s="592" t="str">
        <f t="shared" si="58"/>
        <v/>
      </c>
      <c r="CL87" s="421" t="str">
        <f t="shared" si="59"/>
        <v/>
      </c>
      <c r="CM87" s="594"/>
      <c r="CN87" s="594"/>
      <c r="CO87" s="594"/>
      <c r="CP87" s="594"/>
      <c r="CQ87" s="594"/>
      <c r="CR87" s="594"/>
    </row>
    <row r="88" spans="1:96" s="13" customFormat="1" ht="13.75" customHeight="1">
      <c r="A88" s="137">
        <v>73</v>
      </c>
      <c r="B88" s="138"/>
      <c r="C88" s="139"/>
      <c r="D88" s="140"/>
      <c r="E88" s="139"/>
      <c r="F88" s="139"/>
      <c r="G88" s="191"/>
      <c r="H88" s="139"/>
      <c r="I88" s="141"/>
      <c r="J88" s="142"/>
      <c r="K88" s="139"/>
      <c r="L88" s="147"/>
      <c r="M88" s="148"/>
      <c r="N88" s="139"/>
      <c r="O88" s="589"/>
      <c r="P88" s="229" t="str">
        <f t="shared" si="51"/>
        <v/>
      </c>
      <c r="Q88" s="229" t="str">
        <f t="shared" si="52"/>
        <v/>
      </c>
      <c r="R88" s="230" t="str">
        <f t="shared" si="53"/>
        <v/>
      </c>
      <c r="S88" s="230" t="str">
        <f t="shared" si="54"/>
        <v/>
      </c>
      <c r="T88" s="351"/>
      <c r="U88" s="43"/>
      <c r="V88" s="42" t="str">
        <f t="shared" si="30"/>
        <v/>
      </c>
      <c r="W88" s="42" t="e">
        <f>IF(#REF!="","",#REF!)</f>
        <v>#REF!</v>
      </c>
      <c r="X88" s="31" t="str">
        <f t="shared" si="31"/>
        <v/>
      </c>
      <c r="Y88" s="7" t="e">
        <f t="shared" si="32"/>
        <v>#N/A</v>
      </c>
      <c r="Z88" s="7" t="e">
        <f t="shared" si="33"/>
        <v>#N/A</v>
      </c>
      <c r="AA88" s="7" t="e">
        <f t="shared" si="34"/>
        <v>#N/A</v>
      </c>
      <c r="AB88" s="7" t="str">
        <f t="shared" si="35"/>
        <v/>
      </c>
      <c r="AC88" s="11">
        <f t="shared" si="36"/>
        <v>1</v>
      </c>
      <c r="AD88" s="7" t="e">
        <f t="shared" si="37"/>
        <v>#N/A</v>
      </c>
      <c r="AE88" s="7" t="e">
        <f t="shared" si="38"/>
        <v>#N/A</v>
      </c>
      <c r="AF88" s="7" t="e">
        <f t="shared" si="39"/>
        <v>#N/A</v>
      </c>
      <c r="AG88" s="472" t="e">
        <f>VLOOKUP(AI88,'排出係数(2017)'!$A$4:$I$1151,9,FALSE)</f>
        <v>#N/A</v>
      </c>
      <c r="AH88" s="12" t="str">
        <f t="shared" si="40"/>
        <v xml:space="preserve"> </v>
      </c>
      <c r="AI88" s="7" t="e">
        <f t="shared" si="55"/>
        <v>#N/A</v>
      </c>
      <c r="AJ88" s="7" t="e">
        <f t="shared" si="41"/>
        <v>#N/A</v>
      </c>
      <c r="AK88" s="472" t="e">
        <f>VLOOKUP(AI88,'排出係数(2017)'!$A$4:$I$1151,6,FALSE)</f>
        <v>#N/A</v>
      </c>
      <c r="AL88" s="7" t="e">
        <f t="shared" si="42"/>
        <v>#N/A</v>
      </c>
      <c r="AM88" s="7" t="e">
        <f t="shared" si="43"/>
        <v>#N/A</v>
      </c>
      <c r="AN88" s="472" t="e">
        <f>VLOOKUP(AI88,'排出係数(2017)'!$A$4:$I$1151,7,FALSE)</f>
        <v>#N/A</v>
      </c>
      <c r="AO88" s="7" t="e">
        <f t="shared" si="44"/>
        <v>#N/A</v>
      </c>
      <c r="AP88" s="7" t="e">
        <f t="shared" si="45"/>
        <v>#N/A</v>
      </c>
      <c r="AQ88" s="7" t="e">
        <f t="shared" si="56"/>
        <v>#N/A</v>
      </c>
      <c r="AR88" s="7">
        <f t="shared" si="46"/>
        <v>0</v>
      </c>
      <c r="AS88" s="7" t="e">
        <f t="shared" si="57"/>
        <v>#N/A</v>
      </c>
      <c r="AT88" s="7" t="str">
        <f t="shared" si="47"/>
        <v/>
      </c>
      <c r="AU88" s="7" t="str">
        <f t="shared" si="48"/>
        <v/>
      </c>
      <c r="AV88" s="7" t="str">
        <f t="shared" si="49"/>
        <v/>
      </c>
      <c r="AW88" s="7" t="str">
        <f t="shared" si="50"/>
        <v/>
      </c>
      <c r="AX88" s="97"/>
      <c r="BD88" s="453" t="s">
        <v>2117</v>
      </c>
      <c r="CG88"/>
      <c r="CH88"/>
      <c r="CK88" s="592" t="str">
        <f t="shared" si="58"/>
        <v/>
      </c>
      <c r="CL88" s="421" t="str">
        <f t="shared" si="59"/>
        <v/>
      </c>
      <c r="CM88" s="594"/>
      <c r="CN88" s="594"/>
      <c r="CO88" s="594"/>
      <c r="CP88" s="594"/>
      <c r="CQ88" s="594"/>
      <c r="CR88" s="594"/>
    </row>
    <row r="89" spans="1:96" s="13" customFormat="1" ht="13.75" customHeight="1">
      <c r="A89" s="137">
        <v>74</v>
      </c>
      <c r="B89" s="138"/>
      <c r="C89" s="139"/>
      <c r="D89" s="140"/>
      <c r="E89" s="139"/>
      <c r="F89" s="139"/>
      <c r="G89" s="191"/>
      <c r="H89" s="139"/>
      <c r="I89" s="141"/>
      <c r="J89" s="142"/>
      <c r="K89" s="139"/>
      <c r="L89" s="147"/>
      <c r="M89" s="148"/>
      <c r="N89" s="139"/>
      <c r="O89" s="589"/>
      <c r="P89" s="229" t="str">
        <f t="shared" si="51"/>
        <v/>
      </c>
      <c r="Q89" s="229" t="str">
        <f t="shared" si="52"/>
        <v/>
      </c>
      <c r="R89" s="230" t="str">
        <f t="shared" si="53"/>
        <v/>
      </c>
      <c r="S89" s="230" t="str">
        <f t="shared" si="54"/>
        <v/>
      </c>
      <c r="T89" s="351"/>
      <c r="U89" s="43"/>
      <c r="V89" s="42" t="str">
        <f t="shared" si="30"/>
        <v/>
      </c>
      <c r="W89" s="42" t="e">
        <f>IF(#REF!="","",#REF!)</f>
        <v>#REF!</v>
      </c>
      <c r="X89" s="31" t="str">
        <f t="shared" si="31"/>
        <v/>
      </c>
      <c r="Y89" s="7" t="e">
        <f t="shared" si="32"/>
        <v>#N/A</v>
      </c>
      <c r="Z89" s="7" t="e">
        <f t="shared" si="33"/>
        <v>#N/A</v>
      </c>
      <c r="AA89" s="7" t="e">
        <f t="shared" si="34"/>
        <v>#N/A</v>
      </c>
      <c r="AB89" s="7" t="str">
        <f t="shared" si="35"/>
        <v/>
      </c>
      <c r="AC89" s="11">
        <f t="shared" si="36"/>
        <v>1</v>
      </c>
      <c r="AD89" s="7" t="e">
        <f t="shared" si="37"/>
        <v>#N/A</v>
      </c>
      <c r="AE89" s="7" t="e">
        <f t="shared" si="38"/>
        <v>#N/A</v>
      </c>
      <c r="AF89" s="7" t="e">
        <f t="shared" si="39"/>
        <v>#N/A</v>
      </c>
      <c r="AG89" s="472" t="e">
        <f>VLOOKUP(AI89,'排出係数(2017)'!$A$4:$I$1151,9,FALSE)</f>
        <v>#N/A</v>
      </c>
      <c r="AH89" s="12" t="str">
        <f t="shared" si="40"/>
        <v xml:space="preserve"> </v>
      </c>
      <c r="AI89" s="7" t="e">
        <f t="shared" si="55"/>
        <v>#N/A</v>
      </c>
      <c r="AJ89" s="7" t="e">
        <f t="shared" si="41"/>
        <v>#N/A</v>
      </c>
      <c r="AK89" s="472" t="e">
        <f>VLOOKUP(AI89,'排出係数(2017)'!$A$4:$I$1151,6,FALSE)</f>
        <v>#N/A</v>
      </c>
      <c r="AL89" s="7" t="e">
        <f t="shared" si="42"/>
        <v>#N/A</v>
      </c>
      <c r="AM89" s="7" t="e">
        <f t="shared" si="43"/>
        <v>#N/A</v>
      </c>
      <c r="AN89" s="472" t="e">
        <f>VLOOKUP(AI89,'排出係数(2017)'!$A$4:$I$1151,7,FALSE)</f>
        <v>#N/A</v>
      </c>
      <c r="AO89" s="7" t="e">
        <f t="shared" si="44"/>
        <v>#N/A</v>
      </c>
      <c r="AP89" s="7" t="e">
        <f t="shared" si="45"/>
        <v>#N/A</v>
      </c>
      <c r="AQ89" s="7" t="e">
        <f t="shared" si="56"/>
        <v>#N/A</v>
      </c>
      <c r="AR89" s="7">
        <f t="shared" si="46"/>
        <v>0</v>
      </c>
      <c r="AS89" s="7" t="e">
        <f t="shared" si="57"/>
        <v>#N/A</v>
      </c>
      <c r="AT89" s="7" t="str">
        <f t="shared" si="47"/>
        <v/>
      </c>
      <c r="AU89" s="7" t="str">
        <f t="shared" si="48"/>
        <v/>
      </c>
      <c r="AV89" s="7" t="str">
        <f t="shared" si="49"/>
        <v/>
      </c>
      <c r="AW89" s="7" t="str">
        <f t="shared" si="50"/>
        <v/>
      </c>
      <c r="AX89" s="97"/>
      <c r="BD89" s="453" t="s">
        <v>2118</v>
      </c>
      <c r="CG89"/>
      <c r="CH89"/>
      <c r="CK89" s="592" t="str">
        <f t="shared" si="58"/>
        <v/>
      </c>
      <c r="CL89" s="421" t="str">
        <f t="shared" si="59"/>
        <v/>
      </c>
      <c r="CM89" s="594"/>
      <c r="CN89" s="594"/>
      <c r="CO89" s="594"/>
      <c r="CP89" s="594"/>
      <c r="CQ89" s="594"/>
      <c r="CR89" s="594"/>
    </row>
    <row r="90" spans="1:96" s="13" customFormat="1" ht="13.75" customHeight="1">
      <c r="A90" s="137">
        <v>75</v>
      </c>
      <c r="B90" s="138"/>
      <c r="C90" s="139"/>
      <c r="D90" s="140"/>
      <c r="E90" s="139"/>
      <c r="F90" s="139"/>
      <c r="G90" s="191"/>
      <c r="H90" s="139"/>
      <c r="I90" s="141"/>
      <c r="J90" s="142"/>
      <c r="K90" s="139"/>
      <c r="L90" s="147"/>
      <c r="M90" s="148"/>
      <c r="N90" s="139"/>
      <c r="O90" s="589"/>
      <c r="P90" s="229" t="str">
        <f t="shared" si="51"/>
        <v/>
      </c>
      <c r="Q90" s="229" t="str">
        <f t="shared" si="52"/>
        <v/>
      </c>
      <c r="R90" s="230" t="str">
        <f t="shared" si="53"/>
        <v/>
      </c>
      <c r="S90" s="230" t="str">
        <f t="shared" si="54"/>
        <v/>
      </c>
      <c r="T90" s="351"/>
      <c r="U90" s="43"/>
      <c r="V90" s="42" t="str">
        <f t="shared" si="30"/>
        <v/>
      </c>
      <c r="W90" s="42" t="e">
        <f>IF(#REF!="","",#REF!)</f>
        <v>#REF!</v>
      </c>
      <c r="X90" s="31" t="str">
        <f t="shared" si="31"/>
        <v/>
      </c>
      <c r="Y90" s="7" t="e">
        <f t="shared" si="32"/>
        <v>#N/A</v>
      </c>
      <c r="Z90" s="7" t="e">
        <f t="shared" si="33"/>
        <v>#N/A</v>
      </c>
      <c r="AA90" s="7" t="e">
        <f t="shared" si="34"/>
        <v>#N/A</v>
      </c>
      <c r="AB90" s="7" t="str">
        <f t="shared" si="35"/>
        <v/>
      </c>
      <c r="AC90" s="11">
        <f t="shared" si="36"/>
        <v>1</v>
      </c>
      <c r="AD90" s="7" t="e">
        <f t="shared" si="37"/>
        <v>#N/A</v>
      </c>
      <c r="AE90" s="7" t="e">
        <f t="shared" si="38"/>
        <v>#N/A</v>
      </c>
      <c r="AF90" s="7" t="e">
        <f t="shared" si="39"/>
        <v>#N/A</v>
      </c>
      <c r="AG90" s="472" t="e">
        <f>VLOOKUP(AI90,'排出係数(2017)'!$A$4:$I$1151,9,FALSE)</f>
        <v>#N/A</v>
      </c>
      <c r="AH90" s="12" t="str">
        <f t="shared" si="40"/>
        <v xml:space="preserve"> </v>
      </c>
      <c r="AI90" s="7" t="e">
        <f t="shared" si="55"/>
        <v>#N/A</v>
      </c>
      <c r="AJ90" s="7" t="e">
        <f t="shared" si="41"/>
        <v>#N/A</v>
      </c>
      <c r="AK90" s="472" t="e">
        <f>VLOOKUP(AI90,'排出係数(2017)'!$A$4:$I$1151,6,FALSE)</f>
        <v>#N/A</v>
      </c>
      <c r="AL90" s="7" t="e">
        <f t="shared" si="42"/>
        <v>#N/A</v>
      </c>
      <c r="AM90" s="7" t="e">
        <f t="shared" si="43"/>
        <v>#N/A</v>
      </c>
      <c r="AN90" s="472" t="e">
        <f>VLOOKUP(AI90,'排出係数(2017)'!$A$4:$I$1151,7,FALSE)</f>
        <v>#N/A</v>
      </c>
      <c r="AO90" s="7" t="e">
        <f t="shared" si="44"/>
        <v>#N/A</v>
      </c>
      <c r="AP90" s="7" t="e">
        <f t="shared" si="45"/>
        <v>#N/A</v>
      </c>
      <c r="AQ90" s="7" t="e">
        <f t="shared" si="56"/>
        <v>#N/A</v>
      </c>
      <c r="AR90" s="7">
        <f t="shared" si="46"/>
        <v>0</v>
      </c>
      <c r="AS90" s="7" t="e">
        <f t="shared" si="57"/>
        <v>#N/A</v>
      </c>
      <c r="AT90" s="7" t="str">
        <f t="shared" si="47"/>
        <v/>
      </c>
      <c r="AU90" s="7" t="str">
        <f t="shared" si="48"/>
        <v/>
      </c>
      <c r="AV90" s="7" t="str">
        <f t="shared" si="49"/>
        <v/>
      </c>
      <c r="AW90" s="7" t="str">
        <f t="shared" si="50"/>
        <v/>
      </c>
      <c r="AX90" s="97"/>
      <c r="BD90" s="453" t="s">
        <v>2039</v>
      </c>
      <c r="CG90"/>
      <c r="CH90"/>
      <c r="CK90" s="592" t="str">
        <f t="shared" si="58"/>
        <v/>
      </c>
      <c r="CL90" s="421" t="str">
        <f t="shared" si="59"/>
        <v/>
      </c>
      <c r="CM90" s="594"/>
      <c r="CN90" s="594"/>
      <c r="CO90" s="594"/>
      <c r="CP90" s="594"/>
      <c r="CQ90" s="594"/>
      <c r="CR90" s="594"/>
    </row>
    <row r="91" spans="1:96" s="13" customFormat="1" ht="13.75" customHeight="1">
      <c r="A91" s="137">
        <v>76</v>
      </c>
      <c r="B91" s="138"/>
      <c r="C91" s="139"/>
      <c r="D91" s="140"/>
      <c r="E91" s="139"/>
      <c r="F91" s="139"/>
      <c r="G91" s="191"/>
      <c r="H91" s="139"/>
      <c r="I91" s="141"/>
      <c r="J91" s="142"/>
      <c r="K91" s="139"/>
      <c r="L91" s="147"/>
      <c r="M91" s="148"/>
      <c r="N91" s="139"/>
      <c r="O91" s="589"/>
      <c r="P91" s="229" t="str">
        <f t="shared" si="51"/>
        <v/>
      </c>
      <c r="Q91" s="229" t="str">
        <f t="shared" si="52"/>
        <v/>
      </c>
      <c r="R91" s="230" t="str">
        <f t="shared" si="53"/>
        <v/>
      </c>
      <c r="S91" s="230" t="str">
        <f t="shared" si="54"/>
        <v/>
      </c>
      <c r="T91" s="351"/>
      <c r="U91" s="43"/>
      <c r="V91" s="42" t="str">
        <f t="shared" si="30"/>
        <v/>
      </c>
      <c r="W91" s="42" t="e">
        <f>IF(#REF!="","",#REF!)</f>
        <v>#REF!</v>
      </c>
      <c r="X91" s="31" t="str">
        <f t="shared" si="31"/>
        <v/>
      </c>
      <c r="Y91" s="7" t="e">
        <f t="shared" si="32"/>
        <v>#N/A</v>
      </c>
      <c r="Z91" s="7" t="e">
        <f t="shared" si="33"/>
        <v>#N/A</v>
      </c>
      <c r="AA91" s="7" t="e">
        <f t="shared" si="34"/>
        <v>#N/A</v>
      </c>
      <c r="AB91" s="7" t="str">
        <f t="shared" si="35"/>
        <v/>
      </c>
      <c r="AC91" s="11">
        <f t="shared" si="36"/>
        <v>1</v>
      </c>
      <c r="AD91" s="7" t="e">
        <f t="shared" si="37"/>
        <v>#N/A</v>
      </c>
      <c r="AE91" s="7" t="e">
        <f t="shared" si="38"/>
        <v>#N/A</v>
      </c>
      <c r="AF91" s="7" t="e">
        <f t="shared" si="39"/>
        <v>#N/A</v>
      </c>
      <c r="AG91" s="472" t="e">
        <f>VLOOKUP(AI91,'排出係数(2017)'!$A$4:$I$1151,9,FALSE)</f>
        <v>#N/A</v>
      </c>
      <c r="AH91" s="12" t="str">
        <f t="shared" si="40"/>
        <v xml:space="preserve"> </v>
      </c>
      <c r="AI91" s="7" t="e">
        <f t="shared" si="55"/>
        <v>#N/A</v>
      </c>
      <c r="AJ91" s="7" t="e">
        <f t="shared" si="41"/>
        <v>#N/A</v>
      </c>
      <c r="AK91" s="472" t="e">
        <f>VLOOKUP(AI91,'排出係数(2017)'!$A$4:$I$1151,6,FALSE)</f>
        <v>#N/A</v>
      </c>
      <c r="AL91" s="7" t="e">
        <f t="shared" si="42"/>
        <v>#N/A</v>
      </c>
      <c r="AM91" s="7" t="e">
        <f t="shared" si="43"/>
        <v>#N/A</v>
      </c>
      <c r="AN91" s="472" t="e">
        <f>VLOOKUP(AI91,'排出係数(2017)'!$A$4:$I$1151,7,FALSE)</f>
        <v>#N/A</v>
      </c>
      <c r="AO91" s="7" t="e">
        <f t="shared" si="44"/>
        <v>#N/A</v>
      </c>
      <c r="AP91" s="7" t="e">
        <f t="shared" si="45"/>
        <v>#N/A</v>
      </c>
      <c r="AQ91" s="7" t="e">
        <f t="shared" si="56"/>
        <v>#N/A</v>
      </c>
      <c r="AR91" s="7">
        <f t="shared" si="46"/>
        <v>0</v>
      </c>
      <c r="AS91" s="7" t="e">
        <f t="shared" si="57"/>
        <v>#N/A</v>
      </c>
      <c r="AT91" s="7" t="str">
        <f t="shared" si="47"/>
        <v/>
      </c>
      <c r="AU91" s="7" t="str">
        <f t="shared" si="48"/>
        <v/>
      </c>
      <c r="AV91" s="7" t="str">
        <f t="shared" si="49"/>
        <v/>
      </c>
      <c r="AW91" s="7" t="str">
        <f t="shared" si="50"/>
        <v/>
      </c>
      <c r="AX91" s="97"/>
      <c r="BD91" s="453" t="s">
        <v>2049</v>
      </c>
      <c r="CG91"/>
      <c r="CH91"/>
      <c r="CK91" s="592" t="str">
        <f t="shared" si="58"/>
        <v/>
      </c>
      <c r="CL91" s="421" t="str">
        <f t="shared" si="59"/>
        <v/>
      </c>
      <c r="CM91" s="594"/>
      <c r="CN91" s="594"/>
      <c r="CO91" s="594"/>
      <c r="CP91" s="594"/>
      <c r="CQ91" s="594"/>
      <c r="CR91" s="594"/>
    </row>
    <row r="92" spans="1:96" s="13" customFormat="1" ht="13.75" customHeight="1">
      <c r="A92" s="137">
        <v>77</v>
      </c>
      <c r="B92" s="138"/>
      <c r="C92" s="139"/>
      <c r="D92" s="140"/>
      <c r="E92" s="139"/>
      <c r="F92" s="139"/>
      <c r="G92" s="191"/>
      <c r="H92" s="139"/>
      <c r="I92" s="141"/>
      <c r="J92" s="142"/>
      <c r="K92" s="139"/>
      <c r="L92" s="147"/>
      <c r="M92" s="148"/>
      <c r="N92" s="139"/>
      <c r="O92" s="589"/>
      <c r="P92" s="229" t="str">
        <f t="shared" si="51"/>
        <v/>
      </c>
      <c r="Q92" s="229" t="str">
        <f t="shared" si="52"/>
        <v/>
      </c>
      <c r="R92" s="230" t="str">
        <f t="shared" si="53"/>
        <v/>
      </c>
      <c r="S92" s="230" t="str">
        <f t="shared" si="54"/>
        <v/>
      </c>
      <c r="T92" s="351"/>
      <c r="U92" s="43"/>
      <c r="V92" s="42" t="str">
        <f t="shared" si="30"/>
        <v/>
      </c>
      <c r="W92" s="42" t="e">
        <f>IF(#REF!="","",#REF!)</f>
        <v>#REF!</v>
      </c>
      <c r="X92" s="31" t="str">
        <f t="shared" si="31"/>
        <v/>
      </c>
      <c r="Y92" s="7" t="e">
        <f t="shared" si="32"/>
        <v>#N/A</v>
      </c>
      <c r="Z92" s="7" t="e">
        <f t="shared" si="33"/>
        <v>#N/A</v>
      </c>
      <c r="AA92" s="7" t="e">
        <f t="shared" si="34"/>
        <v>#N/A</v>
      </c>
      <c r="AB92" s="7" t="str">
        <f t="shared" si="35"/>
        <v/>
      </c>
      <c r="AC92" s="11">
        <f t="shared" si="36"/>
        <v>1</v>
      </c>
      <c r="AD92" s="7" t="e">
        <f t="shared" si="37"/>
        <v>#N/A</v>
      </c>
      <c r="AE92" s="7" t="e">
        <f t="shared" si="38"/>
        <v>#N/A</v>
      </c>
      <c r="AF92" s="7" t="e">
        <f t="shared" si="39"/>
        <v>#N/A</v>
      </c>
      <c r="AG92" s="472" t="e">
        <f>VLOOKUP(AI92,'排出係数(2017)'!$A$4:$I$1151,9,FALSE)</f>
        <v>#N/A</v>
      </c>
      <c r="AH92" s="12" t="str">
        <f t="shared" si="40"/>
        <v xml:space="preserve"> </v>
      </c>
      <c r="AI92" s="7" t="e">
        <f t="shared" si="55"/>
        <v>#N/A</v>
      </c>
      <c r="AJ92" s="7" t="e">
        <f t="shared" si="41"/>
        <v>#N/A</v>
      </c>
      <c r="AK92" s="472" t="e">
        <f>VLOOKUP(AI92,'排出係数(2017)'!$A$4:$I$1151,6,FALSE)</f>
        <v>#N/A</v>
      </c>
      <c r="AL92" s="7" t="e">
        <f t="shared" si="42"/>
        <v>#N/A</v>
      </c>
      <c r="AM92" s="7" t="e">
        <f t="shared" si="43"/>
        <v>#N/A</v>
      </c>
      <c r="AN92" s="472" t="e">
        <f>VLOOKUP(AI92,'排出係数(2017)'!$A$4:$I$1151,7,FALSE)</f>
        <v>#N/A</v>
      </c>
      <c r="AO92" s="7" t="e">
        <f t="shared" si="44"/>
        <v>#N/A</v>
      </c>
      <c r="AP92" s="7" t="e">
        <f t="shared" si="45"/>
        <v>#N/A</v>
      </c>
      <c r="AQ92" s="7" t="e">
        <f t="shared" si="56"/>
        <v>#N/A</v>
      </c>
      <c r="AR92" s="7">
        <f t="shared" si="46"/>
        <v>0</v>
      </c>
      <c r="AS92" s="7" t="e">
        <f t="shared" si="57"/>
        <v>#N/A</v>
      </c>
      <c r="AT92" s="7" t="str">
        <f t="shared" si="47"/>
        <v/>
      </c>
      <c r="AU92" s="7" t="str">
        <f t="shared" si="48"/>
        <v/>
      </c>
      <c r="AV92" s="7" t="str">
        <f t="shared" si="49"/>
        <v/>
      </c>
      <c r="AW92" s="7" t="str">
        <f t="shared" si="50"/>
        <v/>
      </c>
      <c r="AX92" s="97"/>
      <c r="BD92" s="453" t="s">
        <v>2119</v>
      </c>
      <c r="CG92"/>
      <c r="CH92"/>
      <c r="CK92" s="592" t="str">
        <f t="shared" si="58"/>
        <v/>
      </c>
      <c r="CL92" s="421" t="str">
        <f t="shared" si="59"/>
        <v/>
      </c>
      <c r="CM92" s="594"/>
      <c r="CN92" s="594"/>
      <c r="CO92" s="594"/>
      <c r="CP92" s="594"/>
      <c r="CQ92" s="594"/>
      <c r="CR92" s="594"/>
    </row>
    <row r="93" spans="1:96" s="13" customFormat="1" ht="13.75" customHeight="1">
      <c r="A93" s="137">
        <v>78</v>
      </c>
      <c r="B93" s="138"/>
      <c r="C93" s="139"/>
      <c r="D93" s="140"/>
      <c r="E93" s="139"/>
      <c r="F93" s="139"/>
      <c r="G93" s="191"/>
      <c r="H93" s="139"/>
      <c r="I93" s="141"/>
      <c r="J93" s="142"/>
      <c r="K93" s="139"/>
      <c r="L93" s="147"/>
      <c r="M93" s="148"/>
      <c r="N93" s="139"/>
      <c r="O93" s="589"/>
      <c r="P93" s="229" t="str">
        <f t="shared" si="51"/>
        <v/>
      </c>
      <c r="Q93" s="229" t="str">
        <f t="shared" si="52"/>
        <v/>
      </c>
      <c r="R93" s="230" t="str">
        <f t="shared" si="53"/>
        <v/>
      </c>
      <c r="S93" s="230" t="str">
        <f t="shared" si="54"/>
        <v/>
      </c>
      <c r="T93" s="351"/>
      <c r="U93" s="43"/>
      <c r="V93" s="42" t="str">
        <f t="shared" si="30"/>
        <v/>
      </c>
      <c r="W93" s="42" t="e">
        <f>IF(#REF!="","",#REF!)</f>
        <v>#REF!</v>
      </c>
      <c r="X93" s="31" t="str">
        <f t="shared" si="31"/>
        <v/>
      </c>
      <c r="Y93" s="7" t="e">
        <f t="shared" si="32"/>
        <v>#N/A</v>
      </c>
      <c r="Z93" s="7" t="e">
        <f t="shared" si="33"/>
        <v>#N/A</v>
      </c>
      <c r="AA93" s="7" t="e">
        <f t="shared" si="34"/>
        <v>#N/A</v>
      </c>
      <c r="AB93" s="7" t="str">
        <f t="shared" si="35"/>
        <v/>
      </c>
      <c r="AC93" s="11">
        <f t="shared" si="36"/>
        <v>1</v>
      </c>
      <c r="AD93" s="7" t="e">
        <f t="shared" si="37"/>
        <v>#N/A</v>
      </c>
      <c r="AE93" s="7" t="e">
        <f t="shared" si="38"/>
        <v>#N/A</v>
      </c>
      <c r="AF93" s="7" t="e">
        <f t="shared" si="39"/>
        <v>#N/A</v>
      </c>
      <c r="AG93" s="472" t="e">
        <f>VLOOKUP(AI93,'排出係数(2017)'!$A$4:$I$1151,9,FALSE)</f>
        <v>#N/A</v>
      </c>
      <c r="AH93" s="12" t="str">
        <f t="shared" si="40"/>
        <v xml:space="preserve"> </v>
      </c>
      <c r="AI93" s="7" t="e">
        <f t="shared" si="55"/>
        <v>#N/A</v>
      </c>
      <c r="AJ93" s="7" t="e">
        <f t="shared" si="41"/>
        <v>#N/A</v>
      </c>
      <c r="AK93" s="472" t="e">
        <f>VLOOKUP(AI93,'排出係数(2017)'!$A$4:$I$1151,6,FALSE)</f>
        <v>#N/A</v>
      </c>
      <c r="AL93" s="7" t="e">
        <f t="shared" si="42"/>
        <v>#N/A</v>
      </c>
      <c r="AM93" s="7" t="e">
        <f t="shared" si="43"/>
        <v>#N/A</v>
      </c>
      <c r="AN93" s="472" t="e">
        <f>VLOOKUP(AI93,'排出係数(2017)'!$A$4:$I$1151,7,FALSE)</f>
        <v>#N/A</v>
      </c>
      <c r="AO93" s="7" t="e">
        <f t="shared" si="44"/>
        <v>#N/A</v>
      </c>
      <c r="AP93" s="7" t="e">
        <f t="shared" si="45"/>
        <v>#N/A</v>
      </c>
      <c r="AQ93" s="7" t="e">
        <f t="shared" si="56"/>
        <v>#N/A</v>
      </c>
      <c r="AR93" s="7">
        <f t="shared" si="46"/>
        <v>0</v>
      </c>
      <c r="AS93" s="7" t="e">
        <f t="shared" si="57"/>
        <v>#N/A</v>
      </c>
      <c r="AT93" s="7" t="str">
        <f t="shared" si="47"/>
        <v/>
      </c>
      <c r="AU93" s="7" t="str">
        <f t="shared" si="48"/>
        <v/>
      </c>
      <c r="AV93" s="7" t="str">
        <f t="shared" si="49"/>
        <v/>
      </c>
      <c r="AW93" s="7" t="str">
        <f t="shared" si="50"/>
        <v/>
      </c>
      <c r="AX93" s="97"/>
      <c r="BD93" s="453" t="s">
        <v>2120</v>
      </c>
      <c r="CG93"/>
      <c r="CH93"/>
      <c r="CK93" s="592" t="str">
        <f t="shared" si="58"/>
        <v/>
      </c>
      <c r="CL93" s="421" t="str">
        <f t="shared" si="59"/>
        <v/>
      </c>
      <c r="CM93" s="594"/>
      <c r="CN93" s="594"/>
      <c r="CO93" s="594"/>
      <c r="CP93" s="594"/>
      <c r="CQ93" s="594"/>
      <c r="CR93" s="594"/>
    </row>
    <row r="94" spans="1:96" s="13" customFormat="1" ht="13.75" customHeight="1">
      <c r="A94" s="137">
        <v>79</v>
      </c>
      <c r="B94" s="138"/>
      <c r="C94" s="139"/>
      <c r="D94" s="140"/>
      <c r="E94" s="139"/>
      <c r="F94" s="139"/>
      <c r="G94" s="191"/>
      <c r="H94" s="139"/>
      <c r="I94" s="141"/>
      <c r="J94" s="142"/>
      <c r="K94" s="139"/>
      <c r="L94" s="147"/>
      <c r="M94" s="148"/>
      <c r="N94" s="139"/>
      <c r="O94" s="589"/>
      <c r="P94" s="229" t="str">
        <f t="shared" si="51"/>
        <v/>
      </c>
      <c r="Q94" s="229" t="str">
        <f t="shared" si="52"/>
        <v/>
      </c>
      <c r="R94" s="230" t="str">
        <f t="shared" si="53"/>
        <v/>
      </c>
      <c r="S94" s="230" t="str">
        <f t="shared" si="54"/>
        <v/>
      </c>
      <c r="T94" s="351"/>
      <c r="U94" s="43"/>
      <c r="V94" s="42" t="str">
        <f t="shared" si="30"/>
        <v/>
      </c>
      <c r="W94" s="42" t="e">
        <f>IF(#REF!="","",#REF!)</f>
        <v>#REF!</v>
      </c>
      <c r="X94" s="31" t="str">
        <f t="shared" si="31"/>
        <v/>
      </c>
      <c r="Y94" s="7" t="e">
        <f t="shared" si="32"/>
        <v>#N/A</v>
      </c>
      <c r="Z94" s="7" t="e">
        <f t="shared" si="33"/>
        <v>#N/A</v>
      </c>
      <c r="AA94" s="7" t="e">
        <f t="shared" si="34"/>
        <v>#N/A</v>
      </c>
      <c r="AB94" s="7" t="str">
        <f t="shared" si="35"/>
        <v/>
      </c>
      <c r="AC94" s="11">
        <f t="shared" si="36"/>
        <v>1</v>
      </c>
      <c r="AD94" s="7" t="e">
        <f t="shared" si="37"/>
        <v>#N/A</v>
      </c>
      <c r="AE94" s="7" t="e">
        <f t="shared" si="38"/>
        <v>#N/A</v>
      </c>
      <c r="AF94" s="7" t="e">
        <f t="shared" si="39"/>
        <v>#N/A</v>
      </c>
      <c r="AG94" s="472" t="e">
        <f>VLOOKUP(AI94,'排出係数(2017)'!$A$4:$I$1151,9,FALSE)</f>
        <v>#N/A</v>
      </c>
      <c r="AH94" s="12" t="str">
        <f t="shared" si="40"/>
        <v xml:space="preserve"> </v>
      </c>
      <c r="AI94" s="7" t="e">
        <f t="shared" si="55"/>
        <v>#N/A</v>
      </c>
      <c r="AJ94" s="7" t="e">
        <f t="shared" si="41"/>
        <v>#N/A</v>
      </c>
      <c r="AK94" s="472" t="e">
        <f>VLOOKUP(AI94,'排出係数(2017)'!$A$4:$I$1151,6,FALSE)</f>
        <v>#N/A</v>
      </c>
      <c r="AL94" s="7" t="e">
        <f t="shared" si="42"/>
        <v>#N/A</v>
      </c>
      <c r="AM94" s="7" t="e">
        <f t="shared" si="43"/>
        <v>#N/A</v>
      </c>
      <c r="AN94" s="472" t="e">
        <f>VLOOKUP(AI94,'排出係数(2017)'!$A$4:$I$1151,7,FALSE)</f>
        <v>#N/A</v>
      </c>
      <c r="AO94" s="7" t="e">
        <f t="shared" si="44"/>
        <v>#N/A</v>
      </c>
      <c r="AP94" s="7" t="e">
        <f t="shared" si="45"/>
        <v>#N/A</v>
      </c>
      <c r="AQ94" s="7" t="e">
        <f t="shared" si="56"/>
        <v>#N/A</v>
      </c>
      <c r="AR94" s="7">
        <f t="shared" si="46"/>
        <v>0</v>
      </c>
      <c r="AS94" s="7" t="e">
        <f t="shared" si="57"/>
        <v>#N/A</v>
      </c>
      <c r="AT94" s="7" t="str">
        <f t="shared" si="47"/>
        <v/>
      </c>
      <c r="AU94" s="7" t="str">
        <f t="shared" si="48"/>
        <v/>
      </c>
      <c r="AV94" s="7" t="str">
        <f t="shared" si="49"/>
        <v/>
      </c>
      <c r="AW94" s="7" t="str">
        <f t="shared" si="50"/>
        <v/>
      </c>
      <c r="AX94" s="97"/>
      <c r="BD94" s="453" t="s">
        <v>2040</v>
      </c>
      <c r="CG94"/>
      <c r="CH94"/>
      <c r="CK94" s="592" t="str">
        <f t="shared" si="58"/>
        <v/>
      </c>
      <c r="CL94" s="421" t="str">
        <f t="shared" si="59"/>
        <v/>
      </c>
      <c r="CM94" s="594"/>
      <c r="CN94" s="594"/>
      <c r="CO94" s="594"/>
      <c r="CP94" s="594"/>
      <c r="CQ94" s="594"/>
      <c r="CR94" s="594"/>
    </row>
    <row r="95" spans="1:96" s="13" customFormat="1" ht="13.75" customHeight="1">
      <c r="A95" s="137">
        <v>80</v>
      </c>
      <c r="B95" s="138"/>
      <c r="C95" s="139"/>
      <c r="D95" s="140"/>
      <c r="E95" s="139"/>
      <c r="F95" s="139"/>
      <c r="G95" s="191"/>
      <c r="H95" s="139"/>
      <c r="I95" s="141"/>
      <c r="J95" s="142"/>
      <c r="K95" s="139"/>
      <c r="L95" s="147"/>
      <c r="M95" s="148"/>
      <c r="N95" s="139"/>
      <c r="O95" s="589"/>
      <c r="P95" s="229" t="str">
        <f t="shared" si="51"/>
        <v/>
      </c>
      <c r="Q95" s="229" t="str">
        <f t="shared" si="52"/>
        <v/>
      </c>
      <c r="R95" s="230" t="str">
        <f t="shared" si="53"/>
        <v/>
      </c>
      <c r="S95" s="230" t="str">
        <f t="shared" si="54"/>
        <v/>
      </c>
      <c r="T95" s="351"/>
      <c r="U95" s="43"/>
      <c r="V95" s="42" t="str">
        <f t="shared" si="30"/>
        <v/>
      </c>
      <c r="W95" s="42" t="e">
        <f>IF(#REF!="","",#REF!)</f>
        <v>#REF!</v>
      </c>
      <c r="X95" s="31" t="str">
        <f t="shared" si="31"/>
        <v/>
      </c>
      <c r="Y95" s="7" t="e">
        <f t="shared" si="32"/>
        <v>#N/A</v>
      </c>
      <c r="Z95" s="7" t="e">
        <f t="shared" si="33"/>
        <v>#N/A</v>
      </c>
      <c r="AA95" s="7" t="e">
        <f t="shared" si="34"/>
        <v>#N/A</v>
      </c>
      <c r="AB95" s="7" t="str">
        <f t="shared" si="35"/>
        <v/>
      </c>
      <c r="AC95" s="11">
        <f t="shared" si="36"/>
        <v>1</v>
      </c>
      <c r="AD95" s="7" t="e">
        <f t="shared" si="37"/>
        <v>#N/A</v>
      </c>
      <c r="AE95" s="7" t="e">
        <f t="shared" si="38"/>
        <v>#N/A</v>
      </c>
      <c r="AF95" s="7" t="e">
        <f t="shared" si="39"/>
        <v>#N/A</v>
      </c>
      <c r="AG95" s="472" t="e">
        <f>VLOOKUP(AI95,'排出係数(2017)'!$A$4:$I$1151,9,FALSE)</f>
        <v>#N/A</v>
      </c>
      <c r="AH95" s="12" t="str">
        <f t="shared" si="40"/>
        <v xml:space="preserve"> </v>
      </c>
      <c r="AI95" s="7" t="e">
        <f t="shared" si="55"/>
        <v>#N/A</v>
      </c>
      <c r="AJ95" s="7" t="e">
        <f t="shared" si="41"/>
        <v>#N/A</v>
      </c>
      <c r="AK95" s="472" t="e">
        <f>VLOOKUP(AI95,'排出係数(2017)'!$A$4:$I$1151,6,FALSE)</f>
        <v>#N/A</v>
      </c>
      <c r="AL95" s="7" t="e">
        <f t="shared" si="42"/>
        <v>#N/A</v>
      </c>
      <c r="AM95" s="7" t="e">
        <f t="shared" si="43"/>
        <v>#N/A</v>
      </c>
      <c r="AN95" s="472" t="e">
        <f>VLOOKUP(AI95,'排出係数(2017)'!$A$4:$I$1151,7,FALSE)</f>
        <v>#N/A</v>
      </c>
      <c r="AO95" s="7" t="e">
        <f t="shared" si="44"/>
        <v>#N/A</v>
      </c>
      <c r="AP95" s="7" t="e">
        <f t="shared" si="45"/>
        <v>#N/A</v>
      </c>
      <c r="AQ95" s="7" t="e">
        <f t="shared" si="56"/>
        <v>#N/A</v>
      </c>
      <c r="AR95" s="7">
        <f t="shared" si="46"/>
        <v>0</v>
      </c>
      <c r="AS95" s="7" t="e">
        <f t="shared" si="57"/>
        <v>#N/A</v>
      </c>
      <c r="AT95" s="7" t="str">
        <f t="shared" si="47"/>
        <v/>
      </c>
      <c r="AU95" s="7" t="str">
        <f t="shared" si="48"/>
        <v/>
      </c>
      <c r="AV95" s="7" t="str">
        <f t="shared" si="49"/>
        <v/>
      </c>
      <c r="AW95" s="7" t="str">
        <f t="shared" si="50"/>
        <v/>
      </c>
      <c r="AX95" s="97"/>
      <c r="BD95" s="453" t="s">
        <v>2050</v>
      </c>
      <c r="CG95"/>
      <c r="CH95"/>
      <c r="CK95" s="592" t="str">
        <f t="shared" si="58"/>
        <v/>
      </c>
      <c r="CL95" s="421" t="str">
        <f t="shared" si="59"/>
        <v/>
      </c>
      <c r="CM95" s="594"/>
      <c r="CN95" s="594"/>
      <c r="CO95" s="594"/>
      <c r="CP95" s="594"/>
      <c r="CQ95" s="594"/>
      <c r="CR95" s="594"/>
    </row>
    <row r="96" spans="1:96" s="13" customFormat="1" ht="13.75" customHeight="1">
      <c r="A96" s="137">
        <v>81</v>
      </c>
      <c r="B96" s="138"/>
      <c r="C96" s="139"/>
      <c r="D96" s="140"/>
      <c r="E96" s="139"/>
      <c r="F96" s="139"/>
      <c r="G96" s="191"/>
      <c r="H96" s="139"/>
      <c r="I96" s="141"/>
      <c r="J96" s="142"/>
      <c r="K96" s="139"/>
      <c r="L96" s="147"/>
      <c r="M96" s="148"/>
      <c r="N96" s="139"/>
      <c r="O96" s="589"/>
      <c r="P96" s="229" t="str">
        <f t="shared" si="51"/>
        <v/>
      </c>
      <c r="Q96" s="229" t="str">
        <f t="shared" si="52"/>
        <v/>
      </c>
      <c r="R96" s="230" t="str">
        <f t="shared" si="53"/>
        <v/>
      </c>
      <c r="S96" s="230" t="str">
        <f t="shared" si="54"/>
        <v/>
      </c>
      <c r="T96" s="351"/>
      <c r="U96" s="43"/>
      <c r="V96" s="42" t="str">
        <f t="shared" si="30"/>
        <v/>
      </c>
      <c r="W96" s="42" t="e">
        <f>IF(#REF!="","",#REF!)</f>
        <v>#REF!</v>
      </c>
      <c r="X96" s="31" t="str">
        <f t="shared" si="31"/>
        <v/>
      </c>
      <c r="Y96" s="7" t="e">
        <f t="shared" si="32"/>
        <v>#N/A</v>
      </c>
      <c r="Z96" s="7" t="e">
        <f t="shared" si="33"/>
        <v>#N/A</v>
      </c>
      <c r="AA96" s="7" t="e">
        <f t="shared" si="34"/>
        <v>#N/A</v>
      </c>
      <c r="AB96" s="7" t="str">
        <f t="shared" si="35"/>
        <v/>
      </c>
      <c r="AC96" s="11">
        <f t="shared" si="36"/>
        <v>1</v>
      </c>
      <c r="AD96" s="7" t="e">
        <f t="shared" si="37"/>
        <v>#N/A</v>
      </c>
      <c r="AE96" s="7" t="e">
        <f t="shared" si="38"/>
        <v>#N/A</v>
      </c>
      <c r="AF96" s="7" t="e">
        <f t="shared" si="39"/>
        <v>#N/A</v>
      </c>
      <c r="AG96" s="472" t="e">
        <f>VLOOKUP(AI96,'排出係数(2017)'!$A$4:$I$1151,9,FALSE)</f>
        <v>#N/A</v>
      </c>
      <c r="AH96" s="12" t="str">
        <f t="shared" si="40"/>
        <v xml:space="preserve"> </v>
      </c>
      <c r="AI96" s="7" t="e">
        <f t="shared" si="55"/>
        <v>#N/A</v>
      </c>
      <c r="AJ96" s="7" t="e">
        <f t="shared" si="41"/>
        <v>#N/A</v>
      </c>
      <c r="AK96" s="472" t="e">
        <f>VLOOKUP(AI96,'排出係数(2017)'!$A$4:$I$1151,6,FALSE)</f>
        <v>#N/A</v>
      </c>
      <c r="AL96" s="7" t="e">
        <f t="shared" si="42"/>
        <v>#N/A</v>
      </c>
      <c r="AM96" s="7" t="e">
        <f t="shared" si="43"/>
        <v>#N/A</v>
      </c>
      <c r="AN96" s="472" t="e">
        <f>VLOOKUP(AI96,'排出係数(2017)'!$A$4:$I$1151,7,FALSE)</f>
        <v>#N/A</v>
      </c>
      <c r="AO96" s="7" t="e">
        <f t="shared" si="44"/>
        <v>#N/A</v>
      </c>
      <c r="AP96" s="7" t="e">
        <f t="shared" si="45"/>
        <v>#N/A</v>
      </c>
      <c r="AQ96" s="7" t="e">
        <f t="shared" si="56"/>
        <v>#N/A</v>
      </c>
      <c r="AR96" s="7">
        <f t="shared" si="46"/>
        <v>0</v>
      </c>
      <c r="AS96" s="7" t="e">
        <f t="shared" si="57"/>
        <v>#N/A</v>
      </c>
      <c r="AT96" s="7" t="str">
        <f t="shared" si="47"/>
        <v/>
      </c>
      <c r="AU96" s="7" t="str">
        <f t="shared" si="48"/>
        <v/>
      </c>
      <c r="AV96" s="7" t="str">
        <f t="shared" si="49"/>
        <v/>
      </c>
      <c r="AW96" s="7" t="str">
        <f t="shared" si="50"/>
        <v/>
      </c>
      <c r="AX96" s="97"/>
      <c r="BD96" s="453" t="s">
        <v>2126</v>
      </c>
      <c r="CG96"/>
      <c r="CH96"/>
      <c r="CK96" s="592" t="str">
        <f t="shared" si="58"/>
        <v/>
      </c>
      <c r="CL96" s="421" t="str">
        <f t="shared" si="59"/>
        <v/>
      </c>
      <c r="CM96" s="594"/>
      <c r="CN96" s="594"/>
      <c r="CO96" s="594"/>
      <c r="CP96" s="594"/>
      <c r="CQ96" s="594"/>
      <c r="CR96" s="594"/>
    </row>
    <row r="97" spans="1:96" s="13" customFormat="1" ht="13.75" customHeight="1">
      <c r="A97" s="137">
        <v>82</v>
      </c>
      <c r="B97" s="138"/>
      <c r="C97" s="139"/>
      <c r="D97" s="140"/>
      <c r="E97" s="139"/>
      <c r="F97" s="139"/>
      <c r="G97" s="191"/>
      <c r="H97" s="139"/>
      <c r="I97" s="141"/>
      <c r="J97" s="142"/>
      <c r="K97" s="139"/>
      <c r="L97" s="147"/>
      <c r="M97" s="148"/>
      <c r="N97" s="139"/>
      <c r="O97" s="589"/>
      <c r="P97" s="229" t="str">
        <f t="shared" si="51"/>
        <v/>
      </c>
      <c r="Q97" s="229" t="str">
        <f t="shared" si="52"/>
        <v/>
      </c>
      <c r="R97" s="230" t="str">
        <f t="shared" si="53"/>
        <v/>
      </c>
      <c r="S97" s="230" t="str">
        <f t="shared" si="54"/>
        <v/>
      </c>
      <c r="T97" s="351"/>
      <c r="U97" s="43"/>
      <c r="V97" s="42" t="str">
        <f t="shared" si="30"/>
        <v/>
      </c>
      <c r="W97" s="42" t="e">
        <f>IF(#REF!="","",#REF!)</f>
        <v>#REF!</v>
      </c>
      <c r="X97" s="31" t="str">
        <f t="shared" si="31"/>
        <v/>
      </c>
      <c r="Y97" s="7" t="e">
        <f t="shared" si="32"/>
        <v>#N/A</v>
      </c>
      <c r="Z97" s="7" t="e">
        <f t="shared" si="33"/>
        <v>#N/A</v>
      </c>
      <c r="AA97" s="7" t="e">
        <f t="shared" si="34"/>
        <v>#N/A</v>
      </c>
      <c r="AB97" s="7" t="str">
        <f t="shared" si="35"/>
        <v/>
      </c>
      <c r="AC97" s="11">
        <f t="shared" si="36"/>
        <v>1</v>
      </c>
      <c r="AD97" s="7" t="e">
        <f t="shared" si="37"/>
        <v>#N/A</v>
      </c>
      <c r="AE97" s="7" t="e">
        <f t="shared" si="38"/>
        <v>#N/A</v>
      </c>
      <c r="AF97" s="7" t="e">
        <f t="shared" si="39"/>
        <v>#N/A</v>
      </c>
      <c r="AG97" s="472" t="e">
        <f>VLOOKUP(AI97,'排出係数(2017)'!$A$4:$I$1151,9,FALSE)</f>
        <v>#N/A</v>
      </c>
      <c r="AH97" s="12" t="str">
        <f t="shared" si="40"/>
        <v xml:space="preserve"> </v>
      </c>
      <c r="AI97" s="7" t="e">
        <f t="shared" si="55"/>
        <v>#N/A</v>
      </c>
      <c r="AJ97" s="7" t="e">
        <f t="shared" si="41"/>
        <v>#N/A</v>
      </c>
      <c r="AK97" s="472" t="e">
        <f>VLOOKUP(AI97,'排出係数(2017)'!$A$4:$I$1151,6,FALSE)</f>
        <v>#N/A</v>
      </c>
      <c r="AL97" s="7" t="e">
        <f t="shared" si="42"/>
        <v>#N/A</v>
      </c>
      <c r="AM97" s="7" t="e">
        <f t="shared" si="43"/>
        <v>#N/A</v>
      </c>
      <c r="AN97" s="472" t="e">
        <f>VLOOKUP(AI97,'排出係数(2017)'!$A$4:$I$1151,7,FALSE)</f>
        <v>#N/A</v>
      </c>
      <c r="AO97" s="7" t="e">
        <f t="shared" si="44"/>
        <v>#N/A</v>
      </c>
      <c r="AP97" s="7" t="e">
        <f t="shared" si="45"/>
        <v>#N/A</v>
      </c>
      <c r="AQ97" s="7" t="e">
        <f t="shared" si="56"/>
        <v>#N/A</v>
      </c>
      <c r="AR97" s="7">
        <f t="shared" si="46"/>
        <v>0</v>
      </c>
      <c r="AS97" s="7" t="e">
        <f t="shared" si="57"/>
        <v>#N/A</v>
      </c>
      <c r="AT97" s="7" t="str">
        <f t="shared" si="47"/>
        <v/>
      </c>
      <c r="AU97" s="7" t="str">
        <f t="shared" si="48"/>
        <v/>
      </c>
      <c r="AV97" s="7" t="str">
        <f t="shared" si="49"/>
        <v/>
      </c>
      <c r="AW97" s="7" t="str">
        <f t="shared" si="50"/>
        <v/>
      </c>
      <c r="AX97" s="97"/>
      <c r="BD97" s="453" t="s">
        <v>2077</v>
      </c>
      <c r="CG97"/>
      <c r="CH97"/>
      <c r="CK97" s="592" t="str">
        <f t="shared" si="58"/>
        <v/>
      </c>
      <c r="CL97" s="421" t="str">
        <f t="shared" si="59"/>
        <v/>
      </c>
      <c r="CM97" s="594"/>
      <c r="CN97" s="594"/>
      <c r="CO97" s="594"/>
      <c r="CP97" s="594"/>
      <c r="CQ97" s="594"/>
      <c r="CR97" s="594"/>
    </row>
    <row r="98" spans="1:96" s="13" customFormat="1" ht="13.75" customHeight="1">
      <c r="A98" s="137">
        <v>83</v>
      </c>
      <c r="B98" s="138"/>
      <c r="C98" s="139"/>
      <c r="D98" s="140"/>
      <c r="E98" s="139"/>
      <c r="F98" s="139"/>
      <c r="G98" s="191"/>
      <c r="H98" s="139"/>
      <c r="I98" s="141"/>
      <c r="J98" s="142"/>
      <c r="K98" s="139"/>
      <c r="L98" s="147"/>
      <c r="M98" s="148"/>
      <c r="N98" s="139"/>
      <c r="O98" s="589"/>
      <c r="P98" s="229" t="str">
        <f t="shared" si="51"/>
        <v/>
      </c>
      <c r="Q98" s="229" t="str">
        <f t="shared" si="52"/>
        <v/>
      </c>
      <c r="R98" s="230" t="str">
        <f t="shared" si="53"/>
        <v/>
      </c>
      <c r="S98" s="230" t="str">
        <f t="shared" si="54"/>
        <v/>
      </c>
      <c r="T98" s="351"/>
      <c r="U98" s="43"/>
      <c r="V98" s="42" t="str">
        <f t="shared" si="30"/>
        <v/>
      </c>
      <c r="W98" s="42" t="e">
        <f>IF(#REF!="","",#REF!)</f>
        <v>#REF!</v>
      </c>
      <c r="X98" s="31" t="str">
        <f t="shared" si="31"/>
        <v/>
      </c>
      <c r="Y98" s="7" t="e">
        <f t="shared" si="32"/>
        <v>#N/A</v>
      </c>
      <c r="Z98" s="7" t="e">
        <f t="shared" si="33"/>
        <v>#N/A</v>
      </c>
      <c r="AA98" s="7" t="e">
        <f t="shared" si="34"/>
        <v>#N/A</v>
      </c>
      <c r="AB98" s="7" t="str">
        <f t="shared" si="35"/>
        <v/>
      </c>
      <c r="AC98" s="11">
        <f t="shared" si="36"/>
        <v>1</v>
      </c>
      <c r="AD98" s="7" t="e">
        <f t="shared" si="37"/>
        <v>#N/A</v>
      </c>
      <c r="AE98" s="7" t="e">
        <f t="shared" si="38"/>
        <v>#N/A</v>
      </c>
      <c r="AF98" s="7" t="e">
        <f t="shared" si="39"/>
        <v>#N/A</v>
      </c>
      <c r="AG98" s="472" t="e">
        <f>VLOOKUP(AI98,'排出係数(2017)'!$A$4:$I$1151,9,FALSE)</f>
        <v>#N/A</v>
      </c>
      <c r="AH98" s="12" t="str">
        <f t="shared" si="40"/>
        <v xml:space="preserve"> </v>
      </c>
      <c r="AI98" s="7" t="e">
        <f t="shared" si="55"/>
        <v>#N/A</v>
      </c>
      <c r="AJ98" s="7" t="e">
        <f t="shared" si="41"/>
        <v>#N/A</v>
      </c>
      <c r="AK98" s="472" t="e">
        <f>VLOOKUP(AI98,'排出係数(2017)'!$A$4:$I$1151,6,FALSE)</f>
        <v>#N/A</v>
      </c>
      <c r="AL98" s="7" t="e">
        <f t="shared" si="42"/>
        <v>#N/A</v>
      </c>
      <c r="AM98" s="7" t="e">
        <f t="shared" si="43"/>
        <v>#N/A</v>
      </c>
      <c r="AN98" s="472" t="e">
        <f>VLOOKUP(AI98,'排出係数(2017)'!$A$4:$I$1151,7,FALSE)</f>
        <v>#N/A</v>
      </c>
      <c r="AO98" s="7" t="e">
        <f t="shared" si="44"/>
        <v>#N/A</v>
      </c>
      <c r="AP98" s="7" t="e">
        <f t="shared" si="45"/>
        <v>#N/A</v>
      </c>
      <c r="AQ98" s="7" t="e">
        <f t="shared" si="56"/>
        <v>#N/A</v>
      </c>
      <c r="AR98" s="7">
        <f t="shared" si="46"/>
        <v>0</v>
      </c>
      <c r="AS98" s="7" t="e">
        <f t="shared" si="57"/>
        <v>#N/A</v>
      </c>
      <c r="AT98" s="7" t="str">
        <f t="shared" si="47"/>
        <v/>
      </c>
      <c r="AU98" s="7" t="str">
        <f t="shared" si="48"/>
        <v/>
      </c>
      <c r="AV98" s="7" t="str">
        <f t="shared" si="49"/>
        <v/>
      </c>
      <c r="AW98" s="7" t="str">
        <f t="shared" si="50"/>
        <v/>
      </c>
      <c r="AX98" s="97"/>
      <c r="BD98" s="453" t="s">
        <v>2086</v>
      </c>
      <c r="CG98"/>
      <c r="CH98"/>
      <c r="CK98" s="592" t="str">
        <f t="shared" si="58"/>
        <v/>
      </c>
      <c r="CL98" s="421" t="str">
        <f t="shared" si="59"/>
        <v/>
      </c>
      <c r="CM98" s="594"/>
      <c r="CN98" s="594"/>
      <c r="CO98" s="594"/>
      <c r="CP98" s="594"/>
      <c r="CQ98" s="594"/>
      <c r="CR98" s="594"/>
    </row>
    <row r="99" spans="1:96" s="13" customFormat="1" ht="13.75" customHeight="1">
      <c r="A99" s="137">
        <v>84</v>
      </c>
      <c r="B99" s="138"/>
      <c r="C99" s="139"/>
      <c r="D99" s="140"/>
      <c r="E99" s="139"/>
      <c r="F99" s="139"/>
      <c r="G99" s="191"/>
      <c r="H99" s="139"/>
      <c r="I99" s="141"/>
      <c r="J99" s="142"/>
      <c r="K99" s="139"/>
      <c r="L99" s="147"/>
      <c r="M99" s="148"/>
      <c r="N99" s="139"/>
      <c r="O99" s="589"/>
      <c r="P99" s="229" t="str">
        <f t="shared" si="51"/>
        <v/>
      </c>
      <c r="Q99" s="229" t="str">
        <f t="shared" si="52"/>
        <v/>
      </c>
      <c r="R99" s="230" t="str">
        <f t="shared" si="53"/>
        <v/>
      </c>
      <c r="S99" s="230" t="str">
        <f t="shared" si="54"/>
        <v/>
      </c>
      <c r="T99" s="351"/>
      <c r="U99" s="43"/>
      <c r="V99" s="42" t="str">
        <f t="shared" si="30"/>
        <v/>
      </c>
      <c r="W99" s="42" t="e">
        <f>IF(#REF!="","",#REF!)</f>
        <v>#REF!</v>
      </c>
      <c r="X99" s="31" t="str">
        <f t="shared" si="31"/>
        <v/>
      </c>
      <c r="Y99" s="7" t="e">
        <f t="shared" si="32"/>
        <v>#N/A</v>
      </c>
      <c r="Z99" s="7" t="e">
        <f t="shared" si="33"/>
        <v>#N/A</v>
      </c>
      <c r="AA99" s="7" t="e">
        <f t="shared" si="34"/>
        <v>#N/A</v>
      </c>
      <c r="AB99" s="7" t="str">
        <f t="shared" si="35"/>
        <v/>
      </c>
      <c r="AC99" s="11">
        <f t="shared" si="36"/>
        <v>1</v>
      </c>
      <c r="AD99" s="7" t="e">
        <f t="shared" si="37"/>
        <v>#N/A</v>
      </c>
      <c r="AE99" s="7" t="e">
        <f t="shared" si="38"/>
        <v>#N/A</v>
      </c>
      <c r="AF99" s="7" t="e">
        <f t="shared" si="39"/>
        <v>#N/A</v>
      </c>
      <c r="AG99" s="472" t="e">
        <f>VLOOKUP(AI99,'排出係数(2017)'!$A$4:$I$1151,9,FALSE)</f>
        <v>#N/A</v>
      </c>
      <c r="AH99" s="12" t="str">
        <f t="shared" si="40"/>
        <v xml:space="preserve"> </v>
      </c>
      <c r="AI99" s="7" t="e">
        <f t="shared" si="55"/>
        <v>#N/A</v>
      </c>
      <c r="AJ99" s="7" t="e">
        <f t="shared" si="41"/>
        <v>#N/A</v>
      </c>
      <c r="AK99" s="472" t="e">
        <f>VLOOKUP(AI99,'排出係数(2017)'!$A$4:$I$1151,6,FALSE)</f>
        <v>#N/A</v>
      </c>
      <c r="AL99" s="7" t="e">
        <f t="shared" si="42"/>
        <v>#N/A</v>
      </c>
      <c r="AM99" s="7" t="e">
        <f t="shared" si="43"/>
        <v>#N/A</v>
      </c>
      <c r="AN99" s="472" t="e">
        <f>VLOOKUP(AI99,'排出係数(2017)'!$A$4:$I$1151,7,FALSE)</f>
        <v>#N/A</v>
      </c>
      <c r="AO99" s="7" t="e">
        <f t="shared" si="44"/>
        <v>#N/A</v>
      </c>
      <c r="AP99" s="7" t="e">
        <f t="shared" si="45"/>
        <v>#N/A</v>
      </c>
      <c r="AQ99" s="7" t="e">
        <f t="shared" si="56"/>
        <v>#N/A</v>
      </c>
      <c r="AR99" s="7">
        <f t="shared" si="46"/>
        <v>0</v>
      </c>
      <c r="AS99" s="7" t="e">
        <f t="shared" si="57"/>
        <v>#N/A</v>
      </c>
      <c r="AT99" s="7" t="str">
        <f t="shared" si="47"/>
        <v/>
      </c>
      <c r="AU99" s="7" t="str">
        <f t="shared" si="48"/>
        <v/>
      </c>
      <c r="AV99" s="7" t="str">
        <f t="shared" si="49"/>
        <v/>
      </c>
      <c r="AW99" s="7" t="str">
        <f t="shared" si="50"/>
        <v/>
      </c>
      <c r="AX99" s="97"/>
      <c r="BD99" s="453" t="s">
        <v>2127</v>
      </c>
      <c r="CG99"/>
      <c r="CH99"/>
      <c r="CK99" s="592" t="str">
        <f t="shared" si="58"/>
        <v/>
      </c>
      <c r="CL99" s="421" t="str">
        <f t="shared" si="59"/>
        <v/>
      </c>
      <c r="CM99" s="594"/>
      <c r="CN99" s="594"/>
      <c r="CO99" s="594"/>
      <c r="CP99" s="594"/>
      <c r="CQ99" s="594"/>
      <c r="CR99" s="594"/>
    </row>
    <row r="100" spans="1:96" s="13" customFormat="1" ht="13.75" customHeight="1">
      <c r="A100" s="137">
        <v>85</v>
      </c>
      <c r="B100" s="138"/>
      <c r="C100" s="139"/>
      <c r="D100" s="140"/>
      <c r="E100" s="139"/>
      <c r="F100" s="139"/>
      <c r="G100" s="191"/>
      <c r="H100" s="139"/>
      <c r="I100" s="141"/>
      <c r="J100" s="142"/>
      <c r="K100" s="139"/>
      <c r="L100" s="147"/>
      <c r="M100" s="148"/>
      <c r="N100" s="139"/>
      <c r="O100" s="589"/>
      <c r="P100" s="229" t="str">
        <f t="shared" si="51"/>
        <v/>
      </c>
      <c r="Q100" s="229" t="str">
        <f t="shared" si="52"/>
        <v/>
      </c>
      <c r="R100" s="230" t="str">
        <f t="shared" si="53"/>
        <v/>
      </c>
      <c r="S100" s="230" t="str">
        <f t="shared" si="54"/>
        <v/>
      </c>
      <c r="T100" s="351"/>
      <c r="U100" s="43"/>
      <c r="V100" s="42" t="str">
        <f t="shared" si="30"/>
        <v/>
      </c>
      <c r="W100" s="42" t="e">
        <f>IF(#REF!="","",#REF!)</f>
        <v>#REF!</v>
      </c>
      <c r="X100" s="31" t="str">
        <f t="shared" si="31"/>
        <v/>
      </c>
      <c r="Y100" s="7" t="e">
        <f t="shared" si="32"/>
        <v>#N/A</v>
      </c>
      <c r="Z100" s="7" t="e">
        <f t="shared" si="33"/>
        <v>#N/A</v>
      </c>
      <c r="AA100" s="7" t="e">
        <f t="shared" si="34"/>
        <v>#N/A</v>
      </c>
      <c r="AB100" s="7" t="str">
        <f t="shared" si="35"/>
        <v/>
      </c>
      <c r="AC100" s="11">
        <f t="shared" si="36"/>
        <v>1</v>
      </c>
      <c r="AD100" s="7" t="e">
        <f t="shared" si="37"/>
        <v>#N/A</v>
      </c>
      <c r="AE100" s="7" t="e">
        <f t="shared" si="38"/>
        <v>#N/A</v>
      </c>
      <c r="AF100" s="7" t="e">
        <f t="shared" si="39"/>
        <v>#N/A</v>
      </c>
      <c r="AG100" s="472" t="e">
        <f>VLOOKUP(AI100,'排出係数(2017)'!$A$4:$I$1151,9,FALSE)</f>
        <v>#N/A</v>
      </c>
      <c r="AH100" s="12" t="str">
        <f t="shared" si="40"/>
        <v xml:space="preserve"> </v>
      </c>
      <c r="AI100" s="7" t="e">
        <f t="shared" si="55"/>
        <v>#N/A</v>
      </c>
      <c r="AJ100" s="7" t="e">
        <f t="shared" si="41"/>
        <v>#N/A</v>
      </c>
      <c r="AK100" s="472" t="e">
        <f>VLOOKUP(AI100,'排出係数(2017)'!$A$4:$I$1151,6,FALSE)</f>
        <v>#N/A</v>
      </c>
      <c r="AL100" s="7" t="e">
        <f t="shared" si="42"/>
        <v>#N/A</v>
      </c>
      <c r="AM100" s="7" t="e">
        <f t="shared" si="43"/>
        <v>#N/A</v>
      </c>
      <c r="AN100" s="472" t="e">
        <f>VLOOKUP(AI100,'排出係数(2017)'!$A$4:$I$1151,7,FALSE)</f>
        <v>#N/A</v>
      </c>
      <c r="AO100" s="7" t="e">
        <f t="shared" si="44"/>
        <v>#N/A</v>
      </c>
      <c r="AP100" s="7" t="e">
        <f t="shared" si="45"/>
        <v>#N/A</v>
      </c>
      <c r="AQ100" s="7" t="e">
        <f t="shared" si="56"/>
        <v>#N/A</v>
      </c>
      <c r="AR100" s="7">
        <f t="shared" si="46"/>
        <v>0</v>
      </c>
      <c r="AS100" s="7" t="e">
        <f t="shared" si="57"/>
        <v>#N/A</v>
      </c>
      <c r="AT100" s="7" t="str">
        <f t="shared" si="47"/>
        <v/>
      </c>
      <c r="AU100" s="7" t="str">
        <f t="shared" si="48"/>
        <v/>
      </c>
      <c r="AV100" s="7" t="str">
        <f t="shared" si="49"/>
        <v/>
      </c>
      <c r="AW100" s="7" t="str">
        <f t="shared" si="50"/>
        <v/>
      </c>
      <c r="AX100" s="97"/>
      <c r="BD100" s="467" t="s">
        <v>2078</v>
      </c>
      <c r="CG100"/>
      <c r="CH100"/>
      <c r="CK100" s="592" t="str">
        <f t="shared" si="58"/>
        <v/>
      </c>
      <c r="CL100" s="421" t="str">
        <f t="shared" si="59"/>
        <v/>
      </c>
      <c r="CM100" s="594"/>
      <c r="CN100" s="594"/>
      <c r="CO100" s="594"/>
      <c r="CP100" s="594"/>
      <c r="CQ100" s="594"/>
      <c r="CR100" s="594"/>
    </row>
    <row r="101" spans="1:96" s="13" customFormat="1" ht="13.75" customHeight="1">
      <c r="A101" s="137">
        <v>86</v>
      </c>
      <c r="B101" s="138"/>
      <c r="C101" s="139"/>
      <c r="D101" s="140"/>
      <c r="E101" s="139"/>
      <c r="F101" s="139"/>
      <c r="G101" s="191"/>
      <c r="H101" s="139"/>
      <c r="I101" s="141"/>
      <c r="J101" s="142"/>
      <c r="K101" s="139"/>
      <c r="L101" s="147"/>
      <c r="M101" s="148"/>
      <c r="N101" s="139"/>
      <c r="O101" s="589"/>
      <c r="P101" s="229" t="str">
        <f t="shared" si="51"/>
        <v/>
      </c>
      <c r="Q101" s="229" t="str">
        <f t="shared" si="52"/>
        <v/>
      </c>
      <c r="R101" s="230" t="str">
        <f t="shared" si="53"/>
        <v/>
      </c>
      <c r="S101" s="230" t="str">
        <f t="shared" si="54"/>
        <v/>
      </c>
      <c r="T101" s="351"/>
      <c r="U101" s="43"/>
      <c r="V101" s="42" t="str">
        <f t="shared" si="30"/>
        <v/>
      </c>
      <c r="W101" s="42" t="e">
        <f>IF(#REF!="","",#REF!)</f>
        <v>#REF!</v>
      </c>
      <c r="X101" s="31" t="str">
        <f t="shared" si="31"/>
        <v/>
      </c>
      <c r="Y101" s="7" t="e">
        <f t="shared" si="32"/>
        <v>#N/A</v>
      </c>
      <c r="Z101" s="7" t="e">
        <f t="shared" si="33"/>
        <v>#N/A</v>
      </c>
      <c r="AA101" s="7" t="e">
        <f t="shared" si="34"/>
        <v>#N/A</v>
      </c>
      <c r="AB101" s="7" t="str">
        <f t="shared" si="35"/>
        <v/>
      </c>
      <c r="AC101" s="11">
        <f t="shared" si="36"/>
        <v>1</v>
      </c>
      <c r="AD101" s="7" t="e">
        <f t="shared" si="37"/>
        <v>#N/A</v>
      </c>
      <c r="AE101" s="7" t="e">
        <f t="shared" si="38"/>
        <v>#N/A</v>
      </c>
      <c r="AF101" s="7" t="e">
        <f t="shared" si="39"/>
        <v>#N/A</v>
      </c>
      <c r="AG101" s="472" t="e">
        <f>VLOOKUP(AI101,'排出係数(2017)'!$A$4:$I$1151,9,FALSE)</f>
        <v>#N/A</v>
      </c>
      <c r="AH101" s="12" t="str">
        <f t="shared" si="40"/>
        <v xml:space="preserve"> </v>
      </c>
      <c r="AI101" s="7" t="e">
        <f t="shared" si="55"/>
        <v>#N/A</v>
      </c>
      <c r="AJ101" s="7" t="e">
        <f t="shared" si="41"/>
        <v>#N/A</v>
      </c>
      <c r="AK101" s="472" t="e">
        <f>VLOOKUP(AI101,'排出係数(2017)'!$A$4:$I$1151,6,FALSE)</f>
        <v>#N/A</v>
      </c>
      <c r="AL101" s="7" t="e">
        <f t="shared" si="42"/>
        <v>#N/A</v>
      </c>
      <c r="AM101" s="7" t="e">
        <f t="shared" si="43"/>
        <v>#N/A</v>
      </c>
      <c r="AN101" s="472" t="e">
        <f>VLOOKUP(AI101,'排出係数(2017)'!$A$4:$I$1151,7,FALSE)</f>
        <v>#N/A</v>
      </c>
      <c r="AO101" s="7" t="e">
        <f t="shared" si="44"/>
        <v>#N/A</v>
      </c>
      <c r="AP101" s="7" t="e">
        <f t="shared" si="45"/>
        <v>#N/A</v>
      </c>
      <c r="AQ101" s="7" t="e">
        <f t="shared" si="56"/>
        <v>#N/A</v>
      </c>
      <c r="AR101" s="7">
        <f t="shared" si="46"/>
        <v>0</v>
      </c>
      <c r="AS101" s="7" t="e">
        <f t="shared" si="57"/>
        <v>#N/A</v>
      </c>
      <c r="AT101" s="7" t="str">
        <f t="shared" si="47"/>
        <v/>
      </c>
      <c r="AU101" s="7" t="str">
        <f t="shared" si="48"/>
        <v/>
      </c>
      <c r="AV101" s="7" t="str">
        <f t="shared" si="49"/>
        <v/>
      </c>
      <c r="AW101" s="7" t="str">
        <f t="shared" si="50"/>
        <v/>
      </c>
      <c r="AX101" s="97"/>
      <c r="BD101" s="453" t="s">
        <v>2087</v>
      </c>
      <c r="CG101"/>
      <c r="CH101"/>
      <c r="CK101" s="592" t="str">
        <f t="shared" si="58"/>
        <v/>
      </c>
      <c r="CL101" s="421" t="str">
        <f t="shared" si="59"/>
        <v/>
      </c>
      <c r="CM101" s="594"/>
      <c r="CN101" s="594"/>
      <c r="CO101" s="594"/>
      <c r="CP101" s="594"/>
      <c r="CQ101" s="594"/>
      <c r="CR101" s="594"/>
    </row>
    <row r="102" spans="1:96" s="13" customFormat="1" ht="13.75" customHeight="1">
      <c r="A102" s="137">
        <v>87</v>
      </c>
      <c r="B102" s="138"/>
      <c r="C102" s="139"/>
      <c r="D102" s="140"/>
      <c r="E102" s="139"/>
      <c r="F102" s="139"/>
      <c r="G102" s="191"/>
      <c r="H102" s="139"/>
      <c r="I102" s="141"/>
      <c r="J102" s="142"/>
      <c r="K102" s="139"/>
      <c r="L102" s="147"/>
      <c r="M102" s="148"/>
      <c r="N102" s="139"/>
      <c r="O102" s="589"/>
      <c r="P102" s="229" t="str">
        <f t="shared" si="51"/>
        <v/>
      </c>
      <c r="Q102" s="229" t="str">
        <f t="shared" si="52"/>
        <v/>
      </c>
      <c r="R102" s="230" t="str">
        <f t="shared" si="53"/>
        <v/>
      </c>
      <c r="S102" s="230" t="str">
        <f t="shared" si="54"/>
        <v/>
      </c>
      <c r="T102" s="351"/>
      <c r="U102" s="43"/>
      <c r="V102" s="42" t="str">
        <f t="shared" si="30"/>
        <v/>
      </c>
      <c r="W102" s="42" t="e">
        <f>IF(#REF!="","",#REF!)</f>
        <v>#REF!</v>
      </c>
      <c r="X102" s="31" t="str">
        <f t="shared" si="31"/>
        <v/>
      </c>
      <c r="Y102" s="7" t="e">
        <f t="shared" si="32"/>
        <v>#N/A</v>
      </c>
      <c r="Z102" s="7" t="e">
        <f t="shared" si="33"/>
        <v>#N/A</v>
      </c>
      <c r="AA102" s="7" t="e">
        <f t="shared" si="34"/>
        <v>#N/A</v>
      </c>
      <c r="AB102" s="7" t="str">
        <f t="shared" si="35"/>
        <v/>
      </c>
      <c r="AC102" s="11">
        <f t="shared" si="36"/>
        <v>1</v>
      </c>
      <c r="AD102" s="7" t="e">
        <f t="shared" si="37"/>
        <v>#N/A</v>
      </c>
      <c r="AE102" s="7" t="e">
        <f t="shared" si="38"/>
        <v>#N/A</v>
      </c>
      <c r="AF102" s="7" t="e">
        <f t="shared" si="39"/>
        <v>#N/A</v>
      </c>
      <c r="AG102" s="472" t="e">
        <f>VLOOKUP(AI102,'排出係数(2017)'!$A$4:$I$1151,9,FALSE)</f>
        <v>#N/A</v>
      </c>
      <c r="AH102" s="12" t="str">
        <f t="shared" si="40"/>
        <v xml:space="preserve"> </v>
      </c>
      <c r="AI102" s="7" t="e">
        <f t="shared" si="55"/>
        <v>#N/A</v>
      </c>
      <c r="AJ102" s="7" t="e">
        <f t="shared" si="41"/>
        <v>#N/A</v>
      </c>
      <c r="AK102" s="472" t="e">
        <f>VLOOKUP(AI102,'排出係数(2017)'!$A$4:$I$1151,6,FALSE)</f>
        <v>#N/A</v>
      </c>
      <c r="AL102" s="7" t="e">
        <f t="shared" si="42"/>
        <v>#N/A</v>
      </c>
      <c r="AM102" s="7" t="e">
        <f t="shared" si="43"/>
        <v>#N/A</v>
      </c>
      <c r="AN102" s="472" t="e">
        <f>VLOOKUP(AI102,'排出係数(2017)'!$A$4:$I$1151,7,FALSE)</f>
        <v>#N/A</v>
      </c>
      <c r="AO102" s="7" t="e">
        <f t="shared" si="44"/>
        <v>#N/A</v>
      </c>
      <c r="AP102" s="7" t="e">
        <f t="shared" si="45"/>
        <v>#N/A</v>
      </c>
      <c r="AQ102" s="7" t="e">
        <f t="shared" si="56"/>
        <v>#N/A</v>
      </c>
      <c r="AR102" s="7">
        <f t="shared" si="46"/>
        <v>0</v>
      </c>
      <c r="AS102" s="7" t="e">
        <f t="shared" si="57"/>
        <v>#N/A</v>
      </c>
      <c r="AT102" s="7" t="str">
        <f t="shared" si="47"/>
        <v/>
      </c>
      <c r="AU102" s="7" t="str">
        <f t="shared" si="48"/>
        <v/>
      </c>
      <c r="AV102" s="7" t="str">
        <f t="shared" si="49"/>
        <v/>
      </c>
      <c r="AW102" s="7" t="str">
        <f t="shared" si="50"/>
        <v/>
      </c>
      <c r="AX102" s="97"/>
      <c r="BD102" s="453" t="s">
        <v>1914</v>
      </c>
      <c r="CG102"/>
      <c r="CH102"/>
      <c r="CK102" s="592" t="str">
        <f t="shared" si="58"/>
        <v/>
      </c>
      <c r="CL102" s="421" t="str">
        <f t="shared" si="59"/>
        <v/>
      </c>
      <c r="CM102" s="594"/>
      <c r="CN102" s="594"/>
      <c r="CO102" s="594"/>
      <c r="CP102" s="594"/>
      <c r="CQ102" s="594"/>
      <c r="CR102" s="594"/>
    </row>
    <row r="103" spans="1:96" s="13" customFormat="1" ht="13.75" customHeight="1">
      <c r="A103" s="137">
        <v>88</v>
      </c>
      <c r="B103" s="138"/>
      <c r="C103" s="139"/>
      <c r="D103" s="140"/>
      <c r="E103" s="139"/>
      <c r="F103" s="139"/>
      <c r="G103" s="191"/>
      <c r="H103" s="139"/>
      <c r="I103" s="141"/>
      <c r="J103" s="142"/>
      <c r="K103" s="139"/>
      <c r="L103" s="147"/>
      <c r="M103" s="148"/>
      <c r="N103" s="139"/>
      <c r="O103" s="589"/>
      <c r="P103" s="229" t="str">
        <f t="shared" si="51"/>
        <v/>
      </c>
      <c r="Q103" s="229" t="str">
        <f t="shared" si="52"/>
        <v/>
      </c>
      <c r="R103" s="230" t="str">
        <f t="shared" si="53"/>
        <v/>
      </c>
      <c r="S103" s="230" t="str">
        <f t="shared" si="54"/>
        <v/>
      </c>
      <c r="T103" s="351"/>
      <c r="U103" s="43"/>
      <c r="V103" s="42" t="str">
        <f t="shared" si="30"/>
        <v/>
      </c>
      <c r="W103" s="42" t="e">
        <f>IF(#REF!="","",#REF!)</f>
        <v>#REF!</v>
      </c>
      <c r="X103" s="31" t="str">
        <f t="shared" si="31"/>
        <v/>
      </c>
      <c r="Y103" s="7" t="e">
        <f t="shared" si="32"/>
        <v>#N/A</v>
      </c>
      <c r="Z103" s="7" t="e">
        <f t="shared" si="33"/>
        <v>#N/A</v>
      </c>
      <c r="AA103" s="7" t="e">
        <f t="shared" si="34"/>
        <v>#N/A</v>
      </c>
      <c r="AB103" s="7" t="str">
        <f t="shared" si="35"/>
        <v/>
      </c>
      <c r="AC103" s="11">
        <f t="shared" si="36"/>
        <v>1</v>
      </c>
      <c r="AD103" s="7" t="e">
        <f t="shared" si="37"/>
        <v>#N/A</v>
      </c>
      <c r="AE103" s="7" t="e">
        <f t="shared" si="38"/>
        <v>#N/A</v>
      </c>
      <c r="AF103" s="7" t="e">
        <f t="shared" si="39"/>
        <v>#N/A</v>
      </c>
      <c r="AG103" s="472" t="e">
        <f>VLOOKUP(AI103,'排出係数(2017)'!$A$4:$I$1151,9,FALSE)</f>
        <v>#N/A</v>
      </c>
      <c r="AH103" s="12" t="str">
        <f t="shared" si="40"/>
        <v xml:space="preserve"> </v>
      </c>
      <c r="AI103" s="7" t="e">
        <f t="shared" si="55"/>
        <v>#N/A</v>
      </c>
      <c r="AJ103" s="7" t="e">
        <f t="shared" si="41"/>
        <v>#N/A</v>
      </c>
      <c r="AK103" s="472" t="e">
        <f>VLOOKUP(AI103,'排出係数(2017)'!$A$4:$I$1151,6,FALSE)</f>
        <v>#N/A</v>
      </c>
      <c r="AL103" s="7" t="e">
        <f t="shared" si="42"/>
        <v>#N/A</v>
      </c>
      <c r="AM103" s="7" t="e">
        <f t="shared" si="43"/>
        <v>#N/A</v>
      </c>
      <c r="AN103" s="472" t="e">
        <f>VLOOKUP(AI103,'排出係数(2017)'!$A$4:$I$1151,7,FALSE)</f>
        <v>#N/A</v>
      </c>
      <c r="AO103" s="7" t="e">
        <f t="shared" si="44"/>
        <v>#N/A</v>
      </c>
      <c r="AP103" s="7" t="e">
        <f t="shared" si="45"/>
        <v>#N/A</v>
      </c>
      <c r="AQ103" s="7" t="e">
        <f t="shared" si="56"/>
        <v>#N/A</v>
      </c>
      <c r="AR103" s="7">
        <f t="shared" si="46"/>
        <v>0</v>
      </c>
      <c r="AS103" s="7" t="e">
        <f t="shared" si="57"/>
        <v>#N/A</v>
      </c>
      <c r="AT103" s="7" t="str">
        <f t="shared" si="47"/>
        <v/>
      </c>
      <c r="AU103" s="7" t="str">
        <f t="shared" si="48"/>
        <v/>
      </c>
      <c r="AV103" s="7" t="str">
        <f t="shared" si="49"/>
        <v/>
      </c>
      <c r="AW103" s="7" t="str">
        <f t="shared" si="50"/>
        <v/>
      </c>
      <c r="AX103" s="97"/>
      <c r="BD103" s="467" t="s">
        <v>1915</v>
      </c>
      <c r="CG103"/>
      <c r="CH103"/>
      <c r="CK103" s="592" t="str">
        <f t="shared" si="58"/>
        <v/>
      </c>
      <c r="CL103" s="421" t="str">
        <f t="shared" si="59"/>
        <v/>
      </c>
      <c r="CM103" s="594"/>
      <c r="CN103" s="594"/>
      <c r="CO103" s="594"/>
      <c r="CP103" s="594"/>
      <c r="CQ103" s="594"/>
      <c r="CR103" s="594"/>
    </row>
    <row r="104" spans="1:96" s="13" customFormat="1" ht="13.75" customHeight="1">
      <c r="A104" s="137">
        <v>89</v>
      </c>
      <c r="B104" s="138"/>
      <c r="C104" s="139"/>
      <c r="D104" s="140"/>
      <c r="E104" s="139"/>
      <c r="F104" s="139"/>
      <c r="G104" s="191"/>
      <c r="H104" s="139"/>
      <c r="I104" s="141"/>
      <c r="J104" s="142"/>
      <c r="K104" s="139"/>
      <c r="L104" s="147"/>
      <c r="M104" s="148"/>
      <c r="N104" s="139"/>
      <c r="O104" s="589"/>
      <c r="P104" s="229" t="str">
        <f t="shared" si="51"/>
        <v/>
      </c>
      <c r="Q104" s="229" t="str">
        <f t="shared" si="52"/>
        <v/>
      </c>
      <c r="R104" s="230" t="str">
        <f t="shared" si="53"/>
        <v/>
      </c>
      <c r="S104" s="230" t="str">
        <f t="shared" si="54"/>
        <v/>
      </c>
      <c r="T104" s="351"/>
      <c r="U104" s="43"/>
      <c r="V104" s="42" t="str">
        <f t="shared" si="30"/>
        <v/>
      </c>
      <c r="W104" s="42" t="e">
        <f>IF(#REF!="","",#REF!)</f>
        <v>#REF!</v>
      </c>
      <c r="X104" s="31" t="str">
        <f t="shared" si="31"/>
        <v/>
      </c>
      <c r="Y104" s="7" t="e">
        <f t="shared" si="32"/>
        <v>#N/A</v>
      </c>
      <c r="Z104" s="7" t="e">
        <f t="shared" si="33"/>
        <v>#N/A</v>
      </c>
      <c r="AA104" s="7" t="e">
        <f t="shared" si="34"/>
        <v>#N/A</v>
      </c>
      <c r="AB104" s="7" t="str">
        <f t="shared" si="35"/>
        <v/>
      </c>
      <c r="AC104" s="11">
        <f t="shared" si="36"/>
        <v>1</v>
      </c>
      <c r="AD104" s="7" t="e">
        <f t="shared" si="37"/>
        <v>#N/A</v>
      </c>
      <c r="AE104" s="7" t="e">
        <f t="shared" si="38"/>
        <v>#N/A</v>
      </c>
      <c r="AF104" s="7" t="e">
        <f t="shared" si="39"/>
        <v>#N/A</v>
      </c>
      <c r="AG104" s="472" t="e">
        <f>VLOOKUP(AI104,'排出係数(2017)'!$A$4:$I$1151,9,FALSE)</f>
        <v>#N/A</v>
      </c>
      <c r="AH104" s="12" t="str">
        <f t="shared" si="40"/>
        <v xml:space="preserve"> </v>
      </c>
      <c r="AI104" s="7" t="e">
        <f t="shared" si="55"/>
        <v>#N/A</v>
      </c>
      <c r="AJ104" s="7" t="e">
        <f t="shared" si="41"/>
        <v>#N/A</v>
      </c>
      <c r="AK104" s="472" t="e">
        <f>VLOOKUP(AI104,'排出係数(2017)'!$A$4:$I$1151,6,FALSE)</f>
        <v>#N/A</v>
      </c>
      <c r="AL104" s="7" t="e">
        <f t="shared" si="42"/>
        <v>#N/A</v>
      </c>
      <c r="AM104" s="7" t="e">
        <f t="shared" si="43"/>
        <v>#N/A</v>
      </c>
      <c r="AN104" s="472" t="e">
        <f>VLOOKUP(AI104,'排出係数(2017)'!$A$4:$I$1151,7,FALSE)</f>
        <v>#N/A</v>
      </c>
      <c r="AO104" s="7" t="e">
        <f t="shared" si="44"/>
        <v>#N/A</v>
      </c>
      <c r="AP104" s="7" t="e">
        <f t="shared" si="45"/>
        <v>#N/A</v>
      </c>
      <c r="AQ104" s="7" t="e">
        <f t="shared" si="56"/>
        <v>#N/A</v>
      </c>
      <c r="AR104" s="7">
        <f t="shared" si="46"/>
        <v>0</v>
      </c>
      <c r="AS104" s="7" t="e">
        <f t="shared" si="57"/>
        <v>#N/A</v>
      </c>
      <c r="AT104" s="7" t="str">
        <f t="shared" si="47"/>
        <v/>
      </c>
      <c r="AU104" s="7" t="str">
        <f t="shared" si="48"/>
        <v/>
      </c>
      <c r="AV104" s="7" t="str">
        <f t="shared" si="49"/>
        <v/>
      </c>
      <c r="AW104" s="7" t="str">
        <f t="shared" si="50"/>
        <v/>
      </c>
      <c r="AX104" s="97"/>
      <c r="BD104" s="467" t="s">
        <v>1916</v>
      </c>
      <c r="CG104"/>
      <c r="CH104"/>
      <c r="CK104" s="592" t="str">
        <f t="shared" si="58"/>
        <v/>
      </c>
      <c r="CL104" s="421" t="str">
        <f t="shared" si="59"/>
        <v/>
      </c>
      <c r="CM104" s="594"/>
      <c r="CN104" s="594"/>
      <c r="CO104" s="594"/>
      <c r="CP104" s="594"/>
      <c r="CQ104" s="594"/>
      <c r="CR104" s="594"/>
    </row>
    <row r="105" spans="1:96" s="13" customFormat="1" ht="13.75" customHeight="1">
      <c r="A105" s="137">
        <v>90</v>
      </c>
      <c r="B105" s="138"/>
      <c r="C105" s="139"/>
      <c r="D105" s="140"/>
      <c r="E105" s="139"/>
      <c r="F105" s="139"/>
      <c r="G105" s="191"/>
      <c r="H105" s="139"/>
      <c r="I105" s="141"/>
      <c r="J105" s="142"/>
      <c r="K105" s="139"/>
      <c r="L105" s="147"/>
      <c r="M105" s="148"/>
      <c r="N105" s="139"/>
      <c r="O105" s="589"/>
      <c r="P105" s="229" t="str">
        <f t="shared" si="51"/>
        <v/>
      </c>
      <c r="Q105" s="229" t="str">
        <f t="shared" si="52"/>
        <v/>
      </c>
      <c r="R105" s="230" t="str">
        <f t="shared" si="53"/>
        <v/>
      </c>
      <c r="S105" s="230" t="str">
        <f t="shared" si="54"/>
        <v/>
      </c>
      <c r="T105" s="351"/>
      <c r="U105" s="43"/>
      <c r="V105" s="42" t="str">
        <f t="shared" si="30"/>
        <v/>
      </c>
      <c r="W105" s="42" t="e">
        <f>IF(#REF!="","",#REF!)</f>
        <v>#REF!</v>
      </c>
      <c r="X105" s="31" t="str">
        <f t="shared" si="31"/>
        <v/>
      </c>
      <c r="Y105" s="7" t="e">
        <f t="shared" si="32"/>
        <v>#N/A</v>
      </c>
      <c r="Z105" s="7" t="e">
        <f t="shared" si="33"/>
        <v>#N/A</v>
      </c>
      <c r="AA105" s="7" t="e">
        <f t="shared" si="34"/>
        <v>#N/A</v>
      </c>
      <c r="AB105" s="7" t="str">
        <f t="shared" si="35"/>
        <v/>
      </c>
      <c r="AC105" s="11">
        <f t="shared" si="36"/>
        <v>1</v>
      </c>
      <c r="AD105" s="7" t="e">
        <f t="shared" si="37"/>
        <v>#N/A</v>
      </c>
      <c r="AE105" s="7" t="e">
        <f t="shared" si="38"/>
        <v>#N/A</v>
      </c>
      <c r="AF105" s="7" t="e">
        <f t="shared" si="39"/>
        <v>#N/A</v>
      </c>
      <c r="AG105" s="472" t="e">
        <f>VLOOKUP(AI105,'排出係数(2017)'!$A$4:$I$1151,9,FALSE)</f>
        <v>#N/A</v>
      </c>
      <c r="AH105" s="12" t="str">
        <f t="shared" si="40"/>
        <v xml:space="preserve"> </v>
      </c>
      <c r="AI105" s="7" t="e">
        <f t="shared" si="55"/>
        <v>#N/A</v>
      </c>
      <c r="AJ105" s="7" t="e">
        <f t="shared" si="41"/>
        <v>#N/A</v>
      </c>
      <c r="AK105" s="472" t="e">
        <f>VLOOKUP(AI105,'排出係数(2017)'!$A$4:$I$1151,6,FALSE)</f>
        <v>#N/A</v>
      </c>
      <c r="AL105" s="7" t="e">
        <f t="shared" si="42"/>
        <v>#N/A</v>
      </c>
      <c r="AM105" s="7" t="e">
        <f t="shared" si="43"/>
        <v>#N/A</v>
      </c>
      <c r="AN105" s="472" t="e">
        <f>VLOOKUP(AI105,'排出係数(2017)'!$A$4:$I$1151,7,FALSE)</f>
        <v>#N/A</v>
      </c>
      <c r="AO105" s="7" t="e">
        <f t="shared" si="44"/>
        <v>#N/A</v>
      </c>
      <c r="AP105" s="7" t="e">
        <f t="shared" si="45"/>
        <v>#N/A</v>
      </c>
      <c r="AQ105" s="7" t="e">
        <f t="shared" si="56"/>
        <v>#N/A</v>
      </c>
      <c r="AR105" s="7">
        <f t="shared" si="46"/>
        <v>0</v>
      </c>
      <c r="AS105" s="7" t="e">
        <f t="shared" si="57"/>
        <v>#N/A</v>
      </c>
      <c r="AT105" s="7" t="str">
        <f t="shared" si="47"/>
        <v/>
      </c>
      <c r="AU105" s="7" t="str">
        <f t="shared" si="48"/>
        <v/>
      </c>
      <c r="AV105" s="7" t="str">
        <f t="shared" si="49"/>
        <v/>
      </c>
      <c r="AW105" s="7" t="str">
        <f t="shared" si="50"/>
        <v/>
      </c>
      <c r="AX105" s="97"/>
      <c r="BD105" s="453" t="s">
        <v>1918</v>
      </c>
      <c r="CG105"/>
      <c r="CH105"/>
      <c r="CK105" s="592" t="str">
        <f t="shared" si="58"/>
        <v/>
      </c>
      <c r="CL105" s="421" t="str">
        <f t="shared" si="59"/>
        <v/>
      </c>
      <c r="CM105" s="594"/>
      <c r="CN105" s="594"/>
      <c r="CO105" s="594"/>
      <c r="CP105" s="594"/>
      <c r="CQ105" s="594"/>
      <c r="CR105" s="594"/>
    </row>
    <row r="106" spans="1:96" s="13" customFormat="1" ht="13.75" customHeight="1">
      <c r="A106" s="137">
        <v>91</v>
      </c>
      <c r="B106" s="138"/>
      <c r="C106" s="139"/>
      <c r="D106" s="140"/>
      <c r="E106" s="139"/>
      <c r="F106" s="139"/>
      <c r="G106" s="191"/>
      <c r="H106" s="139"/>
      <c r="I106" s="141"/>
      <c r="J106" s="142"/>
      <c r="K106" s="139"/>
      <c r="L106" s="147"/>
      <c r="M106" s="148"/>
      <c r="N106" s="139"/>
      <c r="O106" s="589"/>
      <c r="P106" s="229" t="str">
        <f t="shared" si="51"/>
        <v/>
      </c>
      <c r="Q106" s="229" t="str">
        <f t="shared" si="52"/>
        <v/>
      </c>
      <c r="R106" s="230" t="str">
        <f t="shared" si="53"/>
        <v/>
      </c>
      <c r="S106" s="230" t="str">
        <f t="shared" si="54"/>
        <v/>
      </c>
      <c r="T106" s="351"/>
      <c r="U106" s="43"/>
      <c r="V106" s="42" t="str">
        <f t="shared" si="30"/>
        <v/>
      </c>
      <c r="W106" s="42" t="e">
        <f>IF(#REF!="","",#REF!)</f>
        <v>#REF!</v>
      </c>
      <c r="X106" s="31" t="str">
        <f t="shared" si="31"/>
        <v/>
      </c>
      <c r="Y106" s="7" t="e">
        <f t="shared" si="32"/>
        <v>#N/A</v>
      </c>
      <c r="Z106" s="7" t="e">
        <f t="shared" si="33"/>
        <v>#N/A</v>
      </c>
      <c r="AA106" s="7" t="e">
        <f t="shared" si="34"/>
        <v>#N/A</v>
      </c>
      <c r="AB106" s="7" t="str">
        <f t="shared" si="35"/>
        <v/>
      </c>
      <c r="AC106" s="11">
        <f t="shared" si="36"/>
        <v>1</v>
      </c>
      <c r="AD106" s="7" t="e">
        <f t="shared" si="37"/>
        <v>#N/A</v>
      </c>
      <c r="AE106" s="7" t="e">
        <f t="shared" si="38"/>
        <v>#N/A</v>
      </c>
      <c r="AF106" s="7" t="e">
        <f t="shared" si="39"/>
        <v>#N/A</v>
      </c>
      <c r="AG106" s="472" t="e">
        <f>VLOOKUP(AI106,'排出係数(2017)'!$A$4:$I$1151,9,FALSE)</f>
        <v>#N/A</v>
      </c>
      <c r="AH106" s="12" t="str">
        <f t="shared" si="40"/>
        <v xml:space="preserve"> </v>
      </c>
      <c r="AI106" s="7" t="e">
        <f t="shared" si="55"/>
        <v>#N/A</v>
      </c>
      <c r="AJ106" s="7" t="e">
        <f t="shared" si="41"/>
        <v>#N/A</v>
      </c>
      <c r="AK106" s="472" t="e">
        <f>VLOOKUP(AI106,'排出係数(2017)'!$A$4:$I$1151,6,FALSE)</f>
        <v>#N/A</v>
      </c>
      <c r="AL106" s="7" t="e">
        <f t="shared" si="42"/>
        <v>#N/A</v>
      </c>
      <c r="AM106" s="7" t="e">
        <f t="shared" si="43"/>
        <v>#N/A</v>
      </c>
      <c r="AN106" s="472" t="e">
        <f>VLOOKUP(AI106,'排出係数(2017)'!$A$4:$I$1151,7,FALSE)</f>
        <v>#N/A</v>
      </c>
      <c r="AO106" s="7" t="e">
        <f t="shared" si="44"/>
        <v>#N/A</v>
      </c>
      <c r="AP106" s="7" t="e">
        <f t="shared" si="45"/>
        <v>#N/A</v>
      </c>
      <c r="AQ106" s="7" t="e">
        <f t="shared" si="56"/>
        <v>#N/A</v>
      </c>
      <c r="AR106" s="7">
        <f t="shared" si="46"/>
        <v>0</v>
      </c>
      <c r="AS106" s="7" t="e">
        <f t="shared" si="57"/>
        <v>#N/A</v>
      </c>
      <c r="AT106" s="7" t="str">
        <f t="shared" si="47"/>
        <v/>
      </c>
      <c r="AU106" s="7" t="str">
        <f t="shared" si="48"/>
        <v/>
      </c>
      <c r="AV106" s="7" t="str">
        <f t="shared" si="49"/>
        <v/>
      </c>
      <c r="AW106" s="7" t="str">
        <f t="shared" si="50"/>
        <v/>
      </c>
      <c r="AX106" s="97"/>
      <c r="BD106" s="467" t="s">
        <v>1919</v>
      </c>
      <c r="CG106"/>
      <c r="CH106"/>
      <c r="CK106" s="592" t="str">
        <f t="shared" si="58"/>
        <v/>
      </c>
      <c r="CL106" s="421" t="str">
        <f t="shared" si="59"/>
        <v/>
      </c>
      <c r="CM106" s="594"/>
      <c r="CN106" s="594"/>
      <c r="CO106" s="594"/>
      <c r="CP106" s="594"/>
      <c r="CQ106" s="594"/>
      <c r="CR106" s="594"/>
    </row>
    <row r="107" spans="1:96" s="13" customFormat="1" ht="13.75" customHeight="1">
      <c r="A107" s="137">
        <v>92</v>
      </c>
      <c r="B107" s="138"/>
      <c r="C107" s="139"/>
      <c r="D107" s="140"/>
      <c r="E107" s="139"/>
      <c r="F107" s="139"/>
      <c r="G107" s="191"/>
      <c r="H107" s="139"/>
      <c r="I107" s="141"/>
      <c r="J107" s="142"/>
      <c r="K107" s="139"/>
      <c r="L107" s="147"/>
      <c r="M107" s="148"/>
      <c r="N107" s="139"/>
      <c r="O107" s="589"/>
      <c r="P107" s="229" t="str">
        <f t="shared" si="51"/>
        <v/>
      </c>
      <c r="Q107" s="229" t="str">
        <f t="shared" si="52"/>
        <v/>
      </c>
      <c r="R107" s="230" t="str">
        <f t="shared" si="53"/>
        <v/>
      </c>
      <c r="S107" s="230" t="str">
        <f t="shared" si="54"/>
        <v/>
      </c>
      <c r="T107" s="351"/>
      <c r="U107" s="43"/>
      <c r="V107" s="42" t="str">
        <f t="shared" si="30"/>
        <v/>
      </c>
      <c r="W107" s="42" t="e">
        <f>IF(#REF!="","",#REF!)</f>
        <v>#REF!</v>
      </c>
      <c r="X107" s="31" t="str">
        <f t="shared" si="31"/>
        <v/>
      </c>
      <c r="Y107" s="7" t="e">
        <f t="shared" si="32"/>
        <v>#N/A</v>
      </c>
      <c r="Z107" s="7" t="e">
        <f t="shared" si="33"/>
        <v>#N/A</v>
      </c>
      <c r="AA107" s="7" t="e">
        <f t="shared" si="34"/>
        <v>#N/A</v>
      </c>
      <c r="AB107" s="7" t="str">
        <f t="shared" si="35"/>
        <v/>
      </c>
      <c r="AC107" s="11">
        <f t="shared" si="36"/>
        <v>1</v>
      </c>
      <c r="AD107" s="7" t="e">
        <f t="shared" si="37"/>
        <v>#N/A</v>
      </c>
      <c r="AE107" s="7" t="e">
        <f t="shared" si="38"/>
        <v>#N/A</v>
      </c>
      <c r="AF107" s="7" t="e">
        <f t="shared" si="39"/>
        <v>#N/A</v>
      </c>
      <c r="AG107" s="472" t="e">
        <f>VLOOKUP(AI107,'排出係数(2017)'!$A$4:$I$1151,9,FALSE)</f>
        <v>#N/A</v>
      </c>
      <c r="AH107" s="12" t="str">
        <f t="shared" si="40"/>
        <v xml:space="preserve"> </v>
      </c>
      <c r="AI107" s="7" t="e">
        <f t="shared" si="55"/>
        <v>#N/A</v>
      </c>
      <c r="AJ107" s="7" t="e">
        <f t="shared" si="41"/>
        <v>#N/A</v>
      </c>
      <c r="AK107" s="472" t="e">
        <f>VLOOKUP(AI107,'排出係数(2017)'!$A$4:$I$1151,6,FALSE)</f>
        <v>#N/A</v>
      </c>
      <c r="AL107" s="7" t="e">
        <f t="shared" si="42"/>
        <v>#N/A</v>
      </c>
      <c r="AM107" s="7" t="e">
        <f t="shared" si="43"/>
        <v>#N/A</v>
      </c>
      <c r="AN107" s="472" t="e">
        <f>VLOOKUP(AI107,'排出係数(2017)'!$A$4:$I$1151,7,FALSE)</f>
        <v>#N/A</v>
      </c>
      <c r="AO107" s="7" t="e">
        <f t="shared" si="44"/>
        <v>#N/A</v>
      </c>
      <c r="AP107" s="7" t="e">
        <f t="shared" si="45"/>
        <v>#N/A</v>
      </c>
      <c r="AQ107" s="7" t="e">
        <f t="shared" si="56"/>
        <v>#N/A</v>
      </c>
      <c r="AR107" s="7">
        <f t="shared" si="46"/>
        <v>0</v>
      </c>
      <c r="AS107" s="7" t="e">
        <f t="shared" si="57"/>
        <v>#N/A</v>
      </c>
      <c r="AT107" s="7" t="str">
        <f t="shared" si="47"/>
        <v/>
      </c>
      <c r="AU107" s="7" t="str">
        <f t="shared" si="48"/>
        <v/>
      </c>
      <c r="AV107" s="7" t="str">
        <f t="shared" si="49"/>
        <v/>
      </c>
      <c r="AW107" s="7" t="str">
        <f t="shared" si="50"/>
        <v/>
      </c>
      <c r="AX107" s="97"/>
      <c r="BD107" s="453" t="s">
        <v>1920</v>
      </c>
      <c r="CG107"/>
      <c r="CH107"/>
      <c r="CK107" s="592" t="str">
        <f t="shared" si="58"/>
        <v/>
      </c>
      <c r="CL107" s="421" t="str">
        <f t="shared" si="59"/>
        <v/>
      </c>
      <c r="CM107" s="594"/>
      <c r="CN107" s="594"/>
      <c r="CO107" s="594"/>
      <c r="CP107" s="594"/>
      <c r="CQ107" s="594"/>
      <c r="CR107" s="594"/>
    </row>
    <row r="108" spans="1:96" s="13" customFormat="1" ht="13.75" customHeight="1">
      <c r="A108" s="137">
        <v>93</v>
      </c>
      <c r="B108" s="138"/>
      <c r="C108" s="139"/>
      <c r="D108" s="140"/>
      <c r="E108" s="139"/>
      <c r="F108" s="139"/>
      <c r="G108" s="191"/>
      <c r="H108" s="139"/>
      <c r="I108" s="141"/>
      <c r="J108" s="142"/>
      <c r="K108" s="139"/>
      <c r="L108" s="147"/>
      <c r="M108" s="148"/>
      <c r="N108" s="139"/>
      <c r="O108" s="589"/>
      <c r="P108" s="229" t="str">
        <f t="shared" si="51"/>
        <v/>
      </c>
      <c r="Q108" s="229" t="str">
        <f t="shared" si="52"/>
        <v/>
      </c>
      <c r="R108" s="230" t="str">
        <f t="shared" si="53"/>
        <v/>
      </c>
      <c r="S108" s="230" t="str">
        <f t="shared" si="54"/>
        <v/>
      </c>
      <c r="T108" s="351"/>
      <c r="U108" s="43"/>
      <c r="V108" s="42" t="str">
        <f t="shared" si="30"/>
        <v/>
      </c>
      <c r="W108" s="42" t="e">
        <f>IF(#REF!="","",#REF!)</f>
        <v>#REF!</v>
      </c>
      <c r="X108" s="31" t="str">
        <f t="shared" si="31"/>
        <v/>
      </c>
      <c r="Y108" s="7" t="e">
        <f t="shared" si="32"/>
        <v>#N/A</v>
      </c>
      <c r="Z108" s="7" t="e">
        <f t="shared" si="33"/>
        <v>#N/A</v>
      </c>
      <c r="AA108" s="7" t="e">
        <f t="shared" si="34"/>
        <v>#N/A</v>
      </c>
      <c r="AB108" s="7" t="str">
        <f t="shared" si="35"/>
        <v/>
      </c>
      <c r="AC108" s="11">
        <f t="shared" si="36"/>
        <v>1</v>
      </c>
      <c r="AD108" s="7" t="e">
        <f t="shared" si="37"/>
        <v>#N/A</v>
      </c>
      <c r="AE108" s="7" t="e">
        <f t="shared" si="38"/>
        <v>#N/A</v>
      </c>
      <c r="AF108" s="7" t="e">
        <f t="shared" si="39"/>
        <v>#N/A</v>
      </c>
      <c r="AG108" s="472" t="e">
        <f>VLOOKUP(AI108,'排出係数(2017)'!$A$4:$I$1151,9,FALSE)</f>
        <v>#N/A</v>
      </c>
      <c r="AH108" s="12" t="str">
        <f t="shared" si="40"/>
        <v xml:space="preserve"> </v>
      </c>
      <c r="AI108" s="7" t="e">
        <f t="shared" si="55"/>
        <v>#N/A</v>
      </c>
      <c r="AJ108" s="7" t="e">
        <f t="shared" si="41"/>
        <v>#N/A</v>
      </c>
      <c r="AK108" s="472" t="e">
        <f>VLOOKUP(AI108,'排出係数(2017)'!$A$4:$I$1151,6,FALSE)</f>
        <v>#N/A</v>
      </c>
      <c r="AL108" s="7" t="e">
        <f t="shared" si="42"/>
        <v>#N/A</v>
      </c>
      <c r="AM108" s="7" t="e">
        <f t="shared" si="43"/>
        <v>#N/A</v>
      </c>
      <c r="AN108" s="472" t="e">
        <f>VLOOKUP(AI108,'排出係数(2017)'!$A$4:$I$1151,7,FALSE)</f>
        <v>#N/A</v>
      </c>
      <c r="AO108" s="7" t="e">
        <f t="shared" si="44"/>
        <v>#N/A</v>
      </c>
      <c r="AP108" s="7" t="e">
        <f t="shared" si="45"/>
        <v>#N/A</v>
      </c>
      <c r="AQ108" s="7" t="e">
        <f t="shared" si="56"/>
        <v>#N/A</v>
      </c>
      <c r="AR108" s="7">
        <f t="shared" si="46"/>
        <v>0</v>
      </c>
      <c r="AS108" s="7" t="e">
        <f t="shared" si="57"/>
        <v>#N/A</v>
      </c>
      <c r="AT108" s="7" t="str">
        <f t="shared" si="47"/>
        <v/>
      </c>
      <c r="AU108" s="7" t="str">
        <f t="shared" si="48"/>
        <v/>
      </c>
      <c r="AV108" s="7" t="str">
        <f t="shared" si="49"/>
        <v/>
      </c>
      <c r="AW108" s="7" t="str">
        <f t="shared" si="50"/>
        <v/>
      </c>
      <c r="AX108" s="97"/>
      <c r="BD108" s="453" t="s">
        <v>1410</v>
      </c>
      <c r="CG108"/>
      <c r="CH108"/>
      <c r="CK108" s="592" t="str">
        <f t="shared" si="58"/>
        <v/>
      </c>
      <c r="CL108" s="421" t="str">
        <f t="shared" si="59"/>
        <v/>
      </c>
      <c r="CM108" s="594"/>
      <c r="CN108" s="594"/>
      <c r="CO108" s="594"/>
      <c r="CP108" s="594"/>
      <c r="CQ108" s="594"/>
      <c r="CR108" s="594"/>
    </row>
    <row r="109" spans="1:96" s="13" customFormat="1" ht="13.75" customHeight="1">
      <c r="A109" s="137">
        <v>94</v>
      </c>
      <c r="B109" s="138"/>
      <c r="C109" s="139"/>
      <c r="D109" s="140"/>
      <c r="E109" s="139"/>
      <c r="F109" s="139"/>
      <c r="G109" s="191"/>
      <c r="H109" s="139"/>
      <c r="I109" s="141"/>
      <c r="J109" s="142"/>
      <c r="K109" s="139"/>
      <c r="L109" s="147"/>
      <c r="M109" s="148"/>
      <c r="N109" s="139"/>
      <c r="O109" s="589"/>
      <c r="P109" s="229" t="str">
        <f t="shared" si="51"/>
        <v/>
      </c>
      <c r="Q109" s="229" t="str">
        <f t="shared" si="52"/>
        <v/>
      </c>
      <c r="R109" s="230" t="str">
        <f t="shared" si="53"/>
        <v/>
      </c>
      <c r="S109" s="230" t="str">
        <f t="shared" si="54"/>
        <v/>
      </c>
      <c r="T109" s="351"/>
      <c r="U109" s="43"/>
      <c r="V109" s="42" t="str">
        <f t="shared" si="30"/>
        <v/>
      </c>
      <c r="W109" s="42" t="e">
        <f>IF(#REF!="","",#REF!)</f>
        <v>#REF!</v>
      </c>
      <c r="X109" s="31" t="str">
        <f t="shared" si="31"/>
        <v/>
      </c>
      <c r="Y109" s="7" t="e">
        <f t="shared" si="32"/>
        <v>#N/A</v>
      </c>
      <c r="Z109" s="7" t="e">
        <f t="shared" si="33"/>
        <v>#N/A</v>
      </c>
      <c r="AA109" s="7" t="e">
        <f t="shared" si="34"/>
        <v>#N/A</v>
      </c>
      <c r="AB109" s="7" t="str">
        <f t="shared" si="35"/>
        <v/>
      </c>
      <c r="AC109" s="11">
        <f t="shared" si="36"/>
        <v>1</v>
      </c>
      <c r="AD109" s="7" t="e">
        <f t="shared" si="37"/>
        <v>#N/A</v>
      </c>
      <c r="AE109" s="7" t="e">
        <f t="shared" si="38"/>
        <v>#N/A</v>
      </c>
      <c r="AF109" s="7" t="e">
        <f t="shared" si="39"/>
        <v>#N/A</v>
      </c>
      <c r="AG109" s="472" t="e">
        <f>VLOOKUP(AI109,'排出係数(2017)'!$A$4:$I$1151,9,FALSE)</f>
        <v>#N/A</v>
      </c>
      <c r="AH109" s="12" t="str">
        <f t="shared" si="40"/>
        <v xml:space="preserve"> </v>
      </c>
      <c r="AI109" s="7" t="e">
        <f t="shared" si="55"/>
        <v>#N/A</v>
      </c>
      <c r="AJ109" s="7" t="e">
        <f t="shared" si="41"/>
        <v>#N/A</v>
      </c>
      <c r="AK109" s="472" t="e">
        <f>VLOOKUP(AI109,'排出係数(2017)'!$A$4:$I$1151,6,FALSE)</f>
        <v>#N/A</v>
      </c>
      <c r="AL109" s="7" t="e">
        <f t="shared" si="42"/>
        <v>#N/A</v>
      </c>
      <c r="AM109" s="7" t="e">
        <f t="shared" si="43"/>
        <v>#N/A</v>
      </c>
      <c r="AN109" s="472" t="e">
        <f>VLOOKUP(AI109,'排出係数(2017)'!$A$4:$I$1151,7,FALSE)</f>
        <v>#N/A</v>
      </c>
      <c r="AO109" s="7" t="e">
        <f t="shared" si="44"/>
        <v>#N/A</v>
      </c>
      <c r="AP109" s="7" t="e">
        <f t="shared" si="45"/>
        <v>#N/A</v>
      </c>
      <c r="AQ109" s="7" t="e">
        <f t="shared" si="56"/>
        <v>#N/A</v>
      </c>
      <c r="AR109" s="7">
        <f t="shared" si="46"/>
        <v>0</v>
      </c>
      <c r="AS109" s="7" t="e">
        <f t="shared" si="57"/>
        <v>#N/A</v>
      </c>
      <c r="AT109" s="7" t="str">
        <f t="shared" si="47"/>
        <v/>
      </c>
      <c r="AU109" s="7" t="str">
        <f t="shared" si="48"/>
        <v/>
      </c>
      <c r="AV109" s="7" t="str">
        <f t="shared" si="49"/>
        <v/>
      </c>
      <c r="AW109" s="7" t="str">
        <f t="shared" si="50"/>
        <v/>
      </c>
      <c r="AX109" s="97"/>
      <c r="BD109" s="453" t="s">
        <v>2515</v>
      </c>
      <c r="CG109"/>
      <c r="CH109"/>
      <c r="CK109" s="592" t="str">
        <f t="shared" si="58"/>
        <v/>
      </c>
      <c r="CL109" s="421" t="str">
        <f t="shared" si="59"/>
        <v/>
      </c>
      <c r="CM109" s="594"/>
      <c r="CN109" s="594"/>
      <c r="CO109" s="594"/>
      <c r="CP109" s="594"/>
      <c r="CQ109" s="594"/>
      <c r="CR109" s="594"/>
    </row>
    <row r="110" spans="1:96" s="13" customFormat="1" ht="13.75" customHeight="1">
      <c r="A110" s="137">
        <v>95</v>
      </c>
      <c r="B110" s="138"/>
      <c r="C110" s="139"/>
      <c r="D110" s="140"/>
      <c r="E110" s="139"/>
      <c r="F110" s="139"/>
      <c r="G110" s="191"/>
      <c r="H110" s="139"/>
      <c r="I110" s="141"/>
      <c r="J110" s="142"/>
      <c r="K110" s="139"/>
      <c r="L110" s="147"/>
      <c r="M110" s="148"/>
      <c r="N110" s="139"/>
      <c r="O110" s="589"/>
      <c r="P110" s="229" t="str">
        <f t="shared" si="51"/>
        <v/>
      </c>
      <c r="Q110" s="229" t="str">
        <f t="shared" si="52"/>
        <v/>
      </c>
      <c r="R110" s="230" t="str">
        <f t="shared" si="53"/>
        <v/>
      </c>
      <c r="S110" s="230" t="str">
        <f t="shared" si="54"/>
        <v/>
      </c>
      <c r="T110" s="351"/>
      <c r="U110" s="43"/>
      <c r="V110" s="42" t="str">
        <f t="shared" si="30"/>
        <v/>
      </c>
      <c r="W110" s="42" t="e">
        <f>IF(#REF!="","",#REF!)</f>
        <v>#REF!</v>
      </c>
      <c r="X110" s="31" t="str">
        <f t="shared" si="31"/>
        <v/>
      </c>
      <c r="Y110" s="7" t="e">
        <f t="shared" si="32"/>
        <v>#N/A</v>
      </c>
      <c r="Z110" s="7" t="e">
        <f t="shared" si="33"/>
        <v>#N/A</v>
      </c>
      <c r="AA110" s="7" t="e">
        <f t="shared" si="34"/>
        <v>#N/A</v>
      </c>
      <c r="AB110" s="7" t="str">
        <f t="shared" si="35"/>
        <v/>
      </c>
      <c r="AC110" s="11">
        <f t="shared" si="36"/>
        <v>1</v>
      </c>
      <c r="AD110" s="7" t="e">
        <f t="shared" si="37"/>
        <v>#N/A</v>
      </c>
      <c r="AE110" s="7" t="e">
        <f t="shared" si="38"/>
        <v>#N/A</v>
      </c>
      <c r="AF110" s="7" t="e">
        <f t="shared" si="39"/>
        <v>#N/A</v>
      </c>
      <c r="AG110" s="472" t="e">
        <f>VLOOKUP(AI110,'排出係数(2017)'!$A$4:$I$1151,9,FALSE)</f>
        <v>#N/A</v>
      </c>
      <c r="AH110" s="12" t="str">
        <f t="shared" si="40"/>
        <v xml:space="preserve"> </v>
      </c>
      <c r="AI110" s="7" t="e">
        <f t="shared" si="55"/>
        <v>#N/A</v>
      </c>
      <c r="AJ110" s="7" t="e">
        <f t="shared" si="41"/>
        <v>#N/A</v>
      </c>
      <c r="AK110" s="472" t="e">
        <f>VLOOKUP(AI110,'排出係数(2017)'!$A$4:$I$1151,6,FALSE)</f>
        <v>#N/A</v>
      </c>
      <c r="AL110" s="7" t="e">
        <f t="shared" si="42"/>
        <v>#N/A</v>
      </c>
      <c r="AM110" s="7" t="e">
        <f t="shared" si="43"/>
        <v>#N/A</v>
      </c>
      <c r="AN110" s="472" t="e">
        <f>VLOOKUP(AI110,'排出係数(2017)'!$A$4:$I$1151,7,FALSE)</f>
        <v>#N/A</v>
      </c>
      <c r="AO110" s="7" t="e">
        <f t="shared" si="44"/>
        <v>#N/A</v>
      </c>
      <c r="AP110" s="7" t="e">
        <f t="shared" si="45"/>
        <v>#N/A</v>
      </c>
      <c r="AQ110" s="7" t="e">
        <f t="shared" si="56"/>
        <v>#N/A</v>
      </c>
      <c r="AR110" s="7">
        <f t="shared" si="46"/>
        <v>0</v>
      </c>
      <c r="AS110" s="7" t="e">
        <f t="shared" si="57"/>
        <v>#N/A</v>
      </c>
      <c r="AT110" s="7" t="str">
        <f t="shared" si="47"/>
        <v/>
      </c>
      <c r="AU110" s="7" t="str">
        <f t="shared" si="48"/>
        <v/>
      </c>
      <c r="AV110" s="7" t="str">
        <f t="shared" si="49"/>
        <v/>
      </c>
      <c r="AW110" s="7" t="str">
        <f t="shared" si="50"/>
        <v/>
      </c>
      <c r="AX110" s="97"/>
      <c r="BD110" s="453" t="s">
        <v>2516</v>
      </c>
      <c r="CG110"/>
      <c r="CH110"/>
      <c r="CK110" s="592" t="str">
        <f t="shared" si="58"/>
        <v/>
      </c>
      <c r="CL110" s="421" t="str">
        <f t="shared" si="59"/>
        <v/>
      </c>
      <c r="CM110" s="594"/>
      <c r="CN110" s="594"/>
      <c r="CO110" s="594"/>
      <c r="CP110" s="594"/>
      <c r="CQ110" s="594"/>
      <c r="CR110" s="594"/>
    </row>
    <row r="111" spans="1:96" s="13" customFormat="1" ht="13.75" customHeight="1">
      <c r="A111" s="137">
        <v>96</v>
      </c>
      <c r="B111" s="138"/>
      <c r="C111" s="139"/>
      <c r="D111" s="140"/>
      <c r="E111" s="139"/>
      <c r="F111" s="139"/>
      <c r="G111" s="191"/>
      <c r="H111" s="139"/>
      <c r="I111" s="141"/>
      <c r="J111" s="142"/>
      <c r="K111" s="139"/>
      <c r="L111" s="147"/>
      <c r="M111" s="148"/>
      <c r="N111" s="139"/>
      <c r="O111" s="589"/>
      <c r="P111" s="229" t="str">
        <f t="shared" si="51"/>
        <v/>
      </c>
      <c r="Q111" s="229" t="str">
        <f t="shared" si="52"/>
        <v/>
      </c>
      <c r="R111" s="230" t="str">
        <f t="shared" si="53"/>
        <v/>
      </c>
      <c r="S111" s="230" t="str">
        <f t="shared" si="54"/>
        <v/>
      </c>
      <c r="T111" s="351"/>
      <c r="U111" s="43"/>
      <c r="V111" s="42" t="str">
        <f t="shared" si="30"/>
        <v/>
      </c>
      <c r="W111" s="42" t="e">
        <f>IF(#REF!="","",#REF!)</f>
        <v>#REF!</v>
      </c>
      <c r="X111" s="31" t="str">
        <f t="shared" si="31"/>
        <v/>
      </c>
      <c r="Y111" s="7" t="e">
        <f t="shared" si="32"/>
        <v>#N/A</v>
      </c>
      <c r="Z111" s="7" t="e">
        <f t="shared" si="33"/>
        <v>#N/A</v>
      </c>
      <c r="AA111" s="7" t="e">
        <f t="shared" si="34"/>
        <v>#N/A</v>
      </c>
      <c r="AB111" s="7" t="str">
        <f t="shared" si="35"/>
        <v/>
      </c>
      <c r="AC111" s="11">
        <f t="shared" si="36"/>
        <v>1</v>
      </c>
      <c r="AD111" s="7" t="e">
        <f t="shared" si="37"/>
        <v>#N/A</v>
      </c>
      <c r="AE111" s="7" t="e">
        <f t="shared" si="38"/>
        <v>#N/A</v>
      </c>
      <c r="AF111" s="7" t="e">
        <f t="shared" si="39"/>
        <v>#N/A</v>
      </c>
      <c r="AG111" s="472" t="e">
        <f>VLOOKUP(AI111,'排出係数(2017)'!$A$4:$I$1151,9,FALSE)</f>
        <v>#N/A</v>
      </c>
      <c r="AH111" s="12" t="str">
        <f t="shared" si="40"/>
        <v xml:space="preserve"> </v>
      </c>
      <c r="AI111" s="7" t="e">
        <f t="shared" si="55"/>
        <v>#N/A</v>
      </c>
      <c r="AJ111" s="7" t="e">
        <f t="shared" si="41"/>
        <v>#N/A</v>
      </c>
      <c r="AK111" s="472" t="e">
        <f>VLOOKUP(AI111,'排出係数(2017)'!$A$4:$I$1151,6,FALSE)</f>
        <v>#N/A</v>
      </c>
      <c r="AL111" s="7" t="e">
        <f t="shared" si="42"/>
        <v>#N/A</v>
      </c>
      <c r="AM111" s="7" t="e">
        <f t="shared" si="43"/>
        <v>#N/A</v>
      </c>
      <c r="AN111" s="472" t="e">
        <f>VLOOKUP(AI111,'排出係数(2017)'!$A$4:$I$1151,7,FALSE)</f>
        <v>#N/A</v>
      </c>
      <c r="AO111" s="7" t="e">
        <f t="shared" si="44"/>
        <v>#N/A</v>
      </c>
      <c r="AP111" s="7" t="e">
        <f t="shared" si="45"/>
        <v>#N/A</v>
      </c>
      <c r="AQ111" s="7" t="e">
        <f t="shared" si="56"/>
        <v>#N/A</v>
      </c>
      <c r="AR111" s="7">
        <f t="shared" si="46"/>
        <v>0</v>
      </c>
      <c r="AS111" s="7" t="e">
        <f t="shared" si="57"/>
        <v>#N/A</v>
      </c>
      <c r="AT111" s="7" t="str">
        <f t="shared" si="47"/>
        <v/>
      </c>
      <c r="AU111" s="7" t="str">
        <f t="shared" si="48"/>
        <v/>
      </c>
      <c r="AV111" s="7" t="str">
        <f t="shared" si="49"/>
        <v/>
      </c>
      <c r="AW111" s="7" t="str">
        <f t="shared" si="50"/>
        <v/>
      </c>
      <c r="AX111" s="97"/>
      <c r="BD111" s="453" t="s">
        <v>1558</v>
      </c>
      <c r="CG111"/>
      <c r="CH111"/>
      <c r="CK111" s="592" t="str">
        <f t="shared" si="58"/>
        <v/>
      </c>
      <c r="CL111" s="421" t="str">
        <f t="shared" si="59"/>
        <v/>
      </c>
      <c r="CM111" s="594"/>
      <c r="CN111" s="594"/>
      <c r="CO111" s="594"/>
      <c r="CP111" s="594"/>
      <c r="CQ111" s="594"/>
      <c r="CR111" s="594"/>
    </row>
    <row r="112" spans="1:96" s="13" customFormat="1" ht="13.75" customHeight="1">
      <c r="A112" s="137">
        <v>97</v>
      </c>
      <c r="B112" s="138"/>
      <c r="C112" s="139"/>
      <c r="D112" s="140"/>
      <c r="E112" s="139"/>
      <c r="F112" s="139"/>
      <c r="G112" s="191"/>
      <c r="H112" s="139"/>
      <c r="I112" s="141"/>
      <c r="J112" s="142"/>
      <c r="K112" s="139"/>
      <c r="L112" s="147"/>
      <c r="M112" s="148"/>
      <c r="N112" s="139"/>
      <c r="O112" s="589"/>
      <c r="P112" s="229" t="str">
        <f t="shared" si="51"/>
        <v/>
      </c>
      <c r="Q112" s="229" t="str">
        <f t="shared" si="52"/>
        <v/>
      </c>
      <c r="R112" s="230" t="str">
        <f t="shared" si="53"/>
        <v/>
      </c>
      <c r="S112" s="230" t="str">
        <f t="shared" si="54"/>
        <v/>
      </c>
      <c r="T112" s="351"/>
      <c r="U112" s="43"/>
      <c r="V112" s="42" t="str">
        <f t="shared" si="30"/>
        <v/>
      </c>
      <c r="W112" s="42" t="e">
        <f>IF(#REF!="","",#REF!)</f>
        <v>#REF!</v>
      </c>
      <c r="X112" s="31" t="str">
        <f t="shared" si="31"/>
        <v/>
      </c>
      <c r="Y112" s="7" t="e">
        <f t="shared" si="32"/>
        <v>#N/A</v>
      </c>
      <c r="Z112" s="7" t="e">
        <f t="shared" si="33"/>
        <v>#N/A</v>
      </c>
      <c r="AA112" s="7" t="e">
        <f t="shared" si="34"/>
        <v>#N/A</v>
      </c>
      <c r="AB112" s="7" t="str">
        <f t="shared" si="35"/>
        <v/>
      </c>
      <c r="AC112" s="11">
        <f t="shared" si="36"/>
        <v>1</v>
      </c>
      <c r="AD112" s="7" t="e">
        <f t="shared" si="37"/>
        <v>#N/A</v>
      </c>
      <c r="AE112" s="7" t="e">
        <f t="shared" si="38"/>
        <v>#N/A</v>
      </c>
      <c r="AF112" s="7" t="e">
        <f t="shared" si="39"/>
        <v>#N/A</v>
      </c>
      <c r="AG112" s="472" t="e">
        <f>VLOOKUP(AI112,'排出係数(2017)'!$A$4:$I$1151,9,FALSE)</f>
        <v>#N/A</v>
      </c>
      <c r="AH112" s="12" t="str">
        <f t="shared" si="40"/>
        <v xml:space="preserve"> </v>
      </c>
      <c r="AI112" s="7" t="e">
        <f t="shared" si="55"/>
        <v>#N/A</v>
      </c>
      <c r="AJ112" s="7" t="e">
        <f t="shared" si="41"/>
        <v>#N/A</v>
      </c>
      <c r="AK112" s="472" t="e">
        <f>VLOOKUP(AI112,'排出係数(2017)'!$A$4:$I$1151,6,FALSE)</f>
        <v>#N/A</v>
      </c>
      <c r="AL112" s="7" t="e">
        <f t="shared" si="42"/>
        <v>#N/A</v>
      </c>
      <c r="AM112" s="7" t="e">
        <f t="shared" si="43"/>
        <v>#N/A</v>
      </c>
      <c r="AN112" s="472" t="e">
        <f>VLOOKUP(AI112,'排出係数(2017)'!$A$4:$I$1151,7,FALSE)</f>
        <v>#N/A</v>
      </c>
      <c r="AO112" s="7" t="e">
        <f t="shared" si="44"/>
        <v>#N/A</v>
      </c>
      <c r="AP112" s="7" t="e">
        <f t="shared" si="45"/>
        <v>#N/A</v>
      </c>
      <c r="AQ112" s="7" t="e">
        <f t="shared" si="56"/>
        <v>#N/A</v>
      </c>
      <c r="AR112" s="7">
        <f t="shared" si="46"/>
        <v>0</v>
      </c>
      <c r="AS112" s="7" t="e">
        <f t="shared" si="57"/>
        <v>#N/A</v>
      </c>
      <c r="AT112" s="7" t="str">
        <f t="shared" si="47"/>
        <v/>
      </c>
      <c r="AU112" s="7" t="str">
        <f t="shared" si="48"/>
        <v/>
      </c>
      <c r="AV112" s="7" t="str">
        <f t="shared" si="49"/>
        <v/>
      </c>
      <c r="AW112" s="7" t="str">
        <f t="shared" si="50"/>
        <v/>
      </c>
      <c r="AX112" s="97"/>
      <c r="BD112" s="453" t="s">
        <v>1560</v>
      </c>
      <c r="CG112"/>
      <c r="CH112"/>
      <c r="CK112" s="592" t="str">
        <f t="shared" si="58"/>
        <v/>
      </c>
      <c r="CL112" s="421" t="str">
        <f t="shared" si="59"/>
        <v/>
      </c>
      <c r="CM112" s="594"/>
      <c r="CN112" s="594"/>
      <c r="CO112" s="594"/>
      <c r="CP112" s="594"/>
      <c r="CQ112" s="594"/>
      <c r="CR112" s="594"/>
    </row>
    <row r="113" spans="1:96" s="13" customFormat="1" ht="13.75" customHeight="1">
      <c r="A113" s="137">
        <v>98</v>
      </c>
      <c r="B113" s="138"/>
      <c r="C113" s="139"/>
      <c r="D113" s="140"/>
      <c r="E113" s="139"/>
      <c r="F113" s="139"/>
      <c r="G113" s="191"/>
      <c r="H113" s="139"/>
      <c r="I113" s="141"/>
      <c r="J113" s="142"/>
      <c r="K113" s="139"/>
      <c r="L113" s="147"/>
      <c r="M113" s="148"/>
      <c r="N113" s="139"/>
      <c r="O113" s="589"/>
      <c r="P113" s="229" t="str">
        <f t="shared" si="51"/>
        <v/>
      </c>
      <c r="Q113" s="229" t="str">
        <f t="shared" si="52"/>
        <v/>
      </c>
      <c r="R113" s="230" t="str">
        <f t="shared" si="53"/>
        <v/>
      </c>
      <c r="S113" s="230" t="str">
        <f t="shared" si="54"/>
        <v/>
      </c>
      <c r="T113" s="351"/>
      <c r="U113" s="43"/>
      <c r="V113" s="42" t="str">
        <f t="shared" si="30"/>
        <v/>
      </c>
      <c r="W113" s="42" t="e">
        <f>IF(#REF!="","",#REF!)</f>
        <v>#REF!</v>
      </c>
      <c r="X113" s="31" t="str">
        <f t="shared" si="31"/>
        <v/>
      </c>
      <c r="Y113" s="7" t="e">
        <f t="shared" si="32"/>
        <v>#N/A</v>
      </c>
      <c r="Z113" s="7" t="e">
        <f t="shared" si="33"/>
        <v>#N/A</v>
      </c>
      <c r="AA113" s="7" t="e">
        <f t="shared" si="34"/>
        <v>#N/A</v>
      </c>
      <c r="AB113" s="7" t="str">
        <f t="shared" si="35"/>
        <v/>
      </c>
      <c r="AC113" s="11">
        <f t="shared" si="36"/>
        <v>1</v>
      </c>
      <c r="AD113" s="7" t="e">
        <f t="shared" si="37"/>
        <v>#N/A</v>
      </c>
      <c r="AE113" s="7" t="e">
        <f t="shared" si="38"/>
        <v>#N/A</v>
      </c>
      <c r="AF113" s="7" t="e">
        <f t="shared" si="39"/>
        <v>#N/A</v>
      </c>
      <c r="AG113" s="472" t="e">
        <f>VLOOKUP(AI113,'排出係数(2017)'!$A$4:$I$1151,9,FALSE)</f>
        <v>#N/A</v>
      </c>
      <c r="AH113" s="12" t="str">
        <f t="shared" si="40"/>
        <v xml:space="preserve"> </v>
      </c>
      <c r="AI113" s="7" t="e">
        <f t="shared" si="55"/>
        <v>#N/A</v>
      </c>
      <c r="AJ113" s="7" t="e">
        <f t="shared" si="41"/>
        <v>#N/A</v>
      </c>
      <c r="AK113" s="472" t="e">
        <f>VLOOKUP(AI113,'排出係数(2017)'!$A$4:$I$1151,6,FALSE)</f>
        <v>#N/A</v>
      </c>
      <c r="AL113" s="7" t="e">
        <f t="shared" si="42"/>
        <v>#N/A</v>
      </c>
      <c r="AM113" s="7" t="e">
        <f t="shared" si="43"/>
        <v>#N/A</v>
      </c>
      <c r="AN113" s="472" t="e">
        <f>VLOOKUP(AI113,'排出係数(2017)'!$A$4:$I$1151,7,FALSE)</f>
        <v>#N/A</v>
      </c>
      <c r="AO113" s="7" t="e">
        <f t="shared" si="44"/>
        <v>#N/A</v>
      </c>
      <c r="AP113" s="7" t="e">
        <f t="shared" si="45"/>
        <v>#N/A</v>
      </c>
      <c r="AQ113" s="7" t="e">
        <f t="shared" si="56"/>
        <v>#N/A</v>
      </c>
      <c r="AR113" s="7">
        <f t="shared" si="46"/>
        <v>0</v>
      </c>
      <c r="AS113" s="7" t="e">
        <f t="shared" si="57"/>
        <v>#N/A</v>
      </c>
      <c r="AT113" s="7" t="str">
        <f t="shared" si="47"/>
        <v/>
      </c>
      <c r="AU113" s="7" t="str">
        <f t="shared" si="48"/>
        <v/>
      </c>
      <c r="AV113" s="7" t="str">
        <f t="shared" si="49"/>
        <v/>
      </c>
      <c r="AW113" s="7" t="str">
        <f t="shared" si="50"/>
        <v/>
      </c>
      <c r="AX113" s="97"/>
      <c r="BD113" s="467" t="s">
        <v>2517</v>
      </c>
      <c r="CG113"/>
      <c r="CH113"/>
      <c r="CK113" s="592" t="str">
        <f t="shared" si="58"/>
        <v/>
      </c>
      <c r="CL113" s="421" t="str">
        <f t="shared" si="59"/>
        <v/>
      </c>
      <c r="CM113" s="594"/>
      <c r="CN113" s="594"/>
      <c r="CO113" s="594"/>
      <c r="CP113" s="594"/>
      <c r="CQ113" s="594"/>
      <c r="CR113" s="594"/>
    </row>
    <row r="114" spans="1:96" s="13" customFormat="1" ht="13.75" customHeight="1">
      <c r="A114" s="137">
        <v>99</v>
      </c>
      <c r="B114" s="138"/>
      <c r="C114" s="139"/>
      <c r="D114" s="140"/>
      <c r="E114" s="139"/>
      <c r="F114" s="139"/>
      <c r="G114" s="191"/>
      <c r="H114" s="139"/>
      <c r="I114" s="141"/>
      <c r="J114" s="142"/>
      <c r="K114" s="139"/>
      <c r="L114" s="147"/>
      <c r="M114" s="148"/>
      <c r="N114" s="139"/>
      <c r="O114" s="589"/>
      <c r="P114" s="229" t="str">
        <f t="shared" si="51"/>
        <v/>
      </c>
      <c r="Q114" s="229" t="str">
        <f t="shared" si="52"/>
        <v/>
      </c>
      <c r="R114" s="230" t="str">
        <f t="shared" si="53"/>
        <v/>
      </c>
      <c r="S114" s="230" t="str">
        <f t="shared" si="54"/>
        <v/>
      </c>
      <c r="T114" s="351"/>
      <c r="U114" s="43"/>
      <c r="V114" s="42" t="str">
        <f t="shared" si="30"/>
        <v/>
      </c>
      <c r="W114" s="42" t="e">
        <f>IF(#REF!="","",#REF!)</f>
        <v>#REF!</v>
      </c>
      <c r="X114" s="31" t="str">
        <f t="shared" si="31"/>
        <v/>
      </c>
      <c r="Y114" s="7" t="e">
        <f t="shared" si="32"/>
        <v>#N/A</v>
      </c>
      <c r="Z114" s="7" t="e">
        <f t="shared" si="33"/>
        <v>#N/A</v>
      </c>
      <c r="AA114" s="7" t="e">
        <f t="shared" si="34"/>
        <v>#N/A</v>
      </c>
      <c r="AB114" s="7" t="str">
        <f t="shared" si="35"/>
        <v/>
      </c>
      <c r="AC114" s="11">
        <f t="shared" si="36"/>
        <v>1</v>
      </c>
      <c r="AD114" s="7" t="e">
        <f t="shared" si="37"/>
        <v>#N/A</v>
      </c>
      <c r="AE114" s="7" t="e">
        <f t="shared" si="38"/>
        <v>#N/A</v>
      </c>
      <c r="AF114" s="7" t="e">
        <f t="shared" si="39"/>
        <v>#N/A</v>
      </c>
      <c r="AG114" s="472" t="e">
        <f>VLOOKUP(AI114,'排出係数(2017)'!$A$4:$I$1151,9,FALSE)</f>
        <v>#N/A</v>
      </c>
      <c r="AH114" s="12" t="str">
        <f t="shared" si="40"/>
        <v xml:space="preserve"> </v>
      </c>
      <c r="AI114" s="7" t="e">
        <f t="shared" si="55"/>
        <v>#N/A</v>
      </c>
      <c r="AJ114" s="7" t="e">
        <f t="shared" si="41"/>
        <v>#N/A</v>
      </c>
      <c r="AK114" s="472" t="e">
        <f>VLOOKUP(AI114,'排出係数(2017)'!$A$4:$I$1151,6,FALSE)</f>
        <v>#N/A</v>
      </c>
      <c r="AL114" s="7" t="e">
        <f t="shared" si="42"/>
        <v>#N/A</v>
      </c>
      <c r="AM114" s="7" t="e">
        <f t="shared" si="43"/>
        <v>#N/A</v>
      </c>
      <c r="AN114" s="472" t="e">
        <f>VLOOKUP(AI114,'排出係数(2017)'!$A$4:$I$1151,7,FALSE)</f>
        <v>#N/A</v>
      </c>
      <c r="AO114" s="7" t="e">
        <f t="shared" si="44"/>
        <v>#N/A</v>
      </c>
      <c r="AP114" s="7" t="e">
        <f t="shared" si="45"/>
        <v>#N/A</v>
      </c>
      <c r="AQ114" s="7" t="e">
        <f t="shared" si="56"/>
        <v>#N/A</v>
      </c>
      <c r="AR114" s="7">
        <f t="shared" si="46"/>
        <v>0</v>
      </c>
      <c r="AS114" s="7" t="e">
        <f t="shared" si="57"/>
        <v>#N/A</v>
      </c>
      <c r="AT114" s="7" t="str">
        <f t="shared" si="47"/>
        <v/>
      </c>
      <c r="AU114" s="7" t="str">
        <f t="shared" si="48"/>
        <v/>
      </c>
      <c r="AV114" s="7" t="str">
        <f t="shared" si="49"/>
        <v/>
      </c>
      <c r="AW114" s="7" t="str">
        <f t="shared" si="50"/>
        <v/>
      </c>
      <c r="AX114" s="97"/>
      <c r="BD114" s="453" t="s">
        <v>2518</v>
      </c>
      <c r="CG114"/>
      <c r="CH114"/>
      <c r="CK114" s="592" t="str">
        <f t="shared" si="58"/>
        <v/>
      </c>
      <c r="CL114" s="421" t="str">
        <f t="shared" si="59"/>
        <v/>
      </c>
      <c r="CM114" s="594"/>
      <c r="CN114" s="594"/>
      <c r="CO114" s="594"/>
      <c r="CP114" s="594"/>
      <c r="CQ114" s="594"/>
      <c r="CR114" s="594"/>
    </row>
    <row r="115" spans="1:96" s="13" customFormat="1" ht="13.75" customHeight="1">
      <c r="A115" s="137">
        <v>100</v>
      </c>
      <c r="B115" s="138"/>
      <c r="C115" s="139"/>
      <c r="D115" s="140"/>
      <c r="E115" s="139"/>
      <c r="F115" s="139"/>
      <c r="G115" s="191"/>
      <c r="H115" s="139"/>
      <c r="I115" s="141"/>
      <c r="J115" s="142"/>
      <c r="K115" s="139"/>
      <c r="L115" s="147"/>
      <c r="M115" s="148"/>
      <c r="N115" s="139"/>
      <c r="O115" s="589"/>
      <c r="P115" s="229" t="str">
        <f t="shared" si="51"/>
        <v/>
      </c>
      <c r="Q115" s="229" t="str">
        <f t="shared" si="52"/>
        <v/>
      </c>
      <c r="R115" s="230" t="str">
        <f t="shared" si="53"/>
        <v/>
      </c>
      <c r="S115" s="230" t="str">
        <f t="shared" si="54"/>
        <v/>
      </c>
      <c r="T115" s="351"/>
      <c r="U115" s="43"/>
      <c r="V115" s="42" t="str">
        <f t="shared" si="30"/>
        <v/>
      </c>
      <c r="W115" s="42" t="e">
        <f>IF(#REF!="","",#REF!)</f>
        <v>#REF!</v>
      </c>
      <c r="X115" s="31" t="str">
        <f t="shared" si="31"/>
        <v/>
      </c>
      <c r="Y115" s="7" t="e">
        <f t="shared" si="32"/>
        <v>#N/A</v>
      </c>
      <c r="Z115" s="7" t="e">
        <f t="shared" si="33"/>
        <v>#N/A</v>
      </c>
      <c r="AA115" s="7" t="e">
        <f t="shared" si="34"/>
        <v>#N/A</v>
      </c>
      <c r="AB115" s="7" t="str">
        <f t="shared" si="35"/>
        <v/>
      </c>
      <c r="AC115" s="11">
        <f t="shared" si="36"/>
        <v>1</v>
      </c>
      <c r="AD115" s="7" t="e">
        <f t="shared" si="37"/>
        <v>#N/A</v>
      </c>
      <c r="AE115" s="7" t="e">
        <f t="shared" si="38"/>
        <v>#N/A</v>
      </c>
      <c r="AF115" s="7" t="e">
        <f t="shared" si="39"/>
        <v>#N/A</v>
      </c>
      <c r="AG115" s="472" t="e">
        <f>VLOOKUP(AI115,'排出係数(2017)'!$A$4:$I$1151,9,FALSE)</f>
        <v>#N/A</v>
      </c>
      <c r="AH115" s="12" t="str">
        <f t="shared" si="40"/>
        <v xml:space="preserve"> </v>
      </c>
      <c r="AI115" s="7" t="e">
        <f t="shared" si="55"/>
        <v>#N/A</v>
      </c>
      <c r="AJ115" s="7" t="e">
        <f t="shared" si="41"/>
        <v>#N/A</v>
      </c>
      <c r="AK115" s="472" t="e">
        <f>VLOOKUP(AI115,'排出係数(2017)'!$A$4:$I$1151,6,FALSE)</f>
        <v>#N/A</v>
      </c>
      <c r="AL115" s="7" t="e">
        <f t="shared" si="42"/>
        <v>#N/A</v>
      </c>
      <c r="AM115" s="7" t="e">
        <f t="shared" si="43"/>
        <v>#N/A</v>
      </c>
      <c r="AN115" s="472" t="e">
        <f>VLOOKUP(AI115,'排出係数(2017)'!$A$4:$I$1151,7,FALSE)</f>
        <v>#N/A</v>
      </c>
      <c r="AO115" s="7" t="e">
        <f t="shared" si="44"/>
        <v>#N/A</v>
      </c>
      <c r="AP115" s="7" t="e">
        <f t="shared" si="45"/>
        <v>#N/A</v>
      </c>
      <c r="AQ115" s="7" t="e">
        <f t="shared" si="56"/>
        <v>#N/A</v>
      </c>
      <c r="AR115" s="7">
        <f t="shared" si="46"/>
        <v>0</v>
      </c>
      <c r="AS115" s="7" t="e">
        <f t="shared" si="57"/>
        <v>#N/A</v>
      </c>
      <c r="AT115" s="7" t="str">
        <f t="shared" si="47"/>
        <v/>
      </c>
      <c r="AU115" s="7" t="str">
        <f t="shared" si="48"/>
        <v/>
      </c>
      <c r="AV115" s="7" t="str">
        <f t="shared" si="49"/>
        <v/>
      </c>
      <c r="AW115" s="7" t="str">
        <f t="shared" si="50"/>
        <v/>
      </c>
      <c r="AX115" s="97"/>
      <c r="BD115" s="453" t="s">
        <v>1490</v>
      </c>
      <c r="CG115"/>
      <c r="CH115"/>
      <c r="CK115" s="592" t="str">
        <f t="shared" si="58"/>
        <v/>
      </c>
      <c r="CL115" s="421" t="str">
        <f t="shared" si="59"/>
        <v/>
      </c>
      <c r="CM115" s="594"/>
      <c r="CN115" s="594"/>
      <c r="CO115" s="594"/>
      <c r="CP115" s="594"/>
      <c r="CQ115" s="594"/>
      <c r="CR115" s="594"/>
    </row>
    <row r="116" spans="1:96" s="13" customFormat="1" ht="13.75" customHeight="1">
      <c r="A116" s="137">
        <v>101</v>
      </c>
      <c r="B116" s="138"/>
      <c r="C116" s="139"/>
      <c r="D116" s="140"/>
      <c r="E116" s="139"/>
      <c r="F116" s="139"/>
      <c r="G116" s="191"/>
      <c r="H116" s="139"/>
      <c r="I116" s="141"/>
      <c r="J116" s="142"/>
      <c r="K116" s="139"/>
      <c r="L116" s="147"/>
      <c r="M116" s="148"/>
      <c r="N116" s="139"/>
      <c r="O116" s="589"/>
      <c r="P116" s="229" t="str">
        <f t="shared" si="51"/>
        <v/>
      </c>
      <c r="Q116" s="229" t="str">
        <f t="shared" si="52"/>
        <v/>
      </c>
      <c r="R116" s="230" t="str">
        <f t="shared" si="53"/>
        <v/>
      </c>
      <c r="S116" s="230" t="str">
        <f t="shared" si="54"/>
        <v/>
      </c>
      <c r="T116" s="351"/>
      <c r="U116" s="43"/>
      <c r="V116" s="42" t="str">
        <f t="shared" si="30"/>
        <v/>
      </c>
      <c r="W116" s="42" t="e">
        <f>IF(#REF!="","",#REF!)</f>
        <v>#REF!</v>
      </c>
      <c r="X116" s="31" t="str">
        <f t="shared" si="31"/>
        <v/>
      </c>
      <c r="Y116" s="7" t="e">
        <f t="shared" si="32"/>
        <v>#N/A</v>
      </c>
      <c r="Z116" s="7" t="e">
        <f t="shared" si="33"/>
        <v>#N/A</v>
      </c>
      <c r="AA116" s="7" t="e">
        <f t="shared" si="34"/>
        <v>#N/A</v>
      </c>
      <c r="AB116" s="7" t="str">
        <f t="shared" si="35"/>
        <v/>
      </c>
      <c r="AC116" s="11">
        <f t="shared" si="36"/>
        <v>1</v>
      </c>
      <c r="AD116" s="7" t="e">
        <f t="shared" si="37"/>
        <v>#N/A</v>
      </c>
      <c r="AE116" s="7" t="e">
        <f t="shared" si="38"/>
        <v>#N/A</v>
      </c>
      <c r="AF116" s="7" t="e">
        <f t="shared" si="39"/>
        <v>#N/A</v>
      </c>
      <c r="AG116" s="472" t="e">
        <f>VLOOKUP(AI116,'排出係数(2017)'!$A$4:$I$1151,9,FALSE)</f>
        <v>#N/A</v>
      </c>
      <c r="AH116" s="12" t="str">
        <f t="shared" si="40"/>
        <v xml:space="preserve"> </v>
      </c>
      <c r="AI116" s="7" t="e">
        <f t="shared" si="55"/>
        <v>#N/A</v>
      </c>
      <c r="AJ116" s="7" t="e">
        <f t="shared" si="41"/>
        <v>#N/A</v>
      </c>
      <c r="AK116" s="472" t="e">
        <f>VLOOKUP(AI116,'排出係数(2017)'!$A$4:$I$1151,6,FALSE)</f>
        <v>#N/A</v>
      </c>
      <c r="AL116" s="7" t="e">
        <f t="shared" si="42"/>
        <v>#N/A</v>
      </c>
      <c r="AM116" s="7" t="e">
        <f t="shared" si="43"/>
        <v>#N/A</v>
      </c>
      <c r="AN116" s="472" t="e">
        <f>VLOOKUP(AI116,'排出係数(2017)'!$A$4:$I$1151,7,FALSE)</f>
        <v>#N/A</v>
      </c>
      <c r="AO116" s="7" t="e">
        <f t="shared" si="44"/>
        <v>#N/A</v>
      </c>
      <c r="AP116" s="7" t="e">
        <f t="shared" si="45"/>
        <v>#N/A</v>
      </c>
      <c r="AQ116" s="7" t="e">
        <f t="shared" si="56"/>
        <v>#N/A</v>
      </c>
      <c r="AR116" s="7">
        <f t="shared" si="46"/>
        <v>0</v>
      </c>
      <c r="AS116" s="7" t="e">
        <f t="shared" si="57"/>
        <v>#N/A</v>
      </c>
      <c r="AT116" s="7" t="str">
        <f t="shared" si="47"/>
        <v/>
      </c>
      <c r="AU116" s="7" t="str">
        <f t="shared" si="48"/>
        <v/>
      </c>
      <c r="AV116" s="7" t="str">
        <f t="shared" si="49"/>
        <v/>
      </c>
      <c r="AW116" s="7" t="str">
        <f t="shared" si="50"/>
        <v/>
      </c>
      <c r="AX116" s="97"/>
      <c r="BD116" s="453" t="s">
        <v>2111</v>
      </c>
      <c r="CG116"/>
      <c r="CH116"/>
      <c r="CK116" s="592" t="str">
        <f t="shared" si="58"/>
        <v/>
      </c>
      <c r="CL116" s="421" t="str">
        <f t="shared" si="59"/>
        <v/>
      </c>
      <c r="CM116" s="594"/>
      <c r="CN116" s="594"/>
      <c r="CO116" s="594"/>
      <c r="CP116" s="594"/>
      <c r="CQ116" s="594"/>
      <c r="CR116" s="594"/>
    </row>
    <row r="117" spans="1:96" s="13" customFormat="1" ht="13.75" customHeight="1">
      <c r="A117" s="137">
        <v>102</v>
      </c>
      <c r="B117" s="138"/>
      <c r="C117" s="139"/>
      <c r="D117" s="140"/>
      <c r="E117" s="139"/>
      <c r="F117" s="139"/>
      <c r="G117" s="191"/>
      <c r="H117" s="139"/>
      <c r="I117" s="141"/>
      <c r="J117" s="142"/>
      <c r="K117" s="139"/>
      <c r="L117" s="147"/>
      <c r="M117" s="148"/>
      <c r="N117" s="139"/>
      <c r="O117" s="589"/>
      <c r="P117" s="229" t="str">
        <f t="shared" si="51"/>
        <v/>
      </c>
      <c r="Q117" s="229" t="str">
        <f t="shared" si="52"/>
        <v/>
      </c>
      <c r="R117" s="230" t="str">
        <f t="shared" si="53"/>
        <v/>
      </c>
      <c r="S117" s="230" t="str">
        <f t="shared" si="54"/>
        <v/>
      </c>
      <c r="T117" s="351"/>
      <c r="U117" s="43"/>
      <c r="V117" s="42" t="str">
        <f t="shared" si="30"/>
        <v/>
      </c>
      <c r="W117" s="42" t="e">
        <f>IF(#REF!="","",#REF!)</f>
        <v>#REF!</v>
      </c>
      <c r="X117" s="31" t="str">
        <f t="shared" si="31"/>
        <v/>
      </c>
      <c r="Y117" s="7" t="e">
        <f t="shared" si="32"/>
        <v>#N/A</v>
      </c>
      <c r="Z117" s="7" t="e">
        <f t="shared" si="33"/>
        <v>#N/A</v>
      </c>
      <c r="AA117" s="7" t="e">
        <f t="shared" si="34"/>
        <v>#N/A</v>
      </c>
      <c r="AB117" s="7" t="str">
        <f t="shared" si="35"/>
        <v/>
      </c>
      <c r="AC117" s="11">
        <f t="shared" si="36"/>
        <v>1</v>
      </c>
      <c r="AD117" s="7" t="e">
        <f t="shared" si="37"/>
        <v>#N/A</v>
      </c>
      <c r="AE117" s="7" t="e">
        <f t="shared" si="38"/>
        <v>#N/A</v>
      </c>
      <c r="AF117" s="7" t="e">
        <f t="shared" si="39"/>
        <v>#N/A</v>
      </c>
      <c r="AG117" s="472" t="e">
        <f>VLOOKUP(AI117,'排出係数(2017)'!$A$4:$I$1151,9,FALSE)</f>
        <v>#N/A</v>
      </c>
      <c r="AH117" s="12" t="str">
        <f t="shared" si="40"/>
        <v xml:space="preserve"> </v>
      </c>
      <c r="AI117" s="7" t="e">
        <f t="shared" si="55"/>
        <v>#N/A</v>
      </c>
      <c r="AJ117" s="7" t="e">
        <f t="shared" si="41"/>
        <v>#N/A</v>
      </c>
      <c r="AK117" s="472" t="e">
        <f>VLOOKUP(AI117,'排出係数(2017)'!$A$4:$I$1151,6,FALSE)</f>
        <v>#N/A</v>
      </c>
      <c r="AL117" s="7" t="e">
        <f t="shared" si="42"/>
        <v>#N/A</v>
      </c>
      <c r="AM117" s="7" t="e">
        <f t="shared" si="43"/>
        <v>#N/A</v>
      </c>
      <c r="AN117" s="472" t="e">
        <f>VLOOKUP(AI117,'排出係数(2017)'!$A$4:$I$1151,7,FALSE)</f>
        <v>#N/A</v>
      </c>
      <c r="AO117" s="7" t="e">
        <f t="shared" si="44"/>
        <v>#N/A</v>
      </c>
      <c r="AP117" s="7" t="e">
        <f t="shared" si="45"/>
        <v>#N/A</v>
      </c>
      <c r="AQ117" s="7" t="e">
        <f t="shared" si="56"/>
        <v>#N/A</v>
      </c>
      <c r="AR117" s="7">
        <f t="shared" si="46"/>
        <v>0</v>
      </c>
      <c r="AS117" s="7" t="e">
        <f t="shared" si="57"/>
        <v>#N/A</v>
      </c>
      <c r="AT117" s="7" t="str">
        <f t="shared" si="47"/>
        <v/>
      </c>
      <c r="AU117" s="7" t="str">
        <f t="shared" si="48"/>
        <v/>
      </c>
      <c r="AV117" s="7" t="str">
        <f t="shared" si="49"/>
        <v/>
      </c>
      <c r="AW117" s="7" t="str">
        <f t="shared" si="50"/>
        <v/>
      </c>
      <c r="AX117" s="97"/>
      <c r="BD117" s="453" t="s">
        <v>1985</v>
      </c>
      <c r="CG117"/>
      <c r="CH117"/>
      <c r="CK117" s="592" t="str">
        <f t="shared" si="58"/>
        <v/>
      </c>
      <c r="CL117" s="421" t="str">
        <f t="shared" si="59"/>
        <v/>
      </c>
      <c r="CM117" s="594"/>
      <c r="CN117" s="594"/>
      <c r="CO117" s="594"/>
      <c r="CP117" s="594"/>
      <c r="CQ117" s="594"/>
      <c r="CR117" s="594"/>
    </row>
    <row r="118" spans="1:96" s="13" customFormat="1" ht="13.75" customHeight="1">
      <c r="A118" s="137">
        <v>103</v>
      </c>
      <c r="B118" s="138"/>
      <c r="C118" s="139"/>
      <c r="D118" s="140"/>
      <c r="E118" s="139"/>
      <c r="F118" s="139"/>
      <c r="G118" s="191"/>
      <c r="H118" s="139"/>
      <c r="I118" s="141"/>
      <c r="J118" s="142"/>
      <c r="K118" s="139"/>
      <c r="L118" s="147"/>
      <c r="M118" s="148"/>
      <c r="N118" s="139"/>
      <c r="O118" s="589"/>
      <c r="P118" s="229" t="str">
        <f t="shared" si="51"/>
        <v/>
      </c>
      <c r="Q118" s="229" t="str">
        <f t="shared" si="52"/>
        <v/>
      </c>
      <c r="R118" s="230" t="str">
        <f t="shared" si="53"/>
        <v/>
      </c>
      <c r="S118" s="230" t="str">
        <f t="shared" si="54"/>
        <v/>
      </c>
      <c r="T118" s="351"/>
      <c r="U118" s="43"/>
      <c r="V118" s="42" t="str">
        <f t="shared" si="30"/>
        <v/>
      </c>
      <c r="W118" s="42" t="e">
        <f>IF(#REF!="","",#REF!)</f>
        <v>#REF!</v>
      </c>
      <c r="X118" s="31" t="str">
        <f t="shared" si="31"/>
        <v/>
      </c>
      <c r="Y118" s="7" t="e">
        <f t="shared" si="32"/>
        <v>#N/A</v>
      </c>
      <c r="Z118" s="7" t="e">
        <f t="shared" si="33"/>
        <v>#N/A</v>
      </c>
      <c r="AA118" s="7" t="e">
        <f t="shared" si="34"/>
        <v>#N/A</v>
      </c>
      <c r="AB118" s="7" t="str">
        <f t="shared" si="35"/>
        <v/>
      </c>
      <c r="AC118" s="11">
        <f t="shared" si="36"/>
        <v>1</v>
      </c>
      <c r="AD118" s="7" t="e">
        <f t="shared" si="37"/>
        <v>#N/A</v>
      </c>
      <c r="AE118" s="7" t="e">
        <f t="shared" si="38"/>
        <v>#N/A</v>
      </c>
      <c r="AF118" s="7" t="e">
        <f t="shared" si="39"/>
        <v>#N/A</v>
      </c>
      <c r="AG118" s="472" t="e">
        <f>VLOOKUP(AI118,'排出係数(2017)'!$A$4:$I$1151,9,FALSE)</f>
        <v>#N/A</v>
      </c>
      <c r="AH118" s="12" t="str">
        <f t="shared" si="40"/>
        <v xml:space="preserve"> </v>
      </c>
      <c r="AI118" s="7" t="e">
        <f t="shared" si="55"/>
        <v>#N/A</v>
      </c>
      <c r="AJ118" s="7" t="e">
        <f t="shared" si="41"/>
        <v>#N/A</v>
      </c>
      <c r="AK118" s="472" t="e">
        <f>VLOOKUP(AI118,'排出係数(2017)'!$A$4:$I$1151,6,FALSE)</f>
        <v>#N/A</v>
      </c>
      <c r="AL118" s="7" t="e">
        <f t="shared" si="42"/>
        <v>#N/A</v>
      </c>
      <c r="AM118" s="7" t="e">
        <f t="shared" si="43"/>
        <v>#N/A</v>
      </c>
      <c r="AN118" s="472" t="e">
        <f>VLOOKUP(AI118,'排出係数(2017)'!$A$4:$I$1151,7,FALSE)</f>
        <v>#N/A</v>
      </c>
      <c r="AO118" s="7" t="e">
        <f t="shared" si="44"/>
        <v>#N/A</v>
      </c>
      <c r="AP118" s="7" t="e">
        <f t="shared" si="45"/>
        <v>#N/A</v>
      </c>
      <c r="AQ118" s="7" t="e">
        <f t="shared" si="56"/>
        <v>#N/A</v>
      </c>
      <c r="AR118" s="7">
        <f t="shared" si="46"/>
        <v>0</v>
      </c>
      <c r="AS118" s="7" t="e">
        <f t="shared" si="57"/>
        <v>#N/A</v>
      </c>
      <c r="AT118" s="7" t="str">
        <f t="shared" si="47"/>
        <v/>
      </c>
      <c r="AU118" s="7" t="str">
        <f t="shared" si="48"/>
        <v/>
      </c>
      <c r="AV118" s="7" t="str">
        <f t="shared" si="49"/>
        <v/>
      </c>
      <c r="AW118" s="7" t="str">
        <f t="shared" si="50"/>
        <v/>
      </c>
      <c r="AX118" s="97"/>
      <c r="BD118" s="453" t="s">
        <v>1993</v>
      </c>
      <c r="CG118"/>
      <c r="CH118"/>
      <c r="CK118" s="592" t="str">
        <f t="shared" si="58"/>
        <v/>
      </c>
      <c r="CL118" s="421" t="str">
        <f t="shared" si="59"/>
        <v/>
      </c>
      <c r="CM118" s="594"/>
      <c r="CN118" s="594"/>
      <c r="CO118" s="594"/>
      <c r="CP118" s="594"/>
      <c r="CQ118" s="594"/>
      <c r="CR118" s="594"/>
    </row>
    <row r="119" spans="1:96" s="13" customFormat="1" ht="13.75" customHeight="1">
      <c r="A119" s="137">
        <v>104</v>
      </c>
      <c r="B119" s="138"/>
      <c r="C119" s="139"/>
      <c r="D119" s="140"/>
      <c r="E119" s="139"/>
      <c r="F119" s="139"/>
      <c r="G119" s="191"/>
      <c r="H119" s="139"/>
      <c r="I119" s="141"/>
      <c r="J119" s="142"/>
      <c r="K119" s="139"/>
      <c r="L119" s="147"/>
      <c r="M119" s="148"/>
      <c r="N119" s="139"/>
      <c r="O119" s="589"/>
      <c r="P119" s="229" t="str">
        <f t="shared" si="51"/>
        <v/>
      </c>
      <c r="Q119" s="229" t="str">
        <f t="shared" si="52"/>
        <v/>
      </c>
      <c r="R119" s="230" t="str">
        <f t="shared" si="53"/>
        <v/>
      </c>
      <c r="S119" s="230" t="str">
        <f t="shared" si="54"/>
        <v/>
      </c>
      <c r="T119" s="351"/>
      <c r="U119" s="43"/>
      <c r="V119" s="42" t="str">
        <f t="shared" si="30"/>
        <v/>
      </c>
      <c r="W119" s="42" t="e">
        <f>IF(#REF!="","",#REF!)</f>
        <v>#REF!</v>
      </c>
      <c r="X119" s="31" t="str">
        <f t="shared" si="31"/>
        <v/>
      </c>
      <c r="Y119" s="7" t="e">
        <f t="shared" si="32"/>
        <v>#N/A</v>
      </c>
      <c r="Z119" s="7" t="e">
        <f t="shared" si="33"/>
        <v>#N/A</v>
      </c>
      <c r="AA119" s="7" t="e">
        <f t="shared" si="34"/>
        <v>#N/A</v>
      </c>
      <c r="AB119" s="7" t="str">
        <f t="shared" si="35"/>
        <v/>
      </c>
      <c r="AC119" s="11">
        <f t="shared" si="36"/>
        <v>1</v>
      </c>
      <c r="AD119" s="7" t="e">
        <f t="shared" si="37"/>
        <v>#N/A</v>
      </c>
      <c r="AE119" s="7" t="e">
        <f t="shared" si="38"/>
        <v>#N/A</v>
      </c>
      <c r="AF119" s="7" t="e">
        <f t="shared" si="39"/>
        <v>#N/A</v>
      </c>
      <c r="AG119" s="472" t="e">
        <f>VLOOKUP(AI119,'排出係数(2017)'!$A$4:$I$1151,9,FALSE)</f>
        <v>#N/A</v>
      </c>
      <c r="AH119" s="12" t="str">
        <f t="shared" si="40"/>
        <v xml:space="preserve"> </v>
      </c>
      <c r="AI119" s="7" t="e">
        <f t="shared" si="55"/>
        <v>#N/A</v>
      </c>
      <c r="AJ119" s="7" t="e">
        <f t="shared" si="41"/>
        <v>#N/A</v>
      </c>
      <c r="AK119" s="472" t="e">
        <f>VLOOKUP(AI119,'排出係数(2017)'!$A$4:$I$1151,6,FALSE)</f>
        <v>#N/A</v>
      </c>
      <c r="AL119" s="7" t="e">
        <f t="shared" si="42"/>
        <v>#N/A</v>
      </c>
      <c r="AM119" s="7" t="e">
        <f t="shared" si="43"/>
        <v>#N/A</v>
      </c>
      <c r="AN119" s="472" t="e">
        <f>VLOOKUP(AI119,'排出係数(2017)'!$A$4:$I$1151,7,FALSE)</f>
        <v>#N/A</v>
      </c>
      <c r="AO119" s="7" t="e">
        <f t="shared" si="44"/>
        <v>#N/A</v>
      </c>
      <c r="AP119" s="7" t="e">
        <f t="shared" si="45"/>
        <v>#N/A</v>
      </c>
      <c r="AQ119" s="7" t="e">
        <f t="shared" si="56"/>
        <v>#N/A</v>
      </c>
      <c r="AR119" s="7">
        <f t="shared" si="46"/>
        <v>0</v>
      </c>
      <c r="AS119" s="7" t="e">
        <f t="shared" si="57"/>
        <v>#N/A</v>
      </c>
      <c r="AT119" s="7" t="str">
        <f t="shared" si="47"/>
        <v/>
      </c>
      <c r="AU119" s="7" t="str">
        <f t="shared" si="48"/>
        <v/>
      </c>
      <c r="AV119" s="7" t="str">
        <f t="shared" si="49"/>
        <v/>
      </c>
      <c r="AW119" s="7" t="str">
        <f t="shared" si="50"/>
        <v/>
      </c>
      <c r="AX119" s="97"/>
      <c r="BD119" s="453" t="s">
        <v>1494</v>
      </c>
      <c r="CG119"/>
      <c r="CH119"/>
      <c r="CK119" s="592" t="str">
        <f t="shared" si="58"/>
        <v/>
      </c>
      <c r="CL119" s="421" t="str">
        <f t="shared" si="59"/>
        <v/>
      </c>
      <c r="CM119" s="594"/>
      <c r="CN119" s="594"/>
      <c r="CO119" s="594"/>
      <c r="CP119" s="594"/>
      <c r="CQ119" s="594"/>
      <c r="CR119" s="594"/>
    </row>
    <row r="120" spans="1:96" s="13" customFormat="1" ht="13.75" customHeight="1">
      <c r="A120" s="137">
        <v>105</v>
      </c>
      <c r="B120" s="138"/>
      <c r="C120" s="139"/>
      <c r="D120" s="140"/>
      <c r="E120" s="139"/>
      <c r="F120" s="139"/>
      <c r="G120" s="191"/>
      <c r="H120" s="139"/>
      <c r="I120" s="141"/>
      <c r="J120" s="142"/>
      <c r="K120" s="139"/>
      <c r="L120" s="147"/>
      <c r="M120" s="148"/>
      <c r="N120" s="139"/>
      <c r="O120" s="589"/>
      <c r="P120" s="229" t="str">
        <f t="shared" si="51"/>
        <v/>
      </c>
      <c r="Q120" s="229" t="str">
        <f t="shared" si="52"/>
        <v/>
      </c>
      <c r="R120" s="230" t="str">
        <f t="shared" si="53"/>
        <v/>
      </c>
      <c r="S120" s="230" t="str">
        <f t="shared" si="54"/>
        <v/>
      </c>
      <c r="T120" s="351"/>
      <c r="U120" s="43"/>
      <c r="V120" s="42" t="str">
        <f t="shared" si="30"/>
        <v/>
      </c>
      <c r="W120" s="42" t="e">
        <f>IF(#REF!="","",#REF!)</f>
        <v>#REF!</v>
      </c>
      <c r="X120" s="31" t="str">
        <f t="shared" si="31"/>
        <v/>
      </c>
      <c r="Y120" s="7" t="e">
        <f t="shared" si="32"/>
        <v>#N/A</v>
      </c>
      <c r="Z120" s="7" t="e">
        <f t="shared" si="33"/>
        <v>#N/A</v>
      </c>
      <c r="AA120" s="7" t="e">
        <f t="shared" si="34"/>
        <v>#N/A</v>
      </c>
      <c r="AB120" s="7" t="str">
        <f t="shared" si="35"/>
        <v/>
      </c>
      <c r="AC120" s="11">
        <f t="shared" si="36"/>
        <v>1</v>
      </c>
      <c r="AD120" s="7" t="e">
        <f t="shared" si="37"/>
        <v>#N/A</v>
      </c>
      <c r="AE120" s="7" t="e">
        <f t="shared" si="38"/>
        <v>#N/A</v>
      </c>
      <c r="AF120" s="7" t="e">
        <f t="shared" si="39"/>
        <v>#N/A</v>
      </c>
      <c r="AG120" s="472" t="e">
        <f>VLOOKUP(AI120,'排出係数(2017)'!$A$4:$I$1151,9,FALSE)</f>
        <v>#N/A</v>
      </c>
      <c r="AH120" s="12" t="str">
        <f t="shared" si="40"/>
        <v xml:space="preserve"> </v>
      </c>
      <c r="AI120" s="7" t="e">
        <f t="shared" si="55"/>
        <v>#N/A</v>
      </c>
      <c r="AJ120" s="7" t="e">
        <f t="shared" si="41"/>
        <v>#N/A</v>
      </c>
      <c r="AK120" s="472" t="e">
        <f>VLOOKUP(AI120,'排出係数(2017)'!$A$4:$I$1151,6,FALSE)</f>
        <v>#N/A</v>
      </c>
      <c r="AL120" s="7" t="e">
        <f t="shared" si="42"/>
        <v>#N/A</v>
      </c>
      <c r="AM120" s="7" t="e">
        <f t="shared" si="43"/>
        <v>#N/A</v>
      </c>
      <c r="AN120" s="472" t="e">
        <f>VLOOKUP(AI120,'排出係数(2017)'!$A$4:$I$1151,7,FALSE)</f>
        <v>#N/A</v>
      </c>
      <c r="AO120" s="7" t="e">
        <f t="shared" si="44"/>
        <v>#N/A</v>
      </c>
      <c r="AP120" s="7" t="e">
        <f t="shared" si="45"/>
        <v>#N/A</v>
      </c>
      <c r="AQ120" s="7" t="e">
        <f t="shared" si="56"/>
        <v>#N/A</v>
      </c>
      <c r="AR120" s="7">
        <f t="shared" si="46"/>
        <v>0</v>
      </c>
      <c r="AS120" s="7" t="e">
        <f t="shared" si="57"/>
        <v>#N/A</v>
      </c>
      <c r="AT120" s="7" t="str">
        <f t="shared" si="47"/>
        <v/>
      </c>
      <c r="AU120" s="7" t="str">
        <f t="shared" si="48"/>
        <v/>
      </c>
      <c r="AV120" s="7" t="str">
        <f t="shared" si="49"/>
        <v/>
      </c>
      <c r="AW120" s="7" t="str">
        <f t="shared" si="50"/>
        <v/>
      </c>
      <c r="AX120" s="97"/>
      <c r="BD120" s="453" t="s">
        <v>2112</v>
      </c>
      <c r="CG120"/>
      <c r="CH120"/>
      <c r="CK120" s="592" t="str">
        <f t="shared" si="58"/>
        <v/>
      </c>
      <c r="CL120" s="421" t="str">
        <f t="shared" si="59"/>
        <v/>
      </c>
      <c r="CM120" s="594"/>
      <c r="CN120" s="594"/>
      <c r="CO120" s="594"/>
      <c r="CP120" s="594"/>
      <c r="CQ120" s="594"/>
      <c r="CR120" s="594"/>
    </row>
    <row r="121" spans="1:96" s="13" customFormat="1" ht="13.75" customHeight="1">
      <c r="A121" s="137">
        <v>106</v>
      </c>
      <c r="B121" s="138"/>
      <c r="C121" s="139"/>
      <c r="D121" s="140"/>
      <c r="E121" s="139"/>
      <c r="F121" s="139"/>
      <c r="G121" s="191"/>
      <c r="H121" s="139"/>
      <c r="I121" s="141"/>
      <c r="J121" s="142"/>
      <c r="K121" s="139"/>
      <c r="L121" s="147"/>
      <c r="M121" s="148"/>
      <c r="N121" s="139"/>
      <c r="O121" s="589"/>
      <c r="P121" s="229" t="str">
        <f t="shared" si="51"/>
        <v/>
      </c>
      <c r="Q121" s="229" t="str">
        <f t="shared" si="52"/>
        <v/>
      </c>
      <c r="R121" s="230" t="str">
        <f t="shared" si="53"/>
        <v/>
      </c>
      <c r="S121" s="230" t="str">
        <f t="shared" si="54"/>
        <v/>
      </c>
      <c r="T121" s="351"/>
      <c r="U121" s="43"/>
      <c r="V121" s="42" t="str">
        <f t="shared" si="30"/>
        <v/>
      </c>
      <c r="W121" s="42" t="e">
        <f>IF(#REF!="","",#REF!)</f>
        <v>#REF!</v>
      </c>
      <c r="X121" s="31" t="str">
        <f t="shared" si="31"/>
        <v/>
      </c>
      <c r="Y121" s="7" t="e">
        <f t="shared" si="32"/>
        <v>#N/A</v>
      </c>
      <c r="Z121" s="7" t="e">
        <f t="shared" si="33"/>
        <v>#N/A</v>
      </c>
      <c r="AA121" s="7" t="e">
        <f t="shared" si="34"/>
        <v>#N/A</v>
      </c>
      <c r="AB121" s="7" t="str">
        <f t="shared" si="35"/>
        <v/>
      </c>
      <c r="AC121" s="11">
        <f t="shared" si="36"/>
        <v>1</v>
      </c>
      <c r="AD121" s="7" t="e">
        <f t="shared" si="37"/>
        <v>#N/A</v>
      </c>
      <c r="AE121" s="7" t="e">
        <f t="shared" si="38"/>
        <v>#N/A</v>
      </c>
      <c r="AF121" s="7" t="e">
        <f t="shared" si="39"/>
        <v>#N/A</v>
      </c>
      <c r="AG121" s="472" t="e">
        <f>VLOOKUP(AI121,'排出係数(2017)'!$A$4:$I$1151,9,FALSE)</f>
        <v>#N/A</v>
      </c>
      <c r="AH121" s="12" t="str">
        <f t="shared" si="40"/>
        <v xml:space="preserve"> </v>
      </c>
      <c r="AI121" s="7" t="e">
        <f t="shared" si="55"/>
        <v>#N/A</v>
      </c>
      <c r="AJ121" s="7" t="e">
        <f t="shared" si="41"/>
        <v>#N/A</v>
      </c>
      <c r="AK121" s="472" t="e">
        <f>VLOOKUP(AI121,'排出係数(2017)'!$A$4:$I$1151,6,FALSE)</f>
        <v>#N/A</v>
      </c>
      <c r="AL121" s="7" t="e">
        <f t="shared" si="42"/>
        <v>#N/A</v>
      </c>
      <c r="AM121" s="7" t="e">
        <f t="shared" si="43"/>
        <v>#N/A</v>
      </c>
      <c r="AN121" s="472" t="e">
        <f>VLOOKUP(AI121,'排出係数(2017)'!$A$4:$I$1151,7,FALSE)</f>
        <v>#N/A</v>
      </c>
      <c r="AO121" s="7" t="e">
        <f t="shared" si="44"/>
        <v>#N/A</v>
      </c>
      <c r="AP121" s="7" t="e">
        <f t="shared" si="45"/>
        <v>#N/A</v>
      </c>
      <c r="AQ121" s="7" t="e">
        <f t="shared" si="56"/>
        <v>#N/A</v>
      </c>
      <c r="AR121" s="7">
        <f t="shared" si="46"/>
        <v>0</v>
      </c>
      <c r="AS121" s="7" t="e">
        <f t="shared" si="57"/>
        <v>#N/A</v>
      </c>
      <c r="AT121" s="7" t="str">
        <f t="shared" si="47"/>
        <v/>
      </c>
      <c r="AU121" s="7" t="str">
        <f t="shared" si="48"/>
        <v/>
      </c>
      <c r="AV121" s="7" t="str">
        <f t="shared" si="49"/>
        <v/>
      </c>
      <c r="AW121" s="7" t="str">
        <f t="shared" si="50"/>
        <v/>
      </c>
      <c r="AX121" s="97"/>
      <c r="BD121" s="453" t="s">
        <v>1986</v>
      </c>
      <c r="CG121"/>
      <c r="CH121"/>
      <c r="CK121" s="592" t="str">
        <f t="shared" si="58"/>
        <v/>
      </c>
      <c r="CL121" s="421" t="str">
        <f t="shared" si="59"/>
        <v/>
      </c>
      <c r="CM121" s="594"/>
      <c r="CN121" s="594"/>
      <c r="CO121" s="594"/>
      <c r="CP121" s="594"/>
      <c r="CQ121" s="594"/>
      <c r="CR121" s="594"/>
    </row>
    <row r="122" spans="1:96" s="13" customFormat="1" ht="13.75" customHeight="1">
      <c r="A122" s="137">
        <v>107</v>
      </c>
      <c r="B122" s="138"/>
      <c r="C122" s="139"/>
      <c r="D122" s="140"/>
      <c r="E122" s="139"/>
      <c r="F122" s="139"/>
      <c r="G122" s="191"/>
      <c r="H122" s="139"/>
      <c r="I122" s="141"/>
      <c r="J122" s="142"/>
      <c r="K122" s="139"/>
      <c r="L122" s="147"/>
      <c r="M122" s="148"/>
      <c r="N122" s="139"/>
      <c r="O122" s="589"/>
      <c r="P122" s="229" t="str">
        <f t="shared" si="51"/>
        <v/>
      </c>
      <c r="Q122" s="229" t="str">
        <f t="shared" si="52"/>
        <v/>
      </c>
      <c r="R122" s="230" t="str">
        <f t="shared" si="53"/>
        <v/>
      </c>
      <c r="S122" s="230" t="str">
        <f t="shared" si="54"/>
        <v/>
      </c>
      <c r="T122" s="351"/>
      <c r="U122" s="43"/>
      <c r="V122" s="42" t="str">
        <f t="shared" si="30"/>
        <v/>
      </c>
      <c r="W122" s="42" t="e">
        <f>IF(#REF!="","",#REF!)</f>
        <v>#REF!</v>
      </c>
      <c r="X122" s="31" t="str">
        <f t="shared" si="31"/>
        <v/>
      </c>
      <c r="Y122" s="7" t="e">
        <f t="shared" si="32"/>
        <v>#N/A</v>
      </c>
      <c r="Z122" s="7" t="e">
        <f t="shared" si="33"/>
        <v>#N/A</v>
      </c>
      <c r="AA122" s="7" t="e">
        <f t="shared" si="34"/>
        <v>#N/A</v>
      </c>
      <c r="AB122" s="7" t="str">
        <f t="shared" si="35"/>
        <v/>
      </c>
      <c r="AC122" s="11">
        <f t="shared" si="36"/>
        <v>1</v>
      </c>
      <c r="AD122" s="7" t="e">
        <f t="shared" si="37"/>
        <v>#N/A</v>
      </c>
      <c r="AE122" s="7" t="e">
        <f t="shared" si="38"/>
        <v>#N/A</v>
      </c>
      <c r="AF122" s="7" t="e">
        <f t="shared" si="39"/>
        <v>#N/A</v>
      </c>
      <c r="AG122" s="472" t="e">
        <f>VLOOKUP(AI122,'排出係数(2017)'!$A$4:$I$1151,9,FALSE)</f>
        <v>#N/A</v>
      </c>
      <c r="AH122" s="12" t="str">
        <f t="shared" si="40"/>
        <v xml:space="preserve"> </v>
      </c>
      <c r="AI122" s="7" t="e">
        <f t="shared" si="55"/>
        <v>#N/A</v>
      </c>
      <c r="AJ122" s="7" t="e">
        <f t="shared" si="41"/>
        <v>#N/A</v>
      </c>
      <c r="AK122" s="472" t="e">
        <f>VLOOKUP(AI122,'排出係数(2017)'!$A$4:$I$1151,6,FALSE)</f>
        <v>#N/A</v>
      </c>
      <c r="AL122" s="7" t="e">
        <f t="shared" si="42"/>
        <v>#N/A</v>
      </c>
      <c r="AM122" s="7" t="e">
        <f t="shared" si="43"/>
        <v>#N/A</v>
      </c>
      <c r="AN122" s="472" t="e">
        <f>VLOOKUP(AI122,'排出係数(2017)'!$A$4:$I$1151,7,FALSE)</f>
        <v>#N/A</v>
      </c>
      <c r="AO122" s="7" t="e">
        <f t="shared" si="44"/>
        <v>#N/A</v>
      </c>
      <c r="AP122" s="7" t="e">
        <f t="shared" si="45"/>
        <v>#N/A</v>
      </c>
      <c r="AQ122" s="7" t="e">
        <f t="shared" si="56"/>
        <v>#N/A</v>
      </c>
      <c r="AR122" s="7">
        <f t="shared" si="46"/>
        <v>0</v>
      </c>
      <c r="AS122" s="7" t="e">
        <f t="shared" si="57"/>
        <v>#N/A</v>
      </c>
      <c r="AT122" s="7" t="str">
        <f t="shared" si="47"/>
        <v/>
      </c>
      <c r="AU122" s="7" t="str">
        <f t="shared" si="48"/>
        <v/>
      </c>
      <c r="AV122" s="7" t="str">
        <f t="shared" si="49"/>
        <v/>
      </c>
      <c r="AW122" s="7" t="str">
        <f t="shared" si="50"/>
        <v/>
      </c>
      <c r="AX122" s="97"/>
      <c r="BD122" s="453" t="s">
        <v>1994</v>
      </c>
      <c r="CG122"/>
      <c r="CH122"/>
      <c r="CK122" s="592" t="str">
        <f t="shared" si="58"/>
        <v/>
      </c>
      <c r="CL122" s="421" t="str">
        <f t="shared" si="59"/>
        <v/>
      </c>
      <c r="CM122" s="594"/>
      <c r="CN122" s="594"/>
      <c r="CO122" s="594"/>
      <c r="CP122" s="594"/>
      <c r="CQ122" s="594"/>
      <c r="CR122" s="594"/>
    </row>
    <row r="123" spans="1:96" s="13" customFormat="1" ht="13.75" customHeight="1">
      <c r="A123" s="137">
        <v>108</v>
      </c>
      <c r="B123" s="138"/>
      <c r="C123" s="139"/>
      <c r="D123" s="140"/>
      <c r="E123" s="139"/>
      <c r="F123" s="139"/>
      <c r="G123" s="191"/>
      <c r="H123" s="139"/>
      <c r="I123" s="141"/>
      <c r="J123" s="142"/>
      <c r="K123" s="139"/>
      <c r="L123" s="147"/>
      <c r="M123" s="148"/>
      <c r="N123" s="139"/>
      <c r="O123" s="589"/>
      <c r="P123" s="229" t="str">
        <f t="shared" si="51"/>
        <v/>
      </c>
      <c r="Q123" s="229" t="str">
        <f t="shared" si="52"/>
        <v/>
      </c>
      <c r="R123" s="230" t="str">
        <f t="shared" si="53"/>
        <v/>
      </c>
      <c r="S123" s="230" t="str">
        <f t="shared" si="54"/>
        <v/>
      </c>
      <c r="T123" s="351"/>
      <c r="U123" s="43"/>
      <c r="V123" s="42" t="str">
        <f t="shared" si="30"/>
        <v/>
      </c>
      <c r="W123" s="42" t="e">
        <f>IF(#REF!="","",#REF!)</f>
        <v>#REF!</v>
      </c>
      <c r="X123" s="31" t="str">
        <f t="shared" si="31"/>
        <v/>
      </c>
      <c r="Y123" s="7" t="e">
        <f t="shared" si="32"/>
        <v>#N/A</v>
      </c>
      <c r="Z123" s="7" t="e">
        <f t="shared" si="33"/>
        <v>#N/A</v>
      </c>
      <c r="AA123" s="7" t="e">
        <f t="shared" si="34"/>
        <v>#N/A</v>
      </c>
      <c r="AB123" s="7" t="str">
        <f t="shared" si="35"/>
        <v/>
      </c>
      <c r="AC123" s="11">
        <f t="shared" si="36"/>
        <v>1</v>
      </c>
      <c r="AD123" s="7" t="e">
        <f t="shared" si="37"/>
        <v>#N/A</v>
      </c>
      <c r="AE123" s="7" t="e">
        <f t="shared" si="38"/>
        <v>#N/A</v>
      </c>
      <c r="AF123" s="7" t="e">
        <f t="shared" si="39"/>
        <v>#N/A</v>
      </c>
      <c r="AG123" s="472" t="e">
        <f>VLOOKUP(AI123,'排出係数(2017)'!$A$4:$I$1151,9,FALSE)</f>
        <v>#N/A</v>
      </c>
      <c r="AH123" s="12" t="str">
        <f t="shared" si="40"/>
        <v xml:space="preserve"> </v>
      </c>
      <c r="AI123" s="7" t="e">
        <f t="shared" si="55"/>
        <v>#N/A</v>
      </c>
      <c r="AJ123" s="7" t="e">
        <f t="shared" si="41"/>
        <v>#N/A</v>
      </c>
      <c r="AK123" s="472" t="e">
        <f>VLOOKUP(AI123,'排出係数(2017)'!$A$4:$I$1151,6,FALSE)</f>
        <v>#N/A</v>
      </c>
      <c r="AL123" s="7" t="e">
        <f t="shared" si="42"/>
        <v>#N/A</v>
      </c>
      <c r="AM123" s="7" t="e">
        <f t="shared" si="43"/>
        <v>#N/A</v>
      </c>
      <c r="AN123" s="472" t="e">
        <f>VLOOKUP(AI123,'排出係数(2017)'!$A$4:$I$1151,7,FALSE)</f>
        <v>#N/A</v>
      </c>
      <c r="AO123" s="7" t="e">
        <f t="shared" si="44"/>
        <v>#N/A</v>
      </c>
      <c r="AP123" s="7" t="e">
        <f t="shared" si="45"/>
        <v>#N/A</v>
      </c>
      <c r="AQ123" s="7" t="e">
        <f t="shared" si="56"/>
        <v>#N/A</v>
      </c>
      <c r="AR123" s="7">
        <f t="shared" si="46"/>
        <v>0</v>
      </c>
      <c r="AS123" s="7" t="e">
        <f t="shared" si="57"/>
        <v>#N/A</v>
      </c>
      <c r="AT123" s="7" t="str">
        <f t="shared" si="47"/>
        <v/>
      </c>
      <c r="AU123" s="7" t="str">
        <f t="shared" si="48"/>
        <v/>
      </c>
      <c r="AV123" s="7" t="str">
        <f t="shared" si="49"/>
        <v/>
      </c>
      <c r="AW123" s="7" t="str">
        <f t="shared" si="50"/>
        <v/>
      </c>
      <c r="AX123" s="97"/>
      <c r="BD123" s="453" t="s">
        <v>1498</v>
      </c>
      <c r="CG123"/>
      <c r="CH123"/>
      <c r="CK123" s="592" t="str">
        <f t="shared" si="58"/>
        <v/>
      </c>
      <c r="CL123" s="421" t="str">
        <f t="shared" si="59"/>
        <v/>
      </c>
      <c r="CM123" s="594"/>
      <c r="CN123" s="594"/>
      <c r="CO123" s="594"/>
      <c r="CP123" s="594"/>
      <c r="CQ123" s="594"/>
      <c r="CR123" s="594"/>
    </row>
    <row r="124" spans="1:96" s="13" customFormat="1" ht="13.75" customHeight="1">
      <c r="A124" s="137">
        <v>109</v>
      </c>
      <c r="B124" s="138"/>
      <c r="C124" s="139"/>
      <c r="D124" s="140"/>
      <c r="E124" s="139"/>
      <c r="F124" s="139"/>
      <c r="G124" s="191"/>
      <c r="H124" s="139"/>
      <c r="I124" s="141"/>
      <c r="J124" s="142"/>
      <c r="K124" s="139"/>
      <c r="L124" s="147"/>
      <c r="M124" s="148"/>
      <c r="N124" s="139"/>
      <c r="O124" s="589"/>
      <c r="P124" s="229" t="str">
        <f t="shared" si="51"/>
        <v/>
      </c>
      <c r="Q124" s="229" t="str">
        <f t="shared" si="52"/>
        <v/>
      </c>
      <c r="R124" s="230" t="str">
        <f t="shared" si="53"/>
        <v/>
      </c>
      <c r="S124" s="230" t="str">
        <f t="shared" si="54"/>
        <v/>
      </c>
      <c r="T124" s="351"/>
      <c r="U124" s="43"/>
      <c r="V124" s="42" t="str">
        <f t="shared" si="30"/>
        <v/>
      </c>
      <c r="W124" s="42" t="e">
        <f>IF(#REF!="","",#REF!)</f>
        <v>#REF!</v>
      </c>
      <c r="X124" s="31" t="str">
        <f t="shared" si="31"/>
        <v/>
      </c>
      <c r="Y124" s="7" t="e">
        <f t="shared" si="32"/>
        <v>#N/A</v>
      </c>
      <c r="Z124" s="7" t="e">
        <f t="shared" si="33"/>
        <v>#N/A</v>
      </c>
      <c r="AA124" s="7" t="e">
        <f t="shared" si="34"/>
        <v>#N/A</v>
      </c>
      <c r="AB124" s="7" t="str">
        <f t="shared" si="35"/>
        <v/>
      </c>
      <c r="AC124" s="11">
        <f t="shared" si="36"/>
        <v>1</v>
      </c>
      <c r="AD124" s="7" t="e">
        <f t="shared" si="37"/>
        <v>#N/A</v>
      </c>
      <c r="AE124" s="7" t="e">
        <f t="shared" si="38"/>
        <v>#N/A</v>
      </c>
      <c r="AF124" s="7" t="e">
        <f t="shared" si="39"/>
        <v>#N/A</v>
      </c>
      <c r="AG124" s="472" t="e">
        <f>VLOOKUP(AI124,'排出係数(2017)'!$A$4:$I$1151,9,FALSE)</f>
        <v>#N/A</v>
      </c>
      <c r="AH124" s="12" t="str">
        <f t="shared" si="40"/>
        <v xml:space="preserve"> </v>
      </c>
      <c r="AI124" s="7" t="e">
        <f t="shared" si="55"/>
        <v>#N/A</v>
      </c>
      <c r="AJ124" s="7" t="e">
        <f t="shared" si="41"/>
        <v>#N/A</v>
      </c>
      <c r="AK124" s="472" t="e">
        <f>VLOOKUP(AI124,'排出係数(2017)'!$A$4:$I$1151,6,FALSE)</f>
        <v>#N/A</v>
      </c>
      <c r="AL124" s="7" t="e">
        <f t="shared" si="42"/>
        <v>#N/A</v>
      </c>
      <c r="AM124" s="7" t="e">
        <f t="shared" si="43"/>
        <v>#N/A</v>
      </c>
      <c r="AN124" s="472" t="e">
        <f>VLOOKUP(AI124,'排出係数(2017)'!$A$4:$I$1151,7,FALSE)</f>
        <v>#N/A</v>
      </c>
      <c r="AO124" s="7" t="e">
        <f t="shared" si="44"/>
        <v>#N/A</v>
      </c>
      <c r="AP124" s="7" t="e">
        <f t="shared" si="45"/>
        <v>#N/A</v>
      </c>
      <c r="AQ124" s="7" t="e">
        <f t="shared" si="56"/>
        <v>#N/A</v>
      </c>
      <c r="AR124" s="7">
        <f t="shared" si="46"/>
        <v>0</v>
      </c>
      <c r="AS124" s="7" t="e">
        <f t="shared" si="57"/>
        <v>#N/A</v>
      </c>
      <c r="AT124" s="7" t="str">
        <f t="shared" si="47"/>
        <v/>
      </c>
      <c r="AU124" s="7" t="str">
        <f t="shared" si="48"/>
        <v/>
      </c>
      <c r="AV124" s="7" t="str">
        <f t="shared" si="49"/>
        <v/>
      </c>
      <c r="AW124" s="7" t="str">
        <f t="shared" si="50"/>
        <v/>
      </c>
      <c r="AX124" s="97"/>
      <c r="BD124" s="453" t="s">
        <v>2121</v>
      </c>
      <c r="CG124"/>
      <c r="CH124"/>
      <c r="CK124" s="592" t="str">
        <f t="shared" si="58"/>
        <v/>
      </c>
      <c r="CL124" s="421" t="str">
        <f t="shared" si="59"/>
        <v/>
      </c>
      <c r="CM124" s="594"/>
      <c r="CN124" s="594"/>
      <c r="CO124" s="594"/>
      <c r="CP124" s="594"/>
      <c r="CQ124" s="594"/>
      <c r="CR124" s="594"/>
    </row>
    <row r="125" spans="1:96" s="13" customFormat="1" ht="13.75" customHeight="1">
      <c r="A125" s="137">
        <v>110</v>
      </c>
      <c r="B125" s="138"/>
      <c r="C125" s="139"/>
      <c r="D125" s="140"/>
      <c r="E125" s="139"/>
      <c r="F125" s="139"/>
      <c r="G125" s="191"/>
      <c r="H125" s="139"/>
      <c r="I125" s="141"/>
      <c r="J125" s="142"/>
      <c r="K125" s="139"/>
      <c r="L125" s="147"/>
      <c r="M125" s="148"/>
      <c r="N125" s="139"/>
      <c r="O125" s="589"/>
      <c r="P125" s="229" t="str">
        <f t="shared" si="51"/>
        <v/>
      </c>
      <c r="Q125" s="229" t="str">
        <f t="shared" si="52"/>
        <v/>
      </c>
      <c r="R125" s="230" t="str">
        <f t="shared" si="53"/>
        <v/>
      </c>
      <c r="S125" s="230" t="str">
        <f t="shared" si="54"/>
        <v/>
      </c>
      <c r="T125" s="351"/>
      <c r="U125" s="43"/>
      <c r="V125" s="42" t="str">
        <f t="shared" si="30"/>
        <v/>
      </c>
      <c r="W125" s="42" t="e">
        <f>IF(#REF!="","",#REF!)</f>
        <v>#REF!</v>
      </c>
      <c r="X125" s="31" t="str">
        <f t="shared" si="31"/>
        <v/>
      </c>
      <c r="Y125" s="7" t="e">
        <f t="shared" si="32"/>
        <v>#N/A</v>
      </c>
      <c r="Z125" s="7" t="e">
        <f t="shared" si="33"/>
        <v>#N/A</v>
      </c>
      <c r="AA125" s="7" t="e">
        <f t="shared" si="34"/>
        <v>#N/A</v>
      </c>
      <c r="AB125" s="7" t="str">
        <f t="shared" si="35"/>
        <v/>
      </c>
      <c r="AC125" s="11">
        <f t="shared" si="36"/>
        <v>1</v>
      </c>
      <c r="AD125" s="7" t="e">
        <f t="shared" si="37"/>
        <v>#N/A</v>
      </c>
      <c r="AE125" s="7" t="e">
        <f t="shared" si="38"/>
        <v>#N/A</v>
      </c>
      <c r="AF125" s="7" t="e">
        <f t="shared" si="39"/>
        <v>#N/A</v>
      </c>
      <c r="AG125" s="472" t="e">
        <f>VLOOKUP(AI125,'排出係数(2017)'!$A$4:$I$1151,9,FALSE)</f>
        <v>#N/A</v>
      </c>
      <c r="AH125" s="12" t="str">
        <f t="shared" si="40"/>
        <v xml:space="preserve"> </v>
      </c>
      <c r="AI125" s="7" t="e">
        <f t="shared" si="55"/>
        <v>#N/A</v>
      </c>
      <c r="AJ125" s="7" t="e">
        <f t="shared" si="41"/>
        <v>#N/A</v>
      </c>
      <c r="AK125" s="472" t="e">
        <f>VLOOKUP(AI125,'排出係数(2017)'!$A$4:$I$1151,6,FALSE)</f>
        <v>#N/A</v>
      </c>
      <c r="AL125" s="7" t="e">
        <f t="shared" si="42"/>
        <v>#N/A</v>
      </c>
      <c r="AM125" s="7" t="e">
        <f t="shared" si="43"/>
        <v>#N/A</v>
      </c>
      <c r="AN125" s="472" t="e">
        <f>VLOOKUP(AI125,'排出係数(2017)'!$A$4:$I$1151,7,FALSE)</f>
        <v>#N/A</v>
      </c>
      <c r="AO125" s="7" t="e">
        <f t="shared" si="44"/>
        <v>#N/A</v>
      </c>
      <c r="AP125" s="7" t="e">
        <f t="shared" si="45"/>
        <v>#N/A</v>
      </c>
      <c r="AQ125" s="7" t="e">
        <f t="shared" si="56"/>
        <v>#N/A</v>
      </c>
      <c r="AR125" s="7">
        <f t="shared" si="46"/>
        <v>0</v>
      </c>
      <c r="AS125" s="7" t="e">
        <f t="shared" si="57"/>
        <v>#N/A</v>
      </c>
      <c r="AT125" s="7" t="str">
        <f t="shared" si="47"/>
        <v/>
      </c>
      <c r="AU125" s="7" t="str">
        <f t="shared" si="48"/>
        <v/>
      </c>
      <c r="AV125" s="7" t="str">
        <f t="shared" si="49"/>
        <v/>
      </c>
      <c r="AW125" s="7" t="str">
        <f t="shared" si="50"/>
        <v/>
      </c>
      <c r="AX125" s="97"/>
      <c r="BD125" s="453" t="s">
        <v>2122</v>
      </c>
      <c r="CG125"/>
      <c r="CH125"/>
      <c r="CK125" s="592" t="str">
        <f t="shared" si="58"/>
        <v/>
      </c>
      <c r="CL125" s="421" t="str">
        <f t="shared" si="59"/>
        <v/>
      </c>
      <c r="CM125" s="594"/>
      <c r="CN125" s="594"/>
      <c r="CO125" s="594"/>
      <c r="CP125" s="594"/>
      <c r="CQ125" s="594"/>
      <c r="CR125" s="594"/>
    </row>
    <row r="126" spans="1:96" s="13" customFormat="1" ht="13.75" customHeight="1">
      <c r="A126" s="137">
        <v>111</v>
      </c>
      <c r="B126" s="138"/>
      <c r="C126" s="139"/>
      <c r="D126" s="140"/>
      <c r="E126" s="139"/>
      <c r="F126" s="139"/>
      <c r="G126" s="191"/>
      <c r="H126" s="139"/>
      <c r="I126" s="141"/>
      <c r="J126" s="142"/>
      <c r="K126" s="139"/>
      <c r="L126" s="147"/>
      <c r="M126" s="148"/>
      <c r="N126" s="139"/>
      <c r="O126" s="589"/>
      <c r="P126" s="229" t="str">
        <f t="shared" si="51"/>
        <v/>
      </c>
      <c r="Q126" s="229" t="str">
        <f t="shared" si="52"/>
        <v/>
      </c>
      <c r="R126" s="230" t="str">
        <f t="shared" si="53"/>
        <v/>
      </c>
      <c r="S126" s="230" t="str">
        <f t="shared" si="54"/>
        <v/>
      </c>
      <c r="T126" s="351"/>
      <c r="U126" s="43"/>
      <c r="V126" s="42" t="str">
        <f t="shared" si="30"/>
        <v/>
      </c>
      <c r="W126" s="42" t="e">
        <f>IF(#REF!="","",#REF!)</f>
        <v>#REF!</v>
      </c>
      <c r="X126" s="31" t="str">
        <f t="shared" si="31"/>
        <v/>
      </c>
      <c r="Y126" s="7" t="e">
        <f t="shared" si="32"/>
        <v>#N/A</v>
      </c>
      <c r="Z126" s="7" t="e">
        <f t="shared" si="33"/>
        <v>#N/A</v>
      </c>
      <c r="AA126" s="7" t="e">
        <f t="shared" si="34"/>
        <v>#N/A</v>
      </c>
      <c r="AB126" s="7" t="str">
        <f t="shared" si="35"/>
        <v/>
      </c>
      <c r="AC126" s="11">
        <f t="shared" si="36"/>
        <v>1</v>
      </c>
      <c r="AD126" s="7" t="e">
        <f t="shared" si="37"/>
        <v>#N/A</v>
      </c>
      <c r="AE126" s="7" t="e">
        <f t="shared" si="38"/>
        <v>#N/A</v>
      </c>
      <c r="AF126" s="7" t="e">
        <f t="shared" si="39"/>
        <v>#N/A</v>
      </c>
      <c r="AG126" s="472" t="e">
        <f>VLOOKUP(AI126,'排出係数(2017)'!$A$4:$I$1151,9,FALSE)</f>
        <v>#N/A</v>
      </c>
      <c r="AH126" s="12" t="str">
        <f t="shared" si="40"/>
        <v xml:space="preserve"> </v>
      </c>
      <c r="AI126" s="7" t="e">
        <f t="shared" si="55"/>
        <v>#N/A</v>
      </c>
      <c r="AJ126" s="7" t="e">
        <f t="shared" si="41"/>
        <v>#N/A</v>
      </c>
      <c r="AK126" s="472" t="e">
        <f>VLOOKUP(AI126,'排出係数(2017)'!$A$4:$I$1151,6,FALSE)</f>
        <v>#N/A</v>
      </c>
      <c r="AL126" s="7" t="e">
        <f t="shared" si="42"/>
        <v>#N/A</v>
      </c>
      <c r="AM126" s="7" t="e">
        <f t="shared" si="43"/>
        <v>#N/A</v>
      </c>
      <c r="AN126" s="472" t="e">
        <f>VLOOKUP(AI126,'排出係数(2017)'!$A$4:$I$1151,7,FALSE)</f>
        <v>#N/A</v>
      </c>
      <c r="AO126" s="7" t="e">
        <f t="shared" si="44"/>
        <v>#N/A</v>
      </c>
      <c r="AP126" s="7" t="e">
        <f t="shared" si="45"/>
        <v>#N/A</v>
      </c>
      <c r="AQ126" s="7" t="e">
        <f t="shared" si="56"/>
        <v>#N/A</v>
      </c>
      <c r="AR126" s="7">
        <f t="shared" si="46"/>
        <v>0</v>
      </c>
      <c r="AS126" s="7" t="e">
        <f t="shared" si="57"/>
        <v>#N/A</v>
      </c>
      <c r="AT126" s="7" t="str">
        <f t="shared" si="47"/>
        <v/>
      </c>
      <c r="AU126" s="7" t="str">
        <f t="shared" si="48"/>
        <v/>
      </c>
      <c r="AV126" s="7" t="str">
        <f t="shared" si="49"/>
        <v/>
      </c>
      <c r="AW126" s="7" t="str">
        <f t="shared" si="50"/>
        <v/>
      </c>
      <c r="AX126" s="97"/>
      <c r="BD126" s="453" t="s">
        <v>2041</v>
      </c>
      <c r="CG126"/>
      <c r="CH126"/>
      <c r="CK126" s="592" t="str">
        <f t="shared" si="58"/>
        <v/>
      </c>
      <c r="CL126" s="421" t="str">
        <f t="shared" si="59"/>
        <v/>
      </c>
      <c r="CM126" s="594"/>
      <c r="CN126" s="594"/>
      <c r="CO126" s="594"/>
      <c r="CP126" s="594"/>
      <c r="CQ126" s="594"/>
      <c r="CR126" s="594"/>
    </row>
    <row r="127" spans="1:96" s="13" customFormat="1" ht="13.75" customHeight="1">
      <c r="A127" s="137">
        <v>112</v>
      </c>
      <c r="B127" s="138"/>
      <c r="C127" s="139"/>
      <c r="D127" s="140"/>
      <c r="E127" s="139"/>
      <c r="F127" s="139"/>
      <c r="G127" s="191"/>
      <c r="H127" s="139"/>
      <c r="I127" s="141"/>
      <c r="J127" s="142"/>
      <c r="K127" s="139"/>
      <c r="L127" s="147"/>
      <c r="M127" s="148"/>
      <c r="N127" s="139"/>
      <c r="O127" s="589"/>
      <c r="P127" s="229" t="str">
        <f t="shared" si="51"/>
        <v/>
      </c>
      <c r="Q127" s="229" t="str">
        <f t="shared" si="52"/>
        <v/>
      </c>
      <c r="R127" s="230" t="str">
        <f t="shared" si="53"/>
        <v/>
      </c>
      <c r="S127" s="230" t="str">
        <f t="shared" si="54"/>
        <v/>
      </c>
      <c r="T127" s="351"/>
      <c r="U127" s="43"/>
      <c r="V127" s="42" t="str">
        <f t="shared" si="30"/>
        <v/>
      </c>
      <c r="W127" s="42" t="e">
        <f>IF(#REF!="","",#REF!)</f>
        <v>#REF!</v>
      </c>
      <c r="X127" s="31" t="str">
        <f t="shared" si="31"/>
        <v/>
      </c>
      <c r="Y127" s="7" t="e">
        <f t="shared" si="32"/>
        <v>#N/A</v>
      </c>
      <c r="Z127" s="7" t="e">
        <f t="shared" si="33"/>
        <v>#N/A</v>
      </c>
      <c r="AA127" s="7" t="e">
        <f t="shared" si="34"/>
        <v>#N/A</v>
      </c>
      <c r="AB127" s="7" t="str">
        <f t="shared" si="35"/>
        <v/>
      </c>
      <c r="AC127" s="11">
        <f t="shared" si="36"/>
        <v>1</v>
      </c>
      <c r="AD127" s="7" t="e">
        <f t="shared" si="37"/>
        <v>#N/A</v>
      </c>
      <c r="AE127" s="7" t="e">
        <f t="shared" si="38"/>
        <v>#N/A</v>
      </c>
      <c r="AF127" s="7" t="e">
        <f t="shared" si="39"/>
        <v>#N/A</v>
      </c>
      <c r="AG127" s="472" t="e">
        <f>VLOOKUP(AI127,'排出係数(2017)'!$A$4:$I$1151,9,FALSE)</f>
        <v>#N/A</v>
      </c>
      <c r="AH127" s="12" t="str">
        <f t="shared" si="40"/>
        <v xml:space="preserve"> </v>
      </c>
      <c r="AI127" s="7" t="e">
        <f t="shared" si="55"/>
        <v>#N/A</v>
      </c>
      <c r="AJ127" s="7" t="e">
        <f t="shared" si="41"/>
        <v>#N/A</v>
      </c>
      <c r="AK127" s="472" t="e">
        <f>VLOOKUP(AI127,'排出係数(2017)'!$A$4:$I$1151,6,FALSE)</f>
        <v>#N/A</v>
      </c>
      <c r="AL127" s="7" t="e">
        <f t="shared" si="42"/>
        <v>#N/A</v>
      </c>
      <c r="AM127" s="7" t="e">
        <f t="shared" si="43"/>
        <v>#N/A</v>
      </c>
      <c r="AN127" s="472" t="e">
        <f>VLOOKUP(AI127,'排出係数(2017)'!$A$4:$I$1151,7,FALSE)</f>
        <v>#N/A</v>
      </c>
      <c r="AO127" s="7" t="e">
        <f t="shared" si="44"/>
        <v>#N/A</v>
      </c>
      <c r="AP127" s="7" t="e">
        <f t="shared" si="45"/>
        <v>#N/A</v>
      </c>
      <c r="AQ127" s="7" t="e">
        <f t="shared" si="56"/>
        <v>#N/A</v>
      </c>
      <c r="AR127" s="7">
        <f t="shared" si="46"/>
        <v>0</v>
      </c>
      <c r="AS127" s="7" t="e">
        <f t="shared" si="57"/>
        <v>#N/A</v>
      </c>
      <c r="AT127" s="7" t="str">
        <f t="shared" si="47"/>
        <v/>
      </c>
      <c r="AU127" s="7" t="str">
        <f t="shared" si="48"/>
        <v/>
      </c>
      <c r="AV127" s="7" t="str">
        <f t="shared" si="49"/>
        <v/>
      </c>
      <c r="AW127" s="7" t="str">
        <f t="shared" si="50"/>
        <v/>
      </c>
      <c r="AX127" s="97"/>
      <c r="BD127" s="453" t="s">
        <v>2051</v>
      </c>
      <c r="CG127"/>
      <c r="CH127"/>
      <c r="CK127" s="592" t="str">
        <f t="shared" si="58"/>
        <v/>
      </c>
      <c r="CL127" s="421" t="str">
        <f t="shared" si="59"/>
        <v/>
      </c>
      <c r="CM127" s="594"/>
      <c r="CN127" s="594"/>
      <c r="CO127" s="594"/>
      <c r="CP127" s="594"/>
      <c r="CQ127" s="594"/>
      <c r="CR127" s="594"/>
    </row>
    <row r="128" spans="1:96" s="13" customFormat="1" ht="13.75" customHeight="1">
      <c r="A128" s="137">
        <v>113</v>
      </c>
      <c r="B128" s="138"/>
      <c r="C128" s="139"/>
      <c r="D128" s="140"/>
      <c r="E128" s="139"/>
      <c r="F128" s="139"/>
      <c r="G128" s="191"/>
      <c r="H128" s="139"/>
      <c r="I128" s="141"/>
      <c r="J128" s="142"/>
      <c r="K128" s="139"/>
      <c r="L128" s="147"/>
      <c r="M128" s="148"/>
      <c r="N128" s="139"/>
      <c r="O128" s="589"/>
      <c r="P128" s="229" t="str">
        <f t="shared" si="51"/>
        <v/>
      </c>
      <c r="Q128" s="229" t="str">
        <f t="shared" si="52"/>
        <v/>
      </c>
      <c r="R128" s="230" t="str">
        <f t="shared" si="53"/>
        <v/>
      </c>
      <c r="S128" s="230" t="str">
        <f t="shared" si="54"/>
        <v/>
      </c>
      <c r="T128" s="351"/>
      <c r="U128" s="43"/>
      <c r="V128" s="42" t="str">
        <f t="shared" si="30"/>
        <v/>
      </c>
      <c r="W128" s="42" t="e">
        <f>IF(#REF!="","",#REF!)</f>
        <v>#REF!</v>
      </c>
      <c r="X128" s="31" t="str">
        <f t="shared" si="31"/>
        <v/>
      </c>
      <c r="Y128" s="7" t="e">
        <f t="shared" si="32"/>
        <v>#N/A</v>
      </c>
      <c r="Z128" s="7" t="e">
        <f t="shared" si="33"/>
        <v>#N/A</v>
      </c>
      <c r="AA128" s="7" t="e">
        <f t="shared" si="34"/>
        <v>#N/A</v>
      </c>
      <c r="AB128" s="7" t="str">
        <f t="shared" si="35"/>
        <v/>
      </c>
      <c r="AC128" s="11">
        <f t="shared" si="36"/>
        <v>1</v>
      </c>
      <c r="AD128" s="7" t="e">
        <f t="shared" si="37"/>
        <v>#N/A</v>
      </c>
      <c r="AE128" s="7" t="e">
        <f t="shared" si="38"/>
        <v>#N/A</v>
      </c>
      <c r="AF128" s="7" t="e">
        <f t="shared" si="39"/>
        <v>#N/A</v>
      </c>
      <c r="AG128" s="472" t="e">
        <f>VLOOKUP(AI128,'排出係数(2017)'!$A$4:$I$1151,9,FALSE)</f>
        <v>#N/A</v>
      </c>
      <c r="AH128" s="12" t="str">
        <f t="shared" si="40"/>
        <v xml:space="preserve"> </v>
      </c>
      <c r="AI128" s="7" t="e">
        <f t="shared" si="55"/>
        <v>#N/A</v>
      </c>
      <c r="AJ128" s="7" t="e">
        <f t="shared" si="41"/>
        <v>#N/A</v>
      </c>
      <c r="AK128" s="472" t="e">
        <f>VLOOKUP(AI128,'排出係数(2017)'!$A$4:$I$1151,6,FALSE)</f>
        <v>#N/A</v>
      </c>
      <c r="AL128" s="7" t="e">
        <f t="shared" si="42"/>
        <v>#N/A</v>
      </c>
      <c r="AM128" s="7" t="e">
        <f t="shared" si="43"/>
        <v>#N/A</v>
      </c>
      <c r="AN128" s="472" t="e">
        <f>VLOOKUP(AI128,'排出係数(2017)'!$A$4:$I$1151,7,FALSE)</f>
        <v>#N/A</v>
      </c>
      <c r="AO128" s="7" t="e">
        <f t="shared" si="44"/>
        <v>#N/A</v>
      </c>
      <c r="AP128" s="7" t="e">
        <f t="shared" si="45"/>
        <v>#N/A</v>
      </c>
      <c r="AQ128" s="7" t="e">
        <f t="shared" si="56"/>
        <v>#N/A</v>
      </c>
      <c r="AR128" s="7">
        <f t="shared" si="46"/>
        <v>0</v>
      </c>
      <c r="AS128" s="7" t="e">
        <f t="shared" si="57"/>
        <v>#N/A</v>
      </c>
      <c r="AT128" s="7" t="str">
        <f t="shared" si="47"/>
        <v/>
      </c>
      <c r="AU128" s="7" t="str">
        <f t="shared" si="48"/>
        <v/>
      </c>
      <c r="AV128" s="7" t="str">
        <f t="shared" si="49"/>
        <v/>
      </c>
      <c r="AW128" s="7" t="str">
        <f t="shared" si="50"/>
        <v/>
      </c>
      <c r="AX128" s="97"/>
      <c r="BD128" s="453" t="s">
        <v>681</v>
      </c>
      <c r="CG128"/>
      <c r="CH128"/>
      <c r="CK128" s="592" t="str">
        <f t="shared" si="58"/>
        <v/>
      </c>
      <c r="CL128" s="421" t="str">
        <f t="shared" si="59"/>
        <v/>
      </c>
      <c r="CM128" s="594"/>
      <c r="CN128" s="594"/>
      <c r="CO128" s="594"/>
      <c r="CP128" s="594"/>
      <c r="CQ128" s="594"/>
      <c r="CR128" s="594"/>
    </row>
    <row r="129" spans="1:96" s="13" customFormat="1" ht="13.75" customHeight="1">
      <c r="A129" s="137">
        <v>114</v>
      </c>
      <c r="B129" s="138"/>
      <c r="C129" s="139"/>
      <c r="D129" s="140"/>
      <c r="E129" s="139"/>
      <c r="F129" s="139"/>
      <c r="G129" s="191"/>
      <c r="H129" s="139"/>
      <c r="I129" s="141"/>
      <c r="J129" s="142"/>
      <c r="K129" s="139"/>
      <c r="L129" s="147"/>
      <c r="M129" s="148"/>
      <c r="N129" s="139"/>
      <c r="O129" s="589"/>
      <c r="P129" s="229" t="str">
        <f t="shared" si="51"/>
        <v/>
      </c>
      <c r="Q129" s="229" t="str">
        <f t="shared" si="52"/>
        <v/>
      </c>
      <c r="R129" s="230" t="str">
        <f t="shared" si="53"/>
        <v/>
      </c>
      <c r="S129" s="230" t="str">
        <f t="shared" si="54"/>
        <v/>
      </c>
      <c r="T129" s="351"/>
      <c r="U129" s="43"/>
      <c r="V129" s="42" t="str">
        <f t="shared" si="30"/>
        <v/>
      </c>
      <c r="W129" s="42" t="e">
        <f>IF(#REF!="","",#REF!)</f>
        <v>#REF!</v>
      </c>
      <c r="X129" s="31" t="str">
        <f t="shared" si="31"/>
        <v/>
      </c>
      <c r="Y129" s="7" t="e">
        <f t="shared" si="32"/>
        <v>#N/A</v>
      </c>
      <c r="Z129" s="7" t="e">
        <f t="shared" si="33"/>
        <v>#N/A</v>
      </c>
      <c r="AA129" s="7" t="e">
        <f t="shared" si="34"/>
        <v>#N/A</v>
      </c>
      <c r="AB129" s="7" t="str">
        <f t="shared" si="35"/>
        <v/>
      </c>
      <c r="AC129" s="11">
        <f t="shared" si="36"/>
        <v>1</v>
      </c>
      <c r="AD129" s="7" t="e">
        <f t="shared" si="37"/>
        <v>#N/A</v>
      </c>
      <c r="AE129" s="7" t="e">
        <f t="shared" si="38"/>
        <v>#N/A</v>
      </c>
      <c r="AF129" s="7" t="e">
        <f t="shared" si="39"/>
        <v>#N/A</v>
      </c>
      <c r="AG129" s="472" t="e">
        <f>VLOOKUP(AI129,'排出係数(2017)'!$A$4:$I$1151,9,FALSE)</f>
        <v>#N/A</v>
      </c>
      <c r="AH129" s="12" t="str">
        <f t="shared" si="40"/>
        <v xml:space="preserve"> </v>
      </c>
      <c r="AI129" s="7" t="e">
        <f t="shared" si="55"/>
        <v>#N/A</v>
      </c>
      <c r="AJ129" s="7" t="e">
        <f t="shared" si="41"/>
        <v>#N/A</v>
      </c>
      <c r="AK129" s="472" t="e">
        <f>VLOOKUP(AI129,'排出係数(2017)'!$A$4:$I$1151,6,FALSE)</f>
        <v>#N/A</v>
      </c>
      <c r="AL129" s="7" t="e">
        <f t="shared" si="42"/>
        <v>#N/A</v>
      </c>
      <c r="AM129" s="7" t="e">
        <f t="shared" si="43"/>
        <v>#N/A</v>
      </c>
      <c r="AN129" s="472" t="e">
        <f>VLOOKUP(AI129,'排出係数(2017)'!$A$4:$I$1151,7,FALSE)</f>
        <v>#N/A</v>
      </c>
      <c r="AO129" s="7" t="e">
        <f t="shared" si="44"/>
        <v>#N/A</v>
      </c>
      <c r="AP129" s="7" t="e">
        <f t="shared" si="45"/>
        <v>#N/A</v>
      </c>
      <c r="AQ129" s="7" t="e">
        <f t="shared" si="56"/>
        <v>#N/A</v>
      </c>
      <c r="AR129" s="7">
        <f t="shared" si="46"/>
        <v>0</v>
      </c>
      <c r="AS129" s="7" t="e">
        <f t="shared" si="57"/>
        <v>#N/A</v>
      </c>
      <c r="AT129" s="7" t="str">
        <f t="shared" si="47"/>
        <v/>
      </c>
      <c r="AU129" s="7" t="str">
        <f t="shared" si="48"/>
        <v/>
      </c>
      <c r="AV129" s="7" t="str">
        <f t="shared" si="49"/>
        <v/>
      </c>
      <c r="AW129" s="7" t="str">
        <f t="shared" si="50"/>
        <v/>
      </c>
      <c r="AX129" s="97"/>
      <c r="BD129" s="453" t="s">
        <v>2123</v>
      </c>
      <c r="CG129"/>
      <c r="CH129"/>
      <c r="CK129" s="592" t="str">
        <f t="shared" si="58"/>
        <v/>
      </c>
      <c r="CL129" s="421" t="str">
        <f t="shared" si="59"/>
        <v/>
      </c>
      <c r="CM129" s="594"/>
      <c r="CN129" s="594"/>
      <c r="CO129" s="594"/>
      <c r="CP129" s="594"/>
      <c r="CQ129" s="594"/>
      <c r="CR129" s="594"/>
    </row>
    <row r="130" spans="1:96" s="13" customFormat="1" ht="13.75" customHeight="1">
      <c r="A130" s="137">
        <v>115</v>
      </c>
      <c r="B130" s="138"/>
      <c r="C130" s="139"/>
      <c r="D130" s="140"/>
      <c r="E130" s="139"/>
      <c r="F130" s="139"/>
      <c r="G130" s="191"/>
      <c r="H130" s="139"/>
      <c r="I130" s="141"/>
      <c r="J130" s="142"/>
      <c r="K130" s="139"/>
      <c r="L130" s="147"/>
      <c r="M130" s="148"/>
      <c r="N130" s="139"/>
      <c r="O130" s="589"/>
      <c r="P130" s="229" t="str">
        <f t="shared" si="51"/>
        <v/>
      </c>
      <c r="Q130" s="229" t="str">
        <f t="shared" si="52"/>
        <v/>
      </c>
      <c r="R130" s="230" t="str">
        <f t="shared" si="53"/>
        <v/>
      </c>
      <c r="S130" s="230" t="str">
        <f t="shared" si="54"/>
        <v/>
      </c>
      <c r="T130" s="351"/>
      <c r="U130" s="43"/>
      <c r="V130" s="42" t="str">
        <f t="shared" si="30"/>
        <v/>
      </c>
      <c r="W130" s="42" t="e">
        <f>IF(#REF!="","",#REF!)</f>
        <v>#REF!</v>
      </c>
      <c r="X130" s="31" t="str">
        <f t="shared" si="31"/>
        <v/>
      </c>
      <c r="Y130" s="7" t="e">
        <f t="shared" si="32"/>
        <v>#N/A</v>
      </c>
      <c r="Z130" s="7" t="e">
        <f t="shared" si="33"/>
        <v>#N/A</v>
      </c>
      <c r="AA130" s="7" t="e">
        <f t="shared" si="34"/>
        <v>#N/A</v>
      </c>
      <c r="AB130" s="7" t="str">
        <f t="shared" si="35"/>
        <v/>
      </c>
      <c r="AC130" s="11">
        <f t="shared" si="36"/>
        <v>1</v>
      </c>
      <c r="AD130" s="7" t="e">
        <f t="shared" si="37"/>
        <v>#N/A</v>
      </c>
      <c r="AE130" s="7" t="e">
        <f t="shared" si="38"/>
        <v>#N/A</v>
      </c>
      <c r="AF130" s="7" t="e">
        <f t="shared" si="39"/>
        <v>#N/A</v>
      </c>
      <c r="AG130" s="472" t="e">
        <f>VLOOKUP(AI130,'排出係数(2017)'!$A$4:$I$1151,9,FALSE)</f>
        <v>#N/A</v>
      </c>
      <c r="AH130" s="12" t="str">
        <f t="shared" si="40"/>
        <v xml:space="preserve"> </v>
      </c>
      <c r="AI130" s="7" t="e">
        <f t="shared" si="55"/>
        <v>#N/A</v>
      </c>
      <c r="AJ130" s="7" t="e">
        <f t="shared" si="41"/>
        <v>#N/A</v>
      </c>
      <c r="AK130" s="472" t="e">
        <f>VLOOKUP(AI130,'排出係数(2017)'!$A$4:$I$1151,6,FALSE)</f>
        <v>#N/A</v>
      </c>
      <c r="AL130" s="7" t="e">
        <f t="shared" si="42"/>
        <v>#N/A</v>
      </c>
      <c r="AM130" s="7" t="e">
        <f t="shared" si="43"/>
        <v>#N/A</v>
      </c>
      <c r="AN130" s="472" t="e">
        <f>VLOOKUP(AI130,'排出係数(2017)'!$A$4:$I$1151,7,FALSE)</f>
        <v>#N/A</v>
      </c>
      <c r="AO130" s="7" t="e">
        <f t="shared" si="44"/>
        <v>#N/A</v>
      </c>
      <c r="AP130" s="7" t="e">
        <f t="shared" si="45"/>
        <v>#N/A</v>
      </c>
      <c r="AQ130" s="7" t="e">
        <f t="shared" si="56"/>
        <v>#N/A</v>
      </c>
      <c r="AR130" s="7">
        <f t="shared" si="46"/>
        <v>0</v>
      </c>
      <c r="AS130" s="7" t="e">
        <f t="shared" si="57"/>
        <v>#N/A</v>
      </c>
      <c r="AT130" s="7" t="str">
        <f t="shared" si="47"/>
        <v/>
      </c>
      <c r="AU130" s="7" t="str">
        <f t="shared" si="48"/>
        <v/>
      </c>
      <c r="AV130" s="7" t="str">
        <f t="shared" si="49"/>
        <v/>
      </c>
      <c r="AW130" s="7" t="str">
        <f t="shared" si="50"/>
        <v/>
      </c>
      <c r="AX130" s="97"/>
      <c r="BD130" s="453" t="s">
        <v>2124</v>
      </c>
      <c r="CG130"/>
      <c r="CH130"/>
      <c r="CK130" s="592" t="str">
        <f t="shared" si="58"/>
        <v/>
      </c>
      <c r="CL130" s="421" t="str">
        <f t="shared" si="59"/>
        <v/>
      </c>
      <c r="CM130" s="594"/>
      <c r="CN130" s="594"/>
      <c r="CO130" s="594"/>
      <c r="CP130" s="594"/>
      <c r="CQ130" s="594"/>
      <c r="CR130" s="594"/>
    </row>
    <row r="131" spans="1:96" s="13" customFormat="1" ht="13.75" customHeight="1">
      <c r="A131" s="137">
        <v>116</v>
      </c>
      <c r="B131" s="138"/>
      <c r="C131" s="139"/>
      <c r="D131" s="140"/>
      <c r="E131" s="139"/>
      <c r="F131" s="139"/>
      <c r="G131" s="191"/>
      <c r="H131" s="139"/>
      <c r="I131" s="141"/>
      <c r="J131" s="142"/>
      <c r="K131" s="139"/>
      <c r="L131" s="147"/>
      <c r="M131" s="148"/>
      <c r="N131" s="139"/>
      <c r="O131" s="589"/>
      <c r="P131" s="229" t="str">
        <f t="shared" si="51"/>
        <v/>
      </c>
      <c r="Q131" s="229" t="str">
        <f t="shared" si="52"/>
        <v/>
      </c>
      <c r="R131" s="230" t="str">
        <f t="shared" si="53"/>
        <v/>
      </c>
      <c r="S131" s="230" t="str">
        <f t="shared" si="54"/>
        <v/>
      </c>
      <c r="T131" s="351"/>
      <c r="U131" s="43"/>
      <c r="V131" s="42" t="str">
        <f t="shared" si="30"/>
        <v/>
      </c>
      <c r="W131" s="42" t="e">
        <f>IF(#REF!="","",#REF!)</f>
        <v>#REF!</v>
      </c>
      <c r="X131" s="31" t="str">
        <f t="shared" si="31"/>
        <v/>
      </c>
      <c r="Y131" s="7" t="e">
        <f t="shared" si="32"/>
        <v>#N/A</v>
      </c>
      <c r="Z131" s="7" t="e">
        <f t="shared" si="33"/>
        <v>#N/A</v>
      </c>
      <c r="AA131" s="7" t="e">
        <f t="shared" si="34"/>
        <v>#N/A</v>
      </c>
      <c r="AB131" s="7" t="str">
        <f t="shared" si="35"/>
        <v/>
      </c>
      <c r="AC131" s="11">
        <f t="shared" si="36"/>
        <v>1</v>
      </c>
      <c r="AD131" s="7" t="e">
        <f t="shared" si="37"/>
        <v>#N/A</v>
      </c>
      <c r="AE131" s="7" t="e">
        <f t="shared" si="38"/>
        <v>#N/A</v>
      </c>
      <c r="AF131" s="7" t="e">
        <f t="shared" si="39"/>
        <v>#N/A</v>
      </c>
      <c r="AG131" s="472" t="e">
        <f>VLOOKUP(AI131,'排出係数(2017)'!$A$4:$I$1151,9,FALSE)</f>
        <v>#N/A</v>
      </c>
      <c r="AH131" s="12" t="str">
        <f t="shared" si="40"/>
        <v xml:space="preserve"> </v>
      </c>
      <c r="AI131" s="7" t="e">
        <f t="shared" si="55"/>
        <v>#N/A</v>
      </c>
      <c r="AJ131" s="7" t="e">
        <f t="shared" si="41"/>
        <v>#N/A</v>
      </c>
      <c r="AK131" s="472" t="e">
        <f>VLOOKUP(AI131,'排出係数(2017)'!$A$4:$I$1151,6,FALSE)</f>
        <v>#N/A</v>
      </c>
      <c r="AL131" s="7" t="e">
        <f t="shared" si="42"/>
        <v>#N/A</v>
      </c>
      <c r="AM131" s="7" t="e">
        <f t="shared" si="43"/>
        <v>#N/A</v>
      </c>
      <c r="AN131" s="472" t="e">
        <f>VLOOKUP(AI131,'排出係数(2017)'!$A$4:$I$1151,7,FALSE)</f>
        <v>#N/A</v>
      </c>
      <c r="AO131" s="7" t="e">
        <f t="shared" si="44"/>
        <v>#N/A</v>
      </c>
      <c r="AP131" s="7" t="e">
        <f t="shared" si="45"/>
        <v>#N/A</v>
      </c>
      <c r="AQ131" s="7" t="e">
        <f t="shared" si="56"/>
        <v>#N/A</v>
      </c>
      <c r="AR131" s="7">
        <f t="shared" si="46"/>
        <v>0</v>
      </c>
      <c r="AS131" s="7" t="e">
        <f t="shared" si="57"/>
        <v>#N/A</v>
      </c>
      <c r="AT131" s="7" t="str">
        <f t="shared" si="47"/>
        <v/>
      </c>
      <c r="AU131" s="7" t="str">
        <f t="shared" si="48"/>
        <v/>
      </c>
      <c r="AV131" s="7" t="str">
        <f t="shared" si="49"/>
        <v/>
      </c>
      <c r="AW131" s="7" t="str">
        <f t="shared" si="50"/>
        <v/>
      </c>
      <c r="AX131" s="97"/>
      <c r="BD131" s="467" t="s">
        <v>2042</v>
      </c>
      <c r="CG131"/>
      <c r="CH131"/>
      <c r="CK131" s="592" t="str">
        <f t="shared" si="58"/>
        <v/>
      </c>
      <c r="CL131" s="421" t="str">
        <f t="shared" si="59"/>
        <v/>
      </c>
      <c r="CM131" s="594"/>
      <c r="CN131" s="594"/>
      <c r="CO131" s="594"/>
      <c r="CP131" s="594"/>
      <c r="CQ131" s="594"/>
      <c r="CR131" s="594"/>
    </row>
    <row r="132" spans="1:96" s="13" customFormat="1" ht="13.75" customHeight="1">
      <c r="A132" s="137">
        <v>117</v>
      </c>
      <c r="B132" s="138"/>
      <c r="C132" s="139"/>
      <c r="D132" s="140"/>
      <c r="E132" s="139"/>
      <c r="F132" s="139"/>
      <c r="G132" s="191"/>
      <c r="H132" s="139"/>
      <c r="I132" s="141"/>
      <c r="J132" s="142"/>
      <c r="K132" s="139"/>
      <c r="L132" s="147"/>
      <c r="M132" s="148"/>
      <c r="N132" s="139"/>
      <c r="O132" s="589"/>
      <c r="P132" s="229" t="str">
        <f t="shared" si="51"/>
        <v/>
      </c>
      <c r="Q132" s="229" t="str">
        <f t="shared" si="52"/>
        <v/>
      </c>
      <c r="R132" s="230" t="str">
        <f t="shared" si="53"/>
        <v/>
      </c>
      <c r="S132" s="230" t="str">
        <f t="shared" si="54"/>
        <v/>
      </c>
      <c r="T132" s="351"/>
      <c r="U132" s="43"/>
      <c r="V132" s="42" t="str">
        <f t="shared" si="30"/>
        <v/>
      </c>
      <c r="W132" s="42" t="e">
        <f>IF(#REF!="","",#REF!)</f>
        <v>#REF!</v>
      </c>
      <c r="X132" s="31" t="str">
        <f t="shared" si="31"/>
        <v/>
      </c>
      <c r="Y132" s="7" t="e">
        <f t="shared" si="32"/>
        <v>#N/A</v>
      </c>
      <c r="Z132" s="7" t="e">
        <f t="shared" si="33"/>
        <v>#N/A</v>
      </c>
      <c r="AA132" s="7" t="e">
        <f t="shared" si="34"/>
        <v>#N/A</v>
      </c>
      <c r="AB132" s="7" t="str">
        <f t="shared" si="35"/>
        <v/>
      </c>
      <c r="AC132" s="11">
        <f t="shared" si="36"/>
        <v>1</v>
      </c>
      <c r="AD132" s="7" t="e">
        <f t="shared" si="37"/>
        <v>#N/A</v>
      </c>
      <c r="AE132" s="7" t="e">
        <f t="shared" si="38"/>
        <v>#N/A</v>
      </c>
      <c r="AF132" s="7" t="e">
        <f t="shared" si="39"/>
        <v>#N/A</v>
      </c>
      <c r="AG132" s="472" t="e">
        <f>VLOOKUP(AI132,'排出係数(2017)'!$A$4:$I$1151,9,FALSE)</f>
        <v>#N/A</v>
      </c>
      <c r="AH132" s="12" t="str">
        <f t="shared" si="40"/>
        <v xml:space="preserve"> </v>
      </c>
      <c r="AI132" s="7" t="e">
        <f t="shared" si="55"/>
        <v>#N/A</v>
      </c>
      <c r="AJ132" s="7" t="e">
        <f t="shared" si="41"/>
        <v>#N/A</v>
      </c>
      <c r="AK132" s="472" t="e">
        <f>VLOOKUP(AI132,'排出係数(2017)'!$A$4:$I$1151,6,FALSE)</f>
        <v>#N/A</v>
      </c>
      <c r="AL132" s="7" t="e">
        <f t="shared" si="42"/>
        <v>#N/A</v>
      </c>
      <c r="AM132" s="7" t="e">
        <f t="shared" si="43"/>
        <v>#N/A</v>
      </c>
      <c r="AN132" s="472" t="e">
        <f>VLOOKUP(AI132,'排出係数(2017)'!$A$4:$I$1151,7,FALSE)</f>
        <v>#N/A</v>
      </c>
      <c r="AO132" s="7" t="e">
        <f t="shared" si="44"/>
        <v>#N/A</v>
      </c>
      <c r="AP132" s="7" t="e">
        <f t="shared" si="45"/>
        <v>#N/A</v>
      </c>
      <c r="AQ132" s="7" t="e">
        <f t="shared" si="56"/>
        <v>#N/A</v>
      </c>
      <c r="AR132" s="7">
        <f t="shared" si="46"/>
        <v>0</v>
      </c>
      <c r="AS132" s="7" t="e">
        <f t="shared" si="57"/>
        <v>#N/A</v>
      </c>
      <c r="AT132" s="7" t="str">
        <f t="shared" si="47"/>
        <v/>
      </c>
      <c r="AU132" s="7" t="str">
        <f t="shared" si="48"/>
        <v/>
      </c>
      <c r="AV132" s="7" t="str">
        <f t="shared" si="49"/>
        <v/>
      </c>
      <c r="AW132" s="7" t="str">
        <f t="shared" si="50"/>
        <v/>
      </c>
      <c r="AX132" s="97"/>
      <c r="BD132" s="453" t="s">
        <v>2052</v>
      </c>
      <c r="CG132"/>
      <c r="CH132"/>
      <c r="CK132" s="592" t="str">
        <f t="shared" si="58"/>
        <v/>
      </c>
      <c r="CL132" s="421" t="str">
        <f t="shared" si="59"/>
        <v/>
      </c>
      <c r="CM132" s="594"/>
      <c r="CN132" s="594"/>
      <c r="CO132" s="594"/>
      <c r="CP132" s="594"/>
      <c r="CQ132" s="594"/>
      <c r="CR132" s="594"/>
    </row>
    <row r="133" spans="1:96" s="13" customFormat="1" ht="13.75" customHeight="1">
      <c r="A133" s="137">
        <v>118</v>
      </c>
      <c r="B133" s="138"/>
      <c r="C133" s="139"/>
      <c r="D133" s="140"/>
      <c r="E133" s="139"/>
      <c r="F133" s="139"/>
      <c r="G133" s="191"/>
      <c r="H133" s="139"/>
      <c r="I133" s="141"/>
      <c r="J133" s="142"/>
      <c r="K133" s="139"/>
      <c r="L133" s="147"/>
      <c r="M133" s="148"/>
      <c r="N133" s="139"/>
      <c r="O133" s="589"/>
      <c r="P133" s="229" t="str">
        <f t="shared" si="51"/>
        <v/>
      </c>
      <c r="Q133" s="229" t="str">
        <f t="shared" si="52"/>
        <v/>
      </c>
      <c r="R133" s="230" t="str">
        <f t="shared" si="53"/>
        <v/>
      </c>
      <c r="S133" s="230" t="str">
        <f t="shared" si="54"/>
        <v/>
      </c>
      <c r="T133" s="351"/>
      <c r="U133" s="43"/>
      <c r="V133" s="42" t="str">
        <f t="shared" si="30"/>
        <v/>
      </c>
      <c r="W133" s="42" t="e">
        <f>IF(#REF!="","",#REF!)</f>
        <v>#REF!</v>
      </c>
      <c r="X133" s="31" t="str">
        <f t="shared" si="31"/>
        <v/>
      </c>
      <c r="Y133" s="7" t="e">
        <f t="shared" si="32"/>
        <v>#N/A</v>
      </c>
      <c r="Z133" s="7" t="e">
        <f t="shared" si="33"/>
        <v>#N/A</v>
      </c>
      <c r="AA133" s="7" t="e">
        <f t="shared" si="34"/>
        <v>#N/A</v>
      </c>
      <c r="AB133" s="7" t="str">
        <f t="shared" si="35"/>
        <v/>
      </c>
      <c r="AC133" s="11">
        <f t="shared" si="36"/>
        <v>1</v>
      </c>
      <c r="AD133" s="7" t="e">
        <f t="shared" si="37"/>
        <v>#N/A</v>
      </c>
      <c r="AE133" s="7" t="e">
        <f t="shared" si="38"/>
        <v>#N/A</v>
      </c>
      <c r="AF133" s="7" t="e">
        <f t="shared" si="39"/>
        <v>#N/A</v>
      </c>
      <c r="AG133" s="472" t="e">
        <f>VLOOKUP(AI133,'排出係数(2017)'!$A$4:$I$1151,9,FALSE)</f>
        <v>#N/A</v>
      </c>
      <c r="AH133" s="12" t="str">
        <f t="shared" si="40"/>
        <v xml:space="preserve"> </v>
      </c>
      <c r="AI133" s="7" t="e">
        <f t="shared" si="55"/>
        <v>#N/A</v>
      </c>
      <c r="AJ133" s="7" t="e">
        <f t="shared" si="41"/>
        <v>#N/A</v>
      </c>
      <c r="AK133" s="472" t="e">
        <f>VLOOKUP(AI133,'排出係数(2017)'!$A$4:$I$1151,6,FALSE)</f>
        <v>#N/A</v>
      </c>
      <c r="AL133" s="7" t="e">
        <f t="shared" si="42"/>
        <v>#N/A</v>
      </c>
      <c r="AM133" s="7" t="e">
        <f t="shared" si="43"/>
        <v>#N/A</v>
      </c>
      <c r="AN133" s="472" t="e">
        <f>VLOOKUP(AI133,'排出係数(2017)'!$A$4:$I$1151,7,FALSE)</f>
        <v>#N/A</v>
      </c>
      <c r="AO133" s="7" t="e">
        <f t="shared" si="44"/>
        <v>#N/A</v>
      </c>
      <c r="AP133" s="7" t="e">
        <f t="shared" si="45"/>
        <v>#N/A</v>
      </c>
      <c r="AQ133" s="7" t="e">
        <f t="shared" si="56"/>
        <v>#N/A</v>
      </c>
      <c r="AR133" s="7">
        <f t="shared" si="46"/>
        <v>0</v>
      </c>
      <c r="AS133" s="7" t="e">
        <f t="shared" si="57"/>
        <v>#N/A</v>
      </c>
      <c r="AT133" s="7" t="str">
        <f t="shared" si="47"/>
        <v/>
      </c>
      <c r="AU133" s="7" t="str">
        <f t="shared" si="48"/>
        <v/>
      </c>
      <c r="AV133" s="7" t="str">
        <f t="shared" si="49"/>
        <v/>
      </c>
      <c r="AW133" s="7" t="str">
        <f t="shared" si="50"/>
        <v/>
      </c>
      <c r="AX133" s="97"/>
      <c r="BD133" s="453" t="s">
        <v>685</v>
      </c>
      <c r="CG133"/>
      <c r="CH133"/>
      <c r="CK133" s="592" t="str">
        <f t="shared" si="58"/>
        <v/>
      </c>
      <c r="CL133" s="421" t="str">
        <f t="shared" si="59"/>
        <v/>
      </c>
      <c r="CM133" s="594"/>
      <c r="CN133" s="594"/>
      <c r="CO133" s="594"/>
      <c r="CP133" s="594"/>
      <c r="CQ133" s="594"/>
      <c r="CR133" s="594"/>
    </row>
    <row r="134" spans="1:96" s="13" customFormat="1" ht="13.75" customHeight="1">
      <c r="A134" s="137">
        <v>119</v>
      </c>
      <c r="B134" s="138"/>
      <c r="C134" s="139"/>
      <c r="D134" s="140"/>
      <c r="E134" s="139"/>
      <c r="F134" s="139"/>
      <c r="G134" s="191"/>
      <c r="H134" s="139"/>
      <c r="I134" s="141"/>
      <c r="J134" s="142"/>
      <c r="K134" s="139"/>
      <c r="L134" s="147"/>
      <c r="M134" s="148"/>
      <c r="N134" s="139"/>
      <c r="O134" s="589"/>
      <c r="P134" s="229" t="str">
        <f t="shared" si="51"/>
        <v/>
      </c>
      <c r="Q134" s="229" t="str">
        <f t="shared" si="52"/>
        <v/>
      </c>
      <c r="R134" s="230" t="str">
        <f t="shared" si="53"/>
        <v/>
      </c>
      <c r="S134" s="230" t="str">
        <f t="shared" si="54"/>
        <v/>
      </c>
      <c r="T134" s="351"/>
      <c r="U134" s="43"/>
      <c r="V134" s="42" t="str">
        <f t="shared" si="30"/>
        <v/>
      </c>
      <c r="W134" s="42" t="e">
        <f>IF(#REF!="","",#REF!)</f>
        <v>#REF!</v>
      </c>
      <c r="X134" s="31" t="str">
        <f t="shared" si="31"/>
        <v/>
      </c>
      <c r="Y134" s="7" t="e">
        <f t="shared" si="32"/>
        <v>#N/A</v>
      </c>
      <c r="Z134" s="7" t="e">
        <f t="shared" si="33"/>
        <v>#N/A</v>
      </c>
      <c r="AA134" s="7" t="e">
        <f t="shared" si="34"/>
        <v>#N/A</v>
      </c>
      <c r="AB134" s="7" t="str">
        <f t="shared" si="35"/>
        <v/>
      </c>
      <c r="AC134" s="11">
        <f t="shared" si="36"/>
        <v>1</v>
      </c>
      <c r="AD134" s="7" t="e">
        <f t="shared" si="37"/>
        <v>#N/A</v>
      </c>
      <c r="AE134" s="7" t="e">
        <f t="shared" si="38"/>
        <v>#N/A</v>
      </c>
      <c r="AF134" s="7" t="e">
        <f t="shared" si="39"/>
        <v>#N/A</v>
      </c>
      <c r="AG134" s="472" t="e">
        <f>VLOOKUP(AI134,'排出係数(2017)'!$A$4:$I$1151,9,FALSE)</f>
        <v>#N/A</v>
      </c>
      <c r="AH134" s="12" t="str">
        <f t="shared" si="40"/>
        <v xml:space="preserve"> </v>
      </c>
      <c r="AI134" s="7" t="e">
        <f t="shared" si="55"/>
        <v>#N/A</v>
      </c>
      <c r="AJ134" s="7" t="e">
        <f t="shared" si="41"/>
        <v>#N/A</v>
      </c>
      <c r="AK134" s="472" t="e">
        <f>VLOOKUP(AI134,'排出係数(2017)'!$A$4:$I$1151,6,FALSE)</f>
        <v>#N/A</v>
      </c>
      <c r="AL134" s="7" t="e">
        <f t="shared" si="42"/>
        <v>#N/A</v>
      </c>
      <c r="AM134" s="7" t="e">
        <f t="shared" si="43"/>
        <v>#N/A</v>
      </c>
      <c r="AN134" s="472" t="e">
        <f>VLOOKUP(AI134,'排出係数(2017)'!$A$4:$I$1151,7,FALSE)</f>
        <v>#N/A</v>
      </c>
      <c r="AO134" s="7" t="e">
        <f t="shared" si="44"/>
        <v>#N/A</v>
      </c>
      <c r="AP134" s="7" t="e">
        <f t="shared" si="45"/>
        <v>#N/A</v>
      </c>
      <c r="AQ134" s="7" t="e">
        <f t="shared" si="56"/>
        <v>#N/A</v>
      </c>
      <c r="AR134" s="7">
        <f t="shared" si="46"/>
        <v>0</v>
      </c>
      <c r="AS134" s="7" t="e">
        <f t="shared" si="57"/>
        <v>#N/A</v>
      </c>
      <c r="AT134" s="7" t="str">
        <f t="shared" si="47"/>
        <v/>
      </c>
      <c r="AU134" s="7" t="str">
        <f t="shared" si="48"/>
        <v/>
      </c>
      <c r="AV134" s="7" t="str">
        <f t="shared" si="49"/>
        <v/>
      </c>
      <c r="AW134" s="7" t="str">
        <f t="shared" si="50"/>
        <v/>
      </c>
      <c r="AX134" s="97"/>
      <c r="BD134" s="453" t="s">
        <v>2128</v>
      </c>
      <c r="CG134"/>
      <c r="CH134"/>
      <c r="CK134" s="592" t="str">
        <f t="shared" si="58"/>
        <v/>
      </c>
      <c r="CL134" s="421" t="str">
        <f t="shared" si="59"/>
        <v/>
      </c>
      <c r="CM134" s="594"/>
      <c r="CN134" s="594"/>
      <c r="CO134" s="594"/>
      <c r="CP134" s="594"/>
      <c r="CQ134" s="594"/>
      <c r="CR134" s="594"/>
    </row>
    <row r="135" spans="1:96" s="13" customFormat="1" ht="13.75" customHeight="1">
      <c r="A135" s="137">
        <v>120</v>
      </c>
      <c r="B135" s="138"/>
      <c r="C135" s="139"/>
      <c r="D135" s="140"/>
      <c r="E135" s="139"/>
      <c r="F135" s="139"/>
      <c r="G135" s="191"/>
      <c r="H135" s="139"/>
      <c r="I135" s="141"/>
      <c r="J135" s="142"/>
      <c r="K135" s="139"/>
      <c r="L135" s="147"/>
      <c r="M135" s="148"/>
      <c r="N135" s="139"/>
      <c r="O135" s="589"/>
      <c r="P135" s="229" t="str">
        <f t="shared" si="51"/>
        <v/>
      </c>
      <c r="Q135" s="229" t="str">
        <f t="shared" si="52"/>
        <v/>
      </c>
      <c r="R135" s="230" t="str">
        <f t="shared" si="53"/>
        <v/>
      </c>
      <c r="S135" s="230" t="str">
        <f t="shared" si="54"/>
        <v/>
      </c>
      <c r="T135" s="351"/>
      <c r="U135" s="43"/>
      <c r="V135" s="42" t="str">
        <f t="shared" si="30"/>
        <v/>
      </c>
      <c r="W135" s="42" t="e">
        <f>IF(#REF!="","",#REF!)</f>
        <v>#REF!</v>
      </c>
      <c r="X135" s="31" t="str">
        <f t="shared" si="31"/>
        <v/>
      </c>
      <c r="Y135" s="7" t="e">
        <f t="shared" si="32"/>
        <v>#N/A</v>
      </c>
      <c r="Z135" s="7" t="e">
        <f t="shared" si="33"/>
        <v>#N/A</v>
      </c>
      <c r="AA135" s="7" t="e">
        <f t="shared" si="34"/>
        <v>#N/A</v>
      </c>
      <c r="AB135" s="7" t="str">
        <f t="shared" si="35"/>
        <v/>
      </c>
      <c r="AC135" s="11">
        <f t="shared" si="36"/>
        <v>1</v>
      </c>
      <c r="AD135" s="7" t="e">
        <f t="shared" si="37"/>
        <v>#N/A</v>
      </c>
      <c r="AE135" s="7" t="e">
        <f t="shared" si="38"/>
        <v>#N/A</v>
      </c>
      <c r="AF135" s="7" t="e">
        <f t="shared" si="39"/>
        <v>#N/A</v>
      </c>
      <c r="AG135" s="472" t="e">
        <f>VLOOKUP(AI135,'排出係数(2017)'!$A$4:$I$1151,9,FALSE)</f>
        <v>#N/A</v>
      </c>
      <c r="AH135" s="12" t="str">
        <f t="shared" si="40"/>
        <v xml:space="preserve"> </v>
      </c>
      <c r="AI135" s="7" t="e">
        <f t="shared" si="55"/>
        <v>#N/A</v>
      </c>
      <c r="AJ135" s="7" t="e">
        <f t="shared" si="41"/>
        <v>#N/A</v>
      </c>
      <c r="AK135" s="472" t="e">
        <f>VLOOKUP(AI135,'排出係数(2017)'!$A$4:$I$1151,6,FALSE)</f>
        <v>#N/A</v>
      </c>
      <c r="AL135" s="7" t="e">
        <f t="shared" si="42"/>
        <v>#N/A</v>
      </c>
      <c r="AM135" s="7" t="e">
        <f t="shared" si="43"/>
        <v>#N/A</v>
      </c>
      <c r="AN135" s="472" t="e">
        <f>VLOOKUP(AI135,'排出係数(2017)'!$A$4:$I$1151,7,FALSE)</f>
        <v>#N/A</v>
      </c>
      <c r="AO135" s="7" t="e">
        <f t="shared" si="44"/>
        <v>#N/A</v>
      </c>
      <c r="AP135" s="7" t="e">
        <f t="shared" si="45"/>
        <v>#N/A</v>
      </c>
      <c r="AQ135" s="7" t="e">
        <f t="shared" si="56"/>
        <v>#N/A</v>
      </c>
      <c r="AR135" s="7">
        <f t="shared" si="46"/>
        <v>0</v>
      </c>
      <c r="AS135" s="7" t="e">
        <f t="shared" si="57"/>
        <v>#N/A</v>
      </c>
      <c r="AT135" s="7" t="str">
        <f t="shared" si="47"/>
        <v/>
      </c>
      <c r="AU135" s="7" t="str">
        <f t="shared" si="48"/>
        <v/>
      </c>
      <c r="AV135" s="7" t="str">
        <f t="shared" si="49"/>
        <v/>
      </c>
      <c r="AW135" s="7" t="str">
        <f t="shared" si="50"/>
        <v/>
      </c>
      <c r="AX135" s="97"/>
      <c r="BD135" s="453" t="s">
        <v>2079</v>
      </c>
      <c r="CG135"/>
      <c r="CH135"/>
      <c r="CK135" s="592" t="str">
        <f t="shared" si="58"/>
        <v/>
      </c>
      <c r="CL135" s="421" t="str">
        <f t="shared" si="59"/>
        <v/>
      </c>
      <c r="CM135" s="594"/>
      <c r="CN135" s="594"/>
      <c r="CO135" s="594"/>
      <c r="CP135" s="594"/>
      <c r="CQ135" s="594"/>
      <c r="CR135" s="594"/>
    </row>
    <row r="136" spans="1:96" s="13" customFormat="1" ht="13.75" customHeight="1">
      <c r="A136" s="137">
        <v>121</v>
      </c>
      <c r="B136" s="138"/>
      <c r="C136" s="139"/>
      <c r="D136" s="140"/>
      <c r="E136" s="139"/>
      <c r="F136" s="139"/>
      <c r="G136" s="191"/>
      <c r="H136" s="139"/>
      <c r="I136" s="141"/>
      <c r="J136" s="142"/>
      <c r="K136" s="139"/>
      <c r="L136" s="147"/>
      <c r="M136" s="148"/>
      <c r="N136" s="139"/>
      <c r="O136" s="589"/>
      <c r="P136" s="229" t="str">
        <f t="shared" si="51"/>
        <v/>
      </c>
      <c r="Q136" s="229" t="str">
        <f t="shared" si="52"/>
        <v/>
      </c>
      <c r="R136" s="230" t="str">
        <f t="shared" si="53"/>
        <v/>
      </c>
      <c r="S136" s="230" t="str">
        <f t="shared" si="54"/>
        <v/>
      </c>
      <c r="T136" s="351"/>
      <c r="U136" s="43"/>
      <c r="V136" s="42" t="str">
        <f t="shared" si="30"/>
        <v/>
      </c>
      <c r="W136" s="42" t="e">
        <f>IF(#REF!="","",#REF!)</f>
        <v>#REF!</v>
      </c>
      <c r="X136" s="31" t="str">
        <f t="shared" si="31"/>
        <v/>
      </c>
      <c r="Y136" s="7" t="e">
        <f t="shared" si="32"/>
        <v>#N/A</v>
      </c>
      <c r="Z136" s="7" t="e">
        <f t="shared" si="33"/>
        <v>#N/A</v>
      </c>
      <c r="AA136" s="7" t="e">
        <f t="shared" si="34"/>
        <v>#N/A</v>
      </c>
      <c r="AB136" s="7" t="str">
        <f t="shared" si="35"/>
        <v/>
      </c>
      <c r="AC136" s="11">
        <f t="shared" si="36"/>
        <v>1</v>
      </c>
      <c r="AD136" s="7" t="e">
        <f t="shared" si="37"/>
        <v>#N/A</v>
      </c>
      <c r="AE136" s="7" t="e">
        <f t="shared" si="38"/>
        <v>#N/A</v>
      </c>
      <c r="AF136" s="7" t="e">
        <f t="shared" si="39"/>
        <v>#N/A</v>
      </c>
      <c r="AG136" s="472" t="e">
        <f>VLOOKUP(AI136,'排出係数(2017)'!$A$4:$I$1151,9,FALSE)</f>
        <v>#N/A</v>
      </c>
      <c r="AH136" s="12" t="str">
        <f t="shared" si="40"/>
        <v xml:space="preserve"> </v>
      </c>
      <c r="AI136" s="7" t="e">
        <f t="shared" si="55"/>
        <v>#N/A</v>
      </c>
      <c r="AJ136" s="7" t="e">
        <f t="shared" si="41"/>
        <v>#N/A</v>
      </c>
      <c r="AK136" s="472" t="e">
        <f>VLOOKUP(AI136,'排出係数(2017)'!$A$4:$I$1151,6,FALSE)</f>
        <v>#N/A</v>
      </c>
      <c r="AL136" s="7" t="e">
        <f t="shared" si="42"/>
        <v>#N/A</v>
      </c>
      <c r="AM136" s="7" t="e">
        <f t="shared" si="43"/>
        <v>#N/A</v>
      </c>
      <c r="AN136" s="472" t="e">
        <f>VLOOKUP(AI136,'排出係数(2017)'!$A$4:$I$1151,7,FALSE)</f>
        <v>#N/A</v>
      </c>
      <c r="AO136" s="7" t="e">
        <f t="shared" si="44"/>
        <v>#N/A</v>
      </c>
      <c r="AP136" s="7" t="e">
        <f t="shared" si="45"/>
        <v>#N/A</v>
      </c>
      <c r="AQ136" s="7" t="e">
        <f t="shared" si="56"/>
        <v>#N/A</v>
      </c>
      <c r="AR136" s="7">
        <f t="shared" si="46"/>
        <v>0</v>
      </c>
      <c r="AS136" s="7" t="e">
        <f t="shared" si="57"/>
        <v>#N/A</v>
      </c>
      <c r="AT136" s="7" t="str">
        <f t="shared" si="47"/>
        <v/>
      </c>
      <c r="AU136" s="7" t="str">
        <f t="shared" si="48"/>
        <v/>
      </c>
      <c r="AV136" s="7" t="str">
        <f t="shared" si="49"/>
        <v/>
      </c>
      <c r="AW136" s="7" t="str">
        <f t="shared" si="50"/>
        <v/>
      </c>
      <c r="AX136" s="97"/>
      <c r="BD136" s="453" t="s">
        <v>2088</v>
      </c>
      <c r="CG136"/>
      <c r="CH136"/>
      <c r="CK136" s="592" t="str">
        <f t="shared" si="58"/>
        <v/>
      </c>
      <c r="CL136" s="421" t="str">
        <f t="shared" si="59"/>
        <v/>
      </c>
      <c r="CM136" s="594"/>
      <c r="CN136" s="594"/>
      <c r="CO136" s="594"/>
      <c r="CP136" s="594"/>
      <c r="CQ136" s="594"/>
      <c r="CR136" s="594"/>
    </row>
    <row r="137" spans="1:96" s="13" customFormat="1" ht="13.75" customHeight="1">
      <c r="A137" s="137">
        <v>122</v>
      </c>
      <c r="B137" s="138"/>
      <c r="C137" s="139"/>
      <c r="D137" s="140"/>
      <c r="E137" s="139"/>
      <c r="F137" s="139"/>
      <c r="G137" s="191"/>
      <c r="H137" s="139"/>
      <c r="I137" s="141"/>
      <c r="J137" s="142"/>
      <c r="K137" s="139"/>
      <c r="L137" s="147"/>
      <c r="M137" s="148"/>
      <c r="N137" s="139"/>
      <c r="O137" s="589"/>
      <c r="P137" s="229" t="str">
        <f t="shared" si="51"/>
        <v/>
      </c>
      <c r="Q137" s="229" t="str">
        <f t="shared" si="52"/>
        <v/>
      </c>
      <c r="R137" s="230" t="str">
        <f t="shared" si="53"/>
        <v/>
      </c>
      <c r="S137" s="230" t="str">
        <f t="shared" si="54"/>
        <v/>
      </c>
      <c r="T137" s="351"/>
      <c r="U137" s="43"/>
      <c r="V137" s="42" t="str">
        <f t="shared" si="30"/>
        <v/>
      </c>
      <c r="W137" s="42" t="e">
        <f>IF(#REF!="","",#REF!)</f>
        <v>#REF!</v>
      </c>
      <c r="X137" s="31" t="str">
        <f t="shared" si="31"/>
        <v/>
      </c>
      <c r="Y137" s="7" t="e">
        <f t="shared" si="32"/>
        <v>#N/A</v>
      </c>
      <c r="Z137" s="7" t="e">
        <f t="shared" si="33"/>
        <v>#N/A</v>
      </c>
      <c r="AA137" s="7" t="e">
        <f t="shared" si="34"/>
        <v>#N/A</v>
      </c>
      <c r="AB137" s="7" t="str">
        <f t="shared" si="35"/>
        <v/>
      </c>
      <c r="AC137" s="11">
        <f t="shared" si="36"/>
        <v>1</v>
      </c>
      <c r="AD137" s="7" t="e">
        <f t="shared" si="37"/>
        <v>#N/A</v>
      </c>
      <c r="AE137" s="7" t="e">
        <f t="shared" si="38"/>
        <v>#N/A</v>
      </c>
      <c r="AF137" s="7" t="e">
        <f t="shared" si="39"/>
        <v>#N/A</v>
      </c>
      <c r="AG137" s="472" t="e">
        <f>VLOOKUP(AI137,'排出係数(2017)'!$A$4:$I$1151,9,FALSE)</f>
        <v>#N/A</v>
      </c>
      <c r="AH137" s="12" t="str">
        <f t="shared" si="40"/>
        <v xml:space="preserve"> </v>
      </c>
      <c r="AI137" s="7" t="e">
        <f t="shared" si="55"/>
        <v>#N/A</v>
      </c>
      <c r="AJ137" s="7" t="e">
        <f t="shared" si="41"/>
        <v>#N/A</v>
      </c>
      <c r="AK137" s="472" t="e">
        <f>VLOOKUP(AI137,'排出係数(2017)'!$A$4:$I$1151,6,FALSE)</f>
        <v>#N/A</v>
      </c>
      <c r="AL137" s="7" t="e">
        <f t="shared" si="42"/>
        <v>#N/A</v>
      </c>
      <c r="AM137" s="7" t="e">
        <f t="shared" si="43"/>
        <v>#N/A</v>
      </c>
      <c r="AN137" s="472" t="e">
        <f>VLOOKUP(AI137,'排出係数(2017)'!$A$4:$I$1151,7,FALSE)</f>
        <v>#N/A</v>
      </c>
      <c r="AO137" s="7" t="e">
        <f t="shared" si="44"/>
        <v>#N/A</v>
      </c>
      <c r="AP137" s="7" t="e">
        <f t="shared" si="45"/>
        <v>#N/A</v>
      </c>
      <c r="AQ137" s="7" t="e">
        <f t="shared" si="56"/>
        <v>#N/A</v>
      </c>
      <c r="AR137" s="7">
        <f t="shared" si="46"/>
        <v>0</v>
      </c>
      <c r="AS137" s="7" t="e">
        <f t="shared" si="57"/>
        <v>#N/A</v>
      </c>
      <c r="AT137" s="7" t="str">
        <f t="shared" si="47"/>
        <v/>
      </c>
      <c r="AU137" s="7" t="str">
        <f t="shared" si="48"/>
        <v/>
      </c>
      <c r="AV137" s="7" t="str">
        <f t="shared" si="49"/>
        <v/>
      </c>
      <c r="AW137" s="7" t="str">
        <f t="shared" si="50"/>
        <v/>
      </c>
      <c r="AX137" s="97"/>
      <c r="BD137" s="453" t="s">
        <v>689</v>
      </c>
      <c r="CG137"/>
      <c r="CH137"/>
      <c r="CK137" s="592" t="str">
        <f t="shared" si="58"/>
        <v/>
      </c>
      <c r="CL137" s="421" t="str">
        <f t="shared" si="59"/>
        <v/>
      </c>
      <c r="CM137" s="594"/>
      <c r="CN137" s="594"/>
      <c r="CO137" s="594"/>
      <c r="CP137" s="594"/>
      <c r="CQ137" s="594"/>
      <c r="CR137" s="594"/>
    </row>
    <row r="138" spans="1:96" s="13" customFormat="1" ht="13.75" customHeight="1">
      <c r="A138" s="137">
        <v>123</v>
      </c>
      <c r="B138" s="138"/>
      <c r="C138" s="139"/>
      <c r="D138" s="140"/>
      <c r="E138" s="139"/>
      <c r="F138" s="139"/>
      <c r="G138" s="191"/>
      <c r="H138" s="139"/>
      <c r="I138" s="141"/>
      <c r="J138" s="142"/>
      <c r="K138" s="139"/>
      <c r="L138" s="147"/>
      <c r="M138" s="148"/>
      <c r="N138" s="139"/>
      <c r="O138" s="589"/>
      <c r="P138" s="229" t="str">
        <f t="shared" si="51"/>
        <v/>
      </c>
      <c r="Q138" s="229" t="str">
        <f t="shared" si="52"/>
        <v/>
      </c>
      <c r="R138" s="230" t="str">
        <f t="shared" si="53"/>
        <v/>
      </c>
      <c r="S138" s="230" t="str">
        <f t="shared" si="54"/>
        <v/>
      </c>
      <c r="T138" s="351"/>
      <c r="U138" s="43"/>
      <c r="V138" s="42" t="str">
        <f t="shared" si="30"/>
        <v/>
      </c>
      <c r="W138" s="42" t="e">
        <f>IF(#REF!="","",#REF!)</f>
        <v>#REF!</v>
      </c>
      <c r="X138" s="31" t="str">
        <f t="shared" si="31"/>
        <v/>
      </c>
      <c r="Y138" s="7" t="e">
        <f t="shared" si="32"/>
        <v>#N/A</v>
      </c>
      <c r="Z138" s="7" t="e">
        <f t="shared" si="33"/>
        <v>#N/A</v>
      </c>
      <c r="AA138" s="7" t="e">
        <f t="shared" si="34"/>
        <v>#N/A</v>
      </c>
      <c r="AB138" s="7" t="str">
        <f t="shared" si="35"/>
        <v/>
      </c>
      <c r="AC138" s="11">
        <f t="shared" si="36"/>
        <v>1</v>
      </c>
      <c r="AD138" s="7" t="e">
        <f t="shared" si="37"/>
        <v>#N/A</v>
      </c>
      <c r="AE138" s="7" t="e">
        <f t="shared" si="38"/>
        <v>#N/A</v>
      </c>
      <c r="AF138" s="7" t="e">
        <f t="shared" si="39"/>
        <v>#N/A</v>
      </c>
      <c r="AG138" s="472" t="e">
        <f>VLOOKUP(AI138,'排出係数(2017)'!$A$4:$I$1151,9,FALSE)</f>
        <v>#N/A</v>
      </c>
      <c r="AH138" s="12" t="str">
        <f t="shared" si="40"/>
        <v xml:space="preserve"> </v>
      </c>
      <c r="AI138" s="7" t="e">
        <f t="shared" si="55"/>
        <v>#N/A</v>
      </c>
      <c r="AJ138" s="7" t="e">
        <f t="shared" si="41"/>
        <v>#N/A</v>
      </c>
      <c r="AK138" s="472" t="e">
        <f>VLOOKUP(AI138,'排出係数(2017)'!$A$4:$I$1151,6,FALSE)</f>
        <v>#N/A</v>
      </c>
      <c r="AL138" s="7" t="e">
        <f t="shared" si="42"/>
        <v>#N/A</v>
      </c>
      <c r="AM138" s="7" t="e">
        <f t="shared" si="43"/>
        <v>#N/A</v>
      </c>
      <c r="AN138" s="472" t="e">
        <f>VLOOKUP(AI138,'排出係数(2017)'!$A$4:$I$1151,7,FALSE)</f>
        <v>#N/A</v>
      </c>
      <c r="AO138" s="7" t="e">
        <f t="shared" si="44"/>
        <v>#N/A</v>
      </c>
      <c r="AP138" s="7" t="e">
        <f t="shared" si="45"/>
        <v>#N/A</v>
      </c>
      <c r="AQ138" s="7" t="e">
        <f t="shared" si="56"/>
        <v>#N/A</v>
      </c>
      <c r="AR138" s="7">
        <f t="shared" si="46"/>
        <v>0</v>
      </c>
      <c r="AS138" s="7" t="e">
        <f t="shared" si="57"/>
        <v>#N/A</v>
      </c>
      <c r="AT138" s="7" t="str">
        <f t="shared" si="47"/>
        <v/>
      </c>
      <c r="AU138" s="7" t="str">
        <f t="shared" si="48"/>
        <v/>
      </c>
      <c r="AV138" s="7" t="str">
        <f t="shared" si="49"/>
        <v/>
      </c>
      <c r="AW138" s="7" t="str">
        <f t="shared" si="50"/>
        <v/>
      </c>
      <c r="AX138" s="97"/>
      <c r="BD138" s="453" t="s">
        <v>2129</v>
      </c>
      <c r="CG138"/>
      <c r="CH138"/>
      <c r="CK138" s="592" t="str">
        <f t="shared" si="58"/>
        <v/>
      </c>
      <c r="CL138" s="421" t="str">
        <f t="shared" si="59"/>
        <v/>
      </c>
      <c r="CM138" s="594"/>
      <c r="CN138" s="594"/>
      <c r="CO138" s="594"/>
      <c r="CP138" s="594"/>
      <c r="CQ138" s="594"/>
      <c r="CR138" s="594"/>
    </row>
    <row r="139" spans="1:96" s="13" customFormat="1" ht="13.75" customHeight="1">
      <c r="A139" s="137">
        <v>124</v>
      </c>
      <c r="B139" s="138"/>
      <c r="C139" s="139"/>
      <c r="D139" s="140"/>
      <c r="E139" s="139"/>
      <c r="F139" s="139"/>
      <c r="G139" s="191"/>
      <c r="H139" s="139"/>
      <c r="I139" s="141"/>
      <c r="J139" s="142"/>
      <c r="K139" s="139"/>
      <c r="L139" s="147"/>
      <c r="M139" s="148"/>
      <c r="N139" s="139"/>
      <c r="O139" s="589"/>
      <c r="P139" s="229" t="str">
        <f t="shared" si="51"/>
        <v/>
      </c>
      <c r="Q139" s="229" t="str">
        <f t="shared" si="52"/>
        <v/>
      </c>
      <c r="R139" s="230" t="str">
        <f t="shared" si="53"/>
        <v/>
      </c>
      <c r="S139" s="230" t="str">
        <f t="shared" si="54"/>
        <v/>
      </c>
      <c r="T139" s="351"/>
      <c r="U139" s="43"/>
      <c r="V139" s="42" t="str">
        <f t="shared" si="30"/>
        <v/>
      </c>
      <c r="W139" s="42" t="e">
        <f>IF(#REF!="","",#REF!)</f>
        <v>#REF!</v>
      </c>
      <c r="X139" s="31" t="str">
        <f t="shared" si="31"/>
        <v/>
      </c>
      <c r="Y139" s="7" t="e">
        <f t="shared" si="32"/>
        <v>#N/A</v>
      </c>
      <c r="Z139" s="7" t="e">
        <f t="shared" si="33"/>
        <v>#N/A</v>
      </c>
      <c r="AA139" s="7" t="e">
        <f t="shared" si="34"/>
        <v>#N/A</v>
      </c>
      <c r="AB139" s="7" t="str">
        <f t="shared" si="35"/>
        <v/>
      </c>
      <c r="AC139" s="11">
        <f t="shared" si="36"/>
        <v>1</v>
      </c>
      <c r="AD139" s="7" t="e">
        <f t="shared" si="37"/>
        <v>#N/A</v>
      </c>
      <c r="AE139" s="7" t="e">
        <f t="shared" si="38"/>
        <v>#N/A</v>
      </c>
      <c r="AF139" s="7" t="e">
        <f t="shared" si="39"/>
        <v>#N/A</v>
      </c>
      <c r="AG139" s="472" t="e">
        <f>VLOOKUP(AI139,'排出係数(2017)'!$A$4:$I$1151,9,FALSE)</f>
        <v>#N/A</v>
      </c>
      <c r="AH139" s="12" t="str">
        <f t="shared" si="40"/>
        <v xml:space="preserve"> </v>
      </c>
      <c r="AI139" s="7" t="e">
        <f t="shared" si="55"/>
        <v>#N/A</v>
      </c>
      <c r="AJ139" s="7" t="e">
        <f t="shared" si="41"/>
        <v>#N/A</v>
      </c>
      <c r="AK139" s="472" t="e">
        <f>VLOOKUP(AI139,'排出係数(2017)'!$A$4:$I$1151,6,FALSE)</f>
        <v>#N/A</v>
      </c>
      <c r="AL139" s="7" t="e">
        <f t="shared" si="42"/>
        <v>#N/A</v>
      </c>
      <c r="AM139" s="7" t="e">
        <f t="shared" si="43"/>
        <v>#N/A</v>
      </c>
      <c r="AN139" s="472" t="e">
        <f>VLOOKUP(AI139,'排出係数(2017)'!$A$4:$I$1151,7,FALSE)</f>
        <v>#N/A</v>
      </c>
      <c r="AO139" s="7" t="e">
        <f t="shared" si="44"/>
        <v>#N/A</v>
      </c>
      <c r="AP139" s="7" t="e">
        <f t="shared" si="45"/>
        <v>#N/A</v>
      </c>
      <c r="AQ139" s="7" t="e">
        <f t="shared" si="56"/>
        <v>#N/A</v>
      </c>
      <c r="AR139" s="7">
        <f t="shared" si="46"/>
        <v>0</v>
      </c>
      <c r="AS139" s="7" t="e">
        <f t="shared" si="57"/>
        <v>#N/A</v>
      </c>
      <c r="AT139" s="7" t="str">
        <f t="shared" si="47"/>
        <v/>
      </c>
      <c r="AU139" s="7" t="str">
        <f t="shared" si="48"/>
        <v/>
      </c>
      <c r="AV139" s="7" t="str">
        <f t="shared" si="49"/>
        <v/>
      </c>
      <c r="AW139" s="7" t="str">
        <f t="shared" si="50"/>
        <v/>
      </c>
      <c r="AX139" s="97"/>
      <c r="BD139" s="453" t="s">
        <v>2080</v>
      </c>
      <c r="CG139"/>
      <c r="CH139"/>
      <c r="CK139" s="592" t="str">
        <f t="shared" si="58"/>
        <v/>
      </c>
      <c r="CL139" s="421" t="str">
        <f t="shared" si="59"/>
        <v/>
      </c>
      <c r="CM139" s="594"/>
      <c r="CN139" s="594"/>
      <c r="CO139" s="594"/>
      <c r="CP139" s="594"/>
      <c r="CQ139" s="594"/>
      <c r="CR139" s="594"/>
    </row>
    <row r="140" spans="1:96" s="13" customFormat="1" ht="13.75" customHeight="1">
      <c r="A140" s="137">
        <v>125</v>
      </c>
      <c r="B140" s="138"/>
      <c r="C140" s="139"/>
      <c r="D140" s="140"/>
      <c r="E140" s="139"/>
      <c r="F140" s="139"/>
      <c r="G140" s="191"/>
      <c r="H140" s="139"/>
      <c r="I140" s="141"/>
      <c r="J140" s="142"/>
      <c r="K140" s="139"/>
      <c r="L140" s="147"/>
      <c r="M140" s="148"/>
      <c r="N140" s="139"/>
      <c r="O140" s="589"/>
      <c r="P140" s="229" t="str">
        <f t="shared" si="51"/>
        <v/>
      </c>
      <c r="Q140" s="229" t="str">
        <f t="shared" si="52"/>
        <v/>
      </c>
      <c r="R140" s="230" t="str">
        <f t="shared" si="53"/>
        <v/>
      </c>
      <c r="S140" s="230" t="str">
        <f t="shared" si="54"/>
        <v/>
      </c>
      <c r="T140" s="351"/>
      <c r="U140" s="43"/>
      <c r="V140" s="42" t="str">
        <f t="shared" si="30"/>
        <v/>
      </c>
      <c r="W140" s="42" t="e">
        <f>IF(#REF!="","",#REF!)</f>
        <v>#REF!</v>
      </c>
      <c r="X140" s="31" t="str">
        <f t="shared" si="31"/>
        <v/>
      </c>
      <c r="Y140" s="7" t="e">
        <f t="shared" si="32"/>
        <v>#N/A</v>
      </c>
      <c r="Z140" s="7" t="e">
        <f t="shared" si="33"/>
        <v>#N/A</v>
      </c>
      <c r="AA140" s="7" t="e">
        <f t="shared" si="34"/>
        <v>#N/A</v>
      </c>
      <c r="AB140" s="7" t="str">
        <f t="shared" si="35"/>
        <v/>
      </c>
      <c r="AC140" s="11">
        <f t="shared" si="36"/>
        <v>1</v>
      </c>
      <c r="AD140" s="7" t="e">
        <f t="shared" si="37"/>
        <v>#N/A</v>
      </c>
      <c r="AE140" s="7" t="e">
        <f t="shared" si="38"/>
        <v>#N/A</v>
      </c>
      <c r="AF140" s="7" t="e">
        <f t="shared" si="39"/>
        <v>#N/A</v>
      </c>
      <c r="AG140" s="472" t="e">
        <f>VLOOKUP(AI140,'排出係数(2017)'!$A$4:$I$1151,9,FALSE)</f>
        <v>#N/A</v>
      </c>
      <c r="AH140" s="12" t="str">
        <f t="shared" si="40"/>
        <v xml:space="preserve"> </v>
      </c>
      <c r="AI140" s="7" t="e">
        <f t="shared" si="55"/>
        <v>#N/A</v>
      </c>
      <c r="AJ140" s="7" t="e">
        <f t="shared" si="41"/>
        <v>#N/A</v>
      </c>
      <c r="AK140" s="472" t="e">
        <f>VLOOKUP(AI140,'排出係数(2017)'!$A$4:$I$1151,6,FALSE)</f>
        <v>#N/A</v>
      </c>
      <c r="AL140" s="7" t="e">
        <f t="shared" si="42"/>
        <v>#N/A</v>
      </c>
      <c r="AM140" s="7" t="e">
        <f t="shared" si="43"/>
        <v>#N/A</v>
      </c>
      <c r="AN140" s="472" t="e">
        <f>VLOOKUP(AI140,'排出係数(2017)'!$A$4:$I$1151,7,FALSE)</f>
        <v>#N/A</v>
      </c>
      <c r="AO140" s="7" t="e">
        <f t="shared" si="44"/>
        <v>#N/A</v>
      </c>
      <c r="AP140" s="7" t="e">
        <f t="shared" si="45"/>
        <v>#N/A</v>
      </c>
      <c r="AQ140" s="7" t="e">
        <f t="shared" si="56"/>
        <v>#N/A</v>
      </c>
      <c r="AR140" s="7">
        <f t="shared" si="46"/>
        <v>0</v>
      </c>
      <c r="AS140" s="7" t="e">
        <f t="shared" si="57"/>
        <v>#N/A</v>
      </c>
      <c r="AT140" s="7" t="str">
        <f t="shared" si="47"/>
        <v/>
      </c>
      <c r="AU140" s="7" t="str">
        <f t="shared" si="48"/>
        <v/>
      </c>
      <c r="AV140" s="7" t="str">
        <f t="shared" si="49"/>
        <v/>
      </c>
      <c r="AW140" s="7" t="str">
        <f t="shared" si="50"/>
        <v/>
      </c>
      <c r="AX140" s="97"/>
      <c r="BD140" s="453" t="s">
        <v>2089</v>
      </c>
      <c r="CG140"/>
      <c r="CH140"/>
      <c r="CK140" s="592" t="str">
        <f t="shared" si="58"/>
        <v/>
      </c>
      <c r="CL140" s="421" t="str">
        <f t="shared" si="59"/>
        <v/>
      </c>
      <c r="CM140" s="594"/>
      <c r="CN140" s="594"/>
      <c r="CO140" s="594"/>
      <c r="CP140" s="594"/>
      <c r="CQ140" s="594"/>
      <c r="CR140" s="594"/>
    </row>
    <row r="141" spans="1:96" s="13" customFormat="1" ht="13.75" customHeight="1">
      <c r="A141" s="137">
        <v>126</v>
      </c>
      <c r="B141" s="138"/>
      <c r="C141" s="139"/>
      <c r="D141" s="140"/>
      <c r="E141" s="139"/>
      <c r="F141" s="139"/>
      <c r="G141" s="191"/>
      <c r="H141" s="139"/>
      <c r="I141" s="141"/>
      <c r="J141" s="142"/>
      <c r="K141" s="139"/>
      <c r="L141" s="147"/>
      <c r="M141" s="148"/>
      <c r="N141" s="139"/>
      <c r="O141" s="589"/>
      <c r="P141" s="229" t="str">
        <f t="shared" si="51"/>
        <v/>
      </c>
      <c r="Q141" s="229" t="str">
        <f t="shared" si="52"/>
        <v/>
      </c>
      <c r="R141" s="230" t="str">
        <f t="shared" si="53"/>
        <v/>
      </c>
      <c r="S141" s="230" t="str">
        <f t="shared" si="54"/>
        <v/>
      </c>
      <c r="T141" s="351"/>
      <c r="U141" s="43"/>
      <c r="V141" s="42" t="str">
        <f t="shared" si="30"/>
        <v/>
      </c>
      <c r="W141" s="42" t="e">
        <f>IF(#REF!="","",#REF!)</f>
        <v>#REF!</v>
      </c>
      <c r="X141" s="31" t="str">
        <f t="shared" si="31"/>
        <v/>
      </c>
      <c r="Y141" s="7" t="e">
        <f t="shared" si="32"/>
        <v>#N/A</v>
      </c>
      <c r="Z141" s="7" t="e">
        <f t="shared" si="33"/>
        <v>#N/A</v>
      </c>
      <c r="AA141" s="7" t="e">
        <f t="shared" si="34"/>
        <v>#N/A</v>
      </c>
      <c r="AB141" s="7" t="str">
        <f t="shared" si="35"/>
        <v/>
      </c>
      <c r="AC141" s="11">
        <f t="shared" si="36"/>
        <v>1</v>
      </c>
      <c r="AD141" s="7" t="e">
        <f t="shared" si="37"/>
        <v>#N/A</v>
      </c>
      <c r="AE141" s="7" t="e">
        <f t="shared" si="38"/>
        <v>#N/A</v>
      </c>
      <c r="AF141" s="7" t="e">
        <f t="shared" si="39"/>
        <v>#N/A</v>
      </c>
      <c r="AG141" s="472" t="e">
        <f>VLOOKUP(AI141,'排出係数(2017)'!$A$4:$I$1151,9,FALSE)</f>
        <v>#N/A</v>
      </c>
      <c r="AH141" s="12" t="str">
        <f t="shared" si="40"/>
        <v xml:space="preserve"> </v>
      </c>
      <c r="AI141" s="7" t="e">
        <f t="shared" si="55"/>
        <v>#N/A</v>
      </c>
      <c r="AJ141" s="7" t="e">
        <f t="shared" si="41"/>
        <v>#N/A</v>
      </c>
      <c r="AK141" s="472" t="e">
        <f>VLOOKUP(AI141,'排出係数(2017)'!$A$4:$I$1151,6,FALSE)</f>
        <v>#N/A</v>
      </c>
      <c r="AL141" s="7" t="e">
        <f t="shared" si="42"/>
        <v>#N/A</v>
      </c>
      <c r="AM141" s="7" t="e">
        <f t="shared" si="43"/>
        <v>#N/A</v>
      </c>
      <c r="AN141" s="472" t="e">
        <f>VLOOKUP(AI141,'排出係数(2017)'!$A$4:$I$1151,7,FALSE)</f>
        <v>#N/A</v>
      </c>
      <c r="AO141" s="7" t="e">
        <f t="shared" si="44"/>
        <v>#N/A</v>
      </c>
      <c r="AP141" s="7" t="e">
        <f t="shared" si="45"/>
        <v>#N/A</v>
      </c>
      <c r="AQ141" s="7" t="e">
        <f t="shared" si="56"/>
        <v>#N/A</v>
      </c>
      <c r="AR141" s="7">
        <f t="shared" si="46"/>
        <v>0</v>
      </c>
      <c r="AS141" s="7" t="e">
        <f t="shared" si="57"/>
        <v>#N/A</v>
      </c>
      <c r="AT141" s="7" t="str">
        <f t="shared" si="47"/>
        <v/>
      </c>
      <c r="AU141" s="7" t="str">
        <f t="shared" si="48"/>
        <v/>
      </c>
      <c r="AV141" s="7" t="str">
        <f t="shared" si="49"/>
        <v/>
      </c>
      <c r="AW141" s="7" t="str">
        <f t="shared" si="50"/>
        <v/>
      </c>
      <c r="AX141" s="97"/>
      <c r="BD141" s="453" t="s">
        <v>796</v>
      </c>
      <c r="CG141"/>
      <c r="CH141"/>
      <c r="CK141" s="592" t="str">
        <f t="shared" si="58"/>
        <v/>
      </c>
      <c r="CL141" s="421" t="str">
        <f t="shared" si="59"/>
        <v/>
      </c>
      <c r="CM141" s="594"/>
      <c r="CN141" s="594"/>
      <c r="CO141" s="594"/>
      <c r="CP141" s="594"/>
      <c r="CQ141" s="594"/>
      <c r="CR141" s="594"/>
    </row>
    <row r="142" spans="1:96" s="13" customFormat="1" ht="13.75" customHeight="1">
      <c r="A142" s="137">
        <v>127</v>
      </c>
      <c r="B142" s="138"/>
      <c r="C142" s="139"/>
      <c r="D142" s="140"/>
      <c r="E142" s="139"/>
      <c r="F142" s="139"/>
      <c r="G142" s="191"/>
      <c r="H142" s="139"/>
      <c r="I142" s="141"/>
      <c r="J142" s="142"/>
      <c r="K142" s="139"/>
      <c r="L142" s="147"/>
      <c r="M142" s="148"/>
      <c r="N142" s="139"/>
      <c r="O142" s="589"/>
      <c r="P142" s="229" t="str">
        <f t="shared" si="51"/>
        <v/>
      </c>
      <c r="Q142" s="229" t="str">
        <f t="shared" si="52"/>
        <v/>
      </c>
      <c r="R142" s="230" t="str">
        <f t="shared" si="53"/>
        <v/>
      </c>
      <c r="S142" s="230" t="str">
        <f t="shared" si="54"/>
        <v/>
      </c>
      <c r="T142" s="351"/>
      <c r="U142" s="43"/>
      <c r="V142" s="42" t="str">
        <f t="shared" si="30"/>
        <v/>
      </c>
      <c r="W142" s="42" t="e">
        <f>IF(#REF!="","",#REF!)</f>
        <v>#REF!</v>
      </c>
      <c r="X142" s="31" t="str">
        <f t="shared" si="31"/>
        <v/>
      </c>
      <c r="Y142" s="7" t="e">
        <f t="shared" si="32"/>
        <v>#N/A</v>
      </c>
      <c r="Z142" s="7" t="e">
        <f t="shared" si="33"/>
        <v>#N/A</v>
      </c>
      <c r="AA142" s="7" t="e">
        <f t="shared" si="34"/>
        <v>#N/A</v>
      </c>
      <c r="AB142" s="7" t="str">
        <f t="shared" si="35"/>
        <v/>
      </c>
      <c r="AC142" s="11">
        <f t="shared" si="36"/>
        <v>1</v>
      </c>
      <c r="AD142" s="7" t="e">
        <f t="shared" si="37"/>
        <v>#N/A</v>
      </c>
      <c r="AE142" s="7" t="e">
        <f t="shared" si="38"/>
        <v>#N/A</v>
      </c>
      <c r="AF142" s="7" t="e">
        <f t="shared" si="39"/>
        <v>#N/A</v>
      </c>
      <c r="AG142" s="472" t="e">
        <f>VLOOKUP(AI142,'排出係数(2017)'!$A$4:$I$1151,9,FALSE)</f>
        <v>#N/A</v>
      </c>
      <c r="AH142" s="12" t="str">
        <f t="shared" si="40"/>
        <v xml:space="preserve"> </v>
      </c>
      <c r="AI142" s="7" t="e">
        <f t="shared" si="55"/>
        <v>#N/A</v>
      </c>
      <c r="AJ142" s="7" t="e">
        <f t="shared" si="41"/>
        <v>#N/A</v>
      </c>
      <c r="AK142" s="472" t="e">
        <f>VLOOKUP(AI142,'排出係数(2017)'!$A$4:$I$1151,6,FALSE)</f>
        <v>#N/A</v>
      </c>
      <c r="AL142" s="7" t="e">
        <f t="shared" si="42"/>
        <v>#N/A</v>
      </c>
      <c r="AM142" s="7" t="e">
        <f t="shared" si="43"/>
        <v>#N/A</v>
      </c>
      <c r="AN142" s="472" t="e">
        <f>VLOOKUP(AI142,'排出係数(2017)'!$A$4:$I$1151,7,FALSE)</f>
        <v>#N/A</v>
      </c>
      <c r="AO142" s="7" t="e">
        <f t="shared" si="44"/>
        <v>#N/A</v>
      </c>
      <c r="AP142" s="7" t="e">
        <f t="shared" si="45"/>
        <v>#N/A</v>
      </c>
      <c r="AQ142" s="7" t="e">
        <f t="shared" si="56"/>
        <v>#N/A</v>
      </c>
      <c r="AR142" s="7">
        <f t="shared" si="46"/>
        <v>0</v>
      </c>
      <c r="AS142" s="7" t="e">
        <f t="shared" si="57"/>
        <v>#N/A</v>
      </c>
      <c r="AT142" s="7" t="str">
        <f t="shared" si="47"/>
        <v/>
      </c>
      <c r="AU142" s="7" t="str">
        <f t="shared" si="48"/>
        <v/>
      </c>
      <c r="AV142" s="7" t="str">
        <f t="shared" si="49"/>
        <v/>
      </c>
      <c r="AW142" s="7" t="str">
        <f t="shared" si="50"/>
        <v/>
      </c>
      <c r="AX142" s="97"/>
      <c r="BD142" s="453" t="s">
        <v>1925</v>
      </c>
      <c r="CG142"/>
      <c r="CH142"/>
      <c r="CK142" s="592" t="str">
        <f t="shared" si="58"/>
        <v/>
      </c>
      <c r="CL142" s="421" t="str">
        <f t="shared" si="59"/>
        <v/>
      </c>
      <c r="CM142" s="594"/>
      <c r="CN142" s="594"/>
      <c r="CO142" s="594"/>
      <c r="CP142" s="594"/>
      <c r="CQ142" s="594"/>
      <c r="CR142" s="594"/>
    </row>
    <row r="143" spans="1:96" s="13" customFormat="1" ht="13.75" customHeight="1">
      <c r="A143" s="137">
        <v>128</v>
      </c>
      <c r="B143" s="138"/>
      <c r="C143" s="139"/>
      <c r="D143" s="140"/>
      <c r="E143" s="139"/>
      <c r="F143" s="139"/>
      <c r="G143" s="191"/>
      <c r="H143" s="139"/>
      <c r="I143" s="141"/>
      <c r="J143" s="142"/>
      <c r="K143" s="139"/>
      <c r="L143" s="147"/>
      <c r="M143" s="148"/>
      <c r="N143" s="139"/>
      <c r="O143" s="589"/>
      <c r="P143" s="229" t="str">
        <f t="shared" si="51"/>
        <v/>
      </c>
      <c r="Q143" s="229" t="str">
        <f t="shared" si="52"/>
        <v/>
      </c>
      <c r="R143" s="230" t="str">
        <f t="shared" si="53"/>
        <v/>
      </c>
      <c r="S143" s="230" t="str">
        <f t="shared" si="54"/>
        <v/>
      </c>
      <c r="T143" s="351"/>
      <c r="U143" s="43"/>
      <c r="V143" s="42" t="str">
        <f t="shared" si="30"/>
        <v/>
      </c>
      <c r="W143" s="42" t="e">
        <f>IF(#REF!="","",#REF!)</f>
        <v>#REF!</v>
      </c>
      <c r="X143" s="31" t="str">
        <f t="shared" si="31"/>
        <v/>
      </c>
      <c r="Y143" s="7" t="e">
        <f t="shared" si="32"/>
        <v>#N/A</v>
      </c>
      <c r="Z143" s="7" t="e">
        <f t="shared" si="33"/>
        <v>#N/A</v>
      </c>
      <c r="AA143" s="7" t="e">
        <f t="shared" si="34"/>
        <v>#N/A</v>
      </c>
      <c r="AB143" s="7" t="str">
        <f t="shared" si="35"/>
        <v/>
      </c>
      <c r="AC143" s="11">
        <f t="shared" si="36"/>
        <v>1</v>
      </c>
      <c r="AD143" s="7" t="e">
        <f t="shared" si="37"/>
        <v>#N/A</v>
      </c>
      <c r="AE143" s="7" t="e">
        <f t="shared" si="38"/>
        <v>#N/A</v>
      </c>
      <c r="AF143" s="7" t="e">
        <f t="shared" si="39"/>
        <v>#N/A</v>
      </c>
      <c r="AG143" s="472" t="e">
        <f>VLOOKUP(AI143,'排出係数(2017)'!$A$4:$I$1151,9,FALSE)</f>
        <v>#N/A</v>
      </c>
      <c r="AH143" s="12" t="str">
        <f t="shared" si="40"/>
        <v xml:space="preserve"> </v>
      </c>
      <c r="AI143" s="7" t="e">
        <f t="shared" si="55"/>
        <v>#N/A</v>
      </c>
      <c r="AJ143" s="7" t="e">
        <f t="shared" si="41"/>
        <v>#N/A</v>
      </c>
      <c r="AK143" s="472" t="e">
        <f>VLOOKUP(AI143,'排出係数(2017)'!$A$4:$I$1151,6,FALSE)</f>
        <v>#N/A</v>
      </c>
      <c r="AL143" s="7" t="e">
        <f t="shared" si="42"/>
        <v>#N/A</v>
      </c>
      <c r="AM143" s="7" t="e">
        <f t="shared" si="43"/>
        <v>#N/A</v>
      </c>
      <c r="AN143" s="472" t="e">
        <f>VLOOKUP(AI143,'排出係数(2017)'!$A$4:$I$1151,7,FALSE)</f>
        <v>#N/A</v>
      </c>
      <c r="AO143" s="7" t="e">
        <f t="shared" si="44"/>
        <v>#N/A</v>
      </c>
      <c r="AP143" s="7" t="e">
        <f t="shared" si="45"/>
        <v>#N/A</v>
      </c>
      <c r="AQ143" s="7" t="e">
        <f t="shared" si="56"/>
        <v>#N/A</v>
      </c>
      <c r="AR143" s="7">
        <f t="shared" si="46"/>
        <v>0</v>
      </c>
      <c r="AS143" s="7" t="e">
        <f t="shared" si="57"/>
        <v>#N/A</v>
      </c>
      <c r="AT143" s="7" t="str">
        <f t="shared" si="47"/>
        <v/>
      </c>
      <c r="AU143" s="7" t="str">
        <f t="shared" si="48"/>
        <v/>
      </c>
      <c r="AV143" s="7" t="str">
        <f t="shared" si="49"/>
        <v/>
      </c>
      <c r="AW143" s="7" t="str">
        <f t="shared" si="50"/>
        <v/>
      </c>
      <c r="AX143" s="97"/>
      <c r="BD143" s="453" t="s">
        <v>1926</v>
      </c>
      <c r="CG143"/>
      <c r="CH143"/>
      <c r="CK143" s="592" t="str">
        <f t="shared" si="58"/>
        <v/>
      </c>
      <c r="CL143" s="421" t="str">
        <f t="shared" si="59"/>
        <v/>
      </c>
      <c r="CM143" s="594"/>
      <c r="CN143" s="594"/>
      <c r="CO143" s="594"/>
      <c r="CP143" s="594"/>
      <c r="CQ143" s="594"/>
      <c r="CR143" s="594"/>
    </row>
    <row r="144" spans="1:96" s="13" customFormat="1" ht="13.75" customHeight="1">
      <c r="A144" s="137">
        <v>129</v>
      </c>
      <c r="B144" s="138"/>
      <c r="C144" s="139"/>
      <c r="D144" s="140"/>
      <c r="E144" s="139"/>
      <c r="F144" s="139"/>
      <c r="G144" s="191"/>
      <c r="H144" s="139"/>
      <c r="I144" s="141"/>
      <c r="J144" s="142"/>
      <c r="K144" s="139"/>
      <c r="L144" s="147"/>
      <c r="M144" s="148"/>
      <c r="N144" s="139"/>
      <c r="O144" s="589"/>
      <c r="P144" s="229" t="str">
        <f t="shared" si="51"/>
        <v/>
      </c>
      <c r="Q144" s="229" t="str">
        <f t="shared" si="52"/>
        <v/>
      </c>
      <c r="R144" s="230" t="str">
        <f t="shared" si="53"/>
        <v/>
      </c>
      <c r="S144" s="230" t="str">
        <f t="shared" si="54"/>
        <v/>
      </c>
      <c r="T144" s="351"/>
      <c r="U144" s="43"/>
      <c r="V144" s="42" t="str">
        <f t="shared" ref="V144:V207" si="60">IF(O144="","",O144)</f>
        <v/>
      </c>
      <c r="W144" s="42" t="e">
        <f>IF(#REF!="","",#REF!)</f>
        <v>#REF!</v>
      </c>
      <c r="X144" s="31" t="str">
        <f t="shared" ref="X144:X207" si="61">IF(ISBLANK(H144)=TRUE,"",IF(OR(ISBLANK(B144)=TRUE),1,""))</f>
        <v/>
      </c>
      <c r="Y144" s="7" t="e">
        <f t="shared" ref="Y144:Y207" si="62">VLOOKUP(H144,$AY$17:$BB$23,2,FALSE)</f>
        <v>#N/A</v>
      </c>
      <c r="Z144" s="7" t="e">
        <f t="shared" ref="Z144:Z207" si="63">VLOOKUP(H144,$AY$17:$BB$23,3,FALSE)</f>
        <v>#N/A</v>
      </c>
      <c r="AA144" s="7" t="e">
        <f t="shared" ref="AA144:AA207" si="64">VLOOKUP(H144,$AY$17:$BB$23,4,FALSE)</f>
        <v>#N/A</v>
      </c>
      <c r="AB144" s="7" t="str">
        <f t="shared" ref="AB144:AB207" si="65">IF(ISERROR(SEARCH("-",I144,1))=TRUE,ASC(UPPER(I144)),ASC(UPPER(LEFT(I144,SEARCH("-",I144,1)-1))))</f>
        <v/>
      </c>
      <c r="AC144" s="11">
        <f t="shared" ref="AC144:AC207" si="66">IF(J144&gt;3500,J144/1000,1)</f>
        <v>1</v>
      </c>
      <c r="AD144" s="7" t="e">
        <f t="shared" ref="AD144:AD207" si="67">IF(AA144=9,0,IF(J144&lt;=1700,1,IF(J144&lt;=2500,2,IF(J144&lt;=3500,3,4))))</f>
        <v>#N/A</v>
      </c>
      <c r="AE144" s="7" t="e">
        <f t="shared" ref="AE144:AE207" si="68">IF(AA144=5,0,IF(AA144=9,0,IF(J144&lt;=1700,1,IF(J144&lt;=2500,2,IF(J144&lt;=3500,3,4)))))</f>
        <v>#N/A</v>
      </c>
      <c r="AF144" s="7" t="e">
        <f t="shared" ref="AF144:AF207" si="69">VLOOKUP(K144,$BG$17:$BH$25,2,FALSE)</f>
        <v>#N/A</v>
      </c>
      <c r="AG144" s="472" t="e">
        <f>VLOOKUP(AI144,'排出係数(2017)'!$A$4:$I$1151,9,FALSE)</f>
        <v>#N/A</v>
      </c>
      <c r="AH144" s="12" t="str">
        <f t="shared" ref="AH144:AH207" si="70">IF(OR(ISBLANK(K144)=TRUE,ISBLANK(B144)=TRUE)," ",CONCATENATE(B144,AA144,AD144))</f>
        <v xml:space="preserve"> </v>
      </c>
      <c r="AI144" s="7" t="e">
        <f t="shared" si="55"/>
        <v>#N/A</v>
      </c>
      <c r="AJ144" s="7" t="e">
        <f t="shared" ref="AJ144:AJ207" si="71">IF(AND(L144="あり",AF144="軽"),AL144,AK144)</f>
        <v>#N/A</v>
      </c>
      <c r="AK144" s="472" t="e">
        <f>VLOOKUP(AI144,'排出係数(2017)'!$A$4:$I$1151,6,FALSE)</f>
        <v>#N/A</v>
      </c>
      <c r="AL144" s="7" t="e">
        <f t="shared" ref="AL144:AL207" si="72">VLOOKUP(AE144,$BU$17:$BY$21,2,FALSE)</f>
        <v>#N/A</v>
      </c>
      <c r="AM144" s="7" t="e">
        <f t="shared" ref="AM144:AM207" si="73">IF(AND(L144="あり",M144="なし",AF144="軽"),AO144,IF(AND(L144="あり",M144="あり(H17なし)",AF144="軽"),AO144,IF(AND(L144="あり",M144="",AF144="軽"),AO144,IF(AND(L144="なし",M144="あり(H17なし)",AF144="軽"),AP144,IF(AND(L144="",M144="あり(H17なし)",AF144="軽"),AP144,IF(AND(M144="あり(H17あり)",AF144="軽"),AQ144,AN144))))))</f>
        <v>#N/A</v>
      </c>
      <c r="AN144" s="472" t="e">
        <f>VLOOKUP(AI144,'排出係数(2017)'!$A$4:$I$1151,7,FALSE)</f>
        <v>#N/A</v>
      </c>
      <c r="AO144" s="7" t="e">
        <f t="shared" ref="AO144:AO207" si="74">VLOOKUP(AE144,$BU$17:$BY$21,3,FALSE)</f>
        <v>#N/A</v>
      </c>
      <c r="AP144" s="7" t="e">
        <f t="shared" ref="AP144:AP207" si="75">VLOOKUP(AE144,$BU$17:$BY$21,4,FALSE)</f>
        <v>#N/A</v>
      </c>
      <c r="AQ144" s="7" t="e">
        <f t="shared" si="56"/>
        <v>#N/A</v>
      </c>
      <c r="AR144" s="7">
        <f t="shared" ref="AR144:AR207" si="76">IF(AND(L144="なし",M144="なし"),0,IF(AND(L144="",M144=""),0,IF(AND(L144="",M144="なし"),0,IF(AND(L144="なし",M144=""),0,1))))</f>
        <v>0</v>
      </c>
      <c r="AS144" s="7" t="e">
        <f t="shared" si="57"/>
        <v>#N/A</v>
      </c>
      <c r="AT144" s="7" t="str">
        <f t="shared" ref="AT144:AT207" si="77">IF(H144="","",VLOOKUP(H144,$AY$17:$BC$25,5,FALSE))</f>
        <v/>
      </c>
      <c r="AU144" s="7" t="str">
        <f t="shared" ref="AU144:AU207" si="78">IF(D144="","",VLOOKUP(CONCATENATE("A",LEFT(D144)),$BR$17:$BS$26,2,FALSE))</f>
        <v/>
      </c>
      <c r="AV144" s="7" t="str">
        <f t="shared" ref="AV144:AV207" si="79">IF(AT144=AU144,"",1)</f>
        <v/>
      </c>
      <c r="AW144" s="7" t="str">
        <f t="shared" ref="AW144:AW207" si="80">CONCATENATE(C144,D144,E144,F144)</f>
        <v/>
      </c>
      <c r="AX144" s="97"/>
      <c r="BD144" s="453" t="s">
        <v>1927</v>
      </c>
      <c r="CG144"/>
      <c r="CH144"/>
      <c r="CK144" s="592" t="str">
        <f t="shared" si="58"/>
        <v/>
      </c>
      <c r="CL144" s="421" t="str">
        <f t="shared" si="59"/>
        <v/>
      </c>
      <c r="CM144" s="594"/>
      <c r="CN144" s="594"/>
      <c r="CO144" s="594"/>
      <c r="CP144" s="594"/>
      <c r="CQ144" s="594"/>
      <c r="CR144" s="594"/>
    </row>
    <row r="145" spans="1:96" s="13" customFormat="1" ht="13.75" customHeight="1">
      <c r="A145" s="137">
        <v>130</v>
      </c>
      <c r="B145" s="138"/>
      <c r="C145" s="139"/>
      <c r="D145" s="140"/>
      <c r="E145" s="139"/>
      <c r="F145" s="139"/>
      <c r="G145" s="191"/>
      <c r="H145" s="139"/>
      <c r="I145" s="141"/>
      <c r="J145" s="142"/>
      <c r="K145" s="139"/>
      <c r="L145" s="147"/>
      <c r="M145" s="148"/>
      <c r="N145" s="139"/>
      <c r="O145" s="589"/>
      <c r="P145" s="229" t="str">
        <f t="shared" ref="P145:P208" si="81">IF(ISBLANK(K145)=TRUE,"",IF(ISNUMBER(AJ145)=TRUE,AJ145,"0"))</f>
        <v/>
      </c>
      <c r="Q145" s="229" t="str">
        <f t="shared" ref="Q145:Q208" si="82">IF(ISBLANK(K145)=TRUE,"",IF(ISNUMBER(AM145)=TRUE,AM145,"0"))</f>
        <v/>
      </c>
      <c r="R145" s="230" t="str">
        <f t="shared" ref="R145:R208" si="83">IF(P145="","",IF(ISERROR(P145*V145*AC145),"0",IF(ISBLANK(V145)=TRUE,"0",IF(ISBLANK(P145)=TRUE,"0",IF(AV145=1,"0",P145*AC145*V145/1000)))))</f>
        <v/>
      </c>
      <c r="S145" s="230" t="str">
        <f t="shared" ref="S145:S208" si="84">IF(Q145="","",IF(ISERROR(Q145*V145*AC145),"0",IF(ISBLANK(V145)=TRUE,"0",IF(ISBLANK(Q145)=TRUE,"0",IF(AV145=1,"0",Q145*AC145*V145/1000)))))</f>
        <v/>
      </c>
      <c r="T145" s="351"/>
      <c r="U145" s="43"/>
      <c r="V145" s="42" t="str">
        <f t="shared" si="60"/>
        <v/>
      </c>
      <c r="W145" s="42" t="e">
        <f>IF(#REF!="","",#REF!)</f>
        <v>#REF!</v>
      </c>
      <c r="X145" s="31" t="str">
        <f t="shared" si="61"/>
        <v/>
      </c>
      <c r="Y145" s="7" t="e">
        <f t="shared" si="62"/>
        <v>#N/A</v>
      </c>
      <c r="Z145" s="7" t="e">
        <f t="shared" si="63"/>
        <v>#N/A</v>
      </c>
      <c r="AA145" s="7" t="e">
        <f t="shared" si="64"/>
        <v>#N/A</v>
      </c>
      <c r="AB145" s="7" t="str">
        <f t="shared" si="65"/>
        <v/>
      </c>
      <c r="AC145" s="11">
        <f t="shared" si="66"/>
        <v>1</v>
      </c>
      <c r="AD145" s="7" t="e">
        <f t="shared" si="67"/>
        <v>#N/A</v>
      </c>
      <c r="AE145" s="7" t="e">
        <f t="shared" si="68"/>
        <v>#N/A</v>
      </c>
      <c r="AF145" s="7" t="e">
        <f t="shared" si="69"/>
        <v>#N/A</v>
      </c>
      <c r="AG145" s="472" t="e">
        <f>VLOOKUP(AI145,'排出係数(2017)'!$A$4:$I$1151,9,FALSE)</f>
        <v>#N/A</v>
      </c>
      <c r="AH145" s="12" t="str">
        <f t="shared" si="70"/>
        <v xml:space="preserve"> </v>
      </c>
      <c r="AI145" s="7" t="e">
        <f t="shared" ref="AI145:AI208" si="85">CONCATENATE(Y145,AE145,AF145,AB145)</f>
        <v>#N/A</v>
      </c>
      <c r="AJ145" s="7" t="e">
        <f t="shared" si="71"/>
        <v>#N/A</v>
      </c>
      <c r="AK145" s="472" t="e">
        <f>VLOOKUP(AI145,'排出係数(2017)'!$A$4:$I$1151,6,FALSE)</f>
        <v>#N/A</v>
      </c>
      <c r="AL145" s="7" t="e">
        <f t="shared" si="72"/>
        <v>#N/A</v>
      </c>
      <c r="AM145" s="7" t="e">
        <f t="shared" si="73"/>
        <v>#N/A</v>
      </c>
      <c r="AN145" s="472" t="e">
        <f>VLOOKUP(AI145,'排出係数(2017)'!$A$4:$I$1151,7,FALSE)</f>
        <v>#N/A</v>
      </c>
      <c r="AO145" s="7" t="e">
        <f t="shared" si="74"/>
        <v>#N/A</v>
      </c>
      <c r="AP145" s="7" t="e">
        <f t="shared" si="75"/>
        <v>#N/A</v>
      </c>
      <c r="AQ145" s="7" t="e">
        <f t="shared" ref="AQ145:AQ208" si="86">VLOOKUP(AE145,$BU$17:$BY$21,5,FALSE)</f>
        <v>#N/A</v>
      </c>
      <c r="AR145" s="7">
        <f t="shared" si="76"/>
        <v>0</v>
      </c>
      <c r="AS145" s="7" t="e">
        <f t="shared" ref="AS145:AS208" si="87">VLOOKUP(AI145,排出係数表,8,FALSE)</f>
        <v>#N/A</v>
      </c>
      <c r="AT145" s="7" t="str">
        <f t="shared" si="77"/>
        <v/>
      </c>
      <c r="AU145" s="7" t="str">
        <f t="shared" si="78"/>
        <v/>
      </c>
      <c r="AV145" s="7" t="str">
        <f t="shared" si="79"/>
        <v/>
      </c>
      <c r="AW145" s="7" t="str">
        <f t="shared" si="80"/>
        <v/>
      </c>
      <c r="AX145" s="97"/>
      <c r="BD145" s="453" t="s">
        <v>800</v>
      </c>
      <c r="CG145"/>
      <c r="CH145"/>
      <c r="CK145" s="592" t="str">
        <f t="shared" ref="CK145:CK208" si="88">IF(COUNTA(B145:F145,H145:K145)&gt;0,IF(OR(ISNUMBER(AK145)=FALSE,ISNUMBER(AN145)=FALSE,COUNTA(B145:F145,H145:K145)&lt;9),"×","〇"),"")</f>
        <v/>
      </c>
      <c r="CL145" s="421" t="str">
        <f t="shared" ref="CL145:CL208" si="89">IF(T145="廃止","※前年度に「廃止」報告をした自動車はその行を空白にしてください。",IF(T145="新規かつ廃止","※「新規」と「廃止」の両方に該当する自動車かご確認ください。",""))</f>
        <v/>
      </c>
      <c r="CM145" s="594"/>
      <c r="CN145" s="594"/>
      <c r="CO145" s="594"/>
      <c r="CP145" s="594"/>
      <c r="CQ145" s="594"/>
      <c r="CR145" s="594"/>
    </row>
    <row r="146" spans="1:96" s="13" customFormat="1" ht="13.75" customHeight="1">
      <c r="A146" s="137">
        <v>131</v>
      </c>
      <c r="B146" s="138"/>
      <c r="C146" s="139"/>
      <c r="D146" s="140"/>
      <c r="E146" s="139"/>
      <c r="F146" s="139"/>
      <c r="G146" s="191"/>
      <c r="H146" s="139"/>
      <c r="I146" s="141"/>
      <c r="J146" s="142"/>
      <c r="K146" s="139"/>
      <c r="L146" s="147"/>
      <c r="M146" s="148"/>
      <c r="N146" s="139"/>
      <c r="O146" s="589"/>
      <c r="P146" s="229" t="str">
        <f t="shared" si="81"/>
        <v/>
      </c>
      <c r="Q146" s="229" t="str">
        <f t="shared" si="82"/>
        <v/>
      </c>
      <c r="R146" s="230" t="str">
        <f t="shared" si="83"/>
        <v/>
      </c>
      <c r="S146" s="230" t="str">
        <f t="shared" si="84"/>
        <v/>
      </c>
      <c r="T146" s="351"/>
      <c r="U146" s="43"/>
      <c r="V146" s="42" t="str">
        <f t="shared" si="60"/>
        <v/>
      </c>
      <c r="W146" s="42" t="e">
        <f>IF(#REF!="","",#REF!)</f>
        <v>#REF!</v>
      </c>
      <c r="X146" s="31" t="str">
        <f t="shared" si="61"/>
        <v/>
      </c>
      <c r="Y146" s="7" t="e">
        <f t="shared" si="62"/>
        <v>#N/A</v>
      </c>
      <c r="Z146" s="7" t="e">
        <f t="shared" si="63"/>
        <v>#N/A</v>
      </c>
      <c r="AA146" s="7" t="e">
        <f t="shared" si="64"/>
        <v>#N/A</v>
      </c>
      <c r="AB146" s="7" t="str">
        <f t="shared" si="65"/>
        <v/>
      </c>
      <c r="AC146" s="11">
        <f t="shared" si="66"/>
        <v>1</v>
      </c>
      <c r="AD146" s="7" t="e">
        <f t="shared" si="67"/>
        <v>#N/A</v>
      </c>
      <c r="AE146" s="7" t="e">
        <f t="shared" si="68"/>
        <v>#N/A</v>
      </c>
      <c r="AF146" s="7" t="e">
        <f t="shared" si="69"/>
        <v>#N/A</v>
      </c>
      <c r="AG146" s="472" t="e">
        <f>VLOOKUP(AI146,'排出係数(2017)'!$A$4:$I$1151,9,FALSE)</f>
        <v>#N/A</v>
      </c>
      <c r="AH146" s="12" t="str">
        <f t="shared" si="70"/>
        <v xml:space="preserve"> </v>
      </c>
      <c r="AI146" s="7" t="e">
        <f t="shared" si="85"/>
        <v>#N/A</v>
      </c>
      <c r="AJ146" s="7" t="e">
        <f t="shared" si="71"/>
        <v>#N/A</v>
      </c>
      <c r="AK146" s="472" t="e">
        <f>VLOOKUP(AI146,'排出係数(2017)'!$A$4:$I$1151,6,FALSE)</f>
        <v>#N/A</v>
      </c>
      <c r="AL146" s="7" t="e">
        <f t="shared" si="72"/>
        <v>#N/A</v>
      </c>
      <c r="AM146" s="7" t="e">
        <f t="shared" si="73"/>
        <v>#N/A</v>
      </c>
      <c r="AN146" s="472" t="e">
        <f>VLOOKUP(AI146,'排出係数(2017)'!$A$4:$I$1151,7,FALSE)</f>
        <v>#N/A</v>
      </c>
      <c r="AO146" s="7" t="e">
        <f t="shared" si="74"/>
        <v>#N/A</v>
      </c>
      <c r="AP146" s="7" t="e">
        <f t="shared" si="75"/>
        <v>#N/A</v>
      </c>
      <c r="AQ146" s="7" t="e">
        <f t="shared" si="86"/>
        <v>#N/A</v>
      </c>
      <c r="AR146" s="7">
        <f t="shared" si="76"/>
        <v>0</v>
      </c>
      <c r="AS146" s="7" t="e">
        <f t="shared" si="87"/>
        <v>#N/A</v>
      </c>
      <c r="AT146" s="7" t="str">
        <f t="shared" si="77"/>
        <v/>
      </c>
      <c r="AU146" s="7" t="str">
        <f t="shared" si="78"/>
        <v/>
      </c>
      <c r="AV146" s="7" t="str">
        <f t="shared" si="79"/>
        <v/>
      </c>
      <c r="AW146" s="7" t="str">
        <f t="shared" si="80"/>
        <v/>
      </c>
      <c r="AX146" s="97"/>
      <c r="BD146" s="453" t="s">
        <v>1929</v>
      </c>
      <c r="CG146"/>
      <c r="CH146"/>
      <c r="CK146" s="592" t="str">
        <f t="shared" si="88"/>
        <v/>
      </c>
      <c r="CL146" s="421" t="str">
        <f t="shared" si="89"/>
        <v/>
      </c>
      <c r="CM146" s="594"/>
      <c r="CN146" s="594"/>
      <c r="CO146" s="594"/>
      <c r="CP146" s="594"/>
      <c r="CQ146" s="594"/>
      <c r="CR146" s="594"/>
    </row>
    <row r="147" spans="1:96" s="13" customFormat="1" ht="13.75" customHeight="1">
      <c r="A147" s="137">
        <v>132</v>
      </c>
      <c r="B147" s="138"/>
      <c r="C147" s="139"/>
      <c r="D147" s="140"/>
      <c r="E147" s="139"/>
      <c r="F147" s="139"/>
      <c r="G147" s="191"/>
      <c r="H147" s="139"/>
      <c r="I147" s="141"/>
      <c r="J147" s="142"/>
      <c r="K147" s="139"/>
      <c r="L147" s="147"/>
      <c r="M147" s="148"/>
      <c r="N147" s="139"/>
      <c r="O147" s="589"/>
      <c r="P147" s="229" t="str">
        <f t="shared" si="81"/>
        <v/>
      </c>
      <c r="Q147" s="229" t="str">
        <f t="shared" si="82"/>
        <v/>
      </c>
      <c r="R147" s="230" t="str">
        <f t="shared" si="83"/>
        <v/>
      </c>
      <c r="S147" s="230" t="str">
        <f t="shared" si="84"/>
        <v/>
      </c>
      <c r="T147" s="351"/>
      <c r="U147" s="43"/>
      <c r="V147" s="42" t="str">
        <f t="shared" si="60"/>
        <v/>
      </c>
      <c r="W147" s="42" t="e">
        <f>IF(#REF!="","",#REF!)</f>
        <v>#REF!</v>
      </c>
      <c r="X147" s="31" t="str">
        <f t="shared" si="61"/>
        <v/>
      </c>
      <c r="Y147" s="7" t="e">
        <f t="shared" si="62"/>
        <v>#N/A</v>
      </c>
      <c r="Z147" s="7" t="e">
        <f t="shared" si="63"/>
        <v>#N/A</v>
      </c>
      <c r="AA147" s="7" t="e">
        <f t="shared" si="64"/>
        <v>#N/A</v>
      </c>
      <c r="AB147" s="7" t="str">
        <f t="shared" si="65"/>
        <v/>
      </c>
      <c r="AC147" s="11">
        <f t="shared" si="66"/>
        <v>1</v>
      </c>
      <c r="AD147" s="7" t="e">
        <f t="shared" si="67"/>
        <v>#N/A</v>
      </c>
      <c r="AE147" s="7" t="e">
        <f t="shared" si="68"/>
        <v>#N/A</v>
      </c>
      <c r="AF147" s="7" t="e">
        <f t="shared" si="69"/>
        <v>#N/A</v>
      </c>
      <c r="AG147" s="472" t="e">
        <f>VLOOKUP(AI147,'排出係数(2017)'!$A$4:$I$1151,9,FALSE)</f>
        <v>#N/A</v>
      </c>
      <c r="AH147" s="12" t="str">
        <f t="shared" si="70"/>
        <v xml:space="preserve"> </v>
      </c>
      <c r="AI147" s="7" t="e">
        <f t="shared" si="85"/>
        <v>#N/A</v>
      </c>
      <c r="AJ147" s="7" t="e">
        <f t="shared" si="71"/>
        <v>#N/A</v>
      </c>
      <c r="AK147" s="472" t="e">
        <f>VLOOKUP(AI147,'排出係数(2017)'!$A$4:$I$1151,6,FALSE)</f>
        <v>#N/A</v>
      </c>
      <c r="AL147" s="7" t="e">
        <f t="shared" si="72"/>
        <v>#N/A</v>
      </c>
      <c r="AM147" s="7" t="e">
        <f t="shared" si="73"/>
        <v>#N/A</v>
      </c>
      <c r="AN147" s="472" t="e">
        <f>VLOOKUP(AI147,'排出係数(2017)'!$A$4:$I$1151,7,FALSE)</f>
        <v>#N/A</v>
      </c>
      <c r="AO147" s="7" t="e">
        <f t="shared" si="74"/>
        <v>#N/A</v>
      </c>
      <c r="AP147" s="7" t="e">
        <f t="shared" si="75"/>
        <v>#N/A</v>
      </c>
      <c r="AQ147" s="7" t="e">
        <f t="shared" si="86"/>
        <v>#N/A</v>
      </c>
      <c r="AR147" s="7">
        <f t="shared" si="76"/>
        <v>0</v>
      </c>
      <c r="AS147" s="7" t="e">
        <f t="shared" si="87"/>
        <v>#N/A</v>
      </c>
      <c r="AT147" s="7" t="str">
        <f t="shared" si="77"/>
        <v/>
      </c>
      <c r="AU147" s="7" t="str">
        <f t="shared" si="78"/>
        <v/>
      </c>
      <c r="AV147" s="7" t="str">
        <f t="shared" si="79"/>
        <v/>
      </c>
      <c r="AW147" s="7" t="str">
        <f t="shared" si="80"/>
        <v/>
      </c>
      <c r="AX147" s="97"/>
      <c r="BD147" s="453" t="s">
        <v>1930</v>
      </c>
      <c r="CG147"/>
      <c r="CH147"/>
      <c r="CK147" s="592" t="str">
        <f t="shared" si="88"/>
        <v/>
      </c>
      <c r="CL147" s="421" t="str">
        <f t="shared" si="89"/>
        <v/>
      </c>
      <c r="CM147" s="594"/>
      <c r="CN147" s="594"/>
      <c r="CO147" s="594"/>
      <c r="CP147" s="594"/>
      <c r="CQ147" s="594"/>
      <c r="CR147" s="594"/>
    </row>
    <row r="148" spans="1:96" s="13" customFormat="1" ht="13.75" customHeight="1">
      <c r="A148" s="137">
        <v>133</v>
      </c>
      <c r="B148" s="138"/>
      <c r="C148" s="139"/>
      <c r="D148" s="140"/>
      <c r="E148" s="139"/>
      <c r="F148" s="139"/>
      <c r="G148" s="191"/>
      <c r="H148" s="139"/>
      <c r="I148" s="141"/>
      <c r="J148" s="142"/>
      <c r="K148" s="139"/>
      <c r="L148" s="147"/>
      <c r="M148" s="148"/>
      <c r="N148" s="139"/>
      <c r="O148" s="589"/>
      <c r="P148" s="229" t="str">
        <f t="shared" si="81"/>
        <v/>
      </c>
      <c r="Q148" s="229" t="str">
        <f t="shared" si="82"/>
        <v/>
      </c>
      <c r="R148" s="230" t="str">
        <f t="shared" si="83"/>
        <v/>
      </c>
      <c r="S148" s="230" t="str">
        <f t="shared" si="84"/>
        <v/>
      </c>
      <c r="T148" s="351"/>
      <c r="U148" s="43"/>
      <c r="V148" s="42" t="str">
        <f t="shared" si="60"/>
        <v/>
      </c>
      <c r="W148" s="42" t="e">
        <f>IF(#REF!="","",#REF!)</f>
        <v>#REF!</v>
      </c>
      <c r="X148" s="31" t="str">
        <f t="shared" si="61"/>
        <v/>
      </c>
      <c r="Y148" s="7" t="e">
        <f t="shared" si="62"/>
        <v>#N/A</v>
      </c>
      <c r="Z148" s="7" t="e">
        <f t="shared" si="63"/>
        <v>#N/A</v>
      </c>
      <c r="AA148" s="7" t="e">
        <f t="shared" si="64"/>
        <v>#N/A</v>
      </c>
      <c r="AB148" s="7" t="str">
        <f t="shared" si="65"/>
        <v/>
      </c>
      <c r="AC148" s="11">
        <f t="shared" si="66"/>
        <v>1</v>
      </c>
      <c r="AD148" s="7" t="e">
        <f t="shared" si="67"/>
        <v>#N/A</v>
      </c>
      <c r="AE148" s="7" t="e">
        <f t="shared" si="68"/>
        <v>#N/A</v>
      </c>
      <c r="AF148" s="7" t="e">
        <f t="shared" si="69"/>
        <v>#N/A</v>
      </c>
      <c r="AG148" s="472" t="e">
        <f>VLOOKUP(AI148,'排出係数(2017)'!$A$4:$I$1151,9,FALSE)</f>
        <v>#N/A</v>
      </c>
      <c r="AH148" s="12" t="str">
        <f t="shared" si="70"/>
        <v xml:space="preserve"> </v>
      </c>
      <c r="AI148" s="7" t="e">
        <f t="shared" si="85"/>
        <v>#N/A</v>
      </c>
      <c r="AJ148" s="7" t="e">
        <f t="shared" si="71"/>
        <v>#N/A</v>
      </c>
      <c r="AK148" s="472" t="e">
        <f>VLOOKUP(AI148,'排出係数(2017)'!$A$4:$I$1151,6,FALSE)</f>
        <v>#N/A</v>
      </c>
      <c r="AL148" s="7" t="e">
        <f t="shared" si="72"/>
        <v>#N/A</v>
      </c>
      <c r="AM148" s="7" t="e">
        <f t="shared" si="73"/>
        <v>#N/A</v>
      </c>
      <c r="AN148" s="472" t="e">
        <f>VLOOKUP(AI148,'排出係数(2017)'!$A$4:$I$1151,7,FALSE)</f>
        <v>#N/A</v>
      </c>
      <c r="AO148" s="7" t="e">
        <f t="shared" si="74"/>
        <v>#N/A</v>
      </c>
      <c r="AP148" s="7" t="e">
        <f t="shared" si="75"/>
        <v>#N/A</v>
      </c>
      <c r="AQ148" s="7" t="e">
        <f t="shared" si="86"/>
        <v>#N/A</v>
      </c>
      <c r="AR148" s="7">
        <f t="shared" si="76"/>
        <v>0</v>
      </c>
      <c r="AS148" s="7" t="e">
        <f t="shared" si="87"/>
        <v>#N/A</v>
      </c>
      <c r="AT148" s="7" t="str">
        <f t="shared" si="77"/>
        <v/>
      </c>
      <c r="AU148" s="7" t="str">
        <f t="shared" si="78"/>
        <v/>
      </c>
      <c r="AV148" s="7" t="str">
        <f t="shared" si="79"/>
        <v/>
      </c>
      <c r="AW148" s="7" t="str">
        <f t="shared" si="80"/>
        <v/>
      </c>
      <c r="AX148" s="97"/>
      <c r="BD148" s="453" t="s">
        <v>1931</v>
      </c>
      <c r="CG148"/>
      <c r="CH148"/>
      <c r="CK148" s="592" t="str">
        <f t="shared" si="88"/>
        <v/>
      </c>
      <c r="CL148" s="421" t="str">
        <f t="shared" si="89"/>
        <v/>
      </c>
      <c r="CM148" s="594"/>
      <c r="CN148" s="594"/>
      <c r="CO148" s="594"/>
      <c r="CP148" s="594"/>
      <c r="CQ148" s="594"/>
      <c r="CR148" s="594"/>
    </row>
    <row r="149" spans="1:96" s="13" customFormat="1" ht="13.75" customHeight="1">
      <c r="A149" s="137">
        <v>134</v>
      </c>
      <c r="B149" s="138"/>
      <c r="C149" s="139"/>
      <c r="D149" s="140"/>
      <c r="E149" s="139"/>
      <c r="F149" s="139"/>
      <c r="G149" s="191"/>
      <c r="H149" s="139"/>
      <c r="I149" s="141"/>
      <c r="J149" s="142"/>
      <c r="K149" s="139"/>
      <c r="L149" s="147"/>
      <c r="M149" s="148"/>
      <c r="N149" s="139"/>
      <c r="O149" s="589"/>
      <c r="P149" s="229" t="str">
        <f t="shared" si="81"/>
        <v/>
      </c>
      <c r="Q149" s="229" t="str">
        <f t="shared" si="82"/>
        <v/>
      </c>
      <c r="R149" s="230" t="str">
        <f t="shared" si="83"/>
        <v/>
      </c>
      <c r="S149" s="230" t="str">
        <f t="shared" si="84"/>
        <v/>
      </c>
      <c r="T149" s="351"/>
      <c r="U149" s="43"/>
      <c r="V149" s="42" t="str">
        <f t="shared" si="60"/>
        <v/>
      </c>
      <c r="W149" s="42" t="e">
        <f>IF(#REF!="","",#REF!)</f>
        <v>#REF!</v>
      </c>
      <c r="X149" s="31" t="str">
        <f t="shared" si="61"/>
        <v/>
      </c>
      <c r="Y149" s="7" t="e">
        <f t="shared" si="62"/>
        <v>#N/A</v>
      </c>
      <c r="Z149" s="7" t="e">
        <f t="shared" si="63"/>
        <v>#N/A</v>
      </c>
      <c r="AA149" s="7" t="e">
        <f t="shared" si="64"/>
        <v>#N/A</v>
      </c>
      <c r="AB149" s="7" t="str">
        <f t="shared" si="65"/>
        <v/>
      </c>
      <c r="AC149" s="11">
        <f t="shared" si="66"/>
        <v>1</v>
      </c>
      <c r="AD149" s="7" t="e">
        <f t="shared" si="67"/>
        <v>#N/A</v>
      </c>
      <c r="AE149" s="7" t="e">
        <f t="shared" si="68"/>
        <v>#N/A</v>
      </c>
      <c r="AF149" s="7" t="e">
        <f t="shared" si="69"/>
        <v>#N/A</v>
      </c>
      <c r="AG149" s="472" t="e">
        <f>VLOOKUP(AI149,'排出係数(2017)'!$A$4:$I$1151,9,FALSE)</f>
        <v>#N/A</v>
      </c>
      <c r="AH149" s="12" t="str">
        <f t="shared" si="70"/>
        <v xml:space="preserve"> </v>
      </c>
      <c r="AI149" s="7" t="e">
        <f t="shared" si="85"/>
        <v>#N/A</v>
      </c>
      <c r="AJ149" s="7" t="e">
        <f t="shared" si="71"/>
        <v>#N/A</v>
      </c>
      <c r="AK149" s="472" t="e">
        <f>VLOOKUP(AI149,'排出係数(2017)'!$A$4:$I$1151,6,FALSE)</f>
        <v>#N/A</v>
      </c>
      <c r="AL149" s="7" t="e">
        <f t="shared" si="72"/>
        <v>#N/A</v>
      </c>
      <c r="AM149" s="7" t="e">
        <f t="shared" si="73"/>
        <v>#N/A</v>
      </c>
      <c r="AN149" s="472" t="e">
        <f>VLOOKUP(AI149,'排出係数(2017)'!$A$4:$I$1151,7,FALSE)</f>
        <v>#N/A</v>
      </c>
      <c r="AO149" s="7" t="e">
        <f t="shared" si="74"/>
        <v>#N/A</v>
      </c>
      <c r="AP149" s="7" t="e">
        <f t="shared" si="75"/>
        <v>#N/A</v>
      </c>
      <c r="AQ149" s="7" t="e">
        <f t="shared" si="86"/>
        <v>#N/A</v>
      </c>
      <c r="AR149" s="7">
        <f t="shared" si="76"/>
        <v>0</v>
      </c>
      <c r="AS149" s="7" t="e">
        <f t="shared" si="87"/>
        <v>#N/A</v>
      </c>
      <c r="AT149" s="7" t="str">
        <f t="shared" si="77"/>
        <v/>
      </c>
      <c r="AU149" s="7" t="str">
        <f t="shared" si="78"/>
        <v/>
      </c>
      <c r="AV149" s="7" t="str">
        <f t="shared" si="79"/>
        <v/>
      </c>
      <c r="AW149" s="7" t="str">
        <f t="shared" si="80"/>
        <v/>
      </c>
      <c r="AX149" s="97"/>
      <c r="BD149" s="453" t="s">
        <v>804</v>
      </c>
      <c r="CG149"/>
      <c r="CH149"/>
      <c r="CK149" s="592" t="str">
        <f t="shared" si="88"/>
        <v/>
      </c>
      <c r="CL149" s="421" t="str">
        <f t="shared" si="89"/>
        <v/>
      </c>
      <c r="CM149" s="594"/>
      <c r="CN149" s="594"/>
      <c r="CO149" s="594"/>
      <c r="CP149" s="594"/>
      <c r="CQ149" s="594"/>
      <c r="CR149" s="594"/>
    </row>
    <row r="150" spans="1:96" s="13" customFormat="1" ht="13.75" customHeight="1">
      <c r="A150" s="137">
        <v>135</v>
      </c>
      <c r="B150" s="138"/>
      <c r="C150" s="139"/>
      <c r="D150" s="140"/>
      <c r="E150" s="139"/>
      <c r="F150" s="139"/>
      <c r="G150" s="191"/>
      <c r="H150" s="139"/>
      <c r="I150" s="141"/>
      <c r="J150" s="142"/>
      <c r="K150" s="139"/>
      <c r="L150" s="147"/>
      <c r="M150" s="148"/>
      <c r="N150" s="139"/>
      <c r="O150" s="589"/>
      <c r="P150" s="229" t="str">
        <f t="shared" si="81"/>
        <v/>
      </c>
      <c r="Q150" s="229" t="str">
        <f t="shared" si="82"/>
        <v/>
      </c>
      <c r="R150" s="230" t="str">
        <f t="shared" si="83"/>
        <v/>
      </c>
      <c r="S150" s="230" t="str">
        <f t="shared" si="84"/>
        <v/>
      </c>
      <c r="T150" s="351"/>
      <c r="U150" s="43"/>
      <c r="V150" s="42" t="str">
        <f t="shared" si="60"/>
        <v/>
      </c>
      <c r="W150" s="42" t="e">
        <f>IF(#REF!="","",#REF!)</f>
        <v>#REF!</v>
      </c>
      <c r="X150" s="31" t="str">
        <f t="shared" si="61"/>
        <v/>
      </c>
      <c r="Y150" s="7" t="e">
        <f t="shared" si="62"/>
        <v>#N/A</v>
      </c>
      <c r="Z150" s="7" t="e">
        <f t="shared" si="63"/>
        <v>#N/A</v>
      </c>
      <c r="AA150" s="7" t="e">
        <f t="shared" si="64"/>
        <v>#N/A</v>
      </c>
      <c r="AB150" s="7" t="str">
        <f t="shared" si="65"/>
        <v/>
      </c>
      <c r="AC150" s="11">
        <f t="shared" si="66"/>
        <v>1</v>
      </c>
      <c r="AD150" s="7" t="e">
        <f t="shared" si="67"/>
        <v>#N/A</v>
      </c>
      <c r="AE150" s="7" t="e">
        <f t="shared" si="68"/>
        <v>#N/A</v>
      </c>
      <c r="AF150" s="7" t="e">
        <f t="shared" si="69"/>
        <v>#N/A</v>
      </c>
      <c r="AG150" s="472" t="e">
        <f>VLOOKUP(AI150,'排出係数(2017)'!$A$4:$I$1151,9,FALSE)</f>
        <v>#N/A</v>
      </c>
      <c r="AH150" s="12" t="str">
        <f t="shared" si="70"/>
        <v xml:space="preserve"> </v>
      </c>
      <c r="AI150" s="7" t="e">
        <f t="shared" si="85"/>
        <v>#N/A</v>
      </c>
      <c r="AJ150" s="7" t="e">
        <f t="shared" si="71"/>
        <v>#N/A</v>
      </c>
      <c r="AK150" s="472" t="e">
        <f>VLOOKUP(AI150,'排出係数(2017)'!$A$4:$I$1151,6,FALSE)</f>
        <v>#N/A</v>
      </c>
      <c r="AL150" s="7" t="e">
        <f t="shared" si="72"/>
        <v>#N/A</v>
      </c>
      <c r="AM150" s="7" t="e">
        <f t="shared" si="73"/>
        <v>#N/A</v>
      </c>
      <c r="AN150" s="472" t="e">
        <f>VLOOKUP(AI150,'排出係数(2017)'!$A$4:$I$1151,7,FALSE)</f>
        <v>#N/A</v>
      </c>
      <c r="AO150" s="7" t="e">
        <f t="shared" si="74"/>
        <v>#N/A</v>
      </c>
      <c r="AP150" s="7" t="e">
        <f t="shared" si="75"/>
        <v>#N/A</v>
      </c>
      <c r="AQ150" s="7" t="e">
        <f t="shared" si="86"/>
        <v>#N/A</v>
      </c>
      <c r="AR150" s="7">
        <f t="shared" si="76"/>
        <v>0</v>
      </c>
      <c r="AS150" s="7" t="e">
        <f t="shared" si="87"/>
        <v>#N/A</v>
      </c>
      <c r="AT150" s="7" t="str">
        <f t="shared" si="77"/>
        <v/>
      </c>
      <c r="AU150" s="7" t="str">
        <f t="shared" si="78"/>
        <v/>
      </c>
      <c r="AV150" s="7" t="str">
        <f t="shared" si="79"/>
        <v/>
      </c>
      <c r="AW150" s="7" t="str">
        <f t="shared" si="80"/>
        <v/>
      </c>
      <c r="AX150" s="97"/>
      <c r="BD150" s="453" t="s">
        <v>1502</v>
      </c>
      <c r="CG150"/>
      <c r="CH150"/>
      <c r="CK150" s="592" t="str">
        <f t="shared" si="88"/>
        <v/>
      </c>
      <c r="CL150" s="421" t="str">
        <f t="shared" si="89"/>
        <v/>
      </c>
      <c r="CM150" s="594"/>
      <c r="CN150" s="594"/>
      <c r="CO150" s="594"/>
      <c r="CP150" s="594"/>
      <c r="CQ150" s="594"/>
      <c r="CR150" s="594"/>
    </row>
    <row r="151" spans="1:96" s="13" customFormat="1" ht="13.75" customHeight="1">
      <c r="A151" s="137">
        <v>136</v>
      </c>
      <c r="B151" s="138"/>
      <c r="C151" s="139"/>
      <c r="D151" s="140"/>
      <c r="E151" s="139"/>
      <c r="F151" s="139"/>
      <c r="G151" s="191"/>
      <c r="H151" s="139"/>
      <c r="I151" s="141"/>
      <c r="J151" s="142"/>
      <c r="K151" s="139"/>
      <c r="L151" s="147"/>
      <c r="M151" s="148"/>
      <c r="N151" s="139"/>
      <c r="O151" s="589"/>
      <c r="P151" s="229" t="str">
        <f t="shared" si="81"/>
        <v/>
      </c>
      <c r="Q151" s="229" t="str">
        <f t="shared" si="82"/>
        <v/>
      </c>
      <c r="R151" s="230" t="str">
        <f t="shared" si="83"/>
        <v/>
      </c>
      <c r="S151" s="230" t="str">
        <f t="shared" si="84"/>
        <v/>
      </c>
      <c r="T151" s="351"/>
      <c r="U151" s="43"/>
      <c r="V151" s="42" t="str">
        <f t="shared" si="60"/>
        <v/>
      </c>
      <c r="W151" s="42" t="e">
        <f>IF(#REF!="","",#REF!)</f>
        <v>#REF!</v>
      </c>
      <c r="X151" s="31" t="str">
        <f t="shared" si="61"/>
        <v/>
      </c>
      <c r="Y151" s="7" t="e">
        <f t="shared" si="62"/>
        <v>#N/A</v>
      </c>
      <c r="Z151" s="7" t="e">
        <f t="shared" si="63"/>
        <v>#N/A</v>
      </c>
      <c r="AA151" s="7" t="e">
        <f t="shared" si="64"/>
        <v>#N/A</v>
      </c>
      <c r="AB151" s="7" t="str">
        <f t="shared" si="65"/>
        <v/>
      </c>
      <c r="AC151" s="11">
        <f t="shared" si="66"/>
        <v>1</v>
      </c>
      <c r="AD151" s="7" t="e">
        <f t="shared" si="67"/>
        <v>#N/A</v>
      </c>
      <c r="AE151" s="7" t="e">
        <f t="shared" si="68"/>
        <v>#N/A</v>
      </c>
      <c r="AF151" s="7" t="e">
        <f t="shared" si="69"/>
        <v>#N/A</v>
      </c>
      <c r="AG151" s="472" t="e">
        <f>VLOOKUP(AI151,'排出係数(2017)'!$A$4:$I$1151,9,FALSE)</f>
        <v>#N/A</v>
      </c>
      <c r="AH151" s="12" t="str">
        <f t="shared" si="70"/>
        <v xml:space="preserve"> </v>
      </c>
      <c r="AI151" s="7" t="e">
        <f t="shared" si="85"/>
        <v>#N/A</v>
      </c>
      <c r="AJ151" s="7" t="e">
        <f t="shared" si="71"/>
        <v>#N/A</v>
      </c>
      <c r="AK151" s="472" t="e">
        <f>VLOOKUP(AI151,'排出係数(2017)'!$A$4:$I$1151,6,FALSE)</f>
        <v>#N/A</v>
      </c>
      <c r="AL151" s="7" t="e">
        <f t="shared" si="72"/>
        <v>#N/A</v>
      </c>
      <c r="AM151" s="7" t="e">
        <f t="shared" si="73"/>
        <v>#N/A</v>
      </c>
      <c r="AN151" s="472" t="e">
        <f>VLOOKUP(AI151,'排出係数(2017)'!$A$4:$I$1151,7,FALSE)</f>
        <v>#N/A</v>
      </c>
      <c r="AO151" s="7" t="e">
        <f t="shared" si="74"/>
        <v>#N/A</v>
      </c>
      <c r="AP151" s="7" t="e">
        <f t="shared" si="75"/>
        <v>#N/A</v>
      </c>
      <c r="AQ151" s="7" t="e">
        <f t="shared" si="86"/>
        <v>#N/A</v>
      </c>
      <c r="AR151" s="7">
        <f t="shared" si="76"/>
        <v>0</v>
      </c>
      <c r="AS151" s="7" t="e">
        <f t="shared" si="87"/>
        <v>#N/A</v>
      </c>
      <c r="AT151" s="7" t="str">
        <f t="shared" si="77"/>
        <v/>
      </c>
      <c r="AU151" s="7" t="str">
        <f t="shared" si="78"/>
        <v/>
      </c>
      <c r="AV151" s="7" t="str">
        <f t="shared" si="79"/>
        <v/>
      </c>
      <c r="AW151" s="7" t="str">
        <f t="shared" si="80"/>
        <v/>
      </c>
      <c r="AX151" s="97"/>
      <c r="BD151" s="453" t="s">
        <v>1506</v>
      </c>
      <c r="CG151"/>
      <c r="CH151"/>
      <c r="CK151" s="592" t="str">
        <f t="shared" si="88"/>
        <v/>
      </c>
      <c r="CL151" s="421" t="str">
        <f t="shared" si="89"/>
        <v/>
      </c>
      <c r="CM151" s="594"/>
      <c r="CN151" s="594"/>
      <c r="CO151" s="594"/>
      <c r="CP151" s="594"/>
      <c r="CQ151" s="594"/>
      <c r="CR151" s="594"/>
    </row>
    <row r="152" spans="1:96" s="13" customFormat="1" ht="13.75" customHeight="1">
      <c r="A152" s="137">
        <v>137</v>
      </c>
      <c r="B152" s="138"/>
      <c r="C152" s="139"/>
      <c r="D152" s="140"/>
      <c r="E152" s="139"/>
      <c r="F152" s="139"/>
      <c r="G152" s="191"/>
      <c r="H152" s="139"/>
      <c r="I152" s="141"/>
      <c r="J152" s="142"/>
      <c r="K152" s="139"/>
      <c r="L152" s="147"/>
      <c r="M152" s="148"/>
      <c r="N152" s="139"/>
      <c r="O152" s="589"/>
      <c r="P152" s="229" t="str">
        <f t="shared" si="81"/>
        <v/>
      </c>
      <c r="Q152" s="229" t="str">
        <f t="shared" si="82"/>
        <v/>
      </c>
      <c r="R152" s="230" t="str">
        <f t="shared" si="83"/>
        <v/>
      </c>
      <c r="S152" s="230" t="str">
        <f t="shared" si="84"/>
        <v/>
      </c>
      <c r="T152" s="351"/>
      <c r="U152" s="43"/>
      <c r="V152" s="42" t="str">
        <f t="shared" si="60"/>
        <v/>
      </c>
      <c r="W152" s="42" t="e">
        <f>IF(#REF!="","",#REF!)</f>
        <v>#REF!</v>
      </c>
      <c r="X152" s="31" t="str">
        <f t="shared" si="61"/>
        <v/>
      </c>
      <c r="Y152" s="7" t="e">
        <f t="shared" si="62"/>
        <v>#N/A</v>
      </c>
      <c r="Z152" s="7" t="e">
        <f t="shared" si="63"/>
        <v>#N/A</v>
      </c>
      <c r="AA152" s="7" t="e">
        <f t="shared" si="64"/>
        <v>#N/A</v>
      </c>
      <c r="AB152" s="7" t="str">
        <f t="shared" si="65"/>
        <v/>
      </c>
      <c r="AC152" s="11">
        <f t="shared" si="66"/>
        <v>1</v>
      </c>
      <c r="AD152" s="7" t="e">
        <f t="shared" si="67"/>
        <v>#N/A</v>
      </c>
      <c r="AE152" s="7" t="e">
        <f t="shared" si="68"/>
        <v>#N/A</v>
      </c>
      <c r="AF152" s="7" t="e">
        <f t="shared" si="69"/>
        <v>#N/A</v>
      </c>
      <c r="AG152" s="472" t="e">
        <f>VLOOKUP(AI152,'排出係数(2017)'!$A$4:$I$1151,9,FALSE)</f>
        <v>#N/A</v>
      </c>
      <c r="AH152" s="12" t="str">
        <f t="shared" si="70"/>
        <v xml:space="preserve"> </v>
      </c>
      <c r="AI152" s="7" t="e">
        <f t="shared" si="85"/>
        <v>#N/A</v>
      </c>
      <c r="AJ152" s="7" t="e">
        <f t="shared" si="71"/>
        <v>#N/A</v>
      </c>
      <c r="AK152" s="472" t="e">
        <f>VLOOKUP(AI152,'排出係数(2017)'!$A$4:$I$1151,6,FALSE)</f>
        <v>#N/A</v>
      </c>
      <c r="AL152" s="7" t="e">
        <f t="shared" si="72"/>
        <v>#N/A</v>
      </c>
      <c r="AM152" s="7" t="e">
        <f t="shared" si="73"/>
        <v>#N/A</v>
      </c>
      <c r="AN152" s="472" t="e">
        <f>VLOOKUP(AI152,'排出係数(2017)'!$A$4:$I$1151,7,FALSE)</f>
        <v>#N/A</v>
      </c>
      <c r="AO152" s="7" t="e">
        <f t="shared" si="74"/>
        <v>#N/A</v>
      </c>
      <c r="AP152" s="7" t="e">
        <f t="shared" si="75"/>
        <v>#N/A</v>
      </c>
      <c r="AQ152" s="7" t="e">
        <f t="shared" si="86"/>
        <v>#N/A</v>
      </c>
      <c r="AR152" s="7">
        <f t="shared" si="76"/>
        <v>0</v>
      </c>
      <c r="AS152" s="7" t="e">
        <f t="shared" si="87"/>
        <v>#N/A</v>
      </c>
      <c r="AT152" s="7" t="str">
        <f t="shared" si="77"/>
        <v/>
      </c>
      <c r="AU152" s="7" t="str">
        <f t="shared" si="78"/>
        <v/>
      </c>
      <c r="AV152" s="7" t="str">
        <f t="shared" si="79"/>
        <v/>
      </c>
      <c r="AW152" s="7" t="str">
        <f t="shared" si="80"/>
        <v/>
      </c>
      <c r="AX152" s="97"/>
      <c r="BD152" s="453" t="s">
        <v>1414</v>
      </c>
      <c r="CG152"/>
      <c r="CH152"/>
      <c r="CK152" s="592" t="str">
        <f t="shared" si="88"/>
        <v/>
      </c>
      <c r="CL152" s="421" t="str">
        <f t="shared" si="89"/>
        <v/>
      </c>
      <c r="CM152" s="594"/>
      <c r="CN152" s="594"/>
      <c r="CO152" s="594"/>
      <c r="CP152" s="594"/>
      <c r="CQ152" s="594"/>
      <c r="CR152" s="594"/>
    </row>
    <row r="153" spans="1:96" s="13" customFormat="1" ht="13.75" customHeight="1">
      <c r="A153" s="137">
        <v>138</v>
      </c>
      <c r="B153" s="138"/>
      <c r="C153" s="139"/>
      <c r="D153" s="140"/>
      <c r="E153" s="139"/>
      <c r="F153" s="139"/>
      <c r="G153" s="191"/>
      <c r="H153" s="139"/>
      <c r="I153" s="141"/>
      <c r="J153" s="142"/>
      <c r="K153" s="139"/>
      <c r="L153" s="147"/>
      <c r="M153" s="148"/>
      <c r="N153" s="139"/>
      <c r="O153" s="589"/>
      <c r="P153" s="229" t="str">
        <f t="shared" si="81"/>
        <v/>
      </c>
      <c r="Q153" s="229" t="str">
        <f t="shared" si="82"/>
        <v/>
      </c>
      <c r="R153" s="230" t="str">
        <f t="shared" si="83"/>
        <v/>
      </c>
      <c r="S153" s="230" t="str">
        <f t="shared" si="84"/>
        <v/>
      </c>
      <c r="T153" s="351"/>
      <c r="U153" s="43"/>
      <c r="V153" s="42" t="str">
        <f t="shared" si="60"/>
        <v/>
      </c>
      <c r="W153" s="42" t="e">
        <f>IF(#REF!="","",#REF!)</f>
        <v>#REF!</v>
      </c>
      <c r="X153" s="31" t="str">
        <f t="shared" si="61"/>
        <v/>
      </c>
      <c r="Y153" s="7" t="e">
        <f t="shared" si="62"/>
        <v>#N/A</v>
      </c>
      <c r="Z153" s="7" t="e">
        <f t="shared" si="63"/>
        <v>#N/A</v>
      </c>
      <c r="AA153" s="7" t="e">
        <f t="shared" si="64"/>
        <v>#N/A</v>
      </c>
      <c r="AB153" s="7" t="str">
        <f t="shared" si="65"/>
        <v/>
      </c>
      <c r="AC153" s="11">
        <f t="shared" si="66"/>
        <v>1</v>
      </c>
      <c r="AD153" s="7" t="e">
        <f t="shared" si="67"/>
        <v>#N/A</v>
      </c>
      <c r="AE153" s="7" t="e">
        <f t="shared" si="68"/>
        <v>#N/A</v>
      </c>
      <c r="AF153" s="7" t="e">
        <f t="shared" si="69"/>
        <v>#N/A</v>
      </c>
      <c r="AG153" s="472" t="e">
        <f>VLOOKUP(AI153,'排出係数(2017)'!$A$4:$I$1151,9,FALSE)</f>
        <v>#N/A</v>
      </c>
      <c r="AH153" s="12" t="str">
        <f t="shared" si="70"/>
        <v xml:space="preserve"> </v>
      </c>
      <c r="AI153" s="7" t="e">
        <f t="shared" si="85"/>
        <v>#N/A</v>
      </c>
      <c r="AJ153" s="7" t="e">
        <f t="shared" si="71"/>
        <v>#N/A</v>
      </c>
      <c r="AK153" s="472" t="e">
        <f>VLOOKUP(AI153,'排出係数(2017)'!$A$4:$I$1151,6,FALSE)</f>
        <v>#N/A</v>
      </c>
      <c r="AL153" s="7" t="e">
        <f t="shared" si="72"/>
        <v>#N/A</v>
      </c>
      <c r="AM153" s="7" t="e">
        <f t="shared" si="73"/>
        <v>#N/A</v>
      </c>
      <c r="AN153" s="472" t="e">
        <f>VLOOKUP(AI153,'排出係数(2017)'!$A$4:$I$1151,7,FALSE)</f>
        <v>#N/A</v>
      </c>
      <c r="AO153" s="7" t="e">
        <f t="shared" si="74"/>
        <v>#N/A</v>
      </c>
      <c r="AP153" s="7" t="e">
        <f t="shared" si="75"/>
        <v>#N/A</v>
      </c>
      <c r="AQ153" s="7" t="e">
        <f t="shared" si="86"/>
        <v>#N/A</v>
      </c>
      <c r="AR153" s="7">
        <f t="shared" si="76"/>
        <v>0</v>
      </c>
      <c r="AS153" s="7" t="e">
        <f t="shared" si="87"/>
        <v>#N/A</v>
      </c>
      <c r="AT153" s="7" t="str">
        <f t="shared" si="77"/>
        <v/>
      </c>
      <c r="AU153" s="7" t="str">
        <f t="shared" si="78"/>
        <v/>
      </c>
      <c r="AV153" s="7" t="str">
        <f t="shared" si="79"/>
        <v/>
      </c>
      <c r="AW153" s="7" t="str">
        <f t="shared" si="80"/>
        <v/>
      </c>
      <c r="AX153" s="97"/>
      <c r="BD153" s="453" t="s">
        <v>2519</v>
      </c>
      <c r="CG153"/>
      <c r="CH153"/>
      <c r="CK153" s="592" t="str">
        <f t="shared" si="88"/>
        <v/>
      </c>
      <c r="CL153" s="421" t="str">
        <f t="shared" si="89"/>
        <v/>
      </c>
      <c r="CM153" s="594"/>
      <c r="CN153" s="594"/>
      <c r="CO153" s="594"/>
      <c r="CP153" s="594"/>
      <c r="CQ153" s="594"/>
      <c r="CR153" s="594"/>
    </row>
    <row r="154" spans="1:96" s="13" customFormat="1" ht="13.75" customHeight="1">
      <c r="A154" s="137">
        <v>139</v>
      </c>
      <c r="B154" s="138"/>
      <c r="C154" s="139"/>
      <c r="D154" s="140"/>
      <c r="E154" s="139"/>
      <c r="F154" s="139"/>
      <c r="G154" s="191"/>
      <c r="H154" s="139"/>
      <c r="I154" s="141"/>
      <c r="J154" s="142"/>
      <c r="K154" s="139"/>
      <c r="L154" s="147"/>
      <c r="M154" s="148"/>
      <c r="N154" s="139"/>
      <c r="O154" s="589"/>
      <c r="P154" s="229" t="str">
        <f t="shared" si="81"/>
        <v/>
      </c>
      <c r="Q154" s="229" t="str">
        <f t="shared" si="82"/>
        <v/>
      </c>
      <c r="R154" s="230" t="str">
        <f t="shared" si="83"/>
        <v/>
      </c>
      <c r="S154" s="230" t="str">
        <f t="shared" si="84"/>
        <v/>
      </c>
      <c r="T154" s="351"/>
      <c r="U154" s="43"/>
      <c r="V154" s="42" t="str">
        <f t="shared" si="60"/>
        <v/>
      </c>
      <c r="W154" s="42" t="e">
        <f>IF(#REF!="","",#REF!)</f>
        <v>#REF!</v>
      </c>
      <c r="X154" s="31" t="str">
        <f t="shared" si="61"/>
        <v/>
      </c>
      <c r="Y154" s="7" t="e">
        <f t="shared" si="62"/>
        <v>#N/A</v>
      </c>
      <c r="Z154" s="7" t="e">
        <f t="shared" si="63"/>
        <v>#N/A</v>
      </c>
      <c r="AA154" s="7" t="e">
        <f t="shared" si="64"/>
        <v>#N/A</v>
      </c>
      <c r="AB154" s="7" t="str">
        <f t="shared" si="65"/>
        <v/>
      </c>
      <c r="AC154" s="11">
        <f t="shared" si="66"/>
        <v>1</v>
      </c>
      <c r="AD154" s="7" t="e">
        <f t="shared" si="67"/>
        <v>#N/A</v>
      </c>
      <c r="AE154" s="7" t="e">
        <f t="shared" si="68"/>
        <v>#N/A</v>
      </c>
      <c r="AF154" s="7" t="e">
        <f t="shared" si="69"/>
        <v>#N/A</v>
      </c>
      <c r="AG154" s="472" t="e">
        <f>VLOOKUP(AI154,'排出係数(2017)'!$A$4:$I$1151,9,FALSE)</f>
        <v>#N/A</v>
      </c>
      <c r="AH154" s="12" t="str">
        <f t="shared" si="70"/>
        <v xml:space="preserve"> </v>
      </c>
      <c r="AI154" s="7" t="e">
        <f t="shared" si="85"/>
        <v>#N/A</v>
      </c>
      <c r="AJ154" s="7" t="e">
        <f t="shared" si="71"/>
        <v>#N/A</v>
      </c>
      <c r="AK154" s="472" t="e">
        <f>VLOOKUP(AI154,'排出係数(2017)'!$A$4:$I$1151,6,FALSE)</f>
        <v>#N/A</v>
      </c>
      <c r="AL154" s="7" t="e">
        <f t="shared" si="72"/>
        <v>#N/A</v>
      </c>
      <c r="AM154" s="7" t="e">
        <f t="shared" si="73"/>
        <v>#N/A</v>
      </c>
      <c r="AN154" s="472" t="e">
        <f>VLOOKUP(AI154,'排出係数(2017)'!$A$4:$I$1151,7,FALSE)</f>
        <v>#N/A</v>
      </c>
      <c r="AO154" s="7" t="e">
        <f t="shared" si="74"/>
        <v>#N/A</v>
      </c>
      <c r="AP154" s="7" t="e">
        <f t="shared" si="75"/>
        <v>#N/A</v>
      </c>
      <c r="AQ154" s="7" t="e">
        <f t="shared" si="86"/>
        <v>#N/A</v>
      </c>
      <c r="AR154" s="7">
        <f t="shared" si="76"/>
        <v>0</v>
      </c>
      <c r="AS154" s="7" t="e">
        <f t="shared" si="87"/>
        <v>#N/A</v>
      </c>
      <c r="AT154" s="7" t="str">
        <f t="shared" si="77"/>
        <v/>
      </c>
      <c r="AU154" s="7" t="str">
        <f t="shared" si="78"/>
        <v/>
      </c>
      <c r="AV154" s="7" t="str">
        <f t="shared" si="79"/>
        <v/>
      </c>
      <c r="AW154" s="7" t="str">
        <f t="shared" si="80"/>
        <v/>
      </c>
      <c r="AX154" s="97"/>
      <c r="BD154" s="453" t="s">
        <v>2520</v>
      </c>
      <c r="CG154"/>
      <c r="CH154"/>
      <c r="CK154" s="592" t="str">
        <f t="shared" si="88"/>
        <v/>
      </c>
      <c r="CL154" s="421" t="str">
        <f t="shared" si="89"/>
        <v/>
      </c>
      <c r="CM154" s="594"/>
      <c r="CN154" s="594"/>
      <c r="CO154" s="594"/>
      <c r="CP154" s="594"/>
      <c r="CQ154" s="594"/>
      <c r="CR154" s="594"/>
    </row>
    <row r="155" spans="1:96" s="13" customFormat="1" ht="13.75" customHeight="1">
      <c r="A155" s="137">
        <v>140</v>
      </c>
      <c r="B155" s="138"/>
      <c r="C155" s="139"/>
      <c r="D155" s="140"/>
      <c r="E155" s="139"/>
      <c r="F155" s="139"/>
      <c r="G155" s="191"/>
      <c r="H155" s="139"/>
      <c r="I155" s="141"/>
      <c r="J155" s="142"/>
      <c r="K155" s="139"/>
      <c r="L155" s="147"/>
      <c r="M155" s="148"/>
      <c r="N155" s="139"/>
      <c r="O155" s="589"/>
      <c r="P155" s="229" t="str">
        <f t="shared" si="81"/>
        <v/>
      </c>
      <c r="Q155" s="229" t="str">
        <f t="shared" si="82"/>
        <v/>
      </c>
      <c r="R155" s="230" t="str">
        <f t="shared" si="83"/>
        <v/>
      </c>
      <c r="S155" s="230" t="str">
        <f t="shared" si="84"/>
        <v/>
      </c>
      <c r="T155" s="351"/>
      <c r="U155" s="43"/>
      <c r="V155" s="42" t="str">
        <f t="shared" si="60"/>
        <v/>
      </c>
      <c r="W155" s="42" t="e">
        <f>IF(#REF!="","",#REF!)</f>
        <v>#REF!</v>
      </c>
      <c r="X155" s="31" t="str">
        <f t="shared" si="61"/>
        <v/>
      </c>
      <c r="Y155" s="7" t="e">
        <f t="shared" si="62"/>
        <v>#N/A</v>
      </c>
      <c r="Z155" s="7" t="e">
        <f t="shared" si="63"/>
        <v>#N/A</v>
      </c>
      <c r="AA155" s="7" t="e">
        <f t="shared" si="64"/>
        <v>#N/A</v>
      </c>
      <c r="AB155" s="7" t="str">
        <f t="shared" si="65"/>
        <v/>
      </c>
      <c r="AC155" s="11">
        <f t="shared" si="66"/>
        <v>1</v>
      </c>
      <c r="AD155" s="7" t="e">
        <f t="shared" si="67"/>
        <v>#N/A</v>
      </c>
      <c r="AE155" s="7" t="e">
        <f t="shared" si="68"/>
        <v>#N/A</v>
      </c>
      <c r="AF155" s="7" t="e">
        <f t="shared" si="69"/>
        <v>#N/A</v>
      </c>
      <c r="AG155" s="472" t="e">
        <f>VLOOKUP(AI155,'排出係数(2017)'!$A$4:$I$1151,9,FALSE)</f>
        <v>#N/A</v>
      </c>
      <c r="AH155" s="12" t="str">
        <f t="shared" si="70"/>
        <v xml:space="preserve"> </v>
      </c>
      <c r="AI155" s="7" t="e">
        <f t="shared" si="85"/>
        <v>#N/A</v>
      </c>
      <c r="AJ155" s="7" t="e">
        <f t="shared" si="71"/>
        <v>#N/A</v>
      </c>
      <c r="AK155" s="472" t="e">
        <f>VLOOKUP(AI155,'排出係数(2017)'!$A$4:$I$1151,6,FALSE)</f>
        <v>#N/A</v>
      </c>
      <c r="AL155" s="7" t="e">
        <f t="shared" si="72"/>
        <v>#N/A</v>
      </c>
      <c r="AM155" s="7" t="e">
        <f t="shared" si="73"/>
        <v>#N/A</v>
      </c>
      <c r="AN155" s="472" t="e">
        <f>VLOOKUP(AI155,'排出係数(2017)'!$A$4:$I$1151,7,FALSE)</f>
        <v>#N/A</v>
      </c>
      <c r="AO155" s="7" t="e">
        <f t="shared" si="74"/>
        <v>#N/A</v>
      </c>
      <c r="AP155" s="7" t="e">
        <f t="shared" si="75"/>
        <v>#N/A</v>
      </c>
      <c r="AQ155" s="7" t="e">
        <f t="shared" si="86"/>
        <v>#N/A</v>
      </c>
      <c r="AR155" s="7">
        <f t="shared" si="76"/>
        <v>0</v>
      </c>
      <c r="AS155" s="7" t="e">
        <f t="shared" si="87"/>
        <v>#N/A</v>
      </c>
      <c r="AT155" s="7" t="str">
        <f t="shared" si="77"/>
        <v/>
      </c>
      <c r="AU155" s="7" t="str">
        <f t="shared" si="78"/>
        <v/>
      </c>
      <c r="AV155" s="7" t="str">
        <f t="shared" si="79"/>
        <v/>
      </c>
      <c r="AW155" s="7" t="str">
        <f t="shared" si="80"/>
        <v/>
      </c>
      <c r="AX155" s="97"/>
      <c r="BD155" s="453" t="s">
        <v>1510</v>
      </c>
      <c r="CG155"/>
      <c r="CH155"/>
      <c r="CK155" s="592" t="str">
        <f t="shared" si="88"/>
        <v/>
      </c>
      <c r="CL155" s="421" t="str">
        <f t="shared" si="89"/>
        <v/>
      </c>
      <c r="CM155" s="594"/>
      <c r="CN155" s="594"/>
      <c r="CO155" s="594"/>
      <c r="CP155" s="594"/>
      <c r="CQ155" s="594"/>
      <c r="CR155" s="594"/>
    </row>
    <row r="156" spans="1:96" s="13" customFormat="1" ht="13.75" customHeight="1">
      <c r="A156" s="137">
        <v>141</v>
      </c>
      <c r="B156" s="138"/>
      <c r="C156" s="139"/>
      <c r="D156" s="140"/>
      <c r="E156" s="139"/>
      <c r="F156" s="139"/>
      <c r="G156" s="191"/>
      <c r="H156" s="139"/>
      <c r="I156" s="141"/>
      <c r="J156" s="142"/>
      <c r="K156" s="139"/>
      <c r="L156" s="147"/>
      <c r="M156" s="148"/>
      <c r="N156" s="139"/>
      <c r="O156" s="589"/>
      <c r="P156" s="229" t="str">
        <f t="shared" si="81"/>
        <v/>
      </c>
      <c r="Q156" s="229" t="str">
        <f t="shared" si="82"/>
        <v/>
      </c>
      <c r="R156" s="230" t="str">
        <f t="shared" si="83"/>
        <v/>
      </c>
      <c r="S156" s="230" t="str">
        <f t="shared" si="84"/>
        <v/>
      </c>
      <c r="T156" s="351"/>
      <c r="U156" s="43"/>
      <c r="V156" s="42" t="str">
        <f t="shared" si="60"/>
        <v/>
      </c>
      <c r="W156" s="42" t="e">
        <f>IF(#REF!="","",#REF!)</f>
        <v>#REF!</v>
      </c>
      <c r="X156" s="31" t="str">
        <f t="shared" si="61"/>
        <v/>
      </c>
      <c r="Y156" s="7" t="e">
        <f t="shared" si="62"/>
        <v>#N/A</v>
      </c>
      <c r="Z156" s="7" t="e">
        <f t="shared" si="63"/>
        <v>#N/A</v>
      </c>
      <c r="AA156" s="7" t="e">
        <f t="shared" si="64"/>
        <v>#N/A</v>
      </c>
      <c r="AB156" s="7" t="str">
        <f t="shared" si="65"/>
        <v/>
      </c>
      <c r="AC156" s="11">
        <f t="shared" si="66"/>
        <v>1</v>
      </c>
      <c r="AD156" s="7" t="e">
        <f t="shared" si="67"/>
        <v>#N/A</v>
      </c>
      <c r="AE156" s="7" t="e">
        <f t="shared" si="68"/>
        <v>#N/A</v>
      </c>
      <c r="AF156" s="7" t="e">
        <f t="shared" si="69"/>
        <v>#N/A</v>
      </c>
      <c r="AG156" s="472" t="e">
        <f>VLOOKUP(AI156,'排出係数(2017)'!$A$4:$I$1151,9,FALSE)</f>
        <v>#N/A</v>
      </c>
      <c r="AH156" s="12" t="str">
        <f t="shared" si="70"/>
        <v xml:space="preserve"> </v>
      </c>
      <c r="AI156" s="7" t="e">
        <f t="shared" si="85"/>
        <v>#N/A</v>
      </c>
      <c r="AJ156" s="7" t="e">
        <f t="shared" si="71"/>
        <v>#N/A</v>
      </c>
      <c r="AK156" s="472" t="e">
        <f>VLOOKUP(AI156,'排出係数(2017)'!$A$4:$I$1151,6,FALSE)</f>
        <v>#N/A</v>
      </c>
      <c r="AL156" s="7" t="e">
        <f t="shared" si="72"/>
        <v>#N/A</v>
      </c>
      <c r="AM156" s="7" t="e">
        <f t="shared" si="73"/>
        <v>#N/A</v>
      </c>
      <c r="AN156" s="472" t="e">
        <f>VLOOKUP(AI156,'排出係数(2017)'!$A$4:$I$1151,7,FALSE)</f>
        <v>#N/A</v>
      </c>
      <c r="AO156" s="7" t="e">
        <f t="shared" si="74"/>
        <v>#N/A</v>
      </c>
      <c r="AP156" s="7" t="e">
        <f t="shared" si="75"/>
        <v>#N/A</v>
      </c>
      <c r="AQ156" s="7" t="e">
        <f t="shared" si="86"/>
        <v>#N/A</v>
      </c>
      <c r="AR156" s="7">
        <f t="shared" si="76"/>
        <v>0</v>
      </c>
      <c r="AS156" s="7" t="e">
        <f t="shared" si="87"/>
        <v>#N/A</v>
      </c>
      <c r="AT156" s="7" t="str">
        <f t="shared" si="77"/>
        <v/>
      </c>
      <c r="AU156" s="7" t="str">
        <f t="shared" si="78"/>
        <v/>
      </c>
      <c r="AV156" s="7" t="str">
        <f t="shared" si="79"/>
        <v/>
      </c>
      <c r="AW156" s="7" t="str">
        <f t="shared" si="80"/>
        <v/>
      </c>
      <c r="AX156" s="97"/>
      <c r="BD156" s="453" t="s">
        <v>1566</v>
      </c>
      <c r="CG156"/>
      <c r="CH156"/>
      <c r="CK156" s="592" t="str">
        <f t="shared" si="88"/>
        <v/>
      </c>
      <c r="CL156" s="421" t="str">
        <f t="shared" si="89"/>
        <v/>
      </c>
      <c r="CM156" s="594"/>
      <c r="CN156" s="594"/>
      <c r="CO156" s="594"/>
      <c r="CP156" s="594"/>
      <c r="CQ156" s="594"/>
      <c r="CR156" s="594"/>
    </row>
    <row r="157" spans="1:96" s="13" customFormat="1" ht="13.75" customHeight="1">
      <c r="A157" s="137">
        <v>142</v>
      </c>
      <c r="B157" s="138"/>
      <c r="C157" s="139"/>
      <c r="D157" s="140"/>
      <c r="E157" s="139"/>
      <c r="F157" s="139"/>
      <c r="G157" s="191"/>
      <c r="H157" s="139"/>
      <c r="I157" s="141"/>
      <c r="J157" s="142"/>
      <c r="K157" s="139"/>
      <c r="L157" s="147"/>
      <c r="M157" s="148"/>
      <c r="N157" s="139"/>
      <c r="O157" s="589"/>
      <c r="P157" s="229" t="str">
        <f t="shared" si="81"/>
        <v/>
      </c>
      <c r="Q157" s="229" t="str">
        <f t="shared" si="82"/>
        <v/>
      </c>
      <c r="R157" s="230" t="str">
        <f t="shared" si="83"/>
        <v/>
      </c>
      <c r="S157" s="230" t="str">
        <f t="shared" si="84"/>
        <v/>
      </c>
      <c r="T157" s="351"/>
      <c r="U157" s="43"/>
      <c r="V157" s="42" t="str">
        <f t="shared" si="60"/>
        <v/>
      </c>
      <c r="W157" s="42" t="e">
        <f>IF(#REF!="","",#REF!)</f>
        <v>#REF!</v>
      </c>
      <c r="X157" s="31" t="str">
        <f t="shared" si="61"/>
        <v/>
      </c>
      <c r="Y157" s="7" t="e">
        <f t="shared" si="62"/>
        <v>#N/A</v>
      </c>
      <c r="Z157" s="7" t="e">
        <f t="shared" si="63"/>
        <v>#N/A</v>
      </c>
      <c r="AA157" s="7" t="e">
        <f t="shared" si="64"/>
        <v>#N/A</v>
      </c>
      <c r="AB157" s="7" t="str">
        <f t="shared" si="65"/>
        <v/>
      </c>
      <c r="AC157" s="11">
        <f t="shared" si="66"/>
        <v>1</v>
      </c>
      <c r="AD157" s="7" t="e">
        <f t="shared" si="67"/>
        <v>#N/A</v>
      </c>
      <c r="AE157" s="7" t="e">
        <f t="shared" si="68"/>
        <v>#N/A</v>
      </c>
      <c r="AF157" s="7" t="e">
        <f t="shared" si="69"/>
        <v>#N/A</v>
      </c>
      <c r="AG157" s="472" t="e">
        <f>VLOOKUP(AI157,'排出係数(2017)'!$A$4:$I$1151,9,FALSE)</f>
        <v>#N/A</v>
      </c>
      <c r="AH157" s="12" t="str">
        <f t="shared" si="70"/>
        <v xml:space="preserve"> </v>
      </c>
      <c r="AI157" s="7" t="e">
        <f t="shared" si="85"/>
        <v>#N/A</v>
      </c>
      <c r="AJ157" s="7" t="e">
        <f t="shared" si="71"/>
        <v>#N/A</v>
      </c>
      <c r="AK157" s="472" t="e">
        <f>VLOOKUP(AI157,'排出係数(2017)'!$A$4:$I$1151,6,FALSE)</f>
        <v>#N/A</v>
      </c>
      <c r="AL157" s="7" t="e">
        <f t="shared" si="72"/>
        <v>#N/A</v>
      </c>
      <c r="AM157" s="7" t="e">
        <f t="shared" si="73"/>
        <v>#N/A</v>
      </c>
      <c r="AN157" s="472" t="e">
        <f>VLOOKUP(AI157,'排出係数(2017)'!$A$4:$I$1151,7,FALSE)</f>
        <v>#N/A</v>
      </c>
      <c r="AO157" s="7" t="e">
        <f t="shared" si="74"/>
        <v>#N/A</v>
      </c>
      <c r="AP157" s="7" t="e">
        <f t="shared" si="75"/>
        <v>#N/A</v>
      </c>
      <c r="AQ157" s="7" t="e">
        <f t="shared" si="86"/>
        <v>#N/A</v>
      </c>
      <c r="AR157" s="7">
        <f t="shared" si="76"/>
        <v>0</v>
      </c>
      <c r="AS157" s="7" t="e">
        <f t="shared" si="87"/>
        <v>#N/A</v>
      </c>
      <c r="AT157" s="7" t="str">
        <f t="shared" si="77"/>
        <v/>
      </c>
      <c r="AU157" s="7" t="str">
        <f t="shared" si="78"/>
        <v/>
      </c>
      <c r="AV157" s="7" t="str">
        <f t="shared" si="79"/>
        <v/>
      </c>
      <c r="AW157" s="7" t="str">
        <f t="shared" si="80"/>
        <v/>
      </c>
      <c r="AX157" s="97"/>
      <c r="BD157" s="453" t="s">
        <v>1568</v>
      </c>
      <c r="CG157"/>
      <c r="CH157"/>
      <c r="CK157" s="592" t="str">
        <f t="shared" si="88"/>
        <v/>
      </c>
      <c r="CL157" s="421" t="str">
        <f t="shared" si="89"/>
        <v/>
      </c>
      <c r="CM157" s="594"/>
      <c r="CN157" s="594"/>
      <c r="CO157" s="594"/>
      <c r="CP157" s="594"/>
      <c r="CQ157" s="594"/>
      <c r="CR157" s="594"/>
    </row>
    <row r="158" spans="1:96" s="13" customFormat="1" ht="13.75" customHeight="1">
      <c r="A158" s="137">
        <v>143</v>
      </c>
      <c r="B158" s="138"/>
      <c r="C158" s="139"/>
      <c r="D158" s="140"/>
      <c r="E158" s="139"/>
      <c r="F158" s="139"/>
      <c r="G158" s="191"/>
      <c r="H158" s="139"/>
      <c r="I158" s="141"/>
      <c r="J158" s="142"/>
      <c r="K158" s="139"/>
      <c r="L158" s="147"/>
      <c r="M158" s="148"/>
      <c r="N158" s="139"/>
      <c r="O158" s="589"/>
      <c r="P158" s="229" t="str">
        <f t="shared" si="81"/>
        <v/>
      </c>
      <c r="Q158" s="229" t="str">
        <f t="shared" si="82"/>
        <v/>
      </c>
      <c r="R158" s="230" t="str">
        <f t="shared" si="83"/>
        <v/>
      </c>
      <c r="S158" s="230" t="str">
        <f t="shared" si="84"/>
        <v/>
      </c>
      <c r="T158" s="351"/>
      <c r="U158" s="43"/>
      <c r="V158" s="42" t="str">
        <f t="shared" si="60"/>
        <v/>
      </c>
      <c r="W158" s="42" t="e">
        <f>IF(#REF!="","",#REF!)</f>
        <v>#REF!</v>
      </c>
      <c r="X158" s="31" t="str">
        <f t="shared" si="61"/>
        <v/>
      </c>
      <c r="Y158" s="7" t="e">
        <f t="shared" si="62"/>
        <v>#N/A</v>
      </c>
      <c r="Z158" s="7" t="e">
        <f t="shared" si="63"/>
        <v>#N/A</v>
      </c>
      <c r="AA158" s="7" t="e">
        <f t="shared" si="64"/>
        <v>#N/A</v>
      </c>
      <c r="AB158" s="7" t="str">
        <f t="shared" si="65"/>
        <v/>
      </c>
      <c r="AC158" s="11">
        <f t="shared" si="66"/>
        <v>1</v>
      </c>
      <c r="AD158" s="7" t="e">
        <f t="shared" si="67"/>
        <v>#N/A</v>
      </c>
      <c r="AE158" s="7" t="e">
        <f t="shared" si="68"/>
        <v>#N/A</v>
      </c>
      <c r="AF158" s="7" t="e">
        <f t="shared" si="69"/>
        <v>#N/A</v>
      </c>
      <c r="AG158" s="472" t="e">
        <f>VLOOKUP(AI158,'排出係数(2017)'!$A$4:$I$1151,9,FALSE)</f>
        <v>#N/A</v>
      </c>
      <c r="AH158" s="12" t="str">
        <f t="shared" si="70"/>
        <v xml:space="preserve"> </v>
      </c>
      <c r="AI158" s="7" t="e">
        <f t="shared" si="85"/>
        <v>#N/A</v>
      </c>
      <c r="AJ158" s="7" t="e">
        <f t="shared" si="71"/>
        <v>#N/A</v>
      </c>
      <c r="AK158" s="472" t="e">
        <f>VLOOKUP(AI158,'排出係数(2017)'!$A$4:$I$1151,6,FALSE)</f>
        <v>#N/A</v>
      </c>
      <c r="AL158" s="7" t="e">
        <f t="shared" si="72"/>
        <v>#N/A</v>
      </c>
      <c r="AM158" s="7" t="e">
        <f t="shared" si="73"/>
        <v>#N/A</v>
      </c>
      <c r="AN158" s="472" t="e">
        <f>VLOOKUP(AI158,'排出係数(2017)'!$A$4:$I$1151,7,FALSE)</f>
        <v>#N/A</v>
      </c>
      <c r="AO158" s="7" t="e">
        <f t="shared" si="74"/>
        <v>#N/A</v>
      </c>
      <c r="AP158" s="7" t="e">
        <f t="shared" si="75"/>
        <v>#N/A</v>
      </c>
      <c r="AQ158" s="7" t="e">
        <f t="shared" si="86"/>
        <v>#N/A</v>
      </c>
      <c r="AR158" s="7">
        <f t="shared" si="76"/>
        <v>0</v>
      </c>
      <c r="AS158" s="7" t="e">
        <f t="shared" si="87"/>
        <v>#N/A</v>
      </c>
      <c r="AT158" s="7" t="str">
        <f t="shared" si="77"/>
        <v/>
      </c>
      <c r="AU158" s="7" t="str">
        <f t="shared" si="78"/>
        <v/>
      </c>
      <c r="AV158" s="7" t="str">
        <f t="shared" si="79"/>
        <v/>
      </c>
      <c r="AW158" s="7" t="str">
        <f t="shared" si="80"/>
        <v/>
      </c>
      <c r="AX158" s="97"/>
      <c r="BD158" s="453" t="s">
        <v>2521</v>
      </c>
      <c r="CG158"/>
      <c r="CH158"/>
      <c r="CK158" s="592" t="str">
        <f t="shared" si="88"/>
        <v/>
      </c>
      <c r="CL158" s="421" t="str">
        <f t="shared" si="89"/>
        <v/>
      </c>
      <c r="CM158" s="594"/>
      <c r="CN158" s="594"/>
      <c r="CO158" s="594"/>
      <c r="CP158" s="594"/>
      <c r="CQ158" s="594"/>
      <c r="CR158" s="594"/>
    </row>
    <row r="159" spans="1:96" s="13" customFormat="1" ht="13.75" customHeight="1">
      <c r="A159" s="137">
        <v>144</v>
      </c>
      <c r="B159" s="138"/>
      <c r="C159" s="139"/>
      <c r="D159" s="140"/>
      <c r="E159" s="139"/>
      <c r="F159" s="139"/>
      <c r="G159" s="191"/>
      <c r="H159" s="139"/>
      <c r="I159" s="141"/>
      <c r="J159" s="142"/>
      <c r="K159" s="139"/>
      <c r="L159" s="147"/>
      <c r="M159" s="148"/>
      <c r="N159" s="139"/>
      <c r="O159" s="589"/>
      <c r="P159" s="229" t="str">
        <f t="shared" si="81"/>
        <v/>
      </c>
      <c r="Q159" s="229" t="str">
        <f t="shared" si="82"/>
        <v/>
      </c>
      <c r="R159" s="230" t="str">
        <f t="shared" si="83"/>
        <v/>
      </c>
      <c r="S159" s="230" t="str">
        <f t="shared" si="84"/>
        <v/>
      </c>
      <c r="T159" s="351"/>
      <c r="U159" s="43"/>
      <c r="V159" s="42" t="str">
        <f t="shared" si="60"/>
        <v/>
      </c>
      <c r="W159" s="42" t="e">
        <f>IF(#REF!="","",#REF!)</f>
        <v>#REF!</v>
      </c>
      <c r="X159" s="31" t="str">
        <f t="shared" si="61"/>
        <v/>
      </c>
      <c r="Y159" s="7" t="e">
        <f t="shared" si="62"/>
        <v>#N/A</v>
      </c>
      <c r="Z159" s="7" t="e">
        <f t="shared" si="63"/>
        <v>#N/A</v>
      </c>
      <c r="AA159" s="7" t="e">
        <f t="shared" si="64"/>
        <v>#N/A</v>
      </c>
      <c r="AB159" s="7" t="str">
        <f t="shared" si="65"/>
        <v/>
      </c>
      <c r="AC159" s="11">
        <f t="shared" si="66"/>
        <v>1</v>
      </c>
      <c r="AD159" s="7" t="e">
        <f t="shared" si="67"/>
        <v>#N/A</v>
      </c>
      <c r="AE159" s="7" t="e">
        <f t="shared" si="68"/>
        <v>#N/A</v>
      </c>
      <c r="AF159" s="7" t="e">
        <f t="shared" si="69"/>
        <v>#N/A</v>
      </c>
      <c r="AG159" s="472" t="e">
        <f>VLOOKUP(AI159,'排出係数(2017)'!$A$4:$I$1151,9,FALSE)</f>
        <v>#N/A</v>
      </c>
      <c r="AH159" s="12" t="str">
        <f t="shared" si="70"/>
        <v xml:space="preserve"> </v>
      </c>
      <c r="AI159" s="7" t="e">
        <f t="shared" si="85"/>
        <v>#N/A</v>
      </c>
      <c r="AJ159" s="7" t="e">
        <f t="shared" si="71"/>
        <v>#N/A</v>
      </c>
      <c r="AK159" s="472" t="e">
        <f>VLOOKUP(AI159,'排出係数(2017)'!$A$4:$I$1151,6,FALSE)</f>
        <v>#N/A</v>
      </c>
      <c r="AL159" s="7" t="e">
        <f t="shared" si="72"/>
        <v>#N/A</v>
      </c>
      <c r="AM159" s="7" t="e">
        <f t="shared" si="73"/>
        <v>#N/A</v>
      </c>
      <c r="AN159" s="472" t="e">
        <f>VLOOKUP(AI159,'排出係数(2017)'!$A$4:$I$1151,7,FALSE)</f>
        <v>#N/A</v>
      </c>
      <c r="AO159" s="7" t="e">
        <f t="shared" si="74"/>
        <v>#N/A</v>
      </c>
      <c r="AP159" s="7" t="e">
        <f t="shared" si="75"/>
        <v>#N/A</v>
      </c>
      <c r="AQ159" s="7" t="e">
        <f t="shared" si="86"/>
        <v>#N/A</v>
      </c>
      <c r="AR159" s="7">
        <f t="shared" si="76"/>
        <v>0</v>
      </c>
      <c r="AS159" s="7" t="e">
        <f t="shared" si="87"/>
        <v>#N/A</v>
      </c>
      <c r="AT159" s="7" t="str">
        <f t="shared" si="77"/>
        <v/>
      </c>
      <c r="AU159" s="7" t="str">
        <f t="shared" si="78"/>
        <v/>
      </c>
      <c r="AV159" s="7" t="str">
        <f t="shared" si="79"/>
        <v/>
      </c>
      <c r="AW159" s="7" t="str">
        <f t="shared" si="80"/>
        <v/>
      </c>
      <c r="AX159" s="97"/>
      <c r="BD159" s="453" t="s">
        <v>2522</v>
      </c>
      <c r="CG159"/>
      <c r="CH159"/>
      <c r="CK159" s="592" t="str">
        <f t="shared" si="88"/>
        <v/>
      </c>
      <c r="CL159" s="421" t="str">
        <f t="shared" si="89"/>
        <v/>
      </c>
      <c r="CM159" s="594"/>
      <c r="CN159" s="594"/>
      <c r="CO159" s="594"/>
      <c r="CP159" s="594"/>
      <c r="CQ159" s="594"/>
      <c r="CR159" s="594"/>
    </row>
    <row r="160" spans="1:96" s="13" customFormat="1" ht="13.75" customHeight="1">
      <c r="A160" s="137">
        <v>145</v>
      </c>
      <c r="B160" s="138"/>
      <c r="C160" s="139"/>
      <c r="D160" s="140"/>
      <c r="E160" s="139"/>
      <c r="F160" s="139"/>
      <c r="G160" s="191"/>
      <c r="H160" s="139"/>
      <c r="I160" s="141"/>
      <c r="J160" s="142"/>
      <c r="K160" s="139"/>
      <c r="L160" s="147"/>
      <c r="M160" s="148"/>
      <c r="N160" s="139"/>
      <c r="O160" s="589"/>
      <c r="P160" s="229" t="str">
        <f t="shared" si="81"/>
        <v/>
      </c>
      <c r="Q160" s="229" t="str">
        <f t="shared" si="82"/>
        <v/>
      </c>
      <c r="R160" s="230" t="str">
        <f t="shared" si="83"/>
        <v/>
      </c>
      <c r="S160" s="230" t="str">
        <f t="shared" si="84"/>
        <v/>
      </c>
      <c r="T160" s="351"/>
      <c r="U160" s="43"/>
      <c r="V160" s="42" t="str">
        <f t="shared" si="60"/>
        <v/>
      </c>
      <c r="W160" s="42" t="e">
        <f>IF(#REF!="","",#REF!)</f>
        <v>#REF!</v>
      </c>
      <c r="X160" s="31" t="str">
        <f t="shared" si="61"/>
        <v/>
      </c>
      <c r="Y160" s="7" t="e">
        <f t="shared" si="62"/>
        <v>#N/A</v>
      </c>
      <c r="Z160" s="7" t="e">
        <f t="shared" si="63"/>
        <v>#N/A</v>
      </c>
      <c r="AA160" s="7" t="e">
        <f t="shared" si="64"/>
        <v>#N/A</v>
      </c>
      <c r="AB160" s="7" t="str">
        <f t="shared" si="65"/>
        <v/>
      </c>
      <c r="AC160" s="11">
        <f t="shared" si="66"/>
        <v>1</v>
      </c>
      <c r="AD160" s="7" t="e">
        <f t="shared" si="67"/>
        <v>#N/A</v>
      </c>
      <c r="AE160" s="7" t="e">
        <f t="shared" si="68"/>
        <v>#N/A</v>
      </c>
      <c r="AF160" s="7" t="e">
        <f t="shared" si="69"/>
        <v>#N/A</v>
      </c>
      <c r="AG160" s="472" t="e">
        <f>VLOOKUP(AI160,'排出係数(2017)'!$A$4:$I$1151,9,FALSE)</f>
        <v>#N/A</v>
      </c>
      <c r="AH160" s="12" t="str">
        <f t="shared" si="70"/>
        <v xml:space="preserve"> </v>
      </c>
      <c r="AI160" s="7" t="e">
        <f t="shared" si="85"/>
        <v>#N/A</v>
      </c>
      <c r="AJ160" s="7" t="e">
        <f t="shared" si="71"/>
        <v>#N/A</v>
      </c>
      <c r="AK160" s="472" t="e">
        <f>VLOOKUP(AI160,'排出係数(2017)'!$A$4:$I$1151,6,FALSE)</f>
        <v>#N/A</v>
      </c>
      <c r="AL160" s="7" t="e">
        <f t="shared" si="72"/>
        <v>#N/A</v>
      </c>
      <c r="AM160" s="7" t="e">
        <f t="shared" si="73"/>
        <v>#N/A</v>
      </c>
      <c r="AN160" s="472" t="e">
        <f>VLOOKUP(AI160,'排出係数(2017)'!$A$4:$I$1151,7,FALSE)</f>
        <v>#N/A</v>
      </c>
      <c r="AO160" s="7" t="e">
        <f t="shared" si="74"/>
        <v>#N/A</v>
      </c>
      <c r="AP160" s="7" t="e">
        <f t="shared" si="75"/>
        <v>#N/A</v>
      </c>
      <c r="AQ160" s="7" t="e">
        <f t="shared" si="86"/>
        <v>#N/A</v>
      </c>
      <c r="AR160" s="7">
        <f t="shared" si="76"/>
        <v>0</v>
      </c>
      <c r="AS160" s="7" t="e">
        <f t="shared" si="87"/>
        <v>#N/A</v>
      </c>
      <c r="AT160" s="7" t="str">
        <f t="shared" si="77"/>
        <v/>
      </c>
      <c r="AU160" s="7" t="str">
        <f t="shared" si="78"/>
        <v/>
      </c>
      <c r="AV160" s="7" t="str">
        <f t="shared" si="79"/>
        <v/>
      </c>
      <c r="AW160" s="7" t="str">
        <f t="shared" si="80"/>
        <v/>
      </c>
      <c r="AX160" s="97"/>
      <c r="BD160" s="453" t="s">
        <v>693</v>
      </c>
      <c r="CG160"/>
      <c r="CH160"/>
      <c r="CK160" s="592" t="str">
        <f t="shared" si="88"/>
        <v/>
      </c>
      <c r="CL160" s="421" t="str">
        <f t="shared" si="89"/>
        <v/>
      </c>
      <c r="CM160" s="594"/>
      <c r="CN160" s="594"/>
      <c r="CO160" s="594"/>
      <c r="CP160" s="594"/>
      <c r="CQ160" s="594"/>
      <c r="CR160" s="594"/>
    </row>
    <row r="161" spans="1:96" s="13" customFormat="1" ht="13.75" customHeight="1">
      <c r="A161" s="137">
        <v>146</v>
      </c>
      <c r="B161" s="138"/>
      <c r="C161" s="139"/>
      <c r="D161" s="140"/>
      <c r="E161" s="139"/>
      <c r="F161" s="139"/>
      <c r="G161" s="191"/>
      <c r="H161" s="139"/>
      <c r="I161" s="141"/>
      <c r="J161" s="142"/>
      <c r="K161" s="139"/>
      <c r="L161" s="147"/>
      <c r="M161" s="148"/>
      <c r="N161" s="139"/>
      <c r="O161" s="589"/>
      <c r="P161" s="229" t="str">
        <f t="shared" si="81"/>
        <v/>
      </c>
      <c r="Q161" s="229" t="str">
        <f t="shared" si="82"/>
        <v/>
      </c>
      <c r="R161" s="230" t="str">
        <f t="shared" si="83"/>
        <v/>
      </c>
      <c r="S161" s="230" t="str">
        <f t="shared" si="84"/>
        <v/>
      </c>
      <c r="T161" s="351"/>
      <c r="U161" s="43"/>
      <c r="V161" s="42" t="str">
        <f t="shared" si="60"/>
        <v/>
      </c>
      <c r="W161" s="42" t="e">
        <f>IF(#REF!="","",#REF!)</f>
        <v>#REF!</v>
      </c>
      <c r="X161" s="31" t="str">
        <f t="shared" si="61"/>
        <v/>
      </c>
      <c r="Y161" s="7" t="e">
        <f t="shared" si="62"/>
        <v>#N/A</v>
      </c>
      <c r="Z161" s="7" t="e">
        <f t="shared" si="63"/>
        <v>#N/A</v>
      </c>
      <c r="AA161" s="7" t="e">
        <f t="shared" si="64"/>
        <v>#N/A</v>
      </c>
      <c r="AB161" s="7" t="str">
        <f t="shared" si="65"/>
        <v/>
      </c>
      <c r="AC161" s="11">
        <f t="shared" si="66"/>
        <v>1</v>
      </c>
      <c r="AD161" s="7" t="e">
        <f t="shared" si="67"/>
        <v>#N/A</v>
      </c>
      <c r="AE161" s="7" t="e">
        <f t="shared" si="68"/>
        <v>#N/A</v>
      </c>
      <c r="AF161" s="7" t="e">
        <f t="shared" si="69"/>
        <v>#N/A</v>
      </c>
      <c r="AG161" s="472" t="e">
        <f>VLOOKUP(AI161,'排出係数(2017)'!$A$4:$I$1151,9,FALSE)</f>
        <v>#N/A</v>
      </c>
      <c r="AH161" s="12" t="str">
        <f t="shared" si="70"/>
        <v xml:space="preserve"> </v>
      </c>
      <c r="AI161" s="7" t="e">
        <f t="shared" si="85"/>
        <v>#N/A</v>
      </c>
      <c r="AJ161" s="7" t="e">
        <f t="shared" si="71"/>
        <v>#N/A</v>
      </c>
      <c r="AK161" s="472" t="e">
        <f>VLOOKUP(AI161,'排出係数(2017)'!$A$4:$I$1151,6,FALSE)</f>
        <v>#N/A</v>
      </c>
      <c r="AL161" s="7" t="e">
        <f t="shared" si="72"/>
        <v>#N/A</v>
      </c>
      <c r="AM161" s="7" t="e">
        <f t="shared" si="73"/>
        <v>#N/A</v>
      </c>
      <c r="AN161" s="472" t="e">
        <f>VLOOKUP(AI161,'排出係数(2017)'!$A$4:$I$1151,7,FALSE)</f>
        <v>#N/A</v>
      </c>
      <c r="AO161" s="7" t="e">
        <f t="shared" si="74"/>
        <v>#N/A</v>
      </c>
      <c r="AP161" s="7" t="e">
        <f t="shared" si="75"/>
        <v>#N/A</v>
      </c>
      <c r="AQ161" s="7" t="e">
        <f t="shared" si="86"/>
        <v>#N/A</v>
      </c>
      <c r="AR161" s="7">
        <f t="shared" si="76"/>
        <v>0</v>
      </c>
      <c r="AS161" s="7" t="e">
        <f t="shared" si="87"/>
        <v>#N/A</v>
      </c>
      <c r="AT161" s="7" t="str">
        <f t="shared" si="77"/>
        <v/>
      </c>
      <c r="AU161" s="7" t="str">
        <f t="shared" si="78"/>
        <v/>
      </c>
      <c r="AV161" s="7" t="str">
        <f t="shared" si="79"/>
        <v/>
      </c>
      <c r="AW161" s="7" t="str">
        <f t="shared" si="80"/>
        <v/>
      </c>
      <c r="AX161" s="97"/>
      <c r="BD161" s="453" t="s">
        <v>697</v>
      </c>
      <c r="CG161"/>
      <c r="CH161"/>
      <c r="CK161" s="592" t="str">
        <f t="shared" si="88"/>
        <v/>
      </c>
      <c r="CL161" s="421" t="str">
        <f t="shared" si="89"/>
        <v/>
      </c>
      <c r="CM161" s="594"/>
      <c r="CN161" s="594"/>
      <c r="CO161" s="594"/>
      <c r="CP161" s="594"/>
      <c r="CQ161" s="594"/>
      <c r="CR161" s="594"/>
    </row>
    <row r="162" spans="1:96" s="13" customFormat="1" ht="13.75" customHeight="1">
      <c r="A162" s="137">
        <v>147</v>
      </c>
      <c r="B162" s="138"/>
      <c r="C162" s="139"/>
      <c r="D162" s="140"/>
      <c r="E162" s="139"/>
      <c r="F162" s="139"/>
      <c r="G162" s="191"/>
      <c r="H162" s="139"/>
      <c r="I162" s="141"/>
      <c r="J162" s="142"/>
      <c r="K162" s="139"/>
      <c r="L162" s="147"/>
      <c r="M162" s="148"/>
      <c r="N162" s="139"/>
      <c r="O162" s="589"/>
      <c r="P162" s="229" t="str">
        <f t="shared" si="81"/>
        <v/>
      </c>
      <c r="Q162" s="229" t="str">
        <f t="shared" si="82"/>
        <v/>
      </c>
      <c r="R162" s="230" t="str">
        <f t="shared" si="83"/>
        <v/>
      </c>
      <c r="S162" s="230" t="str">
        <f t="shared" si="84"/>
        <v/>
      </c>
      <c r="T162" s="351"/>
      <c r="U162" s="43"/>
      <c r="V162" s="42" t="str">
        <f t="shared" si="60"/>
        <v/>
      </c>
      <c r="W162" s="42" t="e">
        <f>IF(#REF!="","",#REF!)</f>
        <v>#REF!</v>
      </c>
      <c r="X162" s="31" t="str">
        <f t="shared" si="61"/>
        <v/>
      </c>
      <c r="Y162" s="7" t="e">
        <f t="shared" si="62"/>
        <v>#N/A</v>
      </c>
      <c r="Z162" s="7" t="e">
        <f t="shared" si="63"/>
        <v>#N/A</v>
      </c>
      <c r="AA162" s="7" t="e">
        <f t="shared" si="64"/>
        <v>#N/A</v>
      </c>
      <c r="AB162" s="7" t="str">
        <f t="shared" si="65"/>
        <v/>
      </c>
      <c r="AC162" s="11">
        <f t="shared" si="66"/>
        <v>1</v>
      </c>
      <c r="AD162" s="7" t="e">
        <f t="shared" si="67"/>
        <v>#N/A</v>
      </c>
      <c r="AE162" s="7" t="e">
        <f t="shared" si="68"/>
        <v>#N/A</v>
      </c>
      <c r="AF162" s="7" t="e">
        <f t="shared" si="69"/>
        <v>#N/A</v>
      </c>
      <c r="AG162" s="472" t="e">
        <f>VLOOKUP(AI162,'排出係数(2017)'!$A$4:$I$1151,9,FALSE)</f>
        <v>#N/A</v>
      </c>
      <c r="AH162" s="12" t="str">
        <f t="shared" si="70"/>
        <v xml:space="preserve"> </v>
      </c>
      <c r="AI162" s="7" t="e">
        <f t="shared" si="85"/>
        <v>#N/A</v>
      </c>
      <c r="AJ162" s="7" t="e">
        <f t="shared" si="71"/>
        <v>#N/A</v>
      </c>
      <c r="AK162" s="472" t="e">
        <f>VLOOKUP(AI162,'排出係数(2017)'!$A$4:$I$1151,6,FALSE)</f>
        <v>#N/A</v>
      </c>
      <c r="AL162" s="7" t="e">
        <f t="shared" si="72"/>
        <v>#N/A</v>
      </c>
      <c r="AM162" s="7" t="e">
        <f t="shared" si="73"/>
        <v>#N/A</v>
      </c>
      <c r="AN162" s="472" t="e">
        <f>VLOOKUP(AI162,'排出係数(2017)'!$A$4:$I$1151,7,FALSE)</f>
        <v>#N/A</v>
      </c>
      <c r="AO162" s="7" t="e">
        <f t="shared" si="74"/>
        <v>#N/A</v>
      </c>
      <c r="AP162" s="7" t="e">
        <f t="shared" si="75"/>
        <v>#N/A</v>
      </c>
      <c r="AQ162" s="7" t="e">
        <f t="shared" si="86"/>
        <v>#N/A</v>
      </c>
      <c r="AR162" s="7">
        <f t="shared" si="76"/>
        <v>0</v>
      </c>
      <c r="AS162" s="7" t="e">
        <f t="shared" si="87"/>
        <v>#N/A</v>
      </c>
      <c r="AT162" s="7" t="str">
        <f t="shared" si="77"/>
        <v/>
      </c>
      <c r="AU162" s="7" t="str">
        <f t="shared" si="78"/>
        <v/>
      </c>
      <c r="AV162" s="7" t="str">
        <f t="shared" si="79"/>
        <v/>
      </c>
      <c r="AW162" s="7" t="str">
        <f t="shared" si="80"/>
        <v/>
      </c>
      <c r="AX162" s="97"/>
      <c r="BD162" s="453" t="s">
        <v>701</v>
      </c>
      <c r="CG162"/>
      <c r="CH162"/>
      <c r="CK162" s="592" t="str">
        <f t="shared" si="88"/>
        <v/>
      </c>
      <c r="CL162" s="421" t="str">
        <f t="shared" si="89"/>
        <v/>
      </c>
      <c r="CM162" s="594"/>
      <c r="CN162" s="594"/>
      <c r="CO162" s="594"/>
      <c r="CP162" s="594"/>
      <c r="CQ162" s="594"/>
      <c r="CR162" s="594"/>
    </row>
    <row r="163" spans="1:96" s="13" customFormat="1" ht="13.75" customHeight="1">
      <c r="A163" s="137">
        <v>148</v>
      </c>
      <c r="B163" s="138"/>
      <c r="C163" s="139"/>
      <c r="D163" s="140"/>
      <c r="E163" s="139"/>
      <c r="F163" s="139"/>
      <c r="G163" s="191"/>
      <c r="H163" s="139"/>
      <c r="I163" s="141"/>
      <c r="J163" s="142"/>
      <c r="K163" s="139"/>
      <c r="L163" s="147"/>
      <c r="M163" s="148"/>
      <c r="N163" s="139"/>
      <c r="O163" s="589"/>
      <c r="P163" s="229" t="str">
        <f t="shared" si="81"/>
        <v/>
      </c>
      <c r="Q163" s="229" t="str">
        <f t="shared" si="82"/>
        <v/>
      </c>
      <c r="R163" s="230" t="str">
        <f t="shared" si="83"/>
        <v/>
      </c>
      <c r="S163" s="230" t="str">
        <f t="shared" si="84"/>
        <v/>
      </c>
      <c r="T163" s="351"/>
      <c r="U163" s="43"/>
      <c r="V163" s="42" t="str">
        <f t="shared" si="60"/>
        <v/>
      </c>
      <c r="W163" s="42" t="e">
        <f>IF(#REF!="","",#REF!)</f>
        <v>#REF!</v>
      </c>
      <c r="X163" s="31" t="str">
        <f t="shared" si="61"/>
        <v/>
      </c>
      <c r="Y163" s="7" t="e">
        <f t="shared" si="62"/>
        <v>#N/A</v>
      </c>
      <c r="Z163" s="7" t="e">
        <f t="shared" si="63"/>
        <v>#N/A</v>
      </c>
      <c r="AA163" s="7" t="e">
        <f t="shared" si="64"/>
        <v>#N/A</v>
      </c>
      <c r="AB163" s="7" t="str">
        <f t="shared" si="65"/>
        <v/>
      </c>
      <c r="AC163" s="11">
        <f t="shared" si="66"/>
        <v>1</v>
      </c>
      <c r="AD163" s="7" t="e">
        <f t="shared" si="67"/>
        <v>#N/A</v>
      </c>
      <c r="AE163" s="7" t="e">
        <f t="shared" si="68"/>
        <v>#N/A</v>
      </c>
      <c r="AF163" s="7" t="e">
        <f t="shared" si="69"/>
        <v>#N/A</v>
      </c>
      <c r="AG163" s="472" t="e">
        <f>VLOOKUP(AI163,'排出係数(2017)'!$A$4:$I$1151,9,FALSE)</f>
        <v>#N/A</v>
      </c>
      <c r="AH163" s="12" t="str">
        <f t="shared" si="70"/>
        <v xml:space="preserve"> </v>
      </c>
      <c r="AI163" s="7" t="e">
        <f t="shared" si="85"/>
        <v>#N/A</v>
      </c>
      <c r="AJ163" s="7" t="e">
        <f t="shared" si="71"/>
        <v>#N/A</v>
      </c>
      <c r="AK163" s="472" t="e">
        <f>VLOOKUP(AI163,'排出係数(2017)'!$A$4:$I$1151,6,FALSE)</f>
        <v>#N/A</v>
      </c>
      <c r="AL163" s="7" t="e">
        <f t="shared" si="72"/>
        <v>#N/A</v>
      </c>
      <c r="AM163" s="7" t="e">
        <f t="shared" si="73"/>
        <v>#N/A</v>
      </c>
      <c r="AN163" s="472" t="e">
        <f>VLOOKUP(AI163,'排出係数(2017)'!$A$4:$I$1151,7,FALSE)</f>
        <v>#N/A</v>
      </c>
      <c r="AO163" s="7" t="e">
        <f t="shared" si="74"/>
        <v>#N/A</v>
      </c>
      <c r="AP163" s="7" t="e">
        <f t="shared" si="75"/>
        <v>#N/A</v>
      </c>
      <c r="AQ163" s="7" t="e">
        <f t="shared" si="86"/>
        <v>#N/A</v>
      </c>
      <c r="AR163" s="7">
        <f t="shared" si="76"/>
        <v>0</v>
      </c>
      <c r="AS163" s="7" t="e">
        <f t="shared" si="87"/>
        <v>#N/A</v>
      </c>
      <c r="AT163" s="7" t="str">
        <f t="shared" si="77"/>
        <v/>
      </c>
      <c r="AU163" s="7" t="str">
        <f t="shared" si="78"/>
        <v/>
      </c>
      <c r="AV163" s="7" t="str">
        <f t="shared" si="79"/>
        <v/>
      </c>
      <c r="AW163" s="7" t="str">
        <f t="shared" si="80"/>
        <v/>
      </c>
      <c r="AX163" s="97"/>
      <c r="BD163" s="453" t="s">
        <v>916</v>
      </c>
      <c r="CG163"/>
      <c r="CH163"/>
      <c r="CK163" s="592" t="str">
        <f t="shared" si="88"/>
        <v/>
      </c>
      <c r="CL163" s="421" t="str">
        <f t="shared" si="89"/>
        <v/>
      </c>
      <c r="CM163" s="594"/>
      <c r="CN163" s="594"/>
      <c r="CO163" s="594"/>
      <c r="CP163" s="594"/>
      <c r="CQ163" s="594"/>
      <c r="CR163" s="594"/>
    </row>
    <row r="164" spans="1:96" s="13" customFormat="1" ht="13.75" customHeight="1">
      <c r="A164" s="137">
        <v>149</v>
      </c>
      <c r="B164" s="138"/>
      <c r="C164" s="139"/>
      <c r="D164" s="140"/>
      <c r="E164" s="139"/>
      <c r="F164" s="139"/>
      <c r="G164" s="191"/>
      <c r="H164" s="139"/>
      <c r="I164" s="141"/>
      <c r="J164" s="142"/>
      <c r="K164" s="139"/>
      <c r="L164" s="147"/>
      <c r="M164" s="148"/>
      <c r="N164" s="139"/>
      <c r="O164" s="589"/>
      <c r="P164" s="229" t="str">
        <f t="shared" si="81"/>
        <v/>
      </c>
      <c r="Q164" s="229" t="str">
        <f t="shared" si="82"/>
        <v/>
      </c>
      <c r="R164" s="230" t="str">
        <f t="shared" si="83"/>
        <v/>
      </c>
      <c r="S164" s="230" t="str">
        <f t="shared" si="84"/>
        <v/>
      </c>
      <c r="T164" s="351"/>
      <c r="U164" s="43"/>
      <c r="V164" s="42" t="str">
        <f t="shared" si="60"/>
        <v/>
      </c>
      <c r="W164" s="42" t="e">
        <f>IF(#REF!="","",#REF!)</f>
        <v>#REF!</v>
      </c>
      <c r="X164" s="31" t="str">
        <f t="shared" si="61"/>
        <v/>
      </c>
      <c r="Y164" s="7" t="e">
        <f t="shared" si="62"/>
        <v>#N/A</v>
      </c>
      <c r="Z164" s="7" t="e">
        <f t="shared" si="63"/>
        <v>#N/A</v>
      </c>
      <c r="AA164" s="7" t="e">
        <f t="shared" si="64"/>
        <v>#N/A</v>
      </c>
      <c r="AB164" s="7" t="str">
        <f t="shared" si="65"/>
        <v/>
      </c>
      <c r="AC164" s="11">
        <f t="shared" si="66"/>
        <v>1</v>
      </c>
      <c r="AD164" s="7" t="e">
        <f t="shared" si="67"/>
        <v>#N/A</v>
      </c>
      <c r="AE164" s="7" t="e">
        <f t="shared" si="68"/>
        <v>#N/A</v>
      </c>
      <c r="AF164" s="7" t="e">
        <f t="shared" si="69"/>
        <v>#N/A</v>
      </c>
      <c r="AG164" s="472" t="e">
        <f>VLOOKUP(AI164,'排出係数(2017)'!$A$4:$I$1151,9,FALSE)</f>
        <v>#N/A</v>
      </c>
      <c r="AH164" s="12" t="str">
        <f t="shared" si="70"/>
        <v xml:space="preserve"> </v>
      </c>
      <c r="AI164" s="7" t="e">
        <f t="shared" si="85"/>
        <v>#N/A</v>
      </c>
      <c r="AJ164" s="7" t="e">
        <f t="shared" si="71"/>
        <v>#N/A</v>
      </c>
      <c r="AK164" s="472" t="e">
        <f>VLOOKUP(AI164,'排出係数(2017)'!$A$4:$I$1151,6,FALSE)</f>
        <v>#N/A</v>
      </c>
      <c r="AL164" s="7" t="e">
        <f t="shared" si="72"/>
        <v>#N/A</v>
      </c>
      <c r="AM164" s="7" t="e">
        <f t="shared" si="73"/>
        <v>#N/A</v>
      </c>
      <c r="AN164" s="472" t="e">
        <f>VLOOKUP(AI164,'排出係数(2017)'!$A$4:$I$1151,7,FALSE)</f>
        <v>#N/A</v>
      </c>
      <c r="AO164" s="7" t="e">
        <f t="shared" si="74"/>
        <v>#N/A</v>
      </c>
      <c r="AP164" s="7" t="e">
        <f t="shared" si="75"/>
        <v>#N/A</v>
      </c>
      <c r="AQ164" s="7" t="e">
        <f t="shared" si="86"/>
        <v>#N/A</v>
      </c>
      <c r="AR164" s="7">
        <f t="shared" si="76"/>
        <v>0</v>
      </c>
      <c r="AS164" s="7" t="e">
        <f t="shared" si="87"/>
        <v>#N/A</v>
      </c>
      <c r="AT164" s="7" t="str">
        <f t="shared" si="77"/>
        <v/>
      </c>
      <c r="AU164" s="7" t="str">
        <f t="shared" si="78"/>
        <v/>
      </c>
      <c r="AV164" s="7" t="str">
        <f t="shared" si="79"/>
        <v/>
      </c>
      <c r="AW164" s="7" t="str">
        <f t="shared" si="80"/>
        <v/>
      </c>
      <c r="AX164" s="97"/>
      <c r="BD164" s="453" t="s">
        <v>920</v>
      </c>
      <c r="CG164"/>
      <c r="CH164"/>
      <c r="CK164" s="592" t="str">
        <f t="shared" si="88"/>
        <v/>
      </c>
      <c r="CL164" s="421" t="str">
        <f t="shared" si="89"/>
        <v/>
      </c>
      <c r="CM164" s="594"/>
      <c r="CN164" s="594"/>
      <c r="CO164" s="594"/>
      <c r="CP164" s="594"/>
      <c r="CQ164" s="594"/>
      <c r="CR164" s="594"/>
    </row>
    <row r="165" spans="1:96" s="13" customFormat="1" ht="13.75" customHeight="1">
      <c r="A165" s="137">
        <v>150</v>
      </c>
      <c r="B165" s="138"/>
      <c r="C165" s="139"/>
      <c r="D165" s="140"/>
      <c r="E165" s="139"/>
      <c r="F165" s="139"/>
      <c r="G165" s="191"/>
      <c r="H165" s="139"/>
      <c r="I165" s="141"/>
      <c r="J165" s="142"/>
      <c r="K165" s="139"/>
      <c r="L165" s="147"/>
      <c r="M165" s="148"/>
      <c r="N165" s="139"/>
      <c r="O165" s="589"/>
      <c r="P165" s="229" t="str">
        <f t="shared" si="81"/>
        <v/>
      </c>
      <c r="Q165" s="229" t="str">
        <f t="shared" si="82"/>
        <v/>
      </c>
      <c r="R165" s="230" t="str">
        <f t="shared" si="83"/>
        <v/>
      </c>
      <c r="S165" s="230" t="str">
        <f t="shared" si="84"/>
        <v/>
      </c>
      <c r="T165" s="351"/>
      <c r="U165" s="43"/>
      <c r="V165" s="42" t="str">
        <f t="shared" si="60"/>
        <v/>
      </c>
      <c r="W165" s="42" t="e">
        <f>IF(#REF!="","",#REF!)</f>
        <v>#REF!</v>
      </c>
      <c r="X165" s="31" t="str">
        <f t="shared" si="61"/>
        <v/>
      </c>
      <c r="Y165" s="7" t="e">
        <f t="shared" si="62"/>
        <v>#N/A</v>
      </c>
      <c r="Z165" s="7" t="e">
        <f t="shared" si="63"/>
        <v>#N/A</v>
      </c>
      <c r="AA165" s="7" t="e">
        <f t="shared" si="64"/>
        <v>#N/A</v>
      </c>
      <c r="AB165" s="7" t="str">
        <f t="shared" si="65"/>
        <v/>
      </c>
      <c r="AC165" s="11">
        <f t="shared" si="66"/>
        <v>1</v>
      </c>
      <c r="AD165" s="7" t="e">
        <f t="shared" si="67"/>
        <v>#N/A</v>
      </c>
      <c r="AE165" s="7" t="e">
        <f t="shared" si="68"/>
        <v>#N/A</v>
      </c>
      <c r="AF165" s="7" t="e">
        <f t="shared" si="69"/>
        <v>#N/A</v>
      </c>
      <c r="AG165" s="472" t="e">
        <f>VLOOKUP(AI165,'排出係数(2017)'!$A$4:$I$1151,9,FALSE)</f>
        <v>#N/A</v>
      </c>
      <c r="AH165" s="12" t="str">
        <f t="shared" si="70"/>
        <v xml:space="preserve"> </v>
      </c>
      <c r="AI165" s="7" t="e">
        <f t="shared" si="85"/>
        <v>#N/A</v>
      </c>
      <c r="AJ165" s="7" t="e">
        <f t="shared" si="71"/>
        <v>#N/A</v>
      </c>
      <c r="AK165" s="472" t="e">
        <f>VLOOKUP(AI165,'排出係数(2017)'!$A$4:$I$1151,6,FALSE)</f>
        <v>#N/A</v>
      </c>
      <c r="AL165" s="7" t="e">
        <f t="shared" si="72"/>
        <v>#N/A</v>
      </c>
      <c r="AM165" s="7" t="e">
        <f t="shared" si="73"/>
        <v>#N/A</v>
      </c>
      <c r="AN165" s="472" t="e">
        <f>VLOOKUP(AI165,'排出係数(2017)'!$A$4:$I$1151,7,FALSE)</f>
        <v>#N/A</v>
      </c>
      <c r="AO165" s="7" t="e">
        <f t="shared" si="74"/>
        <v>#N/A</v>
      </c>
      <c r="AP165" s="7" t="e">
        <f t="shared" si="75"/>
        <v>#N/A</v>
      </c>
      <c r="AQ165" s="7" t="e">
        <f t="shared" si="86"/>
        <v>#N/A</v>
      </c>
      <c r="AR165" s="7">
        <f t="shared" si="76"/>
        <v>0</v>
      </c>
      <c r="AS165" s="7" t="e">
        <f t="shared" si="87"/>
        <v>#N/A</v>
      </c>
      <c r="AT165" s="7" t="str">
        <f t="shared" si="77"/>
        <v/>
      </c>
      <c r="AU165" s="7" t="str">
        <f t="shared" si="78"/>
        <v/>
      </c>
      <c r="AV165" s="7" t="str">
        <f t="shared" si="79"/>
        <v/>
      </c>
      <c r="AW165" s="7" t="str">
        <f t="shared" si="80"/>
        <v/>
      </c>
      <c r="AX165" s="97"/>
      <c r="BD165" s="453" t="s">
        <v>924</v>
      </c>
      <c r="CG165"/>
      <c r="CH165"/>
      <c r="CK165" s="592" t="str">
        <f t="shared" si="88"/>
        <v/>
      </c>
      <c r="CL165" s="421" t="str">
        <f t="shared" si="89"/>
        <v/>
      </c>
      <c r="CM165" s="594"/>
      <c r="CN165" s="594"/>
      <c r="CO165" s="594"/>
      <c r="CP165" s="594"/>
      <c r="CQ165" s="594"/>
      <c r="CR165" s="594"/>
    </row>
    <row r="166" spans="1:96" s="13" customFormat="1" ht="13.75" customHeight="1">
      <c r="A166" s="137">
        <v>151</v>
      </c>
      <c r="B166" s="138"/>
      <c r="C166" s="139"/>
      <c r="D166" s="140"/>
      <c r="E166" s="139"/>
      <c r="F166" s="139"/>
      <c r="G166" s="191"/>
      <c r="H166" s="139"/>
      <c r="I166" s="141"/>
      <c r="J166" s="142"/>
      <c r="K166" s="139"/>
      <c r="L166" s="147"/>
      <c r="M166" s="148"/>
      <c r="N166" s="139"/>
      <c r="O166" s="589"/>
      <c r="P166" s="229" t="str">
        <f t="shared" si="81"/>
        <v/>
      </c>
      <c r="Q166" s="229" t="str">
        <f t="shared" si="82"/>
        <v/>
      </c>
      <c r="R166" s="230" t="str">
        <f t="shared" si="83"/>
        <v/>
      </c>
      <c r="S166" s="230" t="str">
        <f t="shared" si="84"/>
        <v/>
      </c>
      <c r="T166" s="351"/>
      <c r="U166" s="43"/>
      <c r="V166" s="42" t="str">
        <f t="shared" si="60"/>
        <v/>
      </c>
      <c r="W166" s="42" t="e">
        <f>IF(#REF!="","",#REF!)</f>
        <v>#REF!</v>
      </c>
      <c r="X166" s="31" t="str">
        <f t="shared" si="61"/>
        <v/>
      </c>
      <c r="Y166" s="7" t="e">
        <f t="shared" si="62"/>
        <v>#N/A</v>
      </c>
      <c r="Z166" s="7" t="e">
        <f t="shared" si="63"/>
        <v>#N/A</v>
      </c>
      <c r="AA166" s="7" t="e">
        <f t="shared" si="64"/>
        <v>#N/A</v>
      </c>
      <c r="AB166" s="7" t="str">
        <f t="shared" si="65"/>
        <v/>
      </c>
      <c r="AC166" s="11">
        <f t="shared" si="66"/>
        <v>1</v>
      </c>
      <c r="AD166" s="7" t="e">
        <f t="shared" si="67"/>
        <v>#N/A</v>
      </c>
      <c r="AE166" s="7" t="e">
        <f t="shared" si="68"/>
        <v>#N/A</v>
      </c>
      <c r="AF166" s="7" t="e">
        <f t="shared" si="69"/>
        <v>#N/A</v>
      </c>
      <c r="AG166" s="472" t="e">
        <f>VLOOKUP(AI166,'排出係数(2017)'!$A$4:$I$1151,9,FALSE)</f>
        <v>#N/A</v>
      </c>
      <c r="AH166" s="12" t="str">
        <f t="shared" si="70"/>
        <v xml:space="preserve"> </v>
      </c>
      <c r="AI166" s="7" t="e">
        <f t="shared" si="85"/>
        <v>#N/A</v>
      </c>
      <c r="AJ166" s="7" t="e">
        <f t="shared" si="71"/>
        <v>#N/A</v>
      </c>
      <c r="AK166" s="472" t="e">
        <f>VLOOKUP(AI166,'排出係数(2017)'!$A$4:$I$1151,6,FALSE)</f>
        <v>#N/A</v>
      </c>
      <c r="AL166" s="7" t="e">
        <f t="shared" si="72"/>
        <v>#N/A</v>
      </c>
      <c r="AM166" s="7" t="e">
        <f t="shared" si="73"/>
        <v>#N/A</v>
      </c>
      <c r="AN166" s="472" t="e">
        <f>VLOOKUP(AI166,'排出係数(2017)'!$A$4:$I$1151,7,FALSE)</f>
        <v>#N/A</v>
      </c>
      <c r="AO166" s="7" t="e">
        <f t="shared" si="74"/>
        <v>#N/A</v>
      </c>
      <c r="AP166" s="7" t="e">
        <f t="shared" si="75"/>
        <v>#N/A</v>
      </c>
      <c r="AQ166" s="7" t="e">
        <f t="shared" si="86"/>
        <v>#N/A</v>
      </c>
      <c r="AR166" s="7">
        <f t="shared" si="76"/>
        <v>0</v>
      </c>
      <c r="AS166" s="7" t="e">
        <f t="shared" si="87"/>
        <v>#N/A</v>
      </c>
      <c r="AT166" s="7" t="str">
        <f t="shared" si="77"/>
        <v/>
      </c>
      <c r="AU166" s="7" t="str">
        <f t="shared" si="78"/>
        <v/>
      </c>
      <c r="AV166" s="7" t="str">
        <f t="shared" si="79"/>
        <v/>
      </c>
      <c r="AW166" s="7" t="str">
        <f t="shared" si="80"/>
        <v/>
      </c>
      <c r="AX166" s="97"/>
      <c r="BD166" s="473" t="s">
        <v>929</v>
      </c>
      <c r="CG166"/>
      <c r="CH166"/>
      <c r="CK166" s="592" t="str">
        <f t="shared" si="88"/>
        <v/>
      </c>
      <c r="CL166" s="421" t="str">
        <f t="shared" si="89"/>
        <v/>
      </c>
      <c r="CM166" s="594"/>
      <c r="CN166" s="594"/>
      <c r="CO166" s="594"/>
      <c r="CP166" s="594"/>
      <c r="CQ166" s="594"/>
      <c r="CR166" s="594"/>
    </row>
    <row r="167" spans="1:96" s="13" customFormat="1" ht="13.75" customHeight="1">
      <c r="A167" s="137">
        <v>152</v>
      </c>
      <c r="B167" s="138"/>
      <c r="C167" s="139"/>
      <c r="D167" s="140"/>
      <c r="E167" s="139"/>
      <c r="F167" s="139"/>
      <c r="G167" s="191"/>
      <c r="H167" s="139"/>
      <c r="I167" s="141"/>
      <c r="J167" s="142"/>
      <c r="K167" s="139"/>
      <c r="L167" s="147"/>
      <c r="M167" s="148"/>
      <c r="N167" s="139"/>
      <c r="O167" s="589"/>
      <c r="P167" s="229" t="str">
        <f t="shared" si="81"/>
        <v/>
      </c>
      <c r="Q167" s="229" t="str">
        <f t="shared" si="82"/>
        <v/>
      </c>
      <c r="R167" s="230" t="str">
        <f t="shared" si="83"/>
        <v/>
      </c>
      <c r="S167" s="230" t="str">
        <f t="shared" si="84"/>
        <v/>
      </c>
      <c r="T167" s="351"/>
      <c r="U167" s="43"/>
      <c r="V167" s="42" t="str">
        <f t="shared" si="60"/>
        <v/>
      </c>
      <c r="W167" s="42" t="e">
        <f>IF(#REF!="","",#REF!)</f>
        <v>#REF!</v>
      </c>
      <c r="X167" s="31" t="str">
        <f t="shared" si="61"/>
        <v/>
      </c>
      <c r="Y167" s="7" t="e">
        <f t="shared" si="62"/>
        <v>#N/A</v>
      </c>
      <c r="Z167" s="7" t="e">
        <f t="shared" si="63"/>
        <v>#N/A</v>
      </c>
      <c r="AA167" s="7" t="e">
        <f t="shared" si="64"/>
        <v>#N/A</v>
      </c>
      <c r="AB167" s="7" t="str">
        <f t="shared" si="65"/>
        <v/>
      </c>
      <c r="AC167" s="11">
        <f t="shared" si="66"/>
        <v>1</v>
      </c>
      <c r="AD167" s="7" t="e">
        <f t="shared" si="67"/>
        <v>#N/A</v>
      </c>
      <c r="AE167" s="7" t="e">
        <f t="shared" si="68"/>
        <v>#N/A</v>
      </c>
      <c r="AF167" s="7" t="e">
        <f t="shared" si="69"/>
        <v>#N/A</v>
      </c>
      <c r="AG167" s="472" t="e">
        <f>VLOOKUP(AI167,'排出係数(2017)'!$A$4:$I$1151,9,FALSE)</f>
        <v>#N/A</v>
      </c>
      <c r="AH167" s="12" t="str">
        <f t="shared" si="70"/>
        <v xml:space="preserve"> </v>
      </c>
      <c r="AI167" s="7" t="e">
        <f t="shared" si="85"/>
        <v>#N/A</v>
      </c>
      <c r="AJ167" s="7" t="e">
        <f t="shared" si="71"/>
        <v>#N/A</v>
      </c>
      <c r="AK167" s="472" t="e">
        <f>VLOOKUP(AI167,'排出係数(2017)'!$A$4:$I$1151,6,FALSE)</f>
        <v>#N/A</v>
      </c>
      <c r="AL167" s="7" t="e">
        <f t="shared" si="72"/>
        <v>#N/A</v>
      </c>
      <c r="AM167" s="7" t="e">
        <f t="shared" si="73"/>
        <v>#N/A</v>
      </c>
      <c r="AN167" s="472" t="e">
        <f>VLOOKUP(AI167,'排出係数(2017)'!$A$4:$I$1151,7,FALSE)</f>
        <v>#N/A</v>
      </c>
      <c r="AO167" s="7" t="e">
        <f t="shared" si="74"/>
        <v>#N/A</v>
      </c>
      <c r="AP167" s="7" t="e">
        <f t="shared" si="75"/>
        <v>#N/A</v>
      </c>
      <c r="AQ167" s="7" t="e">
        <f t="shared" si="86"/>
        <v>#N/A</v>
      </c>
      <c r="AR167" s="7">
        <f t="shared" si="76"/>
        <v>0</v>
      </c>
      <c r="AS167" s="7" t="e">
        <f t="shared" si="87"/>
        <v>#N/A</v>
      </c>
      <c r="AT167" s="7" t="str">
        <f t="shared" si="77"/>
        <v/>
      </c>
      <c r="AU167" s="7" t="str">
        <f t="shared" si="78"/>
        <v/>
      </c>
      <c r="AV167" s="7" t="str">
        <f t="shared" si="79"/>
        <v/>
      </c>
      <c r="AW167" s="7" t="str">
        <f t="shared" si="80"/>
        <v/>
      </c>
      <c r="AX167" s="97"/>
      <c r="BD167" s="473" t="s">
        <v>933</v>
      </c>
      <c r="CG167"/>
      <c r="CH167"/>
      <c r="CK167" s="592" t="str">
        <f t="shared" si="88"/>
        <v/>
      </c>
      <c r="CL167" s="421" t="str">
        <f t="shared" si="89"/>
        <v/>
      </c>
      <c r="CM167" s="594"/>
      <c r="CN167" s="594"/>
      <c r="CO167" s="594"/>
      <c r="CP167" s="594"/>
      <c r="CQ167" s="594"/>
      <c r="CR167" s="594"/>
    </row>
    <row r="168" spans="1:96" s="13" customFormat="1" ht="13.75" customHeight="1">
      <c r="A168" s="137">
        <v>153</v>
      </c>
      <c r="B168" s="138"/>
      <c r="C168" s="139"/>
      <c r="D168" s="140"/>
      <c r="E168" s="139"/>
      <c r="F168" s="139"/>
      <c r="G168" s="191"/>
      <c r="H168" s="139"/>
      <c r="I168" s="141"/>
      <c r="J168" s="142"/>
      <c r="K168" s="139"/>
      <c r="L168" s="147"/>
      <c r="M168" s="148"/>
      <c r="N168" s="139"/>
      <c r="O168" s="589"/>
      <c r="P168" s="229" t="str">
        <f t="shared" si="81"/>
        <v/>
      </c>
      <c r="Q168" s="229" t="str">
        <f t="shared" si="82"/>
        <v/>
      </c>
      <c r="R168" s="230" t="str">
        <f t="shared" si="83"/>
        <v/>
      </c>
      <c r="S168" s="230" t="str">
        <f t="shared" si="84"/>
        <v/>
      </c>
      <c r="T168" s="351"/>
      <c r="U168" s="43"/>
      <c r="V168" s="42" t="str">
        <f t="shared" si="60"/>
        <v/>
      </c>
      <c r="W168" s="42" t="e">
        <f>IF(#REF!="","",#REF!)</f>
        <v>#REF!</v>
      </c>
      <c r="X168" s="31" t="str">
        <f t="shared" si="61"/>
        <v/>
      </c>
      <c r="Y168" s="7" t="e">
        <f t="shared" si="62"/>
        <v>#N/A</v>
      </c>
      <c r="Z168" s="7" t="e">
        <f t="shared" si="63"/>
        <v>#N/A</v>
      </c>
      <c r="AA168" s="7" t="e">
        <f t="shared" si="64"/>
        <v>#N/A</v>
      </c>
      <c r="AB168" s="7" t="str">
        <f t="shared" si="65"/>
        <v/>
      </c>
      <c r="AC168" s="11">
        <f t="shared" si="66"/>
        <v>1</v>
      </c>
      <c r="AD168" s="7" t="e">
        <f t="shared" si="67"/>
        <v>#N/A</v>
      </c>
      <c r="AE168" s="7" t="e">
        <f t="shared" si="68"/>
        <v>#N/A</v>
      </c>
      <c r="AF168" s="7" t="e">
        <f t="shared" si="69"/>
        <v>#N/A</v>
      </c>
      <c r="AG168" s="472" t="e">
        <f>VLOOKUP(AI168,'排出係数(2017)'!$A$4:$I$1151,9,FALSE)</f>
        <v>#N/A</v>
      </c>
      <c r="AH168" s="12" t="str">
        <f t="shared" si="70"/>
        <v xml:space="preserve"> </v>
      </c>
      <c r="AI168" s="7" t="e">
        <f t="shared" si="85"/>
        <v>#N/A</v>
      </c>
      <c r="AJ168" s="7" t="e">
        <f t="shared" si="71"/>
        <v>#N/A</v>
      </c>
      <c r="AK168" s="472" t="e">
        <f>VLOOKUP(AI168,'排出係数(2017)'!$A$4:$I$1151,6,FALSE)</f>
        <v>#N/A</v>
      </c>
      <c r="AL168" s="7" t="e">
        <f t="shared" si="72"/>
        <v>#N/A</v>
      </c>
      <c r="AM168" s="7" t="e">
        <f t="shared" si="73"/>
        <v>#N/A</v>
      </c>
      <c r="AN168" s="472" t="e">
        <f>VLOOKUP(AI168,'排出係数(2017)'!$A$4:$I$1151,7,FALSE)</f>
        <v>#N/A</v>
      </c>
      <c r="AO168" s="7" t="e">
        <f t="shared" si="74"/>
        <v>#N/A</v>
      </c>
      <c r="AP168" s="7" t="e">
        <f t="shared" si="75"/>
        <v>#N/A</v>
      </c>
      <c r="AQ168" s="7" t="e">
        <f t="shared" si="86"/>
        <v>#N/A</v>
      </c>
      <c r="AR168" s="7">
        <f t="shared" si="76"/>
        <v>0</v>
      </c>
      <c r="AS168" s="7" t="e">
        <f t="shared" si="87"/>
        <v>#N/A</v>
      </c>
      <c r="AT168" s="7" t="str">
        <f t="shared" si="77"/>
        <v/>
      </c>
      <c r="AU168" s="7" t="str">
        <f t="shared" si="78"/>
        <v/>
      </c>
      <c r="AV168" s="7" t="str">
        <f t="shared" si="79"/>
        <v/>
      </c>
      <c r="AW168" s="7" t="str">
        <f t="shared" si="80"/>
        <v/>
      </c>
      <c r="AX168" s="97"/>
      <c r="BD168" s="473" t="s">
        <v>937</v>
      </c>
      <c r="CG168"/>
      <c r="CH168"/>
      <c r="CK168" s="592" t="str">
        <f t="shared" si="88"/>
        <v/>
      </c>
      <c r="CL168" s="421" t="str">
        <f t="shared" si="89"/>
        <v/>
      </c>
      <c r="CM168" s="594"/>
      <c r="CN168" s="594"/>
      <c r="CO168" s="594"/>
      <c r="CP168" s="594"/>
      <c r="CQ168" s="594"/>
      <c r="CR168" s="594"/>
    </row>
    <row r="169" spans="1:96" s="13" customFormat="1" ht="13.75" customHeight="1">
      <c r="A169" s="137">
        <v>154</v>
      </c>
      <c r="B169" s="138"/>
      <c r="C169" s="139"/>
      <c r="D169" s="140"/>
      <c r="E169" s="139"/>
      <c r="F169" s="139"/>
      <c r="G169" s="191"/>
      <c r="H169" s="139"/>
      <c r="I169" s="141"/>
      <c r="J169" s="142"/>
      <c r="K169" s="139"/>
      <c r="L169" s="147"/>
      <c r="M169" s="148"/>
      <c r="N169" s="139"/>
      <c r="O169" s="589"/>
      <c r="P169" s="229" t="str">
        <f t="shared" si="81"/>
        <v/>
      </c>
      <c r="Q169" s="229" t="str">
        <f t="shared" si="82"/>
        <v/>
      </c>
      <c r="R169" s="230" t="str">
        <f t="shared" si="83"/>
        <v/>
      </c>
      <c r="S169" s="230" t="str">
        <f t="shared" si="84"/>
        <v/>
      </c>
      <c r="T169" s="351"/>
      <c r="U169" s="43"/>
      <c r="V169" s="42" t="str">
        <f t="shared" si="60"/>
        <v/>
      </c>
      <c r="W169" s="42" t="e">
        <f>IF(#REF!="","",#REF!)</f>
        <v>#REF!</v>
      </c>
      <c r="X169" s="31" t="str">
        <f t="shared" si="61"/>
        <v/>
      </c>
      <c r="Y169" s="7" t="e">
        <f t="shared" si="62"/>
        <v>#N/A</v>
      </c>
      <c r="Z169" s="7" t="e">
        <f t="shared" si="63"/>
        <v>#N/A</v>
      </c>
      <c r="AA169" s="7" t="e">
        <f t="shared" si="64"/>
        <v>#N/A</v>
      </c>
      <c r="AB169" s="7" t="str">
        <f t="shared" si="65"/>
        <v/>
      </c>
      <c r="AC169" s="11">
        <f t="shared" si="66"/>
        <v>1</v>
      </c>
      <c r="AD169" s="7" t="e">
        <f t="shared" si="67"/>
        <v>#N/A</v>
      </c>
      <c r="AE169" s="7" t="e">
        <f t="shared" si="68"/>
        <v>#N/A</v>
      </c>
      <c r="AF169" s="7" t="e">
        <f t="shared" si="69"/>
        <v>#N/A</v>
      </c>
      <c r="AG169" s="472" t="e">
        <f>VLOOKUP(AI169,'排出係数(2017)'!$A$4:$I$1151,9,FALSE)</f>
        <v>#N/A</v>
      </c>
      <c r="AH169" s="12" t="str">
        <f t="shared" si="70"/>
        <v xml:space="preserve"> </v>
      </c>
      <c r="AI169" s="7" t="e">
        <f t="shared" si="85"/>
        <v>#N/A</v>
      </c>
      <c r="AJ169" s="7" t="e">
        <f t="shared" si="71"/>
        <v>#N/A</v>
      </c>
      <c r="AK169" s="472" t="e">
        <f>VLOOKUP(AI169,'排出係数(2017)'!$A$4:$I$1151,6,FALSE)</f>
        <v>#N/A</v>
      </c>
      <c r="AL169" s="7" t="e">
        <f t="shared" si="72"/>
        <v>#N/A</v>
      </c>
      <c r="AM169" s="7" t="e">
        <f t="shared" si="73"/>
        <v>#N/A</v>
      </c>
      <c r="AN169" s="472" t="e">
        <f>VLOOKUP(AI169,'排出係数(2017)'!$A$4:$I$1151,7,FALSE)</f>
        <v>#N/A</v>
      </c>
      <c r="AO169" s="7" t="e">
        <f t="shared" si="74"/>
        <v>#N/A</v>
      </c>
      <c r="AP169" s="7" t="e">
        <f t="shared" si="75"/>
        <v>#N/A</v>
      </c>
      <c r="AQ169" s="7" t="e">
        <f t="shared" si="86"/>
        <v>#N/A</v>
      </c>
      <c r="AR169" s="7">
        <f t="shared" si="76"/>
        <v>0</v>
      </c>
      <c r="AS169" s="7" t="e">
        <f t="shared" si="87"/>
        <v>#N/A</v>
      </c>
      <c r="AT169" s="7" t="str">
        <f t="shared" si="77"/>
        <v/>
      </c>
      <c r="AU169" s="7" t="str">
        <f t="shared" si="78"/>
        <v/>
      </c>
      <c r="AV169" s="7" t="str">
        <f t="shared" si="79"/>
        <v/>
      </c>
      <c r="AW169" s="7" t="str">
        <f t="shared" si="80"/>
        <v/>
      </c>
      <c r="AX169" s="97"/>
      <c r="BD169" s="453" t="s">
        <v>48</v>
      </c>
      <c r="CG169"/>
      <c r="CH169"/>
      <c r="CK169" s="592" t="str">
        <f t="shared" si="88"/>
        <v/>
      </c>
      <c r="CL169" s="421" t="str">
        <f t="shared" si="89"/>
        <v/>
      </c>
      <c r="CM169" s="594"/>
      <c r="CN169" s="594"/>
      <c r="CO169" s="594"/>
      <c r="CP169" s="594"/>
      <c r="CQ169" s="594"/>
      <c r="CR169" s="594"/>
    </row>
    <row r="170" spans="1:96" s="13" customFormat="1" ht="13.75" customHeight="1">
      <c r="A170" s="137">
        <v>155</v>
      </c>
      <c r="B170" s="138"/>
      <c r="C170" s="139"/>
      <c r="D170" s="140"/>
      <c r="E170" s="139"/>
      <c r="F170" s="139"/>
      <c r="G170" s="191"/>
      <c r="H170" s="139"/>
      <c r="I170" s="141"/>
      <c r="J170" s="142"/>
      <c r="K170" s="139"/>
      <c r="L170" s="147"/>
      <c r="M170" s="148"/>
      <c r="N170" s="139"/>
      <c r="O170" s="589"/>
      <c r="P170" s="229" t="str">
        <f t="shared" si="81"/>
        <v/>
      </c>
      <c r="Q170" s="229" t="str">
        <f t="shared" si="82"/>
        <v/>
      </c>
      <c r="R170" s="230" t="str">
        <f t="shared" si="83"/>
        <v/>
      </c>
      <c r="S170" s="230" t="str">
        <f t="shared" si="84"/>
        <v/>
      </c>
      <c r="T170" s="351"/>
      <c r="U170" s="43"/>
      <c r="V170" s="42" t="str">
        <f t="shared" si="60"/>
        <v/>
      </c>
      <c r="W170" s="42" t="e">
        <f>IF(#REF!="","",#REF!)</f>
        <v>#REF!</v>
      </c>
      <c r="X170" s="31" t="str">
        <f t="shared" si="61"/>
        <v/>
      </c>
      <c r="Y170" s="7" t="e">
        <f t="shared" si="62"/>
        <v>#N/A</v>
      </c>
      <c r="Z170" s="7" t="e">
        <f t="shared" si="63"/>
        <v>#N/A</v>
      </c>
      <c r="AA170" s="7" t="e">
        <f t="shared" si="64"/>
        <v>#N/A</v>
      </c>
      <c r="AB170" s="7" t="str">
        <f t="shared" si="65"/>
        <v/>
      </c>
      <c r="AC170" s="11">
        <f t="shared" si="66"/>
        <v>1</v>
      </c>
      <c r="AD170" s="7" t="e">
        <f t="shared" si="67"/>
        <v>#N/A</v>
      </c>
      <c r="AE170" s="7" t="e">
        <f t="shared" si="68"/>
        <v>#N/A</v>
      </c>
      <c r="AF170" s="7" t="e">
        <f t="shared" si="69"/>
        <v>#N/A</v>
      </c>
      <c r="AG170" s="472" t="e">
        <f>VLOOKUP(AI170,'排出係数(2017)'!$A$4:$I$1151,9,FALSE)</f>
        <v>#N/A</v>
      </c>
      <c r="AH170" s="12" t="str">
        <f t="shared" si="70"/>
        <v xml:space="preserve"> </v>
      </c>
      <c r="AI170" s="7" t="e">
        <f t="shared" si="85"/>
        <v>#N/A</v>
      </c>
      <c r="AJ170" s="7" t="e">
        <f t="shared" si="71"/>
        <v>#N/A</v>
      </c>
      <c r="AK170" s="472" t="e">
        <f>VLOOKUP(AI170,'排出係数(2017)'!$A$4:$I$1151,6,FALSE)</f>
        <v>#N/A</v>
      </c>
      <c r="AL170" s="7" t="e">
        <f t="shared" si="72"/>
        <v>#N/A</v>
      </c>
      <c r="AM170" s="7" t="e">
        <f t="shared" si="73"/>
        <v>#N/A</v>
      </c>
      <c r="AN170" s="472" t="e">
        <f>VLOOKUP(AI170,'排出係数(2017)'!$A$4:$I$1151,7,FALSE)</f>
        <v>#N/A</v>
      </c>
      <c r="AO170" s="7" t="e">
        <f t="shared" si="74"/>
        <v>#N/A</v>
      </c>
      <c r="AP170" s="7" t="e">
        <f t="shared" si="75"/>
        <v>#N/A</v>
      </c>
      <c r="AQ170" s="7" t="e">
        <f t="shared" si="86"/>
        <v>#N/A</v>
      </c>
      <c r="AR170" s="7">
        <f t="shared" si="76"/>
        <v>0</v>
      </c>
      <c r="AS170" s="7" t="e">
        <f t="shared" si="87"/>
        <v>#N/A</v>
      </c>
      <c r="AT170" s="7" t="str">
        <f t="shared" si="77"/>
        <v/>
      </c>
      <c r="AU170" s="7" t="str">
        <f t="shared" si="78"/>
        <v/>
      </c>
      <c r="AV170" s="7" t="str">
        <f t="shared" si="79"/>
        <v/>
      </c>
      <c r="AW170" s="7" t="str">
        <f t="shared" si="80"/>
        <v/>
      </c>
      <c r="AX170" s="97"/>
      <c r="BD170" s="453" t="s">
        <v>1720</v>
      </c>
      <c r="CG170"/>
      <c r="CH170"/>
      <c r="CK170" s="592" t="str">
        <f t="shared" si="88"/>
        <v/>
      </c>
      <c r="CL170" s="421" t="str">
        <f t="shared" si="89"/>
        <v/>
      </c>
      <c r="CM170" s="594"/>
      <c r="CN170" s="594"/>
      <c r="CO170" s="594"/>
      <c r="CP170" s="594"/>
      <c r="CQ170" s="594"/>
      <c r="CR170" s="594"/>
    </row>
    <row r="171" spans="1:96" s="13" customFormat="1" ht="13.75" customHeight="1">
      <c r="A171" s="137">
        <v>156</v>
      </c>
      <c r="B171" s="138"/>
      <c r="C171" s="139"/>
      <c r="D171" s="140"/>
      <c r="E171" s="139"/>
      <c r="F171" s="139"/>
      <c r="G171" s="191"/>
      <c r="H171" s="139"/>
      <c r="I171" s="141"/>
      <c r="J171" s="142"/>
      <c r="K171" s="139"/>
      <c r="L171" s="147"/>
      <c r="M171" s="148"/>
      <c r="N171" s="139"/>
      <c r="O171" s="589"/>
      <c r="P171" s="229" t="str">
        <f t="shared" si="81"/>
        <v/>
      </c>
      <c r="Q171" s="229" t="str">
        <f t="shared" si="82"/>
        <v/>
      </c>
      <c r="R171" s="230" t="str">
        <f t="shared" si="83"/>
        <v/>
      </c>
      <c r="S171" s="230" t="str">
        <f t="shared" si="84"/>
        <v/>
      </c>
      <c r="T171" s="351"/>
      <c r="U171" s="43"/>
      <c r="V171" s="42" t="str">
        <f t="shared" si="60"/>
        <v/>
      </c>
      <c r="W171" s="42" t="e">
        <f>IF(#REF!="","",#REF!)</f>
        <v>#REF!</v>
      </c>
      <c r="X171" s="31" t="str">
        <f t="shared" si="61"/>
        <v/>
      </c>
      <c r="Y171" s="7" t="e">
        <f t="shared" si="62"/>
        <v>#N/A</v>
      </c>
      <c r="Z171" s="7" t="e">
        <f t="shared" si="63"/>
        <v>#N/A</v>
      </c>
      <c r="AA171" s="7" t="e">
        <f t="shared" si="64"/>
        <v>#N/A</v>
      </c>
      <c r="AB171" s="7" t="str">
        <f t="shared" si="65"/>
        <v/>
      </c>
      <c r="AC171" s="11">
        <f t="shared" si="66"/>
        <v>1</v>
      </c>
      <c r="AD171" s="7" t="e">
        <f t="shared" si="67"/>
        <v>#N/A</v>
      </c>
      <c r="AE171" s="7" t="e">
        <f t="shared" si="68"/>
        <v>#N/A</v>
      </c>
      <c r="AF171" s="7" t="e">
        <f t="shared" si="69"/>
        <v>#N/A</v>
      </c>
      <c r="AG171" s="472" t="e">
        <f>VLOOKUP(AI171,'排出係数(2017)'!$A$4:$I$1151,9,FALSE)</f>
        <v>#N/A</v>
      </c>
      <c r="AH171" s="12" t="str">
        <f t="shared" si="70"/>
        <v xml:space="preserve"> </v>
      </c>
      <c r="AI171" s="7" t="e">
        <f t="shared" si="85"/>
        <v>#N/A</v>
      </c>
      <c r="AJ171" s="7" t="e">
        <f t="shared" si="71"/>
        <v>#N/A</v>
      </c>
      <c r="AK171" s="472" t="e">
        <f>VLOOKUP(AI171,'排出係数(2017)'!$A$4:$I$1151,6,FALSE)</f>
        <v>#N/A</v>
      </c>
      <c r="AL171" s="7" t="e">
        <f t="shared" si="72"/>
        <v>#N/A</v>
      </c>
      <c r="AM171" s="7" t="e">
        <f t="shared" si="73"/>
        <v>#N/A</v>
      </c>
      <c r="AN171" s="472" t="e">
        <f>VLOOKUP(AI171,'排出係数(2017)'!$A$4:$I$1151,7,FALSE)</f>
        <v>#N/A</v>
      </c>
      <c r="AO171" s="7" t="e">
        <f t="shared" si="74"/>
        <v>#N/A</v>
      </c>
      <c r="AP171" s="7" t="e">
        <f t="shared" si="75"/>
        <v>#N/A</v>
      </c>
      <c r="AQ171" s="7" t="e">
        <f t="shared" si="86"/>
        <v>#N/A</v>
      </c>
      <c r="AR171" s="7">
        <f t="shared" si="76"/>
        <v>0</v>
      </c>
      <c r="AS171" s="7" t="e">
        <f t="shared" si="87"/>
        <v>#N/A</v>
      </c>
      <c r="AT171" s="7" t="str">
        <f t="shared" si="77"/>
        <v/>
      </c>
      <c r="AU171" s="7" t="str">
        <f t="shared" si="78"/>
        <v/>
      </c>
      <c r="AV171" s="7" t="str">
        <f t="shared" si="79"/>
        <v/>
      </c>
      <c r="AW171" s="7" t="str">
        <f t="shared" si="80"/>
        <v/>
      </c>
      <c r="AX171" s="97"/>
      <c r="BD171" s="453" t="s">
        <v>1723</v>
      </c>
      <c r="CG171"/>
      <c r="CH171"/>
      <c r="CK171" s="592" t="str">
        <f t="shared" si="88"/>
        <v/>
      </c>
      <c r="CL171" s="421" t="str">
        <f t="shared" si="89"/>
        <v/>
      </c>
      <c r="CM171" s="594"/>
      <c r="CN171" s="594"/>
      <c r="CO171" s="594"/>
      <c r="CP171" s="594"/>
      <c r="CQ171" s="594"/>
      <c r="CR171" s="594"/>
    </row>
    <row r="172" spans="1:96" s="13" customFormat="1" ht="13.75" customHeight="1">
      <c r="A172" s="137">
        <v>157</v>
      </c>
      <c r="B172" s="138"/>
      <c r="C172" s="139"/>
      <c r="D172" s="140"/>
      <c r="E172" s="139"/>
      <c r="F172" s="139"/>
      <c r="G172" s="191"/>
      <c r="H172" s="139"/>
      <c r="I172" s="141"/>
      <c r="J172" s="142"/>
      <c r="K172" s="139"/>
      <c r="L172" s="147"/>
      <c r="M172" s="148"/>
      <c r="N172" s="139"/>
      <c r="O172" s="589"/>
      <c r="P172" s="229" t="str">
        <f t="shared" si="81"/>
        <v/>
      </c>
      <c r="Q172" s="229" t="str">
        <f t="shared" si="82"/>
        <v/>
      </c>
      <c r="R172" s="230" t="str">
        <f t="shared" si="83"/>
        <v/>
      </c>
      <c r="S172" s="230" t="str">
        <f t="shared" si="84"/>
        <v/>
      </c>
      <c r="T172" s="351"/>
      <c r="U172" s="43"/>
      <c r="V172" s="42" t="str">
        <f t="shared" si="60"/>
        <v/>
      </c>
      <c r="W172" s="42" t="e">
        <f>IF(#REF!="","",#REF!)</f>
        <v>#REF!</v>
      </c>
      <c r="X172" s="31" t="str">
        <f t="shared" si="61"/>
        <v/>
      </c>
      <c r="Y172" s="7" t="e">
        <f t="shared" si="62"/>
        <v>#N/A</v>
      </c>
      <c r="Z172" s="7" t="e">
        <f t="shared" si="63"/>
        <v>#N/A</v>
      </c>
      <c r="AA172" s="7" t="e">
        <f t="shared" si="64"/>
        <v>#N/A</v>
      </c>
      <c r="AB172" s="7" t="str">
        <f t="shared" si="65"/>
        <v/>
      </c>
      <c r="AC172" s="11">
        <f t="shared" si="66"/>
        <v>1</v>
      </c>
      <c r="AD172" s="7" t="e">
        <f t="shared" si="67"/>
        <v>#N/A</v>
      </c>
      <c r="AE172" s="7" t="e">
        <f t="shared" si="68"/>
        <v>#N/A</v>
      </c>
      <c r="AF172" s="7" t="e">
        <f t="shared" si="69"/>
        <v>#N/A</v>
      </c>
      <c r="AG172" s="472" t="e">
        <f>VLOOKUP(AI172,'排出係数(2017)'!$A$4:$I$1151,9,FALSE)</f>
        <v>#N/A</v>
      </c>
      <c r="AH172" s="12" t="str">
        <f t="shared" si="70"/>
        <v xml:space="preserve"> </v>
      </c>
      <c r="AI172" s="7" t="e">
        <f t="shared" si="85"/>
        <v>#N/A</v>
      </c>
      <c r="AJ172" s="7" t="e">
        <f t="shared" si="71"/>
        <v>#N/A</v>
      </c>
      <c r="AK172" s="472" t="e">
        <f>VLOOKUP(AI172,'排出係数(2017)'!$A$4:$I$1151,6,FALSE)</f>
        <v>#N/A</v>
      </c>
      <c r="AL172" s="7" t="e">
        <f t="shared" si="72"/>
        <v>#N/A</v>
      </c>
      <c r="AM172" s="7" t="e">
        <f t="shared" si="73"/>
        <v>#N/A</v>
      </c>
      <c r="AN172" s="472" t="e">
        <f>VLOOKUP(AI172,'排出係数(2017)'!$A$4:$I$1151,7,FALSE)</f>
        <v>#N/A</v>
      </c>
      <c r="AO172" s="7" t="e">
        <f t="shared" si="74"/>
        <v>#N/A</v>
      </c>
      <c r="AP172" s="7" t="e">
        <f t="shared" si="75"/>
        <v>#N/A</v>
      </c>
      <c r="AQ172" s="7" t="e">
        <f t="shared" si="86"/>
        <v>#N/A</v>
      </c>
      <c r="AR172" s="7">
        <f t="shared" si="76"/>
        <v>0</v>
      </c>
      <c r="AS172" s="7" t="e">
        <f t="shared" si="87"/>
        <v>#N/A</v>
      </c>
      <c r="AT172" s="7" t="str">
        <f t="shared" si="77"/>
        <v/>
      </c>
      <c r="AU172" s="7" t="str">
        <f t="shared" si="78"/>
        <v/>
      </c>
      <c r="AV172" s="7" t="str">
        <f t="shared" si="79"/>
        <v/>
      </c>
      <c r="AW172" s="7" t="str">
        <f t="shared" si="80"/>
        <v/>
      </c>
      <c r="AX172" s="97"/>
      <c r="BD172" s="453" t="s">
        <v>1726</v>
      </c>
      <c r="CG172"/>
      <c r="CH172"/>
      <c r="CK172" s="592" t="str">
        <f t="shared" si="88"/>
        <v/>
      </c>
      <c r="CL172" s="421" t="str">
        <f t="shared" si="89"/>
        <v/>
      </c>
      <c r="CM172" s="594"/>
      <c r="CN172" s="594"/>
      <c r="CO172" s="594"/>
      <c r="CP172" s="594"/>
      <c r="CQ172" s="594"/>
      <c r="CR172" s="594"/>
    </row>
    <row r="173" spans="1:96" s="13" customFormat="1" ht="13.75" customHeight="1">
      <c r="A173" s="137">
        <v>158</v>
      </c>
      <c r="B173" s="138"/>
      <c r="C173" s="139"/>
      <c r="D173" s="140"/>
      <c r="E173" s="139"/>
      <c r="F173" s="139"/>
      <c r="G173" s="191"/>
      <c r="H173" s="139"/>
      <c r="I173" s="141"/>
      <c r="J173" s="142"/>
      <c r="K173" s="139"/>
      <c r="L173" s="147"/>
      <c r="M173" s="148"/>
      <c r="N173" s="139"/>
      <c r="O173" s="589"/>
      <c r="P173" s="229" t="str">
        <f t="shared" si="81"/>
        <v/>
      </c>
      <c r="Q173" s="229" t="str">
        <f t="shared" si="82"/>
        <v/>
      </c>
      <c r="R173" s="230" t="str">
        <f t="shared" si="83"/>
        <v/>
      </c>
      <c r="S173" s="230" t="str">
        <f t="shared" si="84"/>
        <v/>
      </c>
      <c r="T173" s="351"/>
      <c r="U173" s="43"/>
      <c r="V173" s="42" t="str">
        <f t="shared" si="60"/>
        <v/>
      </c>
      <c r="W173" s="42" t="e">
        <f>IF(#REF!="","",#REF!)</f>
        <v>#REF!</v>
      </c>
      <c r="X173" s="31" t="str">
        <f t="shared" si="61"/>
        <v/>
      </c>
      <c r="Y173" s="7" t="e">
        <f t="shared" si="62"/>
        <v>#N/A</v>
      </c>
      <c r="Z173" s="7" t="e">
        <f t="shared" si="63"/>
        <v>#N/A</v>
      </c>
      <c r="AA173" s="7" t="e">
        <f t="shared" si="64"/>
        <v>#N/A</v>
      </c>
      <c r="AB173" s="7" t="str">
        <f t="shared" si="65"/>
        <v/>
      </c>
      <c r="AC173" s="11">
        <f t="shared" si="66"/>
        <v>1</v>
      </c>
      <c r="AD173" s="7" t="e">
        <f t="shared" si="67"/>
        <v>#N/A</v>
      </c>
      <c r="AE173" s="7" t="e">
        <f t="shared" si="68"/>
        <v>#N/A</v>
      </c>
      <c r="AF173" s="7" t="e">
        <f t="shared" si="69"/>
        <v>#N/A</v>
      </c>
      <c r="AG173" s="472" t="e">
        <f>VLOOKUP(AI173,'排出係数(2017)'!$A$4:$I$1151,9,FALSE)</f>
        <v>#N/A</v>
      </c>
      <c r="AH173" s="12" t="str">
        <f t="shared" si="70"/>
        <v xml:space="preserve"> </v>
      </c>
      <c r="AI173" s="7" t="e">
        <f t="shared" si="85"/>
        <v>#N/A</v>
      </c>
      <c r="AJ173" s="7" t="e">
        <f t="shared" si="71"/>
        <v>#N/A</v>
      </c>
      <c r="AK173" s="472" t="e">
        <f>VLOOKUP(AI173,'排出係数(2017)'!$A$4:$I$1151,6,FALSE)</f>
        <v>#N/A</v>
      </c>
      <c r="AL173" s="7" t="e">
        <f t="shared" si="72"/>
        <v>#N/A</v>
      </c>
      <c r="AM173" s="7" t="e">
        <f t="shared" si="73"/>
        <v>#N/A</v>
      </c>
      <c r="AN173" s="472" t="e">
        <f>VLOOKUP(AI173,'排出係数(2017)'!$A$4:$I$1151,7,FALSE)</f>
        <v>#N/A</v>
      </c>
      <c r="AO173" s="7" t="e">
        <f t="shared" si="74"/>
        <v>#N/A</v>
      </c>
      <c r="AP173" s="7" t="e">
        <f t="shared" si="75"/>
        <v>#N/A</v>
      </c>
      <c r="AQ173" s="7" t="e">
        <f t="shared" si="86"/>
        <v>#N/A</v>
      </c>
      <c r="AR173" s="7">
        <f t="shared" si="76"/>
        <v>0</v>
      </c>
      <c r="AS173" s="7" t="e">
        <f t="shared" si="87"/>
        <v>#N/A</v>
      </c>
      <c r="AT173" s="7" t="str">
        <f t="shared" si="77"/>
        <v/>
      </c>
      <c r="AU173" s="7" t="str">
        <f t="shared" si="78"/>
        <v/>
      </c>
      <c r="AV173" s="7" t="str">
        <f t="shared" si="79"/>
        <v/>
      </c>
      <c r="AW173" s="7" t="str">
        <f t="shared" si="80"/>
        <v/>
      </c>
      <c r="AX173" s="97"/>
      <c r="BD173" s="453" t="s">
        <v>1731</v>
      </c>
      <c r="CG173"/>
      <c r="CH173"/>
      <c r="CK173" s="592" t="str">
        <f t="shared" si="88"/>
        <v/>
      </c>
      <c r="CL173" s="421" t="str">
        <f t="shared" si="89"/>
        <v/>
      </c>
      <c r="CM173" s="594"/>
      <c r="CN173" s="594"/>
      <c r="CO173" s="594"/>
      <c r="CP173" s="594"/>
      <c r="CQ173" s="594"/>
      <c r="CR173" s="594"/>
    </row>
    <row r="174" spans="1:96" s="13" customFormat="1" ht="13.75" customHeight="1">
      <c r="A174" s="137">
        <v>159</v>
      </c>
      <c r="B174" s="138"/>
      <c r="C174" s="139"/>
      <c r="D174" s="140"/>
      <c r="E174" s="139"/>
      <c r="F174" s="139"/>
      <c r="G174" s="191"/>
      <c r="H174" s="139"/>
      <c r="I174" s="141"/>
      <c r="J174" s="142"/>
      <c r="K174" s="139"/>
      <c r="L174" s="147"/>
      <c r="M174" s="148"/>
      <c r="N174" s="139"/>
      <c r="O174" s="589"/>
      <c r="P174" s="229" t="str">
        <f t="shared" si="81"/>
        <v/>
      </c>
      <c r="Q174" s="229" t="str">
        <f t="shared" si="82"/>
        <v/>
      </c>
      <c r="R174" s="230" t="str">
        <f t="shared" si="83"/>
        <v/>
      </c>
      <c r="S174" s="230" t="str">
        <f t="shared" si="84"/>
        <v/>
      </c>
      <c r="T174" s="351"/>
      <c r="U174" s="43"/>
      <c r="V174" s="42" t="str">
        <f t="shared" si="60"/>
        <v/>
      </c>
      <c r="W174" s="42" t="e">
        <f>IF(#REF!="","",#REF!)</f>
        <v>#REF!</v>
      </c>
      <c r="X174" s="31" t="str">
        <f t="shared" si="61"/>
        <v/>
      </c>
      <c r="Y174" s="7" t="e">
        <f t="shared" si="62"/>
        <v>#N/A</v>
      </c>
      <c r="Z174" s="7" t="e">
        <f t="shared" si="63"/>
        <v>#N/A</v>
      </c>
      <c r="AA174" s="7" t="e">
        <f t="shared" si="64"/>
        <v>#N/A</v>
      </c>
      <c r="AB174" s="7" t="str">
        <f t="shared" si="65"/>
        <v/>
      </c>
      <c r="AC174" s="11">
        <f t="shared" si="66"/>
        <v>1</v>
      </c>
      <c r="AD174" s="7" t="e">
        <f t="shared" si="67"/>
        <v>#N/A</v>
      </c>
      <c r="AE174" s="7" t="e">
        <f t="shared" si="68"/>
        <v>#N/A</v>
      </c>
      <c r="AF174" s="7" t="e">
        <f t="shared" si="69"/>
        <v>#N/A</v>
      </c>
      <c r="AG174" s="472" t="e">
        <f>VLOOKUP(AI174,'排出係数(2017)'!$A$4:$I$1151,9,FALSE)</f>
        <v>#N/A</v>
      </c>
      <c r="AH174" s="12" t="str">
        <f t="shared" si="70"/>
        <v xml:space="preserve"> </v>
      </c>
      <c r="AI174" s="7" t="e">
        <f t="shared" si="85"/>
        <v>#N/A</v>
      </c>
      <c r="AJ174" s="7" t="e">
        <f t="shared" si="71"/>
        <v>#N/A</v>
      </c>
      <c r="AK174" s="472" t="e">
        <f>VLOOKUP(AI174,'排出係数(2017)'!$A$4:$I$1151,6,FALSE)</f>
        <v>#N/A</v>
      </c>
      <c r="AL174" s="7" t="e">
        <f t="shared" si="72"/>
        <v>#N/A</v>
      </c>
      <c r="AM174" s="7" t="e">
        <f t="shared" si="73"/>
        <v>#N/A</v>
      </c>
      <c r="AN174" s="472" t="e">
        <f>VLOOKUP(AI174,'排出係数(2017)'!$A$4:$I$1151,7,FALSE)</f>
        <v>#N/A</v>
      </c>
      <c r="AO174" s="7" t="e">
        <f t="shared" si="74"/>
        <v>#N/A</v>
      </c>
      <c r="AP174" s="7" t="e">
        <f t="shared" si="75"/>
        <v>#N/A</v>
      </c>
      <c r="AQ174" s="7" t="e">
        <f t="shared" si="86"/>
        <v>#N/A</v>
      </c>
      <c r="AR174" s="7">
        <f t="shared" si="76"/>
        <v>0</v>
      </c>
      <c r="AS174" s="7" t="e">
        <f t="shared" si="87"/>
        <v>#N/A</v>
      </c>
      <c r="AT174" s="7" t="str">
        <f t="shared" si="77"/>
        <v/>
      </c>
      <c r="AU174" s="7" t="str">
        <f t="shared" si="78"/>
        <v/>
      </c>
      <c r="AV174" s="7" t="str">
        <f t="shared" si="79"/>
        <v/>
      </c>
      <c r="AW174" s="7" t="str">
        <f t="shared" si="80"/>
        <v/>
      </c>
      <c r="AX174" s="97"/>
      <c r="BD174" s="453" t="s">
        <v>1594</v>
      </c>
      <c r="CG174"/>
      <c r="CH174"/>
      <c r="CK174" s="592" t="str">
        <f t="shared" si="88"/>
        <v/>
      </c>
      <c r="CL174" s="421" t="str">
        <f t="shared" si="89"/>
        <v/>
      </c>
      <c r="CM174" s="594"/>
      <c r="CN174" s="594"/>
      <c r="CO174" s="594"/>
      <c r="CP174" s="594"/>
      <c r="CQ174" s="594"/>
      <c r="CR174" s="594"/>
    </row>
    <row r="175" spans="1:96" s="13" customFormat="1" ht="13.75" customHeight="1">
      <c r="A175" s="137">
        <v>160</v>
      </c>
      <c r="B175" s="138"/>
      <c r="C175" s="139"/>
      <c r="D175" s="140"/>
      <c r="E175" s="139"/>
      <c r="F175" s="139"/>
      <c r="G175" s="191"/>
      <c r="H175" s="139"/>
      <c r="I175" s="141"/>
      <c r="J175" s="142"/>
      <c r="K175" s="139"/>
      <c r="L175" s="147"/>
      <c r="M175" s="148"/>
      <c r="N175" s="139"/>
      <c r="O175" s="589"/>
      <c r="P175" s="229" t="str">
        <f t="shared" si="81"/>
        <v/>
      </c>
      <c r="Q175" s="229" t="str">
        <f t="shared" si="82"/>
        <v/>
      </c>
      <c r="R175" s="230" t="str">
        <f t="shared" si="83"/>
        <v/>
      </c>
      <c r="S175" s="230" t="str">
        <f t="shared" si="84"/>
        <v/>
      </c>
      <c r="T175" s="351"/>
      <c r="U175" s="43"/>
      <c r="V175" s="42" t="str">
        <f t="shared" si="60"/>
        <v/>
      </c>
      <c r="W175" s="42" t="e">
        <f>IF(#REF!="","",#REF!)</f>
        <v>#REF!</v>
      </c>
      <c r="X175" s="31" t="str">
        <f t="shared" si="61"/>
        <v/>
      </c>
      <c r="Y175" s="7" t="e">
        <f t="shared" si="62"/>
        <v>#N/A</v>
      </c>
      <c r="Z175" s="7" t="e">
        <f t="shared" si="63"/>
        <v>#N/A</v>
      </c>
      <c r="AA175" s="7" t="e">
        <f t="shared" si="64"/>
        <v>#N/A</v>
      </c>
      <c r="AB175" s="7" t="str">
        <f t="shared" si="65"/>
        <v/>
      </c>
      <c r="AC175" s="11">
        <f t="shared" si="66"/>
        <v>1</v>
      </c>
      <c r="AD175" s="7" t="e">
        <f t="shared" si="67"/>
        <v>#N/A</v>
      </c>
      <c r="AE175" s="7" t="e">
        <f t="shared" si="68"/>
        <v>#N/A</v>
      </c>
      <c r="AF175" s="7" t="e">
        <f t="shared" si="69"/>
        <v>#N/A</v>
      </c>
      <c r="AG175" s="472" t="e">
        <f>VLOOKUP(AI175,'排出係数(2017)'!$A$4:$I$1151,9,FALSE)</f>
        <v>#N/A</v>
      </c>
      <c r="AH175" s="12" t="str">
        <f t="shared" si="70"/>
        <v xml:space="preserve"> </v>
      </c>
      <c r="AI175" s="7" t="e">
        <f t="shared" si="85"/>
        <v>#N/A</v>
      </c>
      <c r="AJ175" s="7" t="e">
        <f t="shared" si="71"/>
        <v>#N/A</v>
      </c>
      <c r="AK175" s="472" t="e">
        <f>VLOOKUP(AI175,'排出係数(2017)'!$A$4:$I$1151,6,FALSE)</f>
        <v>#N/A</v>
      </c>
      <c r="AL175" s="7" t="e">
        <f t="shared" si="72"/>
        <v>#N/A</v>
      </c>
      <c r="AM175" s="7" t="e">
        <f t="shared" si="73"/>
        <v>#N/A</v>
      </c>
      <c r="AN175" s="472" t="e">
        <f>VLOOKUP(AI175,'排出係数(2017)'!$A$4:$I$1151,7,FALSE)</f>
        <v>#N/A</v>
      </c>
      <c r="AO175" s="7" t="e">
        <f t="shared" si="74"/>
        <v>#N/A</v>
      </c>
      <c r="AP175" s="7" t="e">
        <f t="shared" si="75"/>
        <v>#N/A</v>
      </c>
      <c r="AQ175" s="7" t="e">
        <f t="shared" si="86"/>
        <v>#N/A</v>
      </c>
      <c r="AR175" s="7">
        <f t="shared" si="76"/>
        <v>0</v>
      </c>
      <c r="AS175" s="7" t="e">
        <f t="shared" si="87"/>
        <v>#N/A</v>
      </c>
      <c r="AT175" s="7" t="str">
        <f t="shared" si="77"/>
        <v/>
      </c>
      <c r="AU175" s="7" t="str">
        <f t="shared" si="78"/>
        <v/>
      </c>
      <c r="AV175" s="7" t="str">
        <f t="shared" si="79"/>
        <v/>
      </c>
      <c r="AW175" s="7" t="str">
        <f t="shared" si="80"/>
        <v/>
      </c>
      <c r="AX175" s="97"/>
      <c r="BD175" s="453" t="s">
        <v>1588</v>
      </c>
      <c r="CG175"/>
      <c r="CH175"/>
      <c r="CK175" s="592" t="str">
        <f t="shared" si="88"/>
        <v/>
      </c>
      <c r="CL175" s="421" t="str">
        <f t="shared" si="89"/>
        <v/>
      </c>
      <c r="CM175" s="594"/>
      <c r="CN175" s="594"/>
      <c r="CO175" s="594"/>
      <c r="CP175" s="594"/>
      <c r="CQ175" s="594"/>
      <c r="CR175" s="594"/>
    </row>
    <row r="176" spans="1:96" s="13" customFormat="1" ht="13.75" customHeight="1">
      <c r="A176" s="137">
        <v>161</v>
      </c>
      <c r="B176" s="138"/>
      <c r="C176" s="139"/>
      <c r="D176" s="140"/>
      <c r="E176" s="139"/>
      <c r="F176" s="139"/>
      <c r="G176" s="191"/>
      <c r="H176" s="139"/>
      <c r="I176" s="141"/>
      <c r="J176" s="142"/>
      <c r="K176" s="139"/>
      <c r="L176" s="147"/>
      <c r="M176" s="148"/>
      <c r="N176" s="139"/>
      <c r="O176" s="589"/>
      <c r="P176" s="229" t="str">
        <f t="shared" si="81"/>
        <v/>
      </c>
      <c r="Q176" s="229" t="str">
        <f t="shared" si="82"/>
        <v/>
      </c>
      <c r="R176" s="230" t="str">
        <f t="shared" si="83"/>
        <v/>
      </c>
      <c r="S176" s="230" t="str">
        <f t="shared" si="84"/>
        <v/>
      </c>
      <c r="T176" s="351"/>
      <c r="U176" s="43"/>
      <c r="V176" s="42" t="str">
        <f t="shared" si="60"/>
        <v/>
      </c>
      <c r="W176" s="42" t="e">
        <f>IF(#REF!="","",#REF!)</f>
        <v>#REF!</v>
      </c>
      <c r="X176" s="31" t="str">
        <f t="shared" si="61"/>
        <v/>
      </c>
      <c r="Y176" s="7" t="e">
        <f t="shared" si="62"/>
        <v>#N/A</v>
      </c>
      <c r="Z176" s="7" t="e">
        <f t="shared" si="63"/>
        <v>#N/A</v>
      </c>
      <c r="AA176" s="7" t="e">
        <f t="shared" si="64"/>
        <v>#N/A</v>
      </c>
      <c r="AB176" s="7" t="str">
        <f t="shared" si="65"/>
        <v/>
      </c>
      <c r="AC176" s="11">
        <f t="shared" si="66"/>
        <v>1</v>
      </c>
      <c r="AD176" s="7" t="e">
        <f t="shared" si="67"/>
        <v>#N/A</v>
      </c>
      <c r="AE176" s="7" t="e">
        <f t="shared" si="68"/>
        <v>#N/A</v>
      </c>
      <c r="AF176" s="7" t="e">
        <f t="shared" si="69"/>
        <v>#N/A</v>
      </c>
      <c r="AG176" s="472" t="e">
        <f>VLOOKUP(AI176,'排出係数(2017)'!$A$4:$I$1151,9,FALSE)</f>
        <v>#N/A</v>
      </c>
      <c r="AH176" s="12" t="str">
        <f t="shared" si="70"/>
        <v xml:space="preserve"> </v>
      </c>
      <c r="AI176" s="7" t="e">
        <f t="shared" si="85"/>
        <v>#N/A</v>
      </c>
      <c r="AJ176" s="7" t="e">
        <f t="shared" si="71"/>
        <v>#N/A</v>
      </c>
      <c r="AK176" s="472" t="e">
        <f>VLOOKUP(AI176,'排出係数(2017)'!$A$4:$I$1151,6,FALSE)</f>
        <v>#N/A</v>
      </c>
      <c r="AL176" s="7" t="e">
        <f t="shared" si="72"/>
        <v>#N/A</v>
      </c>
      <c r="AM176" s="7" t="e">
        <f t="shared" si="73"/>
        <v>#N/A</v>
      </c>
      <c r="AN176" s="472" t="e">
        <f>VLOOKUP(AI176,'排出係数(2017)'!$A$4:$I$1151,7,FALSE)</f>
        <v>#N/A</v>
      </c>
      <c r="AO176" s="7" t="e">
        <f t="shared" si="74"/>
        <v>#N/A</v>
      </c>
      <c r="AP176" s="7" t="e">
        <f t="shared" si="75"/>
        <v>#N/A</v>
      </c>
      <c r="AQ176" s="7" t="e">
        <f t="shared" si="86"/>
        <v>#N/A</v>
      </c>
      <c r="AR176" s="7">
        <f t="shared" si="76"/>
        <v>0</v>
      </c>
      <c r="AS176" s="7" t="e">
        <f t="shared" si="87"/>
        <v>#N/A</v>
      </c>
      <c r="AT176" s="7" t="str">
        <f t="shared" si="77"/>
        <v/>
      </c>
      <c r="AU176" s="7" t="str">
        <f t="shared" si="78"/>
        <v/>
      </c>
      <c r="AV176" s="7" t="str">
        <f t="shared" si="79"/>
        <v/>
      </c>
      <c r="AW176" s="7" t="str">
        <f t="shared" si="80"/>
        <v/>
      </c>
      <c r="AX176" s="97"/>
      <c r="BD176" s="453" t="s">
        <v>1600</v>
      </c>
      <c r="CG176"/>
      <c r="CH176"/>
      <c r="CK176" s="592" t="str">
        <f t="shared" si="88"/>
        <v/>
      </c>
      <c r="CL176" s="421" t="str">
        <f t="shared" si="89"/>
        <v/>
      </c>
      <c r="CM176" s="594"/>
      <c r="CN176" s="594"/>
      <c r="CO176" s="594"/>
      <c r="CP176" s="594"/>
      <c r="CQ176" s="594"/>
      <c r="CR176" s="594"/>
    </row>
    <row r="177" spans="1:96" s="13" customFormat="1" ht="13.75" customHeight="1">
      <c r="A177" s="137">
        <v>162</v>
      </c>
      <c r="B177" s="138"/>
      <c r="C177" s="139"/>
      <c r="D177" s="140"/>
      <c r="E177" s="139"/>
      <c r="F177" s="139"/>
      <c r="G177" s="191"/>
      <c r="H177" s="139"/>
      <c r="I177" s="141"/>
      <c r="J177" s="142"/>
      <c r="K177" s="139"/>
      <c r="L177" s="147"/>
      <c r="M177" s="148"/>
      <c r="N177" s="139"/>
      <c r="O177" s="589"/>
      <c r="P177" s="229" t="str">
        <f t="shared" si="81"/>
        <v/>
      </c>
      <c r="Q177" s="229" t="str">
        <f t="shared" si="82"/>
        <v/>
      </c>
      <c r="R177" s="230" t="str">
        <f t="shared" si="83"/>
        <v/>
      </c>
      <c r="S177" s="230" t="str">
        <f t="shared" si="84"/>
        <v/>
      </c>
      <c r="T177" s="351"/>
      <c r="U177" s="43"/>
      <c r="V177" s="42" t="str">
        <f t="shared" si="60"/>
        <v/>
      </c>
      <c r="W177" s="42" t="e">
        <f>IF(#REF!="","",#REF!)</f>
        <v>#REF!</v>
      </c>
      <c r="X177" s="31" t="str">
        <f t="shared" si="61"/>
        <v/>
      </c>
      <c r="Y177" s="7" t="e">
        <f t="shared" si="62"/>
        <v>#N/A</v>
      </c>
      <c r="Z177" s="7" t="e">
        <f t="shared" si="63"/>
        <v>#N/A</v>
      </c>
      <c r="AA177" s="7" t="e">
        <f t="shared" si="64"/>
        <v>#N/A</v>
      </c>
      <c r="AB177" s="7" t="str">
        <f t="shared" si="65"/>
        <v/>
      </c>
      <c r="AC177" s="11">
        <f t="shared" si="66"/>
        <v>1</v>
      </c>
      <c r="AD177" s="7" t="e">
        <f t="shared" si="67"/>
        <v>#N/A</v>
      </c>
      <c r="AE177" s="7" t="e">
        <f t="shared" si="68"/>
        <v>#N/A</v>
      </c>
      <c r="AF177" s="7" t="e">
        <f t="shared" si="69"/>
        <v>#N/A</v>
      </c>
      <c r="AG177" s="472" t="e">
        <f>VLOOKUP(AI177,'排出係数(2017)'!$A$4:$I$1151,9,FALSE)</f>
        <v>#N/A</v>
      </c>
      <c r="AH177" s="12" t="str">
        <f t="shared" si="70"/>
        <v xml:space="preserve"> </v>
      </c>
      <c r="AI177" s="7" t="e">
        <f t="shared" si="85"/>
        <v>#N/A</v>
      </c>
      <c r="AJ177" s="7" t="e">
        <f t="shared" si="71"/>
        <v>#N/A</v>
      </c>
      <c r="AK177" s="472" t="e">
        <f>VLOOKUP(AI177,'排出係数(2017)'!$A$4:$I$1151,6,FALSE)</f>
        <v>#N/A</v>
      </c>
      <c r="AL177" s="7" t="e">
        <f t="shared" si="72"/>
        <v>#N/A</v>
      </c>
      <c r="AM177" s="7" t="e">
        <f t="shared" si="73"/>
        <v>#N/A</v>
      </c>
      <c r="AN177" s="472" t="e">
        <f>VLOOKUP(AI177,'排出係数(2017)'!$A$4:$I$1151,7,FALSE)</f>
        <v>#N/A</v>
      </c>
      <c r="AO177" s="7" t="e">
        <f t="shared" si="74"/>
        <v>#N/A</v>
      </c>
      <c r="AP177" s="7" t="e">
        <f t="shared" si="75"/>
        <v>#N/A</v>
      </c>
      <c r="AQ177" s="7" t="e">
        <f t="shared" si="86"/>
        <v>#N/A</v>
      </c>
      <c r="AR177" s="7">
        <f t="shared" si="76"/>
        <v>0</v>
      </c>
      <c r="AS177" s="7" t="e">
        <f t="shared" si="87"/>
        <v>#N/A</v>
      </c>
      <c r="AT177" s="7" t="str">
        <f t="shared" si="77"/>
        <v/>
      </c>
      <c r="AU177" s="7" t="str">
        <f t="shared" si="78"/>
        <v/>
      </c>
      <c r="AV177" s="7" t="str">
        <f t="shared" si="79"/>
        <v/>
      </c>
      <c r="AW177" s="7" t="str">
        <f t="shared" si="80"/>
        <v/>
      </c>
      <c r="AX177" s="97"/>
      <c r="BD177" s="453" t="s">
        <v>49</v>
      </c>
      <c r="CG177"/>
      <c r="CH177"/>
      <c r="CK177" s="592" t="str">
        <f t="shared" si="88"/>
        <v/>
      </c>
      <c r="CL177" s="421" t="str">
        <f t="shared" si="89"/>
        <v/>
      </c>
      <c r="CM177" s="594"/>
      <c r="CN177" s="594"/>
      <c r="CO177" s="594"/>
      <c r="CP177" s="594"/>
      <c r="CQ177" s="594"/>
      <c r="CR177" s="594"/>
    </row>
    <row r="178" spans="1:96" s="13" customFormat="1" ht="13.75" customHeight="1">
      <c r="A178" s="137">
        <v>163</v>
      </c>
      <c r="B178" s="138"/>
      <c r="C178" s="139"/>
      <c r="D178" s="140"/>
      <c r="E178" s="139"/>
      <c r="F178" s="139"/>
      <c r="G178" s="191"/>
      <c r="H178" s="139"/>
      <c r="I178" s="141"/>
      <c r="J178" s="142"/>
      <c r="K178" s="139"/>
      <c r="L178" s="147"/>
      <c r="M178" s="148"/>
      <c r="N178" s="139"/>
      <c r="O178" s="589"/>
      <c r="P178" s="229" t="str">
        <f t="shared" si="81"/>
        <v/>
      </c>
      <c r="Q178" s="229" t="str">
        <f t="shared" si="82"/>
        <v/>
      </c>
      <c r="R178" s="230" t="str">
        <f t="shared" si="83"/>
        <v/>
      </c>
      <c r="S178" s="230" t="str">
        <f t="shared" si="84"/>
        <v/>
      </c>
      <c r="T178" s="351"/>
      <c r="U178" s="43"/>
      <c r="V178" s="42" t="str">
        <f t="shared" si="60"/>
        <v/>
      </c>
      <c r="W178" s="42" t="e">
        <f>IF(#REF!="","",#REF!)</f>
        <v>#REF!</v>
      </c>
      <c r="X178" s="31" t="str">
        <f t="shared" si="61"/>
        <v/>
      </c>
      <c r="Y178" s="7" t="e">
        <f t="shared" si="62"/>
        <v>#N/A</v>
      </c>
      <c r="Z178" s="7" t="e">
        <f t="shared" si="63"/>
        <v>#N/A</v>
      </c>
      <c r="AA178" s="7" t="e">
        <f t="shared" si="64"/>
        <v>#N/A</v>
      </c>
      <c r="AB178" s="7" t="str">
        <f t="shared" si="65"/>
        <v/>
      </c>
      <c r="AC178" s="11">
        <f t="shared" si="66"/>
        <v>1</v>
      </c>
      <c r="AD178" s="7" t="e">
        <f t="shared" si="67"/>
        <v>#N/A</v>
      </c>
      <c r="AE178" s="7" t="e">
        <f t="shared" si="68"/>
        <v>#N/A</v>
      </c>
      <c r="AF178" s="7" t="e">
        <f t="shared" si="69"/>
        <v>#N/A</v>
      </c>
      <c r="AG178" s="472" t="e">
        <f>VLOOKUP(AI178,'排出係数(2017)'!$A$4:$I$1151,9,FALSE)</f>
        <v>#N/A</v>
      </c>
      <c r="AH178" s="12" t="str">
        <f t="shared" si="70"/>
        <v xml:space="preserve"> </v>
      </c>
      <c r="AI178" s="7" t="e">
        <f t="shared" si="85"/>
        <v>#N/A</v>
      </c>
      <c r="AJ178" s="7" t="e">
        <f t="shared" si="71"/>
        <v>#N/A</v>
      </c>
      <c r="AK178" s="472" t="e">
        <f>VLOOKUP(AI178,'排出係数(2017)'!$A$4:$I$1151,6,FALSE)</f>
        <v>#N/A</v>
      </c>
      <c r="AL178" s="7" t="e">
        <f t="shared" si="72"/>
        <v>#N/A</v>
      </c>
      <c r="AM178" s="7" t="e">
        <f t="shared" si="73"/>
        <v>#N/A</v>
      </c>
      <c r="AN178" s="472" t="e">
        <f>VLOOKUP(AI178,'排出係数(2017)'!$A$4:$I$1151,7,FALSE)</f>
        <v>#N/A</v>
      </c>
      <c r="AO178" s="7" t="e">
        <f t="shared" si="74"/>
        <v>#N/A</v>
      </c>
      <c r="AP178" s="7" t="e">
        <f t="shared" si="75"/>
        <v>#N/A</v>
      </c>
      <c r="AQ178" s="7" t="e">
        <f t="shared" si="86"/>
        <v>#N/A</v>
      </c>
      <c r="AR178" s="7">
        <f t="shared" si="76"/>
        <v>0</v>
      </c>
      <c r="AS178" s="7" t="e">
        <f t="shared" si="87"/>
        <v>#N/A</v>
      </c>
      <c r="AT178" s="7" t="str">
        <f t="shared" si="77"/>
        <v/>
      </c>
      <c r="AU178" s="7" t="str">
        <f t="shared" si="78"/>
        <v/>
      </c>
      <c r="AV178" s="7" t="str">
        <f t="shared" si="79"/>
        <v/>
      </c>
      <c r="AW178" s="7" t="str">
        <f t="shared" si="80"/>
        <v/>
      </c>
      <c r="AX178" s="97"/>
      <c r="BD178" s="453" t="s">
        <v>50</v>
      </c>
      <c r="CG178"/>
      <c r="CH178"/>
      <c r="CK178" s="592" t="str">
        <f t="shared" si="88"/>
        <v/>
      </c>
      <c r="CL178" s="421" t="str">
        <f t="shared" si="89"/>
        <v/>
      </c>
      <c r="CM178" s="594"/>
      <c r="CN178" s="594"/>
      <c r="CO178" s="594"/>
      <c r="CP178" s="594"/>
      <c r="CQ178" s="594"/>
      <c r="CR178" s="594"/>
    </row>
    <row r="179" spans="1:96" s="13" customFormat="1" ht="13.75" customHeight="1">
      <c r="A179" s="137">
        <v>164</v>
      </c>
      <c r="B179" s="138"/>
      <c r="C179" s="139"/>
      <c r="D179" s="140"/>
      <c r="E179" s="139"/>
      <c r="F179" s="139"/>
      <c r="G179" s="191"/>
      <c r="H179" s="139"/>
      <c r="I179" s="141"/>
      <c r="J179" s="142"/>
      <c r="K179" s="139"/>
      <c r="L179" s="147"/>
      <c r="M179" s="148"/>
      <c r="N179" s="139"/>
      <c r="O179" s="589"/>
      <c r="P179" s="229" t="str">
        <f t="shared" si="81"/>
        <v/>
      </c>
      <c r="Q179" s="229" t="str">
        <f t="shared" si="82"/>
        <v/>
      </c>
      <c r="R179" s="230" t="str">
        <f t="shared" si="83"/>
        <v/>
      </c>
      <c r="S179" s="230" t="str">
        <f t="shared" si="84"/>
        <v/>
      </c>
      <c r="T179" s="351"/>
      <c r="U179" s="43"/>
      <c r="V179" s="42" t="str">
        <f t="shared" si="60"/>
        <v/>
      </c>
      <c r="W179" s="42" t="e">
        <f>IF(#REF!="","",#REF!)</f>
        <v>#REF!</v>
      </c>
      <c r="X179" s="31" t="str">
        <f t="shared" si="61"/>
        <v/>
      </c>
      <c r="Y179" s="7" t="e">
        <f t="shared" si="62"/>
        <v>#N/A</v>
      </c>
      <c r="Z179" s="7" t="e">
        <f t="shared" si="63"/>
        <v>#N/A</v>
      </c>
      <c r="AA179" s="7" t="e">
        <f t="shared" si="64"/>
        <v>#N/A</v>
      </c>
      <c r="AB179" s="7" t="str">
        <f t="shared" si="65"/>
        <v/>
      </c>
      <c r="AC179" s="11">
        <f t="shared" si="66"/>
        <v>1</v>
      </c>
      <c r="AD179" s="7" t="e">
        <f t="shared" si="67"/>
        <v>#N/A</v>
      </c>
      <c r="AE179" s="7" t="e">
        <f t="shared" si="68"/>
        <v>#N/A</v>
      </c>
      <c r="AF179" s="7" t="e">
        <f t="shared" si="69"/>
        <v>#N/A</v>
      </c>
      <c r="AG179" s="472" t="e">
        <f>VLOOKUP(AI179,'排出係数(2017)'!$A$4:$I$1151,9,FALSE)</f>
        <v>#N/A</v>
      </c>
      <c r="AH179" s="12" t="str">
        <f t="shared" si="70"/>
        <v xml:space="preserve"> </v>
      </c>
      <c r="AI179" s="7" t="e">
        <f t="shared" si="85"/>
        <v>#N/A</v>
      </c>
      <c r="AJ179" s="7" t="e">
        <f t="shared" si="71"/>
        <v>#N/A</v>
      </c>
      <c r="AK179" s="472" t="e">
        <f>VLOOKUP(AI179,'排出係数(2017)'!$A$4:$I$1151,6,FALSE)</f>
        <v>#N/A</v>
      </c>
      <c r="AL179" s="7" t="e">
        <f t="shared" si="72"/>
        <v>#N/A</v>
      </c>
      <c r="AM179" s="7" t="e">
        <f t="shared" si="73"/>
        <v>#N/A</v>
      </c>
      <c r="AN179" s="472" t="e">
        <f>VLOOKUP(AI179,'排出係数(2017)'!$A$4:$I$1151,7,FALSE)</f>
        <v>#N/A</v>
      </c>
      <c r="AO179" s="7" t="e">
        <f t="shared" si="74"/>
        <v>#N/A</v>
      </c>
      <c r="AP179" s="7" t="e">
        <f t="shared" si="75"/>
        <v>#N/A</v>
      </c>
      <c r="AQ179" s="7" t="e">
        <f t="shared" si="86"/>
        <v>#N/A</v>
      </c>
      <c r="AR179" s="7">
        <f t="shared" si="76"/>
        <v>0</v>
      </c>
      <c r="AS179" s="7" t="e">
        <f t="shared" si="87"/>
        <v>#N/A</v>
      </c>
      <c r="AT179" s="7" t="str">
        <f t="shared" si="77"/>
        <v/>
      </c>
      <c r="AU179" s="7" t="str">
        <f t="shared" si="78"/>
        <v/>
      </c>
      <c r="AV179" s="7" t="str">
        <f t="shared" si="79"/>
        <v/>
      </c>
      <c r="AW179" s="7" t="str">
        <f t="shared" si="80"/>
        <v/>
      </c>
      <c r="AX179" s="97"/>
      <c r="BD179" s="453" t="s">
        <v>51</v>
      </c>
      <c r="CG179"/>
      <c r="CH179"/>
      <c r="CK179" s="592" t="str">
        <f t="shared" si="88"/>
        <v/>
      </c>
      <c r="CL179" s="421" t="str">
        <f t="shared" si="89"/>
        <v/>
      </c>
      <c r="CM179" s="594"/>
      <c r="CN179" s="594"/>
      <c r="CO179" s="594"/>
      <c r="CP179" s="594"/>
      <c r="CQ179" s="594"/>
      <c r="CR179" s="594"/>
    </row>
    <row r="180" spans="1:96" s="13" customFormat="1" ht="13.75" customHeight="1">
      <c r="A180" s="137">
        <v>165</v>
      </c>
      <c r="B180" s="138"/>
      <c r="C180" s="139"/>
      <c r="D180" s="140"/>
      <c r="E180" s="139"/>
      <c r="F180" s="139"/>
      <c r="G180" s="191"/>
      <c r="H180" s="139"/>
      <c r="I180" s="141"/>
      <c r="J180" s="142"/>
      <c r="K180" s="139"/>
      <c r="L180" s="147"/>
      <c r="M180" s="148"/>
      <c r="N180" s="139"/>
      <c r="O180" s="589"/>
      <c r="P180" s="229" t="str">
        <f t="shared" si="81"/>
        <v/>
      </c>
      <c r="Q180" s="229" t="str">
        <f t="shared" si="82"/>
        <v/>
      </c>
      <c r="R180" s="230" t="str">
        <f t="shared" si="83"/>
        <v/>
      </c>
      <c r="S180" s="230" t="str">
        <f t="shared" si="84"/>
        <v/>
      </c>
      <c r="T180" s="351"/>
      <c r="U180" s="43"/>
      <c r="V180" s="42" t="str">
        <f t="shared" si="60"/>
        <v/>
      </c>
      <c r="W180" s="42" t="e">
        <f>IF(#REF!="","",#REF!)</f>
        <v>#REF!</v>
      </c>
      <c r="X180" s="31" t="str">
        <f t="shared" si="61"/>
        <v/>
      </c>
      <c r="Y180" s="7" t="e">
        <f t="shared" si="62"/>
        <v>#N/A</v>
      </c>
      <c r="Z180" s="7" t="e">
        <f t="shared" si="63"/>
        <v>#N/A</v>
      </c>
      <c r="AA180" s="7" t="e">
        <f t="shared" si="64"/>
        <v>#N/A</v>
      </c>
      <c r="AB180" s="7" t="str">
        <f t="shared" si="65"/>
        <v/>
      </c>
      <c r="AC180" s="11">
        <f t="shared" si="66"/>
        <v>1</v>
      </c>
      <c r="AD180" s="7" t="e">
        <f t="shared" si="67"/>
        <v>#N/A</v>
      </c>
      <c r="AE180" s="7" t="e">
        <f t="shared" si="68"/>
        <v>#N/A</v>
      </c>
      <c r="AF180" s="7" t="e">
        <f t="shared" si="69"/>
        <v>#N/A</v>
      </c>
      <c r="AG180" s="472" t="e">
        <f>VLOOKUP(AI180,'排出係数(2017)'!$A$4:$I$1151,9,FALSE)</f>
        <v>#N/A</v>
      </c>
      <c r="AH180" s="12" t="str">
        <f t="shared" si="70"/>
        <v xml:space="preserve"> </v>
      </c>
      <c r="AI180" s="7" t="e">
        <f t="shared" si="85"/>
        <v>#N/A</v>
      </c>
      <c r="AJ180" s="7" t="e">
        <f t="shared" si="71"/>
        <v>#N/A</v>
      </c>
      <c r="AK180" s="472" t="e">
        <f>VLOOKUP(AI180,'排出係数(2017)'!$A$4:$I$1151,6,FALSE)</f>
        <v>#N/A</v>
      </c>
      <c r="AL180" s="7" t="e">
        <f t="shared" si="72"/>
        <v>#N/A</v>
      </c>
      <c r="AM180" s="7" t="e">
        <f t="shared" si="73"/>
        <v>#N/A</v>
      </c>
      <c r="AN180" s="472" t="e">
        <f>VLOOKUP(AI180,'排出係数(2017)'!$A$4:$I$1151,7,FALSE)</f>
        <v>#N/A</v>
      </c>
      <c r="AO180" s="7" t="e">
        <f t="shared" si="74"/>
        <v>#N/A</v>
      </c>
      <c r="AP180" s="7" t="e">
        <f t="shared" si="75"/>
        <v>#N/A</v>
      </c>
      <c r="AQ180" s="7" t="e">
        <f t="shared" si="86"/>
        <v>#N/A</v>
      </c>
      <c r="AR180" s="7">
        <f t="shared" si="76"/>
        <v>0</v>
      </c>
      <c r="AS180" s="7" t="e">
        <f t="shared" si="87"/>
        <v>#N/A</v>
      </c>
      <c r="AT180" s="7" t="str">
        <f t="shared" si="77"/>
        <v/>
      </c>
      <c r="AU180" s="7" t="str">
        <f t="shared" si="78"/>
        <v/>
      </c>
      <c r="AV180" s="7" t="str">
        <f t="shared" si="79"/>
        <v/>
      </c>
      <c r="AW180" s="7" t="str">
        <f t="shared" si="80"/>
        <v/>
      </c>
      <c r="AX180" s="97"/>
      <c r="BD180" s="453" t="s">
        <v>52</v>
      </c>
      <c r="CG180"/>
      <c r="CH180"/>
      <c r="CK180" s="592" t="str">
        <f t="shared" si="88"/>
        <v/>
      </c>
      <c r="CL180" s="421" t="str">
        <f t="shared" si="89"/>
        <v/>
      </c>
      <c r="CM180" s="594"/>
      <c r="CN180" s="594"/>
      <c r="CO180" s="594"/>
      <c r="CP180" s="594"/>
      <c r="CQ180" s="594"/>
      <c r="CR180" s="594"/>
    </row>
    <row r="181" spans="1:96" s="13" customFormat="1" ht="13.75" customHeight="1">
      <c r="A181" s="137">
        <v>166</v>
      </c>
      <c r="B181" s="138"/>
      <c r="C181" s="139"/>
      <c r="D181" s="140"/>
      <c r="E181" s="139"/>
      <c r="F181" s="139"/>
      <c r="G181" s="191"/>
      <c r="H181" s="139"/>
      <c r="I181" s="141"/>
      <c r="J181" s="142"/>
      <c r="K181" s="139"/>
      <c r="L181" s="147"/>
      <c r="M181" s="148"/>
      <c r="N181" s="139"/>
      <c r="O181" s="589"/>
      <c r="P181" s="229" t="str">
        <f t="shared" si="81"/>
        <v/>
      </c>
      <c r="Q181" s="229" t="str">
        <f t="shared" si="82"/>
        <v/>
      </c>
      <c r="R181" s="230" t="str">
        <f t="shared" si="83"/>
        <v/>
      </c>
      <c r="S181" s="230" t="str">
        <f t="shared" si="84"/>
        <v/>
      </c>
      <c r="T181" s="351"/>
      <c r="U181" s="43"/>
      <c r="V181" s="42" t="str">
        <f t="shared" si="60"/>
        <v/>
      </c>
      <c r="W181" s="42" t="e">
        <f>IF(#REF!="","",#REF!)</f>
        <v>#REF!</v>
      </c>
      <c r="X181" s="31" t="str">
        <f t="shared" si="61"/>
        <v/>
      </c>
      <c r="Y181" s="7" t="e">
        <f t="shared" si="62"/>
        <v>#N/A</v>
      </c>
      <c r="Z181" s="7" t="e">
        <f t="shared" si="63"/>
        <v>#N/A</v>
      </c>
      <c r="AA181" s="7" t="e">
        <f t="shared" si="64"/>
        <v>#N/A</v>
      </c>
      <c r="AB181" s="7" t="str">
        <f t="shared" si="65"/>
        <v/>
      </c>
      <c r="AC181" s="11">
        <f t="shared" si="66"/>
        <v>1</v>
      </c>
      <c r="AD181" s="7" t="e">
        <f t="shared" si="67"/>
        <v>#N/A</v>
      </c>
      <c r="AE181" s="7" t="e">
        <f t="shared" si="68"/>
        <v>#N/A</v>
      </c>
      <c r="AF181" s="7" t="e">
        <f t="shared" si="69"/>
        <v>#N/A</v>
      </c>
      <c r="AG181" s="472" t="e">
        <f>VLOOKUP(AI181,'排出係数(2017)'!$A$4:$I$1151,9,FALSE)</f>
        <v>#N/A</v>
      </c>
      <c r="AH181" s="12" t="str">
        <f t="shared" si="70"/>
        <v xml:space="preserve"> </v>
      </c>
      <c r="AI181" s="7" t="e">
        <f t="shared" si="85"/>
        <v>#N/A</v>
      </c>
      <c r="AJ181" s="7" t="e">
        <f t="shared" si="71"/>
        <v>#N/A</v>
      </c>
      <c r="AK181" s="472" t="e">
        <f>VLOOKUP(AI181,'排出係数(2017)'!$A$4:$I$1151,6,FALSE)</f>
        <v>#N/A</v>
      </c>
      <c r="AL181" s="7" t="e">
        <f t="shared" si="72"/>
        <v>#N/A</v>
      </c>
      <c r="AM181" s="7" t="e">
        <f t="shared" si="73"/>
        <v>#N/A</v>
      </c>
      <c r="AN181" s="472" t="e">
        <f>VLOOKUP(AI181,'排出係数(2017)'!$A$4:$I$1151,7,FALSE)</f>
        <v>#N/A</v>
      </c>
      <c r="AO181" s="7" t="e">
        <f t="shared" si="74"/>
        <v>#N/A</v>
      </c>
      <c r="AP181" s="7" t="e">
        <f t="shared" si="75"/>
        <v>#N/A</v>
      </c>
      <c r="AQ181" s="7" t="e">
        <f t="shared" si="86"/>
        <v>#N/A</v>
      </c>
      <c r="AR181" s="7">
        <f t="shared" si="76"/>
        <v>0</v>
      </c>
      <c r="AS181" s="7" t="e">
        <f t="shared" si="87"/>
        <v>#N/A</v>
      </c>
      <c r="AT181" s="7" t="str">
        <f t="shared" si="77"/>
        <v/>
      </c>
      <c r="AU181" s="7" t="str">
        <f t="shared" si="78"/>
        <v/>
      </c>
      <c r="AV181" s="7" t="str">
        <f t="shared" si="79"/>
        <v/>
      </c>
      <c r="AW181" s="7" t="str">
        <f t="shared" si="80"/>
        <v/>
      </c>
      <c r="AX181" s="97"/>
      <c r="BD181" s="453" t="s">
        <v>53</v>
      </c>
      <c r="CG181"/>
      <c r="CH181"/>
      <c r="CK181" s="592" t="str">
        <f t="shared" si="88"/>
        <v/>
      </c>
      <c r="CL181" s="421" t="str">
        <f t="shared" si="89"/>
        <v/>
      </c>
      <c r="CM181" s="594"/>
      <c r="CN181" s="594"/>
      <c r="CO181" s="594"/>
      <c r="CP181" s="594"/>
      <c r="CQ181" s="594"/>
      <c r="CR181" s="594"/>
    </row>
    <row r="182" spans="1:96" s="13" customFormat="1" ht="13.75" customHeight="1">
      <c r="A182" s="137">
        <v>167</v>
      </c>
      <c r="B182" s="138"/>
      <c r="C182" s="139"/>
      <c r="D182" s="140"/>
      <c r="E182" s="139"/>
      <c r="F182" s="139"/>
      <c r="G182" s="191"/>
      <c r="H182" s="139"/>
      <c r="I182" s="141"/>
      <c r="J182" s="142"/>
      <c r="K182" s="139"/>
      <c r="L182" s="147"/>
      <c r="M182" s="148"/>
      <c r="N182" s="139"/>
      <c r="O182" s="589"/>
      <c r="P182" s="229" t="str">
        <f t="shared" si="81"/>
        <v/>
      </c>
      <c r="Q182" s="229" t="str">
        <f t="shared" si="82"/>
        <v/>
      </c>
      <c r="R182" s="230" t="str">
        <f t="shared" si="83"/>
        <v/>
      </c>
      <c r="S182" s="230" t="str">
        <f t="shared" si="84"/>
        <v/>
      </c>
      <c r="T182" s="351"/>
      <c r="U182" s="43"/>
      <c r="V182" s="42" t="str">
        <f t="shared" si="60"/>
        <v/>
      </c>
      <c r="W182" s="42" t="e">
        <f>IF(#REF!="","",#REF!)</f>
        <v>#REF!</v>
      </c>
      <c r="X182" s="31" t="str">
        <f t="shared" si="61"/>
        <v/>
      </c>
      <c r="Y182" s="7" t="e">
        <f t="shared" si="62"/>
        <v>#N/A</v>
      </c>
      <c r="Z182" s="7" t="e">
        <f t="shared" si="63"/>
        <v>#N/A</v>
      </c>
      <c r="AA182" s="7" t="e">
        <f t="shared" si="64"/>
        <v>#N/A</v>
      </c>
      <c r="AB182" s="7" t="str">
        <f t="shared" si="65"/>
        <v/>
      </c>
      <c r="AC182" s="11">
        <f t="shared" si="66"/>
        <v>1</v>
      </c>
      <c r="AD182" s="7" t="e">
        <f t="shared" si="67"/>
        <v>#N/A</v>
      </c>
      <c r="AE182" s="7" t="e">
        <f t="shared" si="68"/>
        <v>#N/A</v>
      </c>
      <c r="AF182" s="7" t="e">
        <f t="shared" si="69"/>
        <v>#N/A</v>
      </c>
      <c r="AG182" s="472" t="e">
        <f>VLOOKUP(AI182,'排出係数(2017)'!$A$4:$I$1151,9,FALSE)</f>
        <v>#N/A</v>
      </c>
      <c r="AH182" s="12" t="str">
        <f t="shared" si="70"/>
        <v xml:space="preserve"> </v>
      </c>
      <c r="AI182" s="7" t="e">
        <f t="shared" si="85"/>
        <v>#N/A</v>
      </c>
      <c r="AJ182" s="7" t="e">
        <f t="shared" si="71"/>
        <v>#N/A</v>
      </c>
      <c r="AK182" s="472" t="e">
        <f>VLOOKUP(AI182,'排出係数(2017)'!$A$4:$I$1151,6,FALSE)</f>
        <v>#N/A</v>
      </c>
      <c r="AL182" s="7" t="e">
        <f t="shared" si="72"/>
        <v>#N/A</v>
      </c>
      <c r="AM182" s="7" t="e">
        <f t="shared" si="73"/>
        <v>#N/A</v>
      </c>
      <c r="AN182" s="472" t="e">
        <f>VLOOKUP(AI182,'排出係数(2017)'!$A$4:$I$1151,7,FALSE)</f>
        <v>#N/A</v>
      </c>
      <c r="AO182" s="7" t="e">
        <f t="shared" si="74"/>
        <v>#N/A</v>
      </c>
      <c r="AP182" s="7" t="e">
        <f t="shared" si="75"/>
        <v>#N/A</v>
      </c>
      <c r="AQ182" s="7" t="e">
        <f t="shared" si="86"/>
        <v>#N/A</v>
      </c>
      <c r="AR182" s="7">
        <f t="shared" si="76"/>
        <v>0</v>
      </c>
      <c r="AS182" s="7" t="e">
        <f t="shared" si="87"/>
        <v>#N/A</v>
      </c>
      <c r="AT182" s="7" t="str">
        <f t="shared" si="77"/>
        <v/>
      </c>
      <c r="AU182" s="7" t="str">
        <f t="shared" si="78"/>
        <v/>
      </c>
      <c r="AV182" s="7" t="str">
        <f t="shared" si="79"/>
        <v/>
      </c>
      <c r="AW182" s="7" t="str">
        <f t="shared" si="80"/>
        <v/>
      </c>
      <c r="AX182" s="97"/>
      <c r="BD182" s="453" t="s">
        <v>54</v>
      </c>
      <c r="CG182"/>
      <c r="CH182"/>
      <c r="CK182" s="592" t="str">
        <f t="shared" si="88"/>
        <v/>
      </c>
      <c r="CL182" s="421" t="str">
        <f t="shared" si="89"/>
        <v/>
      </c>
      <c r="CM182" s="594"/>
      <c r="CN182" s="594"/>
      <c r="CO182" s="594"/>
      <c r="CP182" s="594"/>
      <c r="CQ182" s="594"/>
      <c r="CR182" s="594"/>
    </row>
    <row r="183" spans="1:96" s="13" customFormat="1" ht="13.75" customHeight="1">
      <c r="A183" s="137">
        <v>168</v>
      </c>
      <c r="B183" s="138"/>
      <c r="C183" s="139"/>
      <c r="D183" s="140"/>
      <c r="E183" s="139"/>
      <c r="F183" s="139"/>
      <c r="G183" s="191"/>
      <c r="H183" s="139"/>
      <c r="I183" s="141"/>
      <c r="J183" s="142"/>
      <c r="K183" s="139"/>
      <c r="L183" s="147"/>
      <c r="M183" s="148"/>
      <c r="N183" s="139"/>
      <c r="O183" s="589"/>
      <c r="P183" s="229" t="str">
        <f t="shared" si="81"/>
        <v/>
      </c>
      <c r="Q183" s="229" t="str">
        <f t="shared" si="82"/>
        <v/>
      </c>
      <c r="R183" s="230" t="str">
        <f t="shared" si="83"/>
        <v/>
      </c>
      <c r="S183" s="230" t="str">
        <f t="shared" si="84"/>
        <v/>
      </c>
      <c r="T183" s="351"/>
      <c r="U183" s="43"/>
      <c r="V183" s="42" t="str">
        <f t="shared" si="60"/>
        <v/>
      </c>
      <c r="W183" s="42" t="e">
        <f>IF(#REF!="","",#REF!)</f>
        <v>#REF!</v>
      </c>
      <c r="X183" s="31" t="str">
        <f t="shared" si="61"/>
        <v/>
      </c>
      <c r="Y183" s="7" t="e">
        <f t="shared" si="62"/>
        <v>#N/A</v>
      </c>
      <c r="Z183" s="7" t="e">
        <f t="shared" si="63"/>
        <v>#N/A</v>
      </c>
      <c r="AA183" s="7" t="e">
        <f t="shared" si="64"/>
        <v>#N/A</v>
      </c>
      <c r="AB183" s="7" t="str">
        <f t="shared" si="65"/>
        <v/>
      </c>
      <c r="AC183" s="11">
        <f t="shared" si="66"/>
        <v>1</v>
      </c>
      <c r="AD183" s="7" t="e">
        <f t="shared" si="67"/>
        <v>#N/A</v>
      </c>
      <c r="AE183" s="7" t="e">
        <f t="shared" si="68"/>
        <v>#N/A</v>
      </c>
      <c r="AF183" s="7" t="e">
        <f t="shared" si="69"/>
        <v>#N/A</v>
      </c>
      <c r="AG183" s="472" t="e">
        <f>VLOOKUP(AI183,'排出係数(2017)'!$A$4:$I$1151,9,FALSE)</f>
        <v>#N/A</v>
      </c>
      <c r="AH183" s="12" t="str">
        <f t="shared" si="70"/>
        <v xml:space="preserve"> </v>
      </c>
      <c r="AI183" s="7" t="e">
        <f t="shared" si="85"/>
        <v>#N/A</v>
      </c>
      <c r="AJ183" s="7" t="e">
        <f t="shared" si="71"/>
        <v>#N/A</v>
      </c>
      <c r="AK183" s="472" t="e">
        <f>VLOOKUP(AI183,'排出係数(2017)'!$A$4:$I$1151,6,FALSE)</f>
        <v>#N/A</v>
      </c>
      <c r="AL183" s="7" t="e">
        <f t="shared" si="72"/>
        <v>#N/A</v>
      </c>
      <c r="AM183" s="7" t="e">
        <f t="shared" si="73"/>
        <v>#N/A</v>
      </c>
      <c r="AN183" s="472" t="e">
        <f>VLOOKUP(AI183,'排出係数(2017)'!$A$4:$I$1151,7,FALSE)</f>
        <v>#N/A</v>
      </c>
      <c r="AO183" s="7" t="e">
        <f t="shared" si="74"/>
        <v>#N/A</v>
      </c>
      <c r="AP183" s="7" t="e">
        <f t="shared" si="75"/>
        <v>#N/A</v>
      </c>
      <c r="AQ183" s="7" t="e">
        <f t="shared" si="86"/>
        <v>#N/A</v>
      </c>
      <c r="AR183" s="7">
        <f t="shared" si="76"/>
        <v>0</v>
      </c>
      <c r="AS183" s="7" t="e">
        <f t="shared" si="87"/>
        <v>#N/A</v>
      </c>
      <c r="AT183" s="7" t="str">
        <f t="shared" si="77"/>
        <v/>
      </c>
      <c r="AU183" s="7" t="str">
        <f t="shared" si="78"/>
        <v/>
      </c>
      <c r="AV183" s="7" t="str">
        <f t="shared" si="79"/>
        <v/>
      </c>
      <c r="AW183" s="7" t="str">
        <f t="shared" si="80"/>
        <v/>
      </c>
      <c r="AX183" s="97"/>
      <c r="BD183" s="453" t="s">
        <v>55</v>
      </c>
      <c r="CG183"/>
      <c r="CH183"/>
      <c r="CK183" s="592" t="str">
        <f t="shared" si="88"/>
        <v/>
      </c>
      <c r="CL183" s="421" t="str">
        <f t="shared" si="89"/>
        <v/>
      </c>
      <c r="CM183" s="594"/>
      <c r="CN183" s="594"/>
      <c r="CO183" s="594"/>
      <c r="CP183" s="594"/>
      <c r="CQ183" s="594"/>
      <c r="CR183" s="594"/>
    </row>
    <row r="184" spans="1:96" s="13" customFormat="1" ht="13.75" customHeight="1">
      <c r="A184" s="137">
        <v>169</v>
      </c>
      <c r="B184" s="138"/>
      <c r="C184" s="139"/>
      <c r="D184" s="140"/>
      <c r="E184" s="139"/>
      <c r="F184" s="139"/>
      <c r="G184" s="191"/>
      <c r="H184" s="139"/>
      <c r="I184" s="141"/>
      <c r="J184" s="142"/>
      <c r="K184" s="139"/>
      <c r="L184" s="147"/>
      <c r="M184" s="148"/>
      <c r="N184" s="139"/>
      <c r="O184" s="589"/>
      <c r="P184" s="229" t="str">
        <f t="shared" si="81"/>
        <v/>
      </c>
      <c r="Q184" s="229" t="str">
        <f t="shared" si="82"/>
        <v/>
      </c>
      <c r="R184" s="230" t="str">
        <f t="shared" si="83"/>
        <v/>
      </c>
      <c r="S184" s="230" t="str">
        <f t="shared" si="84"/>
        <v/>
      </c>
      <c r="T184" s="351"/>
      <c r="U184" s="43"/>
      <c r="V184" s="42" t="str">
        <f t="shared" si="60"/>
        <v/>
      </c>
      <c r="W184" s="42" t="e">
        <f>IF(#REF!="","",#REF!)</f>
        <v>#REF!</v>
      </c>
      <c r="X184" s="31" t="str">
        <f t="shared" si="61"/>
        <v/>
      </c>
      <c r="Y184" s="7" t="e">
        <f t="shared" si="62"/>
        <v>#N/A</v>
      </c>
      <c r="Z184" s="7" t="e">
        <f t="shared" si="63"/>
        <v>#N/A</v>
      </c>
      <c r="AA184" s="7" t="e">
        <f t="shared" si="64"/>
        <v>#N/A</v>
      </c>
      <c r="AB184" s="7" t="str">
        <f t="shared" si="65"/>
        <v/>
      </c>
      <c r="AC184" s="11">
        <f t="shared" si="66"/>
        <v>1</v>
      </c>
      <c r="AD184" s="7" t="e">
        <f t="shared" si="67"/>
        <v>#N/A</v>
      </c>
      <c r="AE184" s="7" t="e">
        <f t="shared" si="68"/>
        <v>#N/A</v>
      </c>
      <c r="AF184" s="7" t="e">
        <f t="shared" si="69"/>
        <v>#N/A</v>
      </c>
      <c r="AG184" s="472" t="e">
        <f>VLOOKUP(AI184,'排出係数(2017)'!$A$4:$I$1151,9,FALSE)</f>
        <v>#N/A</v>
      </c>
      <c r="AH184" s="12" t="str">
        <f t="shared" si="70"/>
        <v xml:space="preserve"> </v>
      </c>
      <c r="AI184" s="7" t="e">
        <f t="shared" si="85"/>
        <v>#N/A</v>
      </c>
      <c r="AJ184" s="7" t="e">
        <f t="shared" si="71"/>
        <v>#N/A</v>
      </c>
      <c r="AK184" s="472" t="e">
        <f>VLOOKUP(AI184,'排出係数(2017)'!$A$4:$I$1151,6,FALSE)</f>
        <v>#N/A</v>
      </c>
      <c r="AL184" s="7" t="e">
        <f t="shared" si="72"/>
        <v>#N/A</v>
      </c>
      <c r="AM184" s="7" t="e">
        <f t="shared" si="73"/>
        <v>#N/A</v>
      </c>
      <c r="AN184" s="472" t="e">
        <f>VLOOKUP(AI184,'排出係数(2017)'!$A$4:$I$1151,7,FALSE)</f>
        <v>#N/A</v>
      </c>
      <c r="AO184" s="7" t="e">
        <f t="shared" si="74"/>
        <v>#N/A</v>
      </c>
      <c r="AP184" s="7" t="e">
        <f t="shared" si="75"/>
        <v>#N/A</v>
      </c>
      <c r="AQ184" s="7" t="e">
        <f t="shared" si="86"/>
        <v>#N/A</v>
      </c>
      <c r="AR184" s="7">
        <f t="shared" si="76"/>
        <v>0</v>
      </c>
      <c r="AS184" s="7" t="e">
        <f t="shared" si="87"/>
        <v>#N/A</v>
      </c>
      <c r="AT184" s="7" t="str">
        <f t="shared" si="77"/>
        <v/>
      </c>
      <c r="AU184" s="7" t="str">
        <f t="shared" si="78"/>
        <v/>
      </c>
      <c r="AV184" s="7" t="str">
        <f t="shared" si="79"/>
        <v/>
      </c>
      <c r="AW184" s="7" t="str">
        <f t="shared" si="80"/>
        <v/>
      </c>
      <c r="AX184" s="97"/>
      <c r="BD184" s="453" t="s">
        <v>56</v>
      </c>
      <c r="CG184"/>
      <c r="CH184"/>
      <c r="CK184" s="592" t="str">
        <f t="shared" si="88"/>
        <v/>
      </c>
      <c r="CL184" s="421" t="str">
        <f t="shared" si="89"/>
        <v/>
      </c>
      <c r="CM184" s="594"/>
      <c r="CN184" s="594"/>
      <c r="CO184" s="594"/>
      <c r="CP184" s="594"/>
      <c r="CQ184" s="594"/>
      <c r="CR184" s="594"/>
    </row>
    <row r="185" spans="1:96" s="13" customFormat="1" ht="13.75" customHeight="1">
      <c r="A185" s="137">
        <v>170</v>
      </c>
      <c r="B185" s="138"/>
      <c r="C185" s="139"/>
      <c r="D185" s="140"/>
      <c r="E185" s="139"/>
      <c r="F185" s="139"/>
      <c r="G185" s="191"/>
      <c r="H185" s="139"/>
      <c r="I185" s="141"/>
      <c r="J185" s="142"/>
      <c r="K185" s="139"/>
      <c r="L185" s="147"/>
      <c r="M185" s="148"/>
      <c r="N185" s="139"/>
      <c r="O185" s="589"/>
      <c r="P185" s="229" t="str">
        <f t="shared" si="81"/>
        <v/>
      </c>
      <c r="Q185" s="229" t="str">
        <f t="shared" si="82"/>
        <v/>
      </c>
      <c r="R185" s="230" t="str">
        <f t="shared" si="83"/>
        <v/>
      </c>
      <c r="S185" s="230" t="str">
        <f t="shared" si="84"/>
        <v/>
      </c>
      <c r="T185" s="351"/>
      <c r="U185" s="43"/>
      <c r="V185" s="42" t="str">
        <f t="shared" si="60"/>
        <v/>
      </c>
      <c r="W185" s="42" t="e">
        <f>IF(#REF!="","",#REF!)</f>
        <v>#REF!</v>
      </c>
      <c r="X185" s="31" t="str">
        <f t="shared" si="61"/>
        <v/>
      </c>
      <c r="Y185" s="7" t="e">
        <f t="shared" si="62"/>
        <v>#N/A</v>
      </c>
      <c r="Z185" s="7" t="e">
        <f t="shared" si="63"/>
        <v>#N/A</v>
      </c>
      <c r="AA185" s="7" t="e">
        <f t="shared" si="64"/>
        <v>#N/A</v>
      </c>
      <c r="AB185" s="7" t="str">
        <f t="shared" si="65"/>
        <v/>
      </c>
      <c r="AC185" s="11">
        <f t="shared" si="66"/>
        <v>1</v>
      </c>
      <c r="AD185" s="7" t="e">
        <f t="shared" si="67"/>
        <v>#N/A</v>
      </c>
      <c r="AE185" s="7" t="e">
        <f t="shared" si="68"/>
        <v>#N/A</v>
      </c>
      <c r="AF185" s="7" t="e">
        <f t="shared" si="69"/>
        <v>#N/A</v>
      </c>
      <c r="AG185" s="472" t="e">
        <f>VLOOKUP(AI185,'排出係数(2017)'!$A$4:$I$1151,9,FALSE)</f>
        <v>#N/A</v>
      </c>
      <c r="AH185" s="12" t="str">
        <f t="shared" si="70"/>
        <v xml:space="preserve"> </v>
      </c>
      <c r="AI185" s="7" t="e">
        <f t="shared" si="85"/>
        <v>#N/A</v>
      </c>
      <c r="AJ185" s="7" t="e">
        <f t="shared" si="71"/>
        <v>#N/A</v>
      </c>
      <c r="AK185" s="472" t="e">
        <f>VLOOKUP(AI185,'排出係数(2017)'!$A$4:$I$1151,6,FALSE)</f>
        <v>#N/A</v>
      </c>
      <c r="AL185" s="7" t="e">
        <f t="shared" si="72"/>
        <v>#N/A</v>
      </c>
      <c r="AM185" s="7" t="e">
        <f t="shared" si="73"/>
        <v>#N/A</v>
      </c>
      <c r="AN185" s="472" t="e">
        <f>VLOOKUP(AI185,'排出係数(2017)'!$A$4:$I$1151,7,FALSE)</f>
        <v>#N/A</v>
      </c>
      <c r="AO185" s="7" t="e">
        <f t="shared" si="74"/>
        <v>#N/A</v>
      </c>
      <c r="AP185" s="7" t="e">
        <f t="shared" si="75"/>
        <v>#N/A</v>
      </c>
      <c r="AQ185" s="7" t="e">
        <f t="shared" si="86"/>
        <v>#N/A</v>
      </c>
      <c r="AR185" s="7">
        <f t="shared" si="76"/>
        <v>0</v>
      </c>
      <c r="AS185" s="7" t="e">
        <f t="shared" si="87"/>
        <v>#N/A</v>
      </c>
      <c r="AT185" s="7" t="str">
        <f t="shared" si="77"/>
        <v/>
      </c>
      <c r="AU185" s="7" t="str">
        <f t="shared" si="78"/>
        <v/>
      </c>
      <c r="AV185" s="7" t="str">
        <f t="shared" si="79"/>
        <v/>
      </c>
      <c r="AW185" s="7" t="str">
        <f t="shared" si="80"/>
        <v/>
      </c>
      <c r="AX185" s="97"/>
      <c r="BD185" s="467" t="s">
        <v>57</v>
      </c>
      <c r="CG185"/>
      <c r="CH185"/>
      <c r="CK185" s="592" t="str">
        <f t="shared" si="88"/>
        <v/>
      </c>
      <c r="CL185" s="421" t="str">
        <f t="shared" si="89"/>
        <v/>
      </c>
      <c r="CM185" s="594"/>
      <c r="CN185" s="594"/>
      <c r="CO185" s="594"/>
      <c r="CP185" s="594"/>
      <c r="CQ185" s="594"/>
      <c r="CR185" s="594"/>
    </row>
    <row r="186" spans="1:96" s="13" customFormat="1" ht="13.75" customHeight="1">
      <c r="A186" s="137">
        <v>171</v>
      </c>
      <c r="B186" s="138"/>
      <c r="C186" s="139"/>
      <c r="D186" s="140"/>
      <c r="E186" s="139"/>
      <c r="F186" s="139"/>
      <c r="G186" s="191"/>
      <c r="H186" s="139"/>
      <c r="I186" s="141"/>
      <c r="J186" s="142"/>
      <c r="K186" s="139"/>
      <c r="L186" s="147"/>
      <c r="M186" s="148"/>
      <c r="N186" s="139"/>
      <c r="O186" s="589"/>
      <c r="P186" s="229" t="str">
        <f t="shared" si="81"/>
        <v/>
      </c>
      <c r="Q186" s="229" t="str">
        <f t="shared" si="82"/>
        <v/>
      </c>
      <c r="R186" s="230" t="str">
        <f t="shared" si="83"/>
        <v/>
      </c>
      <c r="S186" s="230" t="str">
        <f t="shared" si="84"/>
        <v/>
      </c>
      <c r="T186" s="351"/>
      <c r="U186" s="43"/>
      <c r="V186" s="42" t="str">
        <f t="shared" si="60"/>
        <v/>
      </c>
      <c r="W186" s="42" t="e">
        <f>IF(#REF!="","",#REF!)</f>
        <v>#REF!</v>
      </c>
      <c r="X186" s="31" t="str">
        <f t="shared" si="61"/>
        <v/>
      </c>
      <c r="Y186" s="7" t="e">
        <f t="shared" si="62"/>
        <v>#N/A</v>
      </c>
      <c r="Z186" s="7" t="e">
        <f t="shared" si="63"/>
        <v>#N/A</v>
      </c>
      <c r="AA186" s="7" t="e">
        <f t="shared" si="64"/>
        <v>#N/A</v>
      </c>
      <c r="AB186" s="7" t="str">
        <f t="shared" si="65"/>
        <v/>
      </c>
      <c r="AC186" s="11">
        <f t="shared" si="66"/>
        <v>1</v>
      </c>
      <c r="AD186" s="7" t="e">
        <f t="shared" si="67"/>
        <v>#N/A</v>
      </c>
      <c r="AE186" s="7" t="e">
        <f t="shared" si="68"/>
        <v>#N/A</v>
      </c>
      <c r="AF186" s="7" t="e">
        <f t="shared" si="69"/>
        <v>#N/A</v>
      </c>
      <c r="AG186" s="472" t="e">
        <f>VLOOKUP(AI186,'排出係数(2017)'!$A$4:$I$1151,9,FALSE)</f>
        <v>#N/A</v>
      </c>
      <c r="AH186" s="12" t="str">
        <f t="shared" si="70"/>
        <v xml:space="preserve"> </v>
      </c>
      <c r="AI186" s="7" t="e">
        <f t="shared" si="85"/>
        <v>#N/A</v>
      </c>
      <c r="AJ186" s="7" t="e">
        <f t="shared" si="71"/>
        <v>#N/A</v>
      </c>
      <c r="AK186" s="472" t="e">
        <f>VLOOKUP(AI186,'排出係数(2017)'!$A$4:$I$1151,6,FALSE)</f>
        <v>#N/A</v>
      </c>
      <c r="AL186" s="7" t="e">
        <f t="shared" si="72"/>
        <v>#N/A</v>
      </c>
      <c r="AM186" s="7" t="e">
        <f t="shared" si="73"/>
        <v>#N/A</v>
      </c>
      <c r="AN186" s="472" t="e">
        <f>VLOOKUP(AI186,'排出係数(2017)'!$A$4:$I$1151,7,FALSE)</f>
        <v>#N/A</v>
      </c>
      <c r="AO186" s="7" t="e">
        <f t="shared" si="74"/>
        <v>#N/A</v>
      </c>
      <c r="AP186" s="7" t="e">
        <f t="shared" si="75"/>
        <v>#N/A</v>
      </c>
      <c r="AQ186" s="7" t="e">
        <f t="shared" si="86"/>
        <v>#N/A</v>
      </c>
      <c r="AR186" s="7">
        <f t="shared" si="76"/>
        <v>0</v>
      </c>
      <c r="AS186" s="7" t="e">
        <f t="shared" si="87"/>
        <v>#N/A</v>
      </c>
      <c r="AT186" s="7" t="str">
        <f t="shared" si="77"/>
        <v/>
      </c>
      <c r="AU186" s="7" t="str">
        <f t="shared" si="78"/>
        <v/>
      </c>
      <c r="AV186" s="7" t="str">
        <f t="shared" si="79"/>
        <v/>
      </c>
      <c r="AW186" s="7" t="str">
        <f t="shared" si="80"/>
        <v/>
      </c>
      <c r="AX186" s="97"/>
      <c r="BD186" s="473" t="s">
        <v>58</v>
      </c>
      <c r="CG186"/>
      <c r="CH186"/>
      <c r="CK186" s="592" t="str">
        <f t="shared" si="88"/>
        <v/>
      </c>
      <c r="CL186" s="421" t="str">
        <f t="shared" si="89"/>
        <v/>
      </c>
      <c r="CM186" s="594"/>
      <c r="CN186" s="594"/>
      <c r="CO186" s="594"/>
      <c r="CP186" s="594"/>
      <c r="CQ186" s="594"/>
      <c r="CR186" s="594"/>
    </row>
    <row r="187" spans="1:96" s="13" customFormat="1" ht="13.75" customHeight="1">
      <c r="A187" s="137">
        <v>172</v>
      </c>
      <c r="B187" s="138"/>
      <c r="C187" s="139"/>
      <c r="D187" s="140"/>
      <c r="E187" s="139"/>
      <c r="F187" s="139"/>
      <c r="G187" s="191"/>
      <c r="H187" s="139"/>
      <c r="I187" s="141"/>
      <c r="J187" s="142"/>
      <c r="K187" s="139"/>
      <c r="L187" s="147"/>
      <c r="M187" s="148"/>
      <c r="N187" s="139"/>
      <c r="O187" s="589"/>
      <c r="P187" s="229" t="str">
        <f t="shared" si="81"/>
        <v/>
      </c>
      <c r="Q187" s="229" t="str">
        <f t="shared" si="82"/>
        <v/>
      </c>
      <c r="R187" s="230" t="str">
        <f t="shared" si="83"/>
        <v/>
      </c>
      <c r="S187" s="230" t="str">
        <f t="shared" si="84"/>
        <v/>
      </c>
      <c r="T187" s="351"/>
      <c r="U187" s="43"/>
      <c r="V187" s="42" t="str">
        <f t="shared" si="60"/>
        <v/>
      </c>
      <c r="W187" s="42" t="e">
        <f>IF(#REF!="","",#REF!)</f>
        <v>#REF!</v>
      </c>
      <c r="X187" s="31" t="str">
        <f t="shared" si="61"/>
        <v/>
      </c>
      <c r="Y187" s="7" t="e">
        <f t="shared" si="62"/>
        <v>#N/A</v>
      </c>
      <c r="Z187" s="7" t="e">
        <f t="shared" si="63"/>
        <v>#N/A</v>
      </c>
      <c r="AA187" s="7" t="e">
        <f t="shared" si="64"/>
        <v>#N/A</v>
      </c>
      <c r="AB187" s="7" t="str">
        <f t="shared" si="65"/>
        <v/>
      </c>
      <c r="AC187" s="11">
        <f t="shared" si="66"/>
        <v>1</v>
      </c>
      <c r="AD187" s="7" t="e">
        <f t="shared" si="67"/>
        <v>#N/A</v>
      </c>
      <c r="AE187" s="7" t="e">
        <f t="shared" si="68"/>
        <v>#N/A</v>
      </c>
      <c r="AF187" s="7" t="e">
        <f t="shared" si="69"/>
        <v>#N/A</v>
      </c>
      <c r="AG187" s="472" t="e">
        <f>VLOOKUP(AI187,'排出係数(2017)'!$A$4:$I$1151,9,FALSE)</f>
        <v>#N/A</v>
      </c>
      <c r="AH187" s="12" t="str">
        <f t="shared" si="70"/>
        <v xml:space="preserve"> </v>
      </c>
      <c r="AI187" s="7" t="e">
        <f t="shared" si="85"/>
        <v>#N/A</v>
      </c>
      <c r="AJ187" s="7" t="e">
        <f t="shared" si="71"/>
        <v>#N/A</v>
      </c>
      <c r="AK187" s="472" t="e">
        <f>VLOOKUP(AI187,'排出係数(2017)'!$A$4:$I$1151,6,FALSE)</f>
        <v>#N/A</v>
      </c>
      <c r="AL187" s="7" t="e">
        <f t="shared" si="72"/>
        <v>#N/A</v>
      </c>
      <c r="AM187" s="7" t="e">
        <f t="shared" si="73"/>
        <v>#N/A</v>
      </c>
      <c r="AN187" s="472" t="e">
        <f>VLOOKUP(AI187,'排出係数(2017)'!$A$4:$I$1151,7,FALSE)</f>
        <v>#N/A</v>
      </c>
      <c r="AO187" s="7" t="e">
        <f t="shared" si="74"/>
        <v>#N/A</v>
      </c>
      <c r="AP187" s="7" t="e">
        <f t="shared" si="75"/>
        <v>#N/A</v>
      </c>
      <c r="AQ187" s="7" t="e">
        <f t="shared" si="86"/>
        <v>#N/A</v>
      </c>
      <c r="AR187" s="7">
        <f t="shared" si="76"/>
        <v>0</v>
      </c>
      <c r="AS187" s="7" t="e">
        <f t="shared" si="87"/>
        <v>#N/A</v>
      </c>
      <c r="AT187" s="7" t="str">
        <f t="shared" si="77"/>
        <v/>
      </c>
      <c r="AU187" s="7" t="str">
        <f t="shared" si="78"/>
        <v/>
      </c>
      <c r="AV187" s="7" t="str">
        <f t="shared" si="79"/>
        <v/>
      </c>
      <c r="AW187" s="7" t="str">
        <f t="shared" si="80"/>
        <v/>
      </c>
      <c r="AX187" s="97"/>
      <c r="BD187" s="453" t="s">
        <v>2460</v>
      </c>
      <c r="CG187"/>
      <c r="CH187"/>
      <c r="CK187" s="592" t="str">
        <f t="shared" si="88"/>
        <v/>
      </c>
      <c r="CL187" s="421" t="str">
        <f t="shared" si="89"/>
        <v/>
      </c>
      <c r="CM187" s="594"/>
      <c r="CN187" s="594"/>
      <c r="CO187" s="594"/>
      <c r="CP187" s="594"/>
      <c r="CQ187" s="594"/>
      <c r="CR187" s="594"/>
    </row>
    <row r="188" spans="1:96" s="13" customFormat="1" ht="13.75" customHeight="1">
      <c r="A188" s="137">
        <v>173</v>
      </c>
      <c r="B188" s="138"/>
      <c r="C188" s="139"/>
      <c r="D188" s="140"/>
      <c r="E188" s="139"/>
      <c r="F188" s="139"/>
      <c r="G188" s="191"/>
      <c r="H188" s="139"/>
      <c r="I188" s="141"/>
      <c r="J188" s="142"/>
      <c r="K188" s="139"/>
      <c r="L188" s="147"/>
      <c r="M188" s="148"/>
      <c r="N188" s="139"/>
      <c r="O188" s="589"/>
      <c r="P188" s="229" t="str">
        <f t="shared" si="81"/>
        <v/>
      </c>
      <c r="Q188" s="229" t="str">
        <f t="shared" si="82"/>
        <v/>
      </c>
      <c r="R188" s="230" t="str">
        <f t="shared" si="83"/>
        <v/>
      </c>
      <c r="S188" s="230" t="str">
        <f t="shared" si="84"/>
        <v/>
      </c>
      <c r="T188" s="351"/>
      <c r="U188" s="43"/>
      <c r="V188" s="42" t="str">
        <f t="shared" si="60"/>
        <v/>
      </c>
      <c r="W188" s="42" t="e">
        <f>IF(#REF!="","",#REF!)</f>
        <v>#REF!</v>
      </c>
      <c r="X188" s="31" t="str">
        <f t="shared" si="61"/>
        <v/>
      </c>
      <c r="Y188" s="7" t="e">
        <f t="shared" si="62"/>
        <v>#N/A</v>
      </c>
      <c r="Z188" s="7" t="e">
        <f t="shared" si="63"/>
        <v>#N/A</v>
      </c>
      <c r="AA188" s="7" t="e">
        <f t="shared" si="64"/>
        <v>#N/A</v>
      </c>
      <c r="AB188" s="7" t="str">
        <f t="shared" si="65"/>
        <v/>
      </c>
      <c r="AC188" s="11">
        <f t="shared" si="66"/>
        <v>1</v>
      </c>
      <c r="AD188" s="7" t="e">
        <f t="shared" si="67"/>
        <v>#N/A</v>
      </c>
      <c r="AE188" s="7" t="e">
        <f t="shared" si="68"/>
        <v>#N/A</v>
      </c>
      <c r="AF188" s="7" t="e">
        <f t="shared" si="69"/>
        <v>#N/A</v>
      </c>
      <c r="AG188" s="472" t="e">
        <f>VLOOKUP(AI188,'排出係数(2017)'!$A$4:$I$1151,9,FALSE)</f>
        <v>#N/A</v>
      </c>
      <c r="AH188" s="12" t="str">
        <f t="shared" si="70"/>
        <v xml:space="preserve"> </v>
      </c>
      <c r="AI188" s="7" t="e">
        <f t="shared" si="85"/>
        <v>#N/A</v>
      </c>
      <c r="AJ188" s="7" t="e">
        <f t="shared" si="71"/>
        <v>#N/A</v>
      </c>
      <c r="AK188" s="472" t="e">
        <f>VLOOKUP(AI188,'排出係数(2017)'!$A$4:$I$1151,6,FALSE)</f>
        <v>#N/A</v>
      </c>
      <c r="AL188" s="7" t="e">
        <f t="shared" si="72"/>
        <v>#N/A</v>
      </c>
      <c r="AM188" s="7" t="e">
        <f t="shared" si="73"/>
        <v>#N/A</v>
      </c>
      <c r="AN188" s="472" t="e">
        <f>VLOOKUP(AI188,'排出係数(2017)'!$A$4:$I$1151,7,FALSE)</f>
        <v>#N/A</v>
      </c>
      <c r="AO188" s="7" t="e">
        <f t="shared" si="74"/>
        <v>#N/A</v>
      </c>
      <c r="AP188" s="7" t="e">
        <f t="shared" si="75"/>
        <v>#N/A</v>
      </c>
      <c r="AQ188" s="7" t="e">
        <f t="shared" si="86"/>
        <v>#N/A</v>
      </c>
      <c r="AR188" s="7">
        <f t="shared" si="76"/>
        <v>0</v>
      </c>
      <c r="AS188" s="7" t="e">
        <f t="shared" si="87"/>
        <v>#N/A</v>
      </c>
      <c r="AT188" s="7" t="str">
        <f t="shared" si="77"/>
        <v/>
      </c>
      <c r="AU188" s="7" t="str">
        <f t="shared" si="78"/>
        <v/>
      </c>
      <c r="AV188" s="7" t="str">
        <f t="shared" si="79"/>
        <v/>
      </c>
      <c r="AW188" s="7" t="str">
        <f t="shared" si="80"/>
        <v/>
      </c>
      <c r="AX188" s="97"/>
      <c r="BD188" s="453" t="s">
        <v>105</v>
      </c>
      <c r="CG188"/>
      <c r="CH188"/>
      <c r="CK188" s="592" t="str">
        <f t="shared" si="88"/>
        <v/>
      </c>
      <c r="CL188" s="421" t="str">
        <f t="shared" si="89"/>
        <v/>
      </c>
      <c r="CM188" s="594"/>
      <c r="CN188" s="594"/>
      <c r="CO188" s="594"/>
      <c r="CP188" s="594"/>
      <c r="CQ188" s="594"/>
      <c r="CR188" s="594"/>
    </row>
    <row r="189" spans="1:96" s="13" customFormat="1" ht="13.75" customHeight="1">
      <c r="A189" s="137">
        <v>174</v>
      </c>
      <c r="B189" s="138"/>
      <c r="C189" s="139"/>
      <c r="D189" s="140"/>
      <c r="E189" s="139"/>
      <c r="F189" s="139"/>
      <c r="G189" s="191"/>
      <c r="H189" s="139"/>
      <c r="I189" s="141"/>
      <c r="J189" s="142"/>
      <c r="K189" s="139"/>
      <c r="L189" s="147"/>
      <c r="M189" s="148"/>
      <c r="N189" s="139"/>
      <c r="O189" s="589"/>
      <c r="P189" s="229" t="str">
        <f t="shared" si="81"/>
        <v/>
      </c>
      <c r="Q189" s="229" t="str">
        <f t="shared" si="82"/>
        <v/>
      </c>
      <c r="R189" s="230" t="str">
        <f t="shared" si="83"/>
        <v/>
      </c>
      <c r="S189" s="230" t="str">
        <f t="shared" si="84"/>
        <v/>
      </c>
      <c r="T189" s="351"/>
      <c r="U189" s="43"/>
      <c r="V189" s="42" t="str">
        <f t="shared" si="60"/>
        <v/>
      </c>
      <c r="W189" s="42" t="e">
        <f>IF(#REF!="","",#REF!)</f>
        <v>#REF!</v>
      </c>
      <c r="X189" s="31" t="str">
        <f t="shared" si="61"/>
        <v/>
      </c>
      <c r="Y189" s="7" t="e">
        <f t="shared" si="62"/>
        <v>#N/A</v>
      </c>
      <c r="Z189" s="7" t="e">
        <f t="shared" si="63"/>
        <v>#N/A</v>
      </c>
      <c r="AA189" s="7" t="e">
        <f t="shared" si="64"/>
        <v>#N/A</v>
      </c>
      <c r="AB189" s="7" t="str">
        <f t="shared" si="65"/>
        <v/>
      </c>
      <c r="AC189" s="11">
        <f t="shared" si="66"/>
        <v>1</v>
      </c>
      <c r="AD189" s="7" t="e">
        <f t="shared" si="67"/>
        <v>#N/A</v>
      </c>
      <c r="AE189" s="7" t="e">
        <f t="shared" si="68"/>
        <v>#N/A</v>
      </c>
      <c r="AF189" s="7" t="e">
        <f t="shared" si="69"/>
        <v>#N/A</v>
      </c>
      <c r="AG189" s="472" t="e">
        <f>VLOOKUP(AI189,'排出係数(2017)'!$A$4:$I$1151,9,FALSE)</f>
        <v>#N/A</v>
      </c>
      <c r="AH189" s="12" t="str">
        <f t="shared" si="70"/>
        <v xml:space="preserve"> </v>
      </c>
      <c r="AI189" s="7" t="e">
        <f t="shared" si="85"/>
        <v>#N/A</v>
      </c>
      <c r="AJ189" s="7" t="e">
        <f t="shared" si="71"/>
        <v>#N/A</v>
      </c>
      <c r="AK189" s="472" t="e">
        <f>VLOOKUP(AI189,'排出係数(2017)'!$A$4:$I$1151,6,FALSE)</f>
        <v>#N/A</v>
      </c>
      <c r="AL189" s="7" t="e">
        <f t="shared" si="72"/>
        <v>#N/A</v>
      </c>
      <c r="AM189" s="7" t="e">
        <f t="shared" si="73"/>
        <v>#N/A</v>
      </c>
      <c r="AN189" s="472" t="e">
        <f>VLOOKUP(AI189,'排出係数(2017)'!$A$4:$I$1151,7,FALSE)</f>
        <v>#N/A</v>
      </c>
      <c r="AO189" s="7" t="e">
        <f t="shared" si="74"/>
        <v>#N/A</v>
      </c>
      <c r="AP189" s="7" t="e">
        <f t="shared" si="75"/>
        <v>#N/A</v>
      </c>
      <c r="AQ189" s="7" t="e">
        <f t="shared" si="86"/>
        <v>#N/A</v>
      </c>
      <c r="AR189" s="7">
        <f t="shared" si="76"/>
        <v>0</v>
      </c>
      <c r="AS189" s="7" t="e">
        <f t="shared" si="87"/>
        <v>#N/A</v>
      </c>
      <c r="AT189" s="7" t="str">
        <f t="shared" si="77"/>
        <v/>
      </c>
      <c r="AU189" s="7" t="str">
        <f t="shared" si="78"/>
        <v/>
      </c>
      <c r="AV189" s="7" t="str">
        <f t="shared" si="79"/>
        <v/>
      </c>
      <c r="AW189" s="7" t="str">
        <f t="shared" si="80"/>
        <v/>
      </c>
      <c r="AX189" s="97"/>
      <c r="BD189" s="453" t="s">
        <v>106</v>
      </c>
      <c r="CG189"/>
      <c r="CH189"/>
      <c r="CK189" s="592" t="str">
        <f t="shared" si="88"/>
        <v/>
      </c>
      <c r="CL189" s="421" t="str">
        <f t="shared" si="89"/>
        <v/>
      </c>
      <c r="CM189" s="594"/>
      <c r="CN189" s="594"/>
      <c r="CO189" s="594"/>
      <c r="CP189" s="594"/>
      <c r="CQ189" s="594"/>
      <c r="CR189" s="594"/>
    </row>
    <row r="190" spans="1:96" s="13" customFormat="1" ht="13.75" customHeight="1">
      <c r="A190" s="137">
        <v>175</v>
      </c>
      <c r="B190" s="138"/>
      <c r="C190" s="139"/>
      <c r="D190" s="140"/>
      <c r="E190" s="139"/>
      <c r="F190" s="139"/>
      <c r="G190" s="191"/>
      <c r="H190" s="139"/>
      <c r="I190" s="141"/>
      <c r="J190" s="142"/>
      <c r="K190" s="139"/>
      <c r="L190" s="147"/>
      <c r="M190" s="148"/>
      <c r="N190" s="139"/>
      <c r="O190" s="589"/>
      <c r="P190" s="229" t="str">
        <f t="shared" si="81"/>
        <v/>
      </c>
      <c r="Q190" s="229" t="str">
        <f t="shared" si="82"/>
        <v/>
      </c>
      <c r="R190" s="230" t="str">
        <f t="shared" si="83"/>
        <v/>
      </c>
      <c r="S190" s="230" t="str">
        <f t="shared" si="84"/>
        <v/>
      </c>
      <c r="T190" s="351"/>
      <c r="U190" s="43"/>
      <c r="V190" s="42" t="str">
        <f t="shared" si="60"/>
        <v/>
      </c>
      <c r="W190" s="42" t="e">
        <f>IF(#REF!="","",#REF!)</f>
        <v>#REF!</v>
      </c>
      <c r="X190" s="31" t="str">
        <f t="shared" si="61"/>
        <v/>
      </c>
      <c r="Y190" s="7" t="e">
        <f t="shared" si="62"/>
        <v>#N/A</v>
      </c>
      <c r="Z190" s="7" t="e">
        <f t="shared" si="63"/>
        <v>#N/A</v>
      </c>
      <c r="AA190" s="7" t="e">
        <f t="shared" si="64"/>
        <v>#N/A</v>
      </c>
      <c r="AB190" s="7" t="str">
        <f t="shared" si="65"/>
        <v/>
      </c>
      <c r="AC190" s="11">
        <f t="shared" si="66"/>
        <v>1</v>
      </c>
      <c r="AD190" s="7" t="e">
        <f t="shared" si="67"/>
        <v>#N/A</v>
      </c>
      <c r="AE190" s="7" t="e">
        <f t="shared" si="68"/>
        <v>#N/A</v>
      </c>
      <c r="AF190" s="7" t="e">
        <f t="shared" si="69"/>
        <v>#N/A</v>
      </c>
      <c r="AG190" s="472" t="e">
        <f>VLOOKUP(AI190,'排出係数(2017)'!$A$4:$I$1151,9,FALSE)</f>
        <v>#N/A</v>
      </c>
      <c r="AH190" s="12" t="str">
        <f t="shared" si="70"/>
        <v xml:space="preserve"> </v>
      </c>
      <c r="AI190" s="7" t="e">
        <f t="shared" si="85"/>
        <v>#N/A</v>
      </c>
      <c r="AJ190" s="7" t="e">
        <f t="shared" si="71"/>
        <v>#N/A</v>
      </c>
      <c r="AK190" s="472" t="e">
        <f>VLOOKUP(AI190,'排出係数(2017)'!$A$4:$I$1151,6,FALSE)</f>
        <v>#N/A</v>
      </c>
      <c r="AL190" s="7" t="e">
        <f t="shared" si="72"/>
        <v>#N/A</v>
      </c>
      <c r="AM190" s="7" t="e">
        <f t="shared" si="73"/>
        <v>#N/A</v>
      </c>
      <c r="AN190" s="472" t="e">
        <f>VLOOKUP(AI190,'排出係数(2017)'!$A$4:$I$1151,7,FALSE)</f>
        <v>#N/A</v>
      </c>
      <c r="AO190" s="7" t="e">
        <f t="shared" si="74"/>
        <v>#N/A</v>
      </c>
      <c r="AP190" s="7" t="e">
        <f t="shared" si="75"/>
        <v>#N/A</v>
      </c>
      <c r="AQ190" s="7" t="e">
        <f t="shared" si="86"/>
        <v>#N/A</v>
      </c>
      <c r="AR190" s="7">
        <f t="shared" si="76"/>
        <v>0</v>
      </c>
      <c r="AS190" s="7" t="e">
        <f t="shared" si="87"/>
        <v>#N/A</v>
      </c>
      <c r="AT190" s="7" t="str">
        <f t="shared" si="77"/>
        <v/>
      </c>
      <c r="AU190" s="7" t="str">
        <f t="shared" si="78"/>
        <v/>
      </c>
      <c r="AV190" s="7" t="str">
        <f t="shared" si="79"/>
        <v/>
      </c>
      <c r="AW190" s="7" t="str">
        <f t="shared" si="80"/>
        <v/>
      </c>
      <c r="AX190" s="97"/>
      <c r="BD190" s="453" t="s">
        <v>107</v>
      </c>
      <c r="CG190"/>
      <c r="CH190"/>
      <c r="CK190" s="592" t="str">
        <f t="shared" si="88"/>
        <v/>
      </c>
      <c r="CL190" s="421" t="str">
        <f t="shared" si="89"/>
        <v/>
      </c>
      <c r="CM190" s="594"/>
      <c r="CN190" s="594"/>
      <c r="CO190" s="594"/>
      <c r="CP190" s="594"/>
      <c r="CQ190" s="594"/>
      <c r="CR190" s="594"/>
    </row>
    <row r="191" spans="1:96" s="13" customFormat="1" ht="13.75" customHeight="1">
      <c r="A191" s="137">
        <v>176</v>
      </c>
      <c r="B191" s="138"/>
      <c r="C191" s="139"/>
      <c r="D191" s="140"/>
      <c r="E191" s="139"/>
      <c r="F191" s="139"/>
      <c r="G191" s="191"/>
      <c r="H191" s="139"/>
      <c r="I191" s="141"/>
      <c r="J191" s="142"/>
      <c r="K191" s="139"/>
      <c r="L191" s="147"/>
      <c r="M191" s="148"/>
      <c r="N191" s="139"/>
      <c r="O191" s="589"/>
      <c r="P191" s="229" t="str">
        <f t="shared" si="81"/>
        <v/>
      </c>
      <c r="Q191" s="229" t="str">
        <f t="shared" si="82"/>
        <v/>
      </c>
      <c r="R191" s="230" t="str">
        <f t="shared" si="83"/>
        <v/>
      </c>
      <c r="S191" s="230" t="str">
        <f t="shared" si="84"/>
        <v/>
      </c>
      <c r="T191" s="351"/>
      <c r="U191" s="43"/>
      <c r="V191" s="42" t="str">
        <f t="shared" si="60"/>
        <v/>
      </c>
      <c r="W191" s="42" t="e">
        <f>IF(#REF!="","",#REF!)</f>
        <v>#REF!</v>
      </c>
      <c r="X191" s="31" t="str">
        <f t="shared" si="61"/>
        <v/>
      </c>
      <c r="Y191" s="7" t="e">
        <f t="shared" si="62"/>
        <v>#N/A</v>
      </c>
      <c r="Z191" s="7" t="e">
        <f t="shared" si="63"/>
        <v>#N/A</v>
      </c>
      <c r="AA191" s="7" t="e">
        <f t="shared" si="64"/>
        <v>#N/A</v>
      </c>
      <c r="AB191" s="7" t="str">
        <f t="shared" si="65"/>
        <v/>
      </c>
      <c r="AC191" s="11">
        <f t="shared" si="66"/>
        <v>1</v>
      </c>
      <c r="AD191" s="7" t="e">
        <f t="shared" si="67"/>
        <v>#N/A</v>
      </c>
      <c r="AE191" s="7" t="e">
        <f t="shared" si="68"/>
        <v>#N/A</v>
      </c>
      <c r="AF191" s="7" t="e">
        <f t="shared" si="69"/>
        <v>#N/A</v>
      </c>
      <c r="AG191" s="472" t="e">
        <f>VLOOKUP(AI191,'排出係数(2017)'!$A$4:$I$1151,9,FALSE)</f>
        <v>#N/A</v>
      </c>
      <c r="AH191" s="12" t="str">
        <f t="shared" si="70"/>
        <v xml:space="preserve"> </v>
      </c>
      <c r="AI191" s="7" t="e">
        <f t="shared" si="85"/>
        <v>#N/A</v>
      </c>
      <c r="AJ191" s="7" t="e">
        <f t="shared" si="71"/>
        <v>#N/A</v>
      </c>
      <c r="AK191" s="472" t="e">
        <f>VLOOKUP(AI191,'排出係数(2017)'!$A$4:$I$1151,6,FALSE)</f>
        <v>#N/A</v>
      </c>
      <c r="AL191" s="7" t="e">
        <f t="shared" si="72"/>
        <v>#N/A</v>
      </c>
      <c r="AM191" s="7" t="e">
        <f t="shared" si="73"/>
        <v>#N/A</v>
      </c>
      <c r="AN191" s="472" t="e">
        <f>VLOOKUP(AI191,'排出係数(2017)'!$A$4:$I$1151,7,FALSE)</f>
        <v>#N/A</v>
      </c>
      <c r="AO191" s="7" t="e">
        <f t="shared" si="74"/>
        <v>#N/A</v>
      </c>
      <c r="AP191" s="7" t="e">
        <f t="shared" si="75"/>
        <v>#N/A</v>
      </c>
      <c r="AQ191" s="7" t="e">
        <f t="shared" si="86"/>
        <v>#N/A</v>
      </c>
      <c r="AR191" s="7">
        <f t="shared" si="76"/>
        <v>0</v>
      </c>
      <c r="AS191" s="7" t="e">
        <f t="shared" si="87"/>
        <v>#N/A</v>
      </c>
      <c r="AT191" s="7" t="str">
        <f t="shared" si="77"/>
        <v/>
      </c>
      <c r="AU191" s="7" t="str">
        <f t="shared" si="78"/>
        <v/>
      </c>
      <c r="AV191" s="7" t="str">
        <f t="shared" si="79"/>
        <v/>
      </c>
      <c r="AW191" s="7" t="str">
        <f t="shared" si="80"/>
        <v/>
      </c>
      <c r="AX191" s="97"/>
      <c r="BD191" s="453" t="s">
        <v>108</v>
      </c>
      <c r="CG191"/>
      <c r="CH191"/>
      <c r="CK191" s="592" t="str">
        <f t="shared" si="88"/>
        <v/>
      </c>
      <c r="CL191" s="421" t="str">
        <f t="shared" si="89"/>
        <v/>
      </c>
      <c r="CM191" s="594"/>
      <c r="CN191" s="594"/>
      <c r="CO191" s="594"/>
      <c r="CP191" s="594"/>
      <c r="CQ191" s="594"/>
      <c r="CR191" s="594"/>
    </row>
    <row r="192" spans="1:96" s="13" customFormat="1" ht="13.75" customHeight="1">
      <c r="A192" s="137">
        <v>177</v>
      </c>
      <c r="B192" s="138"/>
      <c r="C192" s="139"/>
      <c r="D192" s="140"/>
      <c r="E192" s="139"/>
      <c r="F192" s="139"/>
      <c r="G192" s="191"/>
      <c r="H192" s="139"/>
      <c r="I192" s="141"/>
      <c r="J192" s="142"/>
      <c r="K192" s="139"/>
      <c r="L192" s="147"/>
      <c r="M192" s="148"/>
      <c r="N192" s="139"/>
      <c r="O192" s="589"/>
      <c r="P192" s="229" t="str">
        <f t="shared" si="81"/>
        <v/>
      </c>
      <c r="Q192" s="229" t="str">
        <f t="shared" si="82"/>
        <v/>
      </c>
      <c r="R192" s="230" t="str">
        <f t="shared" si="83"/>
        <v/>
      </c>
      <c r="S192" s="230" t="str">
        <f t="shared" si="84"/>
        <v/>
      </c>
      <c r="T192" s="351"/>
      <c r="U192" s="43"/>
      <c r="V192" s="42" t="str">
        <f t="shared" si="60"/>
        <v/>
      </c>
      <c r="W192" s="42" t="e">
        <f>IF(#REF!="","",#REF!)</f>
        <v>#REF!</v>
      </c>
      <c r="X192" s="31" t="str">
        <f t="shared" si="61"/>
        <v/>
      </c>
      <c r="Y192" s="7" t="e">
        <f t="shared" si="62"/>
        <v>#N/A</v>
      </c>
      <c r="Z192" s="7" t="e">
        <f t="shared" si="63"/>
        <v>#N/A</v>
      </c>
      <c r="AA192" s="7" t="e">
        <f t="shared" si="64"/>
        <v>#N/A</v>
      </c>
      <c r="AB192" s="7" t="str">
        <f t="shared" si="65"/>
        <v/>
      </c>
      <c r="AC192" s="11">
        <f t="shared" si="66"/>
        <v>1</v>
      </c>
      <c r="AD192" s="7" t="e">
        <f t="shared" si="67"/>
        <v>#N/A</v>
      </c>
      <c r="AE192" s="7" t="e">
        <f t="shared" si="68"/>
        <v>#N/A</v>
      </c>
      <c r="AF192" s="7" t="e">
        <f t="shared" si="69"/>
        <v>#N/A</v>
      </c>
      <c r="AG192" s="472" t="e">
        <f>VLOOKUP(AI192,'排出係数(2017)'!$A$4:$I$1151,9,FALSE)</f>
        <v>#N/A</v>
      </c>
      <c r="AH192" s="12" t="str">
        <f t="shared" si="70"/>
        <v xml:space="preserve"> </v>
      </c>
      <c r="AI192" s="7" t="e">
        <f t="shared" si="85"/>
        <v>#N/A</v>
      </c>
      <c r="AJ192" s="7" t="e">
        <f t="shared" si="71"/>
        <v>#N/A</v>
      </c>
      <c r="AK192" s="472" t="e">
        <f>VLOOKUP(AI192,'排出係数(2017)'!$A$4:$I$1151,6,FALSE)</f>
        <v>#N/A</v>
      </c>
      <c r="AL192" s="7" t="e">
        <f t="shared" si="72"/>
        <v>#N/A</v>
      </c>
      <c r="AM192" s="7" t="e">
        <f t="shared" si="73"/>
        <v>#N/A</v>
      </c>
      <c r="AN192" s="472" t="e">
        <f>VLOOKUP(AI192,'排出係数(2017)'!$A$4:$I$1151,7,FALSE)</f>
        <v>#N/A</v>
      </c>
      <c r="AO192" s="7" t="e">
        <f t="shared" si="74"/>
        <v>#N/A</v>
      </c>
      <c r="AP192" s="7" t="e">
        <f t="shared" si="75"/>
        <v>#N/A</v>
      </c>
      <c r="AQ192" s="7" t="e">
        <f t="shared" si="86"/>
        <v>#N/A</v>
      </c>
      <c r="AR192" s="7">
        <f t="shared" si="76"/>
        <v>0</v>
      </c>
      <c r="AS192" s="7" t="e">
        <f t="shared" si="87"/>
        <v>#N/A</v>
      </c>
      <c r="AT192" s="7" t="str">
        <f t="shared" si="77"/>
        <v/>
      </c>
      <c r="AU192" s="7" t="str">
        <f t="shared" si="78"/>
        <v/>
      </c>
      <c r="AV192" s="7" t="str">
        <f t="shared" si="79"/>
        <v/>
      </c>
      <c r="AW192" s="7" t="str">
        <f t="shared" si="80"/>
        <v/>
      </c>
      <c r="AX192" s="97"/>
      <c r="BD192" s="453" t="s">
        <v>109</v>
      </c>
      <c r="CG192"/>
      <c r="CH192"/>
      <c r="CK192" s="592" t="str">
        <f t="shared" si="88"/>
        <v/>
      </c>
      <c r="CL192" s="421" t="str">
        <f t="shared" si="89"/>
        <v/>
      </c>
      <c r="CM192" s="594"/>
      <c r="CN192" s="594"/>
      <c r="CO192" s="594"/>
      <c r="CP192" s="594"/>
      <c r="CQ192" s="594"/>
      <c r="CR192" s="594"/>
    </row>
    <row r="193" spans="1:96" s="13" customFormat="1" ht="13.75" customHeight="1">
      <c r="A193" s="137">
        <v>178</v>
      </c>
      <c r="B193" s="138"/>
      <c r="C193" s="139"/>
      <c r="D193" s="140"/>
      <c r="E193" s="139"/>
      <c r="F193" s="139"/>
      <c r="G193" s="191"/>
      <c r="H193" s="139"/>
      <c r="I193" s="141"/>
      <c r="J193" s="142"/>
      <c r="K193" s="139"/>
      <c r="L193" s="147"/>
      <c r="M193" s="148"/>
      <c r="N193" s="139"/>
      <c r="O193" s="589"/>
      <c r="P193" s="229" t="str">
        <f t="shared" si="81"/>
        <v/>
      </c>
      <c r="Q193" s="229" t="str">
        <f t="shared" si="82"/>
        <v/>
      </c>
      <c r="R193" s="230" t="str">
        <f t="shared" si="83"/>
        <v/>
      </c>
      <c r="S193" s="230" t="str">
        <f t="shared" si="84"/>
        <v/>
      </c>
      <c r="T193" s="351"/>
      <c r="U193" s="43"/>
      <c r="V193" s="42" t="str">
        <f t="shared" si="60"/>
        <v/>
      </c>
      <c r="W193" s="42" t="e">
        <f>IF(#REF!="","",#REF!)</f>
        <v>#REF!</v>
      </c>
      <c r="X193" s="31" t="str">
        <f t="shared" si="61"/>
        <v/>
      </c>
      <c r="Y193" s="7" t="e">
        <f t="shared" si="62"/>
        <v>#N/A</v>
      </c>
      <c r="Z193" s="7" t="e">
        <f t="shared" si="63"/>
        <v>#N/A</v>
      </c>
      <c r="AA193" s="7" t="e">
        <f t="shared" si="64"/>
        <v>#N/A</v>
      </c>
      <c r="AB193" s="7" t="str">
        <f t="shared" si="65"/>
        <v/>
      </c>
      <c r="AC193" s="11">
        <f t="shared" si="66"/>
        <v>1</v>
      </c>
      <c r="AD193" s="7" t="e">
        <f t="shared" si="67"/>
        <v>#N/A</v>
      </c>
      <c r="AE193" s="7" t="e">
        <f t="shared" si="68"/>
        <v>#N/A</v>
      </c>
      <c r="AF193" s="7" t="e">
        <f t="shared" si="69"/>
        <v>#N/A</v>
      </c>
      <c r="AG193" s="472" t="e">
        <f>VLOOKUP(AI193,'排出係数(2017)'!$A$4:$I$1151,9,FALSE)</f>
        <v>#N/A</v>
      </c>
      <c r="AH193" s="12" t="str">
        <f t="shared" si="70"/>
        <v xml:space="preserve"> </v>
      </c>
      <c r="AI193" s="7" t="e">
        <f t="shared" si="85"/>
        <v>#N/A</v>
      </c>
      <c r="AJ193" s="7" t="e">
        <f t="shared" si="71"/>
        <v>#N/A</v>
      </c>
      <c r="AK193" s="472" t="e">
        <f>VLOOKUP(AI193,'排出係数(2017)'!$A$4:$I$1151,6,FALSE)</f>
        <v>#N/A</v>
      </c>
      <c r="AL193" s="7" t="e">
        <f t="shared" si="72"/>
        <v>#N/A</v>
      </c>
      <c r="AM193" s="7" t="e">
        <f t="shared" si="73"/>
        <v>#N/A</v>
      </c>
      <c r="AN193" s="472" t="e">
        <f>VLOOKUP(AI193,'排出係数(2017)'!$A$4:$I$1151,7,FALSE)</f>
        <v>#N/A</v>
      </c>
      <c r="AO193" s="7" t="e">
        <f t="shared" si="74"/>
        <v>#N/A</v>
      </c>
      <c r="AP193" s="7" t="e">
        <f t="shared" si="75"/>
        <v>#N/A</v>
      </c>
      <c r="AQ193" s="7" t="e">
        <f t="shared" si="86"/>
        <v>#N/A</v>
      </c>
      <c r="AR193" s="7">
        <f t="shared" si="76"/>
        <v>0</v>
      </c>
      <c r="AS193" s="7" t="e">
        <f t="shared" si="87"/>
        <v>#N/A</v>
      </c>
      <c r="AT193" s="7" t="str">
        <f t="shared" si="77"/>
        <v/>
      </c>
      <c r="AU193" s="7" t="str">
        <f t="shared" si="78"/>
        <v/>
      </c>
      <c r="AV193" s="7" t="str">
        <f t="shared" si="79"/>
        <v/>
      </c>
      <c r="AW193" s="7" t="str">
        <f t="shared" si="80"/>
        <v/>
      </c>
      <c r="AX193" s="97"/>
      <c r="BD193" s="453" t="s">
        <v>110</v>
      </c>
      <c r="CG193"/>
      <c r="CH193"/>
      <c r="CK193" s="592" t="str">
        <f t="shared" si="88"/>
        <v/>
      </c>
      <c r="CL193" s="421" t="str">
        <f t="shared" si="89"/>
        <v/>
      </c>
      <c r="CM193" s="594"/>
      <c r="CN193" s="594"/>
      <c r="CO193" s="594"/>
      <c r="CP193" s="594"/>
      <c r="CQ193" s="594"/>
      <c r="CR193" s="594"/>
    </row>
    <row r="194" spans="1:96" s="13" customFormat="1" ht="13.75" customHeight="1">
      <c r="A194" s="137">
        <v>179</v>
      </c>
      <c r="B194" s="138"/>
      <c r="C194" s="139"/>
      <c r="D194" s="140"/>
      <c r="E194" s="139"/>
      <c r="F194" s="139"/>
      <c r="G194" s="191"/>
      <c r="H194" s="139"/>
      <c r="I194" s="141"/>
      <c r="J194" s="142"/>
      <c r="K194" s="139"/>
      <c r="L194" s="147"/>
      <c r="M194" s="148"/>
      <c r="N194" s="139"/>
      <c r="O194" s="589"/>
      <c r="P194" s="229" t="str">
        <f t="shared" si="81"/>
        <v/>
      </c>
      <c r="Q194" s="229" t="str">
        <f t="shared" si="82"/>
        <v/>
      </c>
      <c r="R194" s="230" t="str">
        <f t="shared" si="83"/>
        <v/>
      </c>
      <c r="S194" s="230" t="str">
        <f t="shared" si="84"/>
        <v/>
      </c>
      <c r="T194" s="351"/>
      <c r="U194" s="43"/>
      <c r="V194" s="42" t="str">
        <f t="shared" si="60"/>
        <v/>
      </c>
      <c r="W194" s="42" t="e">
        <f>IF(#REF!="","",#REF!)</f>
        <v>#REF!</v>
      </c>
      <c r="X194" s="31" t="str">
        <f t="shared" si="61"/>
        <v/>
      </c>
      <c r="Y194" s="7" t="e">
        <f t="shared" si="62"/>
        <v>#N/A</v>
      </c>
      <c r="Z194" s="7" t="e">
        <f t="shared" si="63"/>
        <v>#N/A</v>
      </c>
      <c r="AA194" s="7" t="e">
        <f t="shared" si="64"/>
        <v>#N/A</v>
      </c>
      <c r="AB194" s="7" t="str">
        <f t="shared" si="65"/>
        <v/>
      </c>
      <c r="AC194" s="11">
        <f t="shared" si="66"/>
        <v>1</v>
      </c>
      <c r="AD194" s="7" t="e">
        <f t="shared" si="67"/>
        <v>#N/A</v>
      </c>
      <c r="AE194" s="7" t="e">
        <f t="shared" si="68"/>
        <v>#N/A</v>
      </c>
      <c r="AF194" s="7" t="e">
        <f t="shared" si="69"/>
        <v>#N/A</v>
      </c>
      <c r="AG194" s="472" t="e">
        <f>VLOOKUP(AI194,'排出係数(2017)'!$A$4:$I$1151,9,FALSE)</f>
        <v>#N/A</v>
      </c>
      <c r="AH194" s="12" t="str">
        <f t="shared" si="70"/>
        <v xml:space="preserve"> </v>
      </c>
      <c r="AI194" s="7" t="e">
        <f t="shared" si="85"/>
        <v>#N/A</v>
      </c>
      <c r="AJ194" s="7" t="e">
        <f t="shared" si="71"/>
        <v>#N/A</v>
      </c>
      <c r="AK194" s="472" t="e">
        <f>VLOOKUP(AI194,'排出係数(2017)'!$A$4:$I$1151,6,FALSE)</f>
        <v>#N/A</v>
      </c>
      <c r="AL194" s="7" t="e">
        <f t="shared" si="72"/>
        <v>#N/A</v>
      </c>
      <c r="AM194" s="7" t="e">
        <f t="shared" si="73"/>
        <v>#N/A</v>
      </c>
      <c r="AN194" s="472" t="e">
        <f>VLOOKUP(AI194,'排出係数(2017)'!$A$4:$I$1151,7,FALSE)</f>
        <v>#N/A</v>
      </c>
      <c r="AO194" s="7" t="e">
        <f t="shared" si="74"/>
        <v>#N/A</v>
      </c>
      <c r="AP194" s="7" t="e">
        <f t="shared" si="75"/>
        <v>#N/A</v>
      </c>
      <c r="AQ194" s="7" t="e">
        <f t="shared" si="86"/>
        <v>#N/A</v>
      </c>
      <c r="AR194" s="7">
        <f t="shared" si="76"/>
        <v>0</v>
      </c>
      <c r="AS194" s="7" t="e">
        <f t="shared" si="87"/>
        <v>#N/A</v>
      </c>
      <c r="AT194" s="7" t="str">
        <f t="shared" si="77"/>
        <v/>
      </c>
      <c r="AU194" s="7" t="str">
        <f t="shared" si="78"/>
        <v/>
      </c>
      <c r="AV194" s="7" t="str">
        <f t="shared" si="79"/>
        <v/>
      </c>
      <c r="AW194" s="7" t="str">
        <f t="shared" si="80"/>
        <v/>
      </c>
      <c r="AX194" s="97"/>
      <c r="BD194" s="453" t="s">
        <v>59</v>
      </c>
      <c r="CG194"/>
      <c r="CH194"/>
      <c r="CK194" s="592" t="str">
        <f t="shared" si="88"/>
        <v/>
      </c>
      <c r="CL194" s="421" t="str">
        <f t="shared" si="89"/>
        <v/>
      </c>
      <c r="CM194" s="594"/>
      <c r="CN194" s="594"/>
      <c r="CO194" s="594"/>
      <c r="CP194" s="594"/>
      <c r="CQ194" s="594"/>
      <c r="CR194" s="594"/>
    </row>
    <row r="195" spans="1:96" s="13" customFormat="1" ht="13.75" customHeight="1">
      <c r="A195" s="137">
        <v>180</v>
      </c>
      <c r="B195" s="138"/>
      <c r="C195" s="139"/>
      <c r="D195" s="140"/>
      <c r="E195" s="139"/>
      <c r="F195" s="139"/>
      <c r="G195" s="191"/>
      <c r="H195" s="139"/>
      <c r="I195" s="141"/>
      <c r="J195" s="142"/>
      <c r="K195" s="139"/>
      <c r="L195" s="147"/>
      <c r="M195" s="148"/>
      <c r="N195" s="139"/>
      <c r="O195" s="589"/>
      <c r="P195" s="229" t="str">
        <f t="shared" si="81"/>
        <v/>
      </c>
      <c r="Q195" s="229" t="str">
        <f t="shared" si="82"/>
        <v/>
      </c>
      <c r="R195" s="230" t="str">
        <f t="shared" si="83"/>
        <v/>
      </c>
      <c r="S195" s="230" t="str">
        <f t="shared" si="84"/>
        <v/>
      </c>
      <c r="T195" s="351"/>
      <c r="U195" s="43"/>
      <c r="V195" s="42" t="str">
        <f t="shared" si="60"/>
        <v/>
      </c>
      <c r="W195" s="42" t="e">
        <f>IF(#REF!="","",#REF!)</f>
        <v>#REF!</v>
      </c>
      <c r="X195" s="31" t="str">
        <f t="shared" si="61"/>
        <v/>
      </c>
      <c r="Y195" s="7" t="e">
        <f t="shared" si="62"/>
        <v>#N/A</v>
      </c>
      <c r="Z195" s="7" t="e">
        <f t="shared" si="63"/>
        <v>#N/A</v>
      </c>
      <c r="AA195" s="7" t="e">
        <f t="shared" si="64"/>
        <v>#N/A</v>
      </c>
      <c r="AB195" s="7" t="str">
        <f t="shared" si="65"/>
        <v/>
      </c>
      <c r="AC195" s="11">
        <f t="shared" si="66"/>
        <v>1</v>
      </c>
      <c r="AD195" s="7" t="e">
        <f t="shared" si="67"/>
        <v>#N/A</v>
      </c>
      <c r="AE195" s="7" t="e">
        <f t="shared" si="68"/>
        <v>#N/A</v>
      </c>
      <c r="AF195" s="7" t="e">
        <f t="shared" si="69"/>
        <v>#N/A</v>
      </c>
      <c r="AG195" s="472" t="e">
        <f>VLOOKUP(AI195,'排出係数(2017)'!$A$4:$I$1151,9,FALSE)</f>
        <v>#N/A</v>
      </c>
      <c r="AH195" s="12" t="str">
        <f t="shared" si="70"/>
        <v xml:space="preserve"> </v>
      </c>
      <c r="AI195" s="7" t="e">
        <f t="shared" si="85"/>
        <v>#N/A</v>
      </c>
      <c r="AJ195" s="7" t="e">
        <f t="shared" si="71"/>
        <v>#N/A</v>
      </c>
      <c r="AK195" s="472" t="e">
        <f>VLOOKUP(AI195,'排出係数(2017)'!$A$4:$I$1151,6,FALSE)</f>
        <v>#N/A</v>
      </c>
      <c r="AL195" s="7" t="e">
        <f t="shared" si="72"/>
        <v>#N/A</v>
      </c>
      <c r="AM195" s="7" t="e">
        <f t="shared" si="73"/>
        <v>#N/A</v>
      </c>
      <c r="AN195" s="472" t="e">
        <f>VLOOKUP(AI195,'排出係数(2017)'!$A$4:$I$1151,7,FALSE)</f>
        <v>#N/A</v>
      </c>
      <c r="AO195" s="7" t="e">
        <f t="shared" si="74"/>
        <v>#N/A</v>
      </c>
      <c r="AP195" s="7" t="e">
        <f t="shared" si="75"/>
        <v>#N/A</v>
      </c>
      <c r="AQ195" s="7" t="e">
        <f t="shared" si="86"/>
        <v>#N/A</v>
      </c>
      <c r="AR195" s="7">
        <f t="shared" si="76"/>
        <v>0</v>
      </c>
      <c r="AS195" s="7" t="e">
        <f t="shared" si="87"/>
        <v>#N/A</v>
      </c>
      <c r="AT195" s="7" t="str">
        <f t="shared" si="77"/>
        <v/>
      </c>
      <c r="AU195" s="7" t="str">
        <f t="shared" si="78"/>
        <v/>
      </c>
      <c r="AV195" s="7" t="str">
        <f t="shared" si="79"/>
        <v/>
      </c>
      <c r="AW195" s="7" t="str">
        <f t="shared" si="80"/>
        <v/>
      </c>
      <c r="AX195" s="97"/>
      <c r="BD195" s="453" t="s">
        <v>60</v>
      </c>
      <c r="CG195"/>
      <c r="CH195"/>
      <c r="CK195" s="592" t="str">
        <f t="shared" si="88"/>
        <v/>
      </c>
      <c r="CL195" s="421" t="str">
        <f t="shared" si="89"/>
        <v/>
      </c>
      <c r="CM195" s="594"/>
      <c r="CN195" s="594"/>
      <c r="CO195" s="594"/>
      <c r="CP195" s="594"/>
      <c r="CQ195" s="594"/>
      <c r="CR195" s="594"/>
    </row>
    <row r="196" spans="1:96" s="13" customFormat="1" ht="13.75" customHeight="1">
      <c r="A196" s="137">
        <v>181</v>
      </c>
      <c r="B196" s="138"/>
      <c r="C196" s="139"/>
      <c r="D196" s="140"/>
      <c r="E196" s="139"/>
      <c r="F196" s="139"/>
      <c r="G196" s="191"/>
      <c r="H196" s="139"/>
      <c r="I196" s="141"/>
      <c r="J196" s="142"/>
      <c r="K196" s="139"/>
      <c r="L196" s="147"/>
      <c r="M196" s="148"/>
      <c r="N196" s="139"/>
      <c r="O196" s="589"/>
      <c r="P196" s="229" t="str">
        <f t="shared" si="81"/>
        <v/>
      </c>
      <c r="Q196" s="229" t="str">
        <f t="shared" si="82"/>
        <v/>
      </c>
      <c r="R196" s="230" t="str">
        <f t="shared" si="83"/>
        <v/>
      </c>
      <c r="S196" s="230" t="str">
        <f t="shared" si="84"/>
        <v/>
      </c>
      <c r="T196" s="351"/>
      <c r="U196" s="43"/>
      <c r="V196" s="42" t="str">
        <f t="shared" si="60"/>
        <v/>
      </c>
      <c r="W196" s="42" t="e">
        <f>IF(#REF!="","",#REF!)</f>
        <v>#REF!</v>
      </c>
      <c r="X196" s="31" t="str">
        <f t="shared" si="61"/>
        <v/>
      </c>
      <c r="Y196" s="7" t="e">
        <f t="shared" si="62"/>
        <v>#N/A</v>
      </c>
      <c r="Z196" s="7" t="e">
        <f t="shared" si="63"/>
        <v>#N/A</v>
      </c>
      <c r="AA196" s="7" t="e">
        <f t="shared" si="64"/>
        <v>#N/A</v>
      </c>
      <c r="AB196" s="7" t="str">
        <f t="shared" si="65"/>
        <v/>
      </c>
      <c r="AC196" s="11">
        <f t="shared" si="66"/>
        <v>1</v>
      </c>
      <c r="AD196" s="7" t="e">
        <f t="shared" si="67"/>
        <v>#N/A</v>
      </c>
      <c r="AE196" s="7" t="e">
        <f t="shared" si="68"/>
        <v>#N/A</v>
      </c>
      <c r="AF196" s="7" t="e">
        <f t="shared" si="69"/>
        <v>#N/A</v>
      </c>
      <c r="AG196" s="472" t="e">
        <f>VLOOKUP(AI196,'排出係数(2017)'!$A$4:$I$1151,9,FALSE)</f>
        <v>#N/A</v>
      </c>
      <c r="AH196" s="12" t="str">
        <f t="shared" si="70"/>
        <v xml:space="preserve"> </v>
      </c>
      <c r="AI196" s="7" t="e">
        <f t="shared" si="85"/>
        <v>#N/A</v>
      </c>
      <c r="AJ196" s="7" t="e">
        <f t="shared" si="71"/>
        <v>#N/A</v>
      </c>
      <c r="AK196" s="472" t="e">
        <f>VLOOKUP(AI196,'排出係数(2017)'!$A$4:$I$1151,6,FALSE)</f>
        <v>#N/A</v>
      </c>
      <c r="AL196" s="7" t="e">
        <f t="shared" si="72"/>
        <v>#N/A</v>
      </c>
      <c r="AM196" s="7" t="e">
        <f t="shared" si="73"/>
        <v>#N/A</v>
      </c>
      <c r="AN196" s="472" t="e">
        <f>VLOOKUP(AI196,'排出係数(2017)'!$A$4:$I$1151,7,FALSE)</f>
        <v>#N/A</v>
      </c>
      <c r="AO196" s="7" t="e">
        <f t="shared" si="74"/>
        <v>#N/A</v>
      </c>
      <c r="AP196" s="7" t="e">
        <f t="shared" si="75"/>
        <v>#N/A</v>
      </c>
      <c r="AQ196" s="7" t="e">
        <f t="shared" si="86"/>
        <v>#N/A</v>
      </c>
      <c r="AR196" s="7">
        <f t="shared" si="76"/>
        <v>0</v>
      </c>
      <c r="AS196" s="7" t="e">
        <f t="shared" si="87"/>
        <v>#N/A</v>
      </c>
      <c r="AT196" s="7" t="str">
        <f t="shared" si="77"/>
        <v/>
      </c>
      <c r="AU196" s="7" t="str">
        <f t="shared" si="78"/>
        <v/>
      </c>
      <c r="AV196" s="7" t="str">
        <f t="shared" si="79"/>
        <v/>
      </c>
      <c r="AW196" s="7" t="str">
        <f t="shared" si="80"/>
        <v/>
      </c>
      <c r="AX196" s="97"/>
      <c r="BD196" s="453" t="s">
        <v>61</v>
      </c>
      <c r="CG196"/>
      <c r="CH196"/>
      <c r="CK196" s="592" t="str">
        <f t="shared" si="88"/>
        <v/>
      </c>
      <c r="CL196" s="421" t="str">
        <f t="shared" si="89"/>
        <v/>
      </c>
      <c r="CM196" s="594"/>
      <c r="CN196" s="594"/>
      <c r="CO196" s="594"/>
      <c r="CP196" s="594"/>
      <c r="CQ196" s="594"/>
      <c r="CR196" s="594"/>
    </row>
    <row r="197" spans="1:96" s="13" customFormat="1" ht="13.75" customHeight="1">
      <c r="A197" s="137">
        <v>182</v>
      </c>
      <c r="B197" s="138"/>
      <c r="C197" s="139"/>
      <c r="D197" s="140"/>
      <c r="E197" s="139"/>
      <c r="F197" s="139"/>
      <c r="G197" s="191"/>
      <c r="H197" s="139"/>
      <c r="I197" s="141"/>
      <c r="J197" s="142"/>
      <c r="K197" s="139"/>
      <c r="L197" s="147"/>
      <c r="M197" s="148"/>
      <c r="N197" s="139"/>
      <c r="O197" s="589"/>
      <c r="P197" s="229" t="str">
        <f t="shared" si="81"/>
        <v/>
      </c>
      <c r="Q197" s="229" t="str">
        <f t="shared" si="82"/>
        <v/>
      </c>
      <c r="R197" s="230" t="str">
        <f t="shared" si="83"/>
        <v/>
      </c>
      <c r="S197" s="230" t="str">
        <f t="shared" si="84"/>
        <v/>
      </c>
      <c r="T197" s="351"/>
      <c r="U197" s="43"/>
      <c r="V197" s="42" t="str">
        <f t="shared" si="60"/>
        <v/>
      </c>
      <c r="W197" s="42" t="e">
        <f>IF(#REF!="","",#REF!)</f>
        <v>#REF!</v>
      </c>
      <c r="X197" s="31" t="str">
        <f t="shared" si="61"/>
        <v/>
      </c>
      <c r="Y197" s="7" t="e">
        <f t="shared" si="62"/>
        <v>#N/A</v>
      </c>
      <c r="Z197" s="7" t="e">
        <f t="shared" si="63"/>
        <v>#N/A</v>
      </c>
      <c r="AA197" s="7" t="e">
        <f t="shared" si="64"/>
        <v>#N/A</v>
      </c>
      <c r="AB197" s="7" t="str">
        <f t="shared" si="65"/>
        <v/>
      </c>
      <c r="AC197" s="11">
        <f t="shared" si="66"/>
        <v>1</v>
      </c>
      <c r="AD197" s="7" t="e">
        <f t="shared" si="67"/>
        <v>#N/A</v>
      </c>
      <c r="AE197" s="7" t="e">
        <f t="shared" si="68"/>
        <v>#N/A</v>
      </c>
      <c r="AF197" s="7" t="e">
        <f t="shared" si="69"/>
        <v>#N/A</v>
      </c>
      <c r="AG197" s="472" t="e">
        <f>VLOOKUP(AI197,'排出係数(2017)'!$A$4:$I$1151,9,FALSE)</f>
        <v>#N/A</v>
      </c>
      <c r="AH197" s="12" t="str">
        <f t="shared" si="70"/>
        <v xml:space="preserve"> </v>
      </c>
      <c r="AI197" s="7" t="e">
        <f t="shared" si="85"/>
        <v>#N/A</v>
      </c>
      <c r="AJ197" s="7" t="e">
        <f t="shared" si="71"/>
        <v>#N/A</v>
      </c>
      <c r="AK197" s="472" t="e">
        <f>VLOOKUP(AI197,'排出係数(2017)'!$A$4:$I$1151,6,FALSE)</f>
        <v>#N/A</v>
      </c>
      <c r="AL197" s="7" t="e">
        <f t="shared" si="72"/>
        <v>#N/A</v>
      </c>
      <c r="AM197" s="7" t="e">
        <f t="shared" si="73"/>
        <v>#N/A</v>
      </c>
      <c r="AN197" s="472" t="e">
        <f>VLOOKUP(AI197,'排出係数(2017)'!$A$4:$I$1151,7,FALSE)</f>
        <v>#N/A</v>
      </c>
      <c r="AO197" s="7" t="e">
        <f t="shared" si="74"/>
        <v>#N/A</v>
      </c>
      <c r="AP197" s="7" t="e">
        <f t="shared" si="75"/>
        <v>#N/A</v>
      </c>
      <c r="AQ197" s="7" t="e">
        <f t="shared" si="86"/>
        <v>#N/A</v>
      </c>
      <c r="AR197" s="7">
        <f t="shared" si="76"/>
        <v>0</v>
      </c>
      <c r="AS197" s="7" t="e">
        <f t="shared" si="87"/>
        <v>#N/A</v>
      </c>
      <c r="AT197" s="7" t="str">
        <f t="shared" si="77"/>
        <v/>
      </c>
      <c r="AU197" s="7" t="str">
        <f t="shared" si="78"/>
        <v/>
      </c>
      <c r="AV197" s="7" t="str">
        <f t="shared" si="79"/>
        <v/>
      </c>
      <c r="AW197" s="7" t="str">
        <f t="shared" si="80"/>
        <v/>
      </c>
      <c r="AX197" s="97"/>
      <c r="BD197" s="453" t="s">
        <v>62</v>
      </c>
      <c r="CG197"/>
      <c r="CH197"/>
      <c r="CK197" s="592" t="str">
        <f t="shared" si="88"/>
        <v/>
      </c>
      <c r="CL197" s="421" t="str">
        <f t="shared" si="89"/>
        <v/>
      </c>
      <c r="CM197" s="594"/>
      <c r="CN197" s="594"/>
      <c r="CO197" s="594"/>
      <c r="CP197" s="594"/>
      <c r="CQ197" s="594"/>
      <c r="CR197" s="594"/>
    </row>
    <row r="198" spans="1:96" s="13" customFormat="1" ht="13.75" customHeight="1">
      <c r="A198" s="137">
        <v>183</v>
      </c>
      <c r="B198" s="138"/>
      <c r="C198" s="139"/>
      <c r="D198" s="140"/>
      <c r="E198" s="139"/>
      <c r="F198" s="139"/>
      <c r="G198" s="191"/>
      <c r="H198" s="139"/>
      <c r="I198" s="141"/>
      <c r="J198" s="142"/>
      <c r="K198" s="139"/>
      <c r="L198" s="147"/>
      <c r="M198" s="148"/>
      <c r="N198" s="139"/>
      <c r="O198" s="589"/>
      <c r="P198" s="229" t="str">
        <f t="shared" si="81"/>
        <v/>
      </c>
      <c r="Q198" s="229" t="str">
        <f t="shared" si="82"/>
        <v/>
      </c>
      <c r="R198" s="230" t="str">
        <f t="shared" si="83"/>
        <v/>
      </c>
      <c r="S198" s="230" t="str">
        <f t="shared" si="84"/>
        <v/>
      </c>
      <c r="T198" s="351"/>
      <c r="U198" s="43"/>
      <c r="V198" s="42" t="str">
        <f t="shared" si="60"/>
        <v/>
      </c>
      <c r="W198" s="42" t="e">
        <f>IF(#REF!="","",#REF!)</f>
        <v>#REF!</v>
      </c>
      <c r="X198" s="31" t="str">
        <f t="shared" si="61"/>
        <v/>
      </c>
      <c r="Y198" s="7" t="e">
        <f t="shared" si="62"/>
        <v>#N/A</v>
      </c>
      <c r="Z198" s="7" t="e">
        <f t="shared" si="63"/>
        <v>#N/A</v>
      </c>
      <c r="AA198" s="7" t="e">
        <f t="shared" si="64"/>
        <v>#N/A</v>
      </c>
      <c r="AB198" s="7" t="str">
        <f t="shared" si="65"/>
        <v/>
      </c>
      <c r="AC198" s="11">
        <f t="shared" si="66"/>
        <v>1</v>
      </c>
      <c r="AD198" s="7" t="e">
        <f t="shared" si="67"/>
        <v>#N/A</v>
      </c>
      <c r="AE198" s="7" t="e">
        <f t="shared" si="68"/>
        <v>#N/A</v>
      </c>
      <c r="AF198" s="7" t="e">
        <f t="shared" si="69"/>
        <v>#N/A</v>
      </c>
      <c r="AG198" s="472" t="e">
        <f>VLOOKUP(AI198,'排出係数(2017)'!$A$4:$I$1151,9,FALSE)</f>
        <v>#N/A</v>
      </c>
      <c r="AH198" s="12" t="str">
        <f t="shared" si="70"/>
        <v xml:space="preserve"> </v>
      </c>
      <c r="AI198" s="7" t="e">
        <f t="shared" si="85"/>
        <v>#N/A</v>
      </c>
      <c r="AJ198" s="7" t="e">
        <f t="shared" si="71"/>
        <v>#N/A</v>
      </c>
      <c r="AK198" s="472" t="e">
        <f>VLOOKUP(AI198,'排出係数(2017)'!$A$4:$I$1151,6,FALSE)</f>
        <v>#N/A</v>
      </c>
      <c r="AL198" s="7" t="e">
        <f t="shared" si="72"/>
        <v>#N/A</v>
      </c>
      <c r="AM198" s="7" t="e">
        <f t="shared" si="73"/>
        <v>#N/A</v>
      </c>
      <c r="AN198" s="472" t="e">
        <f>VLOOKUP(AI198,'排出係数(2017)'!$A$4:$I$1151,7,FALSE)</f>
        <v>#N/A</v>
      </c>
      <c r="AO198" s="7" t="e">
        <f t="shared" si="74"/>
        <v>#N/A</v>
      </c>
      <c r="AP198" s="7" t="e">
        <f t="shared" si="75"/>
        <v>#N/A</v>
      </c>
      <c r="AQ198" s="7" t="e">
        <f t="shared" si="86"/>
        <v>#N/A</v>
      </c>
      <c r="AR198" s="7">
        <f t="shared" si="76"/>
        <v>0</v>
      </c>
      <c r="AS198" s="7" t="e">
        <f t="shared" si="87"/>
        <v>#N/A</v>
      </c>
      <c r="AT198" s="7" t="str">
        <f t="shared" si="77"/>
        <v/>
      </c>
      <c r="AU198" s="7" t="str">
        <f t="shared" si="78"/>
        <v/>
      </c>
      <c r="AV198" s="7" t="str">
        <f t="shared" si="79"/>
        <v/>
      </c>
      <c r="AW198" s="7" t="str">
        <f t="shared" si="80"/>
        <v/>
      </c>
      <c r="AX198" s="97"/>
      <c r="BD198" s="453" t="s">
        <v>111</v>
      </c>
      <c r="CG198"/>
      <c r="CH198"/>
      <c r="CK198" s="592" t="str">
        <f t="shared" si="88"/>
        <v/>
      </c>
      <c r="CL198" s="421" t="str">
        <f t="shared" si="89"/>
        <v/>
      </c>
      <c r="CM198" s="594"/>
      <c r="CN198" s="594"/>
      <c r="CO198" s="594"/>
      <c r="CP198" s="594"/>
      <c r="CQ198" s="594"/>
      <c r="CR198" s="594"/>
    </row>
    <row r="199" spans="1:96" s="13" customFormat="1" ht="13.75" customHeight="1">
      <c r="A199" s="137">
        <v>184</v>
      </c>
      <c r="B199" s="138"/>
      <c r="C199" s="139"/>
      <c r="D199" s="140"/>
      <c r="E199" s="139"/>
      <c r="F199" s="139"/>
      <c r="G199" s="191"/>
      <c r="H199" s="139"/>
      <c r="I199" s="141"/>
      <c r="J199" s="142"/>
      <c r="K199" s="139"/>
      <c r="L199" s="147"/>
      <c r="M199" s="148"/>
      <c r="N199" s="139"/>
      <c r="O199" s="589"/>
      <c r="P199" s="229" t="str">
        <f t="shared" si="81"/>
        <v/>
      </c>
      <c r="Q199" s="229" t="str">
        <f t="shared" si="82"/>
        <v/>
      </c>
      <c r="R199" s="230" t="str">
        <f t="shared" si="83"/>
        <v/>
      </c>
      <c r="S199" s="230" t="str">
        <f t="shared" si="84"/>
        <v/>
      </c>
      <c r="T199" s="351"/>
      <c r="U199" s="43"/>
      <c r="V199" s="42" t="str">
        <f t="shared" si="60"/>
        <v/>
      </c>
      <c r="W199" s="42" t="e">
        <f>IF(#REF!="","",#REF!)</f>
        <v>#REF!</v>
      </c>
      <c r="X199" s="31" t="str">
        <f t="shared" si="61"/>
        <v/>
      </c>
      <c r="Y199" s="7" t="e">
        <f t="shared" si="62"/>
        <v>#N/A</v>
      </c>
      <c r="Z199" s="7" t="e">
        <f t="shared" si="63"/>
        <v>#N/A</v>
      </c>
      <c r="AA199" s="7" t="e">
        <f t="shared" si="64"/>
        <v>#N/A</v>
      </c>
      <c r="AB199" s="7" t="str">
        <f t="shared" si="65"/>
        <v/>
      </c>
      <c r="AC199" s="11">
        <f t="shared" si="66"/>
        <v>1</v>
      </c>
      <c r="AD199" s="7" t="e">
        <f t="shared" si="67"/>
        <v>#N/A</v>
      </c>
      <c r="AE199" s="7" t="e">
        <f t="shared" si="68"/>
        <v>#N/A</v>
      </c>
      <c r="AF199" s="7" t="e">
        <f t="shared" si="69"/>
        <v>#N/A</v>
      </c>
      <c r="AG199" s="472" t="e">
        <f>VLOOKUP(AI199,'排出係数(2017)'!$A$4:$I$1151,9,FALSE)</f>
        <v>#N/A</v>
      </c>
      <c r="AH199" s="12" t="str">
        <f t="shared" si="70"/>
        <v xml:space="preserve"> </v>
      </c>
      <c r="AI199" s="7" t="e">
        <f t="shared" si="85"/>
        <v>#N/A</v>
      </c>
      <c r="AJ199" s="7" t="e">
        <f t="shared" si="71"/>
        <v>#N/A</v>
      </c>
      <c r="AK199" s="472" t="e">
        <f>VLOOKUP(AI199,'排出係数(2017)'!$A$4:$I$1151,6,FALSE)</f>
        <v>#N/A</v>
      </c>
      <c r="AL199" s="7" t="e">
        <f t="shared" si="72"/>
        <v>#N/A</v>
      </c>
      <c r="AM199" s="7" t="e">
        <f t="shared" si="73"/>
        <v>#N/A</v>
      </c>
      <c r="AN199" s="472" t="e">
        <f>VLOOKUP(AI199,'排出係数(2017)'!$A$4:$I$1151,7,FALSE)</f>
        <v>#N/A</v>
      </c>
      <c r="AO199" s="7" t="e">
        <f t="shared" si="74"/>
        <v>#N/A</v>
      </c>
      <c r="AP199" s="7" t="e">
        <f t="shared" si="75"/>
        <v>#N/A</v>
      </c>
      <c r="AQ199" s="7" t="e">
        <f t="shared" si="86"/>
        <v>#N/A</v>
      </c>
      <c r="AR199" s="7">
        <f t="shared" si="76"/>
        <v>0</v>
      </c>
      <c r="AS199" s="7" t="e">
        <f t="shared" si="87"/>
        <v>#N/A</v>
      </c>
      <c r="AT199" s="7" t="str">
        <f t="shared" si="77"/>
        <v/>
      </c>
      <c r="AU199" s="7" t="str">
        <f t="shared" si="78"/>
        <v/>
      </c>
      <c r="AV199" s="7" t="str">
        <f t="shared" si="79"/>
        <v/>
      </c>
      <c r="AW199" s="7" t="str">
        <f t="shared" si="80"/>
        <v/>
      </c>
      <c r="AX199" s="97"/>
      <c r="BD199" s="453" t="s">
        <v>63</v>
      </c>
      <c r="CG199"/>
      <c r="CH199"/>
      <c r="CK199" s="592" t="str">
        <f t="shared" si="88"/>
        <v/>
      </c>
      <c r="CL199" s="421" t="str">
        <f t="shared" si="89"/>
        <v/>
      </c>
      <c r="CM199" s="594"/>
      <c r="CN199" s="594"/>
      <c r="CO199" s="594"/>
      <c r="CP199" s="594"/>
      <c r="CQ199" s="594"/>
      <c r="CR199" s="594"/>
    </row>
    <row r="200" spans="1:96" s="13" customFormat="1" ht="13.75" customHeight="1">
      <c r="A200" s="137">
        <v>185</v>
      </c>
      <c r="B200" s="138"/>
      <c r="C200" s="139"/>
      <c r="D200" s="140"/>
      <c r="E200" s="139"/>
      <c r="F200" s="139"/>
      <c r="G200" s="191"/>
      <c r="H200" s="139"/>
      <c r="I200" s="141"/>
      <c r="J200" s="142"/>
      <c r="K200" s="139"/>
      <c r="L200" s="147"/>
      <c r="M200" s="148"/>
      <c r="N200" s="139"/>
      <c r="O200" s="589"/>
      <c r="P200" s="229" t="str">
        <f t="shared" si="81"/>
        <v/>
      </c>
      <c r="Q200" s="229" t="str">
        <f t="shared" si="82"/>
        <v/>
      </c>
      <c r="R200" s="230" t="str">
        <f t="shared" si="83"/>
        <v/>
      </c>
      <c r="S200" s="230" t="str">
        <f t="shared" si="84"/>
        <v/>
      </c>
      <c r="T200" s="351"/>
      <c r="U200" s="43"/>
      <c r="V200" s="42" t="str">
        <f t="shared" si="60"/>
        <v/>
      </c>
      <c r="W200" s="42" t="e">
        <f>IF(#REF!="","",#REF!)</f>
        <v>#REF!</v>
      </c>
      <c r="X200" s="31" t="str">
        <f t="shared" si="61"/>
        <v/>
      </c>
      <c r="Y200" s="7" t="e">
        <f t="shared" si="62"/>
        <v>#N/A</v>
      </c>
      <c r="Z200" s="7" t="e">
        <f t="shared" si="63"/>
        <v>#N/A</v>
      </c>
      <c r="AA200" s="7" t="e">
        <f t="shared" si="64"/>
        <v>#N/A</v>
      </c>
      <c r="AB200" s="7" t="str">
        <f t="shared" si="65"/>
        <v/>
      </c>
      <c r="AC200" s="11">
        <f t="shared" si="66"/>
        <v>1</v>
      </c>
      <c r="AD200" s="7" t="e">
        <f t="shared" si="67"/>
        <v>#N/A</v>
      </c>
      <c r="AE200" s="7" t="e">
        <f t="shared" si="68"/>
        <v>#N/A</v>
      </c>
      <c r="AF200" s="7" t="e">
        <f t="shared" si="69"/>
        <v>#N/A</v>
      </c>
      <c r="AG200" s="472" t="e">
        <f>VLOOKUP(AI200,'排出係数(2017)'!$A$4:$I$1151,9,FALSE)</f>
        <v>#N/A</v>
      </c>
      <c r="AH200" s="12" t="str">
        <f t="shared" si="70"/>
        <v xml:space="preserve"> </v>
      </c>
      <c r="AI200" s="7" t="e">
        <f t="shared" si="85"/>
        <v>#N/A</v>
      </c>
      <c r="AJ200" s="7" t="e">
        <f t="shared" si="71"/>
        <v>#N/A</v>
      </c>
      <c r="AK200" s="472" t="e">
        <f>VLOOKUP(AI200,'排出係数(2017)'!$A$4:$I$1151,6,FALSE)</f>
        <v>#N/A</v>
      </c>
      <c r="AL200" s="7" t="e">
        <f t="shared" si="72"/>
        <v>#N/A</v>
      </c>
      <c r="AM200" s="7" t="e">
        <f t="shared" si="73"/>
        <v>#N/A</v>
      </c>
      <c r="AN200" s="472" t="e">
        <f>VLOOKUP(AI200,'排出係数(2017)'!$A$4:$I$1151,7,FALSE)</f>
        <v>#N/A</v>
      </c>
      <c r="AO200" s="7" t="e">
        <f t="shared" si="74"/>
        <v>#N/A</v>
      </c>
      <c r="AP200" s="7" t="e">
        <f t="shared" si="75"/>
        <v>#N/A</v>
      </c>
      <c r="AQ200" s="7" t="e">
        <f t="shared" si="86"/>
        <v>#N/A</v>
      </c>
      <c r="AR200" s="7">
        <f t="shared" si="76"/>
        <v>0</v>
      </c>
      <c r="AS200" s="7" t="e">
        <f t="shared" si="87"/>
        <v>#N/A</v>
      </c>
      <c r="AT200" s="7" t="str">
        <f t="shared" si="77"/>
        <v/>
      </c>
      <c r="AU200" s="7" t="str">
        <f t="shared" si="78"/>
        <v/>
      </c>
      <c r="AV200" s="7" t="str">
        <f t="shared" si="79"/>
        <v/>
      </c>
      <c r="AW200" s="7" t="str">
        <f t="shared" si="80"/>
        <v/>
      </c>
      <c r="AX200" s="97"/>
      <c r="BD200" s="453" t="s">
        <v>64</v>
      </c>
      <c r="CG200"/>
      <c r="CH200"/>
      <c r="CK200" s="592" t="str">
        <f t="shared" si="88"/>
        <v/>
      </c>
      <c r="CL200" s="421" t="str">
        <f t="shared" si="89"/>
        <v/>
      </c>
      <c r="CM200" s="594"/>
      <c r="CN200" s="594"/>
      <c r="CO200" s="594"/>
      <c r="CP200" s="594"/>
      <c r="CQ200" s="594"/>
      <c r="CR200" s="594"/>
    </row>
    <row r="201" spans="1:96" s="13" customFormat="1" ht="13.75" customHeight="1">
      <c r="A201" s="137">
        <v>186</v>
      </c>
      <c r="B201" s="138"/>
      <c r="C201" s="139"/>
      <c r="D201" s="140"/>
      <c r="E201" s="139"/>
      <c r="F201" s="139"/>
      <c r="G201" s="191"/>
      <c r="H201" s="139"/>
      <c r="I201" s="141"/>
      <c r="J201" s="142"/>
      <c r="K201" s="139"/>
      <c r="L201" s="147"/>
      <c r="M201" s="148"/>
      <c r="N201" s="139"/>
      <c r="O201" s="589"/>
      <c r="P201" s="229" t="str">
        <f t="shared" si="81"/>
        <v/>
      </c>
      <c r="Q201" s="229" t="str">
        <f t="shared" si="82"/>
        <v/>
      </c>
      <c r="R201" s="230" t="str">
        <f t="shared" si="83"/>
        <v/>
      </c>
      <c r="S201" s="230" t="str">
        <f t="shared" si="84"/>
        <v/>
      </c>
      <c r="T201" s="351"/>
      <c r="U201" s="43"/>
      <c r="V201" s="42" t="str">
        <f t="shared" si="60"/>
        <v/>
      </c>
      <c r="W201" s="42" t="e">
        <f>IF(#REF!="","",#REF!)</f>
        <v>#REF!</v>
      </c>
      <c r="X201" s="31" t="str">
        <f t="shared" si="61"/>
        <v/>
      </c>
      <c r="Y201" s="7" t="e">
        <f t="shared" si="62"/>
        <v>#N/A</v>
      </c>
      <c r="Z201" s="7" t="e">
        <f t="shared" si="63"/>
        <v>#N/A</v>
      </c>
      <c r="AA201" s="7" t="e">
        <f t="shared" si="64"/>
        <v>#N/A</v>
      </c>
      <c r="AB201" s="7" t="str">
        <f t="shared" si="65"/>
        <v/>
      </c>
      <c r="AC201" s="11">
        <f t="shared" si="66"/>
        <v>1</v>
      </c>
      <c r="AD201" s="7" t="e">
        <f t="shared" si="67"/>
        <v>#N/A</v>
      </c>
      <c r="AE201" s="7" t="e">
        <f t="shared" si="68"/>
        <v>#N/A</v>
      </c>
      <c r="AF201" s="7" t="e">
        <f t="shared" si="69"/>
        <v>#N/A</v>
      </c>
      <c r="AG201" s="472" t="e">
        <f>VLOOKUP(AI201,'排出係数(2017)'!$A$4:$I$1151,9,FALSE)</f>
        <v>#N/A</v>
      </c>
      <c r="AH201" s="12" t="str">
        <f t="shared" si="70"/>
        <v xml:space="preserve"> </v>
      </c>
      <c r="AI201" s="7" t="e">
        <f t="shared" si="85"/>
        <v>#N/A</v>
      </c>
      <c r="AJ201" s="7" t="e">
        <f t="shared" si="71"/>
        <v>#N/A</v>
      </c>
      <c r="AK201" s="472" t="e">
        <f>VLOOKUP(AI201,'排出係数(2017)'!$A$4:$I$1151,6,FALSE)</f>
        <v>#N/A</v>
      </c>
      <c r="AL201" s="7" t="e">
        <f t="shared" si="72"/>
        <v>#N/A</v>
      </c>
      <c r="AM201" s="7" t="e">
        <f t="shared" si="73"/>
        <v>#N/A</v>
      </c>
      <c r="AN201" s="472" t="e">
        <f>VLOOKUP(AI201,'排出係数(2017)'!$A$4:$I$1151,7,FALSE)</f>
        <v>#N/A</v>
      </c>
      <c r="AO201" s="7" t="e">
        <f t="shared" si="74"/>
        <v>#N/A</v>
      </c>
      <c r="AP201" s="7" t="e">
        <f t="shared" si="75"/>
        <v>#N/A</v>
      </c>
      <c r="AQ201" s="7" t="e">
        <f t="shared" si="86"/>
        <v>#N/A</v>
      </c>
      <c r="AR201" s="7">
        <f t="shared" si="76"/>
        <v>0</v>
      </c>
      <c r="AS201" s="7" t="e">
        <f t="shared" si="87"/>
        <v>#N/A</v>
      </c>
      <c r="AT201" s="7" t="str">
        <f t="shared" si="77"/>
        <v/>
      </c>
      <c r="AU201" s="7" t="str">
        <f t="shared" si="78"/>
        <v/>
      </c>
      <c r="AV201" s="7" t="str">
        <f t="shared" si="79"/>
        <v/>
      </c>
      <c r="AW201" s="7" t="str">
        <f t="shared" si="80"/>
        <v/>
      </c>
      <c r="AX201" s="97"/>
      <c r="BD201" s="467" t="s">
        <v>68</v>
      </c>
      <c r="CG201"/>
      <c r="CH201"/>
      <c r="CK201" s="592" t="str">
        <f t="shared" si="88"/>
        <v/>
      </c>
      <c r="CL201" s="421" t="str">
        <f t="shared" si="89"/>
        <v/>
      </c>
      <c r="CM201" s="594"/>
      <c r="CN201" s="594"/>
      <c r="CO201" s="594"/>
      <c r="CP201" s="594"/>
      <c r="CQ201" s="594"/>
      <c r="CR201" s="594"/>
    </row>
    <row r="202" spans="1:96" s="13" customFormat="1" ht="13.75" customHeight="1">
      <c r="A202" s="137">
        <v>187</v>
      </c>
      <c r="B202" s="138"/>
      <c r="C202" s="139"/>
      <c r="D202" s="140"/>
      <c r="E202" s="139"/>
      <c r="F202" s="139"/>
      <c r="G202" s="191"/>
      <c r="H202" s="139"/>
      <c r="I202" s="141"/>
      <c r="J202" s="142"/>
      <c r="K202" s="139"/>
      <c r="L202" s="147"/>
      <c r="M202" s="148"/>
      <c r="N202" s="139"/>
      <c r="O202" s="589"/>
      <c r="P202" s="229" t="str">
        <f t="shared" si="81"/>
        <v/>
      </c>
      <c r="Q202" s="229" t="str">
        <f t="shared" si="82"/>
        <v/>
      </c>
      <c r="R202" s="230" t="str">
        <f t="shared" si="83"/>
        <v/>
      </c>
      <c r="S202" s="230" t="str">
        <f t="shared" si="84"/>
        <v/>
      </c>
      <c r="T202" s="351"/>
      <c r="U202" s="43"/>
      <c r="V202" s="42" t="str">
        <f t="shared" si="60"/>
        <v/>
      </c>
      <c r="W202" s="42" t="e">
        <f>IF(#REF!="","",#REF!)</f>
        <v>#REF!</v>
      </c>
      <c r="X202" s="31" t="str">
        <f t="shared" si="61"/>
        <v/>
      </c>
      <c r="Y202" s="7" t="e">
        <f t="shared" si="62"/>
        <v>#N/A</v>
      </c>
      <c r="Z202" s="7" t="e">
        <f t="shared" si="63"/>
        <v>#N/A</v>
      </c>
      <c r="AA202" s="7" t="e">
        <f t="shared" si="64"/>
        <v>#N/A</v>
      </c>
      <c r="AB202" s="7" t="str">
        <f t="shared" si="65"/>
        <v/>
      </c>
      <c r="AC202" s="11">
        <f t="shared" si="66"/>
        <v>1</v>
      </c>
      <c r="AD202" s="7" t="e">
        <f t="shared" si="67"/>
        <v>#N/A</v>
      </c>
      <c r="AE202" s="7" t="e">
        <f t="shared" si="68"/>
        <v>#N/A</v>
      </c>
      <c r="AF202" s="7" t="e">
        <f t="shared" si="69"/>
        <v>#N/A</v>
      </c>
      <c r="AG202" s="472" t="e">
        <f>VLOOKUP(AI202,'排出係数(2017)'!$A$4:$I$1151,9,FALSE)</f>
        <v>#N/A</v>
      </c>
      <c r="AH202" s="12" t="str">
        <f t="shared" si="70"/>
        <v xml:space="preserve"> </v>
      </c>
      <c r="AI202" s="7" t="e">
        <f t="shared" si="85"/>
        <v>#N/A</v>
      </c>
      <c r="AJ202" s="7" t="e">
        <f t="shared" si="71"/>
        <v>#N/A</v>
      </c>
      <c r="AK202" s="472" t="e">
        <f>VLOOKUP(AI202,'排出係数(2017)'!$A$4:$I$1151,6,FALSE)</f>
        <v>#N/A</v>
      </c>
      <c r="AL202" s="7" t="e">
        <f t="shared" si="72"/>
        <v>#N/A</v>
      </c>
      <c r="AM202" s="7" t="e">
        <f t="shared" si="73"/>
        <v>#N/A</v>
      </c>
      <c r="AN202" s="472" t="e">
        <f>VLOOKUP(AI202,'排出係数(2017)'!$A$4:$I$1151,7,FALSE)</f>
        <v>#N/A</v>
      </c>
      <c r="AO202" s="7" t="e">
        <f t="shared" si="74"/>
        <v>#N/A</v>
      </c>
      <c r="AP202" s="7" t="e">
        <f t="shared" si="75"/>
        <v>#N/A</v>
      </c>
      <c r="AQ202" s="7" t="e">
        <f t="shared" si="86"/>
        <v>#N/A</v>
      </c>
      <c r="AR202" s="7">
        <f t="shared" si="76"/>
        <v>0</v>
      </c>
      <c r="AS202" s="7" t="e">
        <f t="shared" si="87"/>
        <v>#N/A</v>
      </c>
      <c r="AT202" s="7" t="str">
        <f t="shared" si="77"/>
        <v/>
      </c>
      <c r="AU202" s="7" t="str">
        <f t="shared" si="78"/>
        <v/>
      </c>
      <c r="AV202" s="7" t="str">
        <f t="shared" si="79"/>
        <v/>
      </c>
      <c r="AW202" s="7" t="str">
        <f t="shared" si="80"/>
        <v/>
      </c>
      <c r="AX202" s="97"/>
      <c r="BD202" s="473" t="s">
        <v>69</v>
      </c>
      <c r="CG202"/>
      <c r="CH202"/>
      <c r="CK202" s="592" t="str">
        <f t="shared" si="88"/>
        <v/>
      </c>
      <c r="CL202" s="421" t="str">
        <f t="shared" si="89"/>
        <v/>
      </c>
      <c r="CM202" s="594"/>
      <c r="CN202" s="594"/>
      <c r="CO202" s="594"/>
      <c r="CP202" s="594"/>
      <c r="CQ202" s="594"/>
      <c r="CR202" s="594"/>
    </row>
    <row r="203" spans="1:96" s="13" customFormat="1" ht="13.75" customHeight="1">
      <c r="A203" s="137">
        <v>188</v>
      </c>
      <c r="B203" s="138"/>
      <c r="C203" s="139"/>
      <c r="D203" s="140"/>
      <c r="E203" s="139"/>
      <c r="F203" s="139"/>
      <c r="G203" s="191"/>
      <c r="H203" s="139"/>
      <c r="I203" s="141"/>
      <c r="J203" s="142"/>
      <c r="K203" s="139"/>
      <c r="L203" s="147"/>
      <c r="M203" s="148"/>
      <c r="N203" s="139"/>
      <c r="O203" s="589"/>
      <c r="P203" s="229" t="str">
        <f t="shared" si="81"/>
        <v/>
      </c>
      <c r="Q203" s="229" t="str">
        <f t="shared" si="82"/>
        <v/>
      </c>
      <c r="R203" s="230" t="str">
        <f t="shared" si="83"/>
        <v/>
      </c>
      <c r="S203" s="230" t="str">
        <f t="shared" si="84"/>
        <v/>
      </c>
      <c r="T203" s="351"/>
      <c r="U203" s="43"/>
      <c r="V203" s="42" t="str">
        <f t="shared" si="60"/>
        <v/>
      </c>
      <c r="W203" s="42" t="e">
        <f>IF(#REF!="","",#REF!)</f>
        <v>#REF!</v>
      </c>
      <c r="X203" s="31" t="str">
        <f t="shared" si="61"/>
        <v/>
      </c>
      <c r="Y203" s="7" t="e">
        <f t="shared" si="62"/>
        <v>#N/A</v>
      </c>
      <c r="Z203" s="7" t="e">
        <f t="shared" si="63"/>
        <v>#N/A</v>
      </c>
      <c r="AA203" s="7" t="e">
        <f t="shared" si="64"/>
        <v>#N/A</v>
      </c>
      <c r="AB203" s="7" t="str">
        <f t="shared" si="65"/>
        <v/>
      </c>
      <c r="AC203" s="11">
        <f t="shared" si="66"/>
        <v>1</v>
      </c>
      <c r="AD203" s="7" t="e">
        <f t="shared" si="67"/>
        <v>#N/A</v>
      </c>
      <c r="AE203" s="7" t="e">
        <f t="shared" si="68"/>
        <v>#N/A</v>
      </c>
      <c r="AF203" s="7" t="e">
        <f t="shared" si="69"/>
        <v>#N/A</v>
      </c>
      <c r="AG203" s="472" t="e">
        <f>VLOOKUP(AI203,'排出係数(2017)'!$A$4:$I$1151,9,FALSE)</f>
        <v>#N/A</v>
      </c>
      <c r="AH203" s="12" t="str">
        <f t="shared" si="70"/>
        <v xml:space="preserve"> </v>
      </c>
      <c r="AI203" s="7" t="e">
        <f t="shared" si="85"/>
        <v>#N/A</v>
      </c>
      <c r="AJ203" s="7" t="e">
        <f t="shared" si="71"/>
        <v>#N/A</v>
      </c>
      <c r="AK203" s="472" t="e">
        <f>VLOOKUP(AI203,'排出係数(2017)'!$A$4:$I$1151,6,FALSE)</f>
        <v>#N/A</v>
      </c>
      <c r="AL203" s="7" t="e">
        <f t="shared" si="72"/>
        <v>#N/A</v>
      </c>
      <c r="AM203" s="7" t="e">
        <f t="shared" si="73"/>
        <v>#N/A</v>
      </c>
      <c r="AN203" s="472" t="e">
        <f>VLOOKUP(AI203,'排出係数(2017)'!$A$4:$I$1151,7,FALSE)</f>
        <v>#N/A</v>
      </c>
      <c r="AO203" s="7" t="e">
        <f t="shared" si="74"/>
        <v>#N/A</v>
      </c>
      <c r="AP203" s="7" t="e">
        <f t="shared" si="75"/>
        <v>#N/A</v>
      </c>
      <c r="AQ203" s="7" t="e">
        <f t="shared" si="86"/>
        <v>#N/A</v>
      </c>
      <c r="AR203" s="7">
        <f t="shared" si="76"/>
        <v>0</v>
      </c>
      <c r="AS203" s="7" t="e">
        <f t="shared" si="87"/>
        <v>#N/A</v>
      </c>
      <c r="AT203" s="7" t="str">
        <f t="shared" si="77"/>
        <v/>
      </c>
      <c r="AU203" s="7" t="str">
        <f t="shared" si="78"/>
        <v/>
      </c>
      <c r="AV203" s="7" t="str">
        <f t="shared" si="79"/>
        <v/>
      </c>
      <c r="AW203" s="7" t="str">
        <f t="shared" si="80"/>
        <v/>
      </c>
      <c r="AX203" s="97"/>
      <c r="BD203" s="453" t="s">
        <v>112</v>
      </c>
      <c r="CG203"/>
      <c r="CH203"/>
      <c r="CK203" s="592" t="str">
        <f t="shared" si="88"/>
        <v/>
      </c>
      <c r="CL203" s="421" t="str">
        <f t="shared" si="89"/>
        <v/>
      </c>
      <c r="CM203" s="594"/>
      <c r="CN203" s="594"/>
      <c r="CO203" s="594"/>
      <c r="CP203" s="594"/>
      <c r="CQ203" s="594"/>
      <c r="CR203" s="594"/>
    </row>
    <row r="204" spans="1:96" s="13" customFormat="1" ht="13.75" customHeight="1">
      <c r="A204" s="137">
        <v>189</v>
      </c>
      <c r="B204" s="138"/>
      <c r="C204" s="139"/>
      <c r="D204" s="140"/>
      <c r="E204" s="139"/>
      <c r="F204" s="139"/>
      <c r="G204" s="191"/>
      <c r="H204" s="139"/>
      <c r="I204" s="141"/>
      <c r="J204" s="142"/>
      <c r="K204" s="139"/>
      <c r="L204" s="147"/>
      <c r="M204" s="148"/>
      <c r="N204" s="139"/>
      <c r="O204" s="589"/>
      <c r="P204" s="229" t="str">
        <f t="shared" si="81"/>
        <v/>
      </c>
      <c r="Q204" s="229" t="str">
        <f t="shared" si="82"/>
        <v/>
      </c>
      <c r="R204" s="230" t="str">
        <f t="shared" si="83"/>
        <v/>
      </c>
      <c r="S204" s="230" t="str">
        <f t="shared" si="84"/>
        <v/>
      </c>
      <c r="T204" s="351"/>
      <c r="U204" s="43"/>
      <c r="V204" s="42" t="str">
        <f t="shared" si="60"/>
        <v/>
      </c>
      <c r="W204" s="42" t="e">
        <f>IF(#REF!="","",#REF!)</f>
        <v>#REF!</v>
      </c>
      <c r="X204" s="31" t="str">
        <f t="shared" si="61"/>
        <v/>
      </c>
      <c r="Y204" s="7" t="e">
        <f t="shared" si="62"/>
        <v>#N/A</v>
      </c>
      <c r="Z204" s="7" t="e">
        <f t="shared" si="63"/>
        <v>#N/A</v>
      </c>
      <c r="AA204" s="7" t="e">
        <f t="shared" si="64"/>
        <v>#N/A</v>
      </c>
      <c r="AB204" s="7" t="str">
        <f t="shared" si="65"/>
        <v/>
      </c>
      <c r="AC204" s="11">
        <f t="shared" si="66"/>
        <v>1</v>
      </c>
      <c r="AD204" s="7" t="e">
        <f t="shared" si="67"/>
        <v>#N/A</v>
      </c>
      <c r="AE204" s="7" t="e">
        <f t="shared" si="68"/>
        <v>#N/A</v>
      </c>
      <c r="AF204" s="7" t="e">
        <f t="shared" si="69"/>
        <v>#N/A</v>
      </c>
      <c r="AG204" s="472" t="e">
        <f>VLOOKUP(AI204,'排出係数(2017)'!$A$4:$I$1151,9,FALSE)</f>
        <v>#N/A</v>
      </c>
      <c r="AH204" s="12" t="str">
        <f t="shared" si="70"/>
        <v xml:space="preserve"> </v>
      </c>
      <c r="AI204" s="7" t="e">
        <f t="shared" si="85"/>
        <v>#N/A</v>
      </c>
      <c r="AJ204" s="7" t="e">
        <f t="shared" si="71"/>
        <v>#N/A</v>
      </c>
      <c r="AK204" s="472" t="e">
        <f>VLOOKUP(AI204,'排出係数(2017)'!$A$4:$I$1151,6,FALSE)</f>
        <v>#N/A</v>
      </c>
      <c r="AL204" s="7" t="e">
        <f t="shared" si="72"/>
        <v>#N/A</v>
      </c>
      <c r="AM204" s="7" t="e">
        <f t="shared" si="73"/>
        <v>#N/A</v>
      </c>
      <c r="AN204" s="472" t="e">
        <f>VLOOKUP(AI204,'排出係数(2017)'!$A$4:$I$1151,7,FALSE)</f>
        <v>#N/A</v>
      </c>
      <c r="AO204" s="7" t="e">
        <f t="shared" si="74"/>
        <v>#N/A</v>
      </c>
      <c r="AP204" s="7" t="e">
        <f t="shared" si="75"/>
        <v>#N/A</v>
      </c>
      <c r="AQ204" s="7" t="e">
        <f t="shared" si="86"/>
        <v>#N/A</v>
      </c>
      <c r="AR204" s="7">
        <f t="shared" si="76"/>
        <v>0</v>
      </c>
      <c r="AS204" s="7" t="e">
        <f t="shared" si="87"/>
        <v>#N/A</v>
      </c>
      <c r="AT204" s="7" t="str">
        <f t="shared" si="77"/>
        <v/>
      </c>
      <c r="AU204" s="7" t="str">
        <f t="shared" si="78"/>
        <v/>
      </c>
      <c r="AV204" s="7" t="str">
        <f t="shared" si="79"/>
        <v/>
      </c>
      <c r="AW204" s="7" t="str">
        <f t="shared" si="80"/>
        <v/>
      </c>
      <c r="AX204" s="97"/>
      <c r="BD204" s="453" t="s">
        <v>113</v>
      </c>
      <c r="CG204"/>
      <c r="CH204"/>
      <c r="CK204" s="592" t="str">
        <f t="shared" si="88"/>
        <v/>
      </c>
      <c r="CL204" s="421" t="str">
        <f t="shared" si="89"/>
        <v/>
      </c>
      <c r="CM204" s="594"/>
      <c r="CN204" s="594"/>
      <c r="CO204" s="594"/>
      <c r="CP204" s="594"/>
      <c r="CQ204" s="594"/>
      <c r="CR204" s="594"/>
    </row>
    <row r="205" spans="1:96" s="13" customFormat="1" ht="13.75" customHeight="1">
      <c r="A205" s="137">
        <v>190</v>
      </c>
      <c r="B205" s="138"/>
      <c r="C205" s="139"/>
      <c r="D205" s="140"/>
      <c r="E205" s="139"/>
      <c r="F205" s="139"/>
      <c r="G205" s="191"/>
      <c r="H205" s="139"/>
      <c r="I205" s="141"/>
      <c r="J205" s="142"/>
      <c r="K205" s="139"/>
      <c r="L205" s="147"/>
      <c r="M205" s="148"/>
      <c r="N205" s="139"/>
      <c r="O205" s="589"/>
      <c r="P205" s="229" t="str">
        <f t="shared" si="81"/>
        <v/>
      </c>
      <c r="Q205" s="229" t="str">
        <f t="shared" si="82"/>
        <v/>
      </c>
      <c r="R205" s="230" t="str">
        <f t="shared" si="83"/>
        <v/>
      </c>
      <c r="S205" s="230" t="str">
        <f t="shared" si="84"/>
        <v/>
      </c>
      <c r="T205" s="351"/>
      <c r="U205" s="43"/>
      <c r="V205" s="42" t="str">
        <f t="shared" si="60"/>
        <v/>
      </c>
      <c r="W205" s="42" t="e">
        <f>IF(#REF!="","",#REF!)</f>
        <v>#REF!</v>
      </c>
      <c r="X205" s="31" t="str">
        <f t="shared" si="61"/>
        <v/>
      </c>
      <c r="Y205" s="7" t="e">
        <f t="shared" si="62"/>
        <v>#N/A</v>
      </c>
      <c r="Z205" s="7" t="e">
        <f t="shared" si="63"/>
        <v>#N/A</v>
      </c>
      <c r="AA205" s="7" t="e">
        <f t="shared" si="64"/>
        <v>#N/A</v>
      </c>
      <c r="AB205" s="7" t="str">
        <f t="shared" si="65"/>
        <v/>
      </c>
      <c r="AC205" s="11">
        <f t="shared" si="66"/>
        <v>1</v>
      </c>
      <c r="AD205" s="7" t="e">
        <f t="shared" si="67"/>
        <v>#N/A</v>
      </c>
      <c r="AE205" s="7" t="e">
        <f t="shared" si="68"/>
        <v>#N/A</v>
      </c>
      <c r="AF205" s="7" t="e">
        <f t="shared" si="69"/>
        <v>#N/A</v>
      </c>
      <c r="AG205" s="472" t="e">
        <f>VLOOKUP(AI205,'排出係数(2017)'!$A$4:$I$1151,9,FALSE)</f>
        <v>#N/A</v>
      </c>
      <c r="AH205" s="12" t="str">
        <f t="shared" si="70"/>
        <v xml:space="preserve"> </v>
      </c>
      <c r="AI205" s="7" t="e">
        <f t="shared" si="85"/>
        <v>#N/A</v>
      </c>
      <c r="AJ205" s="7" t="e">
        <f t="shared" si="71"/>
        <v>#N/A</v>
      </c>
      <c r="AK205" s="472" t="e">
        <f>VLOOKUP(AI205,'排出係数(2017)'!$A$4:$I$1151,6,FALSE)</f>
        <v>#N/A</v>
      </c>
      <c r="AL205" s="7" t="e">
        <f t="shared" si="72"/>
        <v>#N/A</v>
      </c>
      <c r="AM205" s="7" t="e">
        <f t="shared" si="73"/>
        <v>#N/A</v>
      </c>
      <c r="AN205" s="472" t="e">
        <f>VLOOKUP(AI205,'排出係数(2017)'!$A$4:$I$1151,7,FALSE)</f>
        <v>#N/A</v>
      </c>
      <c r="AO205" s="7" t="e">
        <f t="shared" si="74"/>
        <v>#N/A</v>
      </c>
      <c r="AP205" s="7" t="e">
        <f t="shared" si="75"/>
        <v>#N/A</v>
      </c>
      <c r="AQ205" s="7" t="e">
        <f t="shared" si="86"/>
        <v>#N/A</v>
      </c>
      <c r="AR205" s="7">
        <f t="shared" si="76"/>
        <v>0</v>
      </c>
      <c r="AS205" s="7" t="e">
        <f t="shared" si="87"/>
        <v>#N/A</v>
      </c>
      <c r="AT205" s="7" t="str">
        <f t="shared" si="77"/>
        <v/>
      </c>
      <c r="AU205" s="7" t="str">
        <f t="shared" si="78"/>
        <v/>
      </c>
      <c r="AV205" s="7" t="str">
        <f t="shared" si="79"/>
        <v/>
      </c>
      <c r="AW205" s="7" t="str">
        <f t="shared" si="80"/>
        <v/>
      </c>
      <c r="AX205" s="97"/>
      <c r="BD205" s="453" t="s">
        <v>114</v>
      </c>
      <c r="CG205"/>
      <c r="CH205"/>
      <c r="CK205" s="592" t="str">
        <f t="shared" si="88"/>
        <v/>
      </c>
      <c r="CL205" s="421" t="str">
        <f t="shared" si="89"/>
        <v/>
      </c>
      <c r="CM205" s="594"/>
      <c r="CN205" s="594"/>
      <c r="CO205" s="594"/>
      <c r="CP205" s="594"/>
      <c r="CQ205" s="594"/>
      <c r="CR205" s="594"/>
    </row>
    <row r="206" spans="1:96" s="13" customFormat="1" ht="13.75" customHeight="1">
      <c r="A206" s="137">
        <v>191</v>
      </c>
      <c r="B206" s="138"/>
      <c r="C206" s="139"/>
      <c r="D206" s="140"/>
      <c r="E206" s="139"/>
      <c r="F206" s="139"/>
      <c r="G206" s="191"/>
      <c r="H206" s="139"/>
      <c r="I206" s="141"/>
      <c r="J206" s="142"/>
      <c r="K206" s="139"/>
      <c r="L206" s="147"/>
      <c r="M206" s="148"/>
      <c r="N206" s="139"/>
      <c r="O206" s="589"/>
      <c r="P206" s="229" t="str">
        <f t="shared" si="81"/>
        <v/>
      </c>
      <c r="Q206" s="229" t="str">
        <f t="shared" si="82"/>
        <v/>
      </c>
      <c r="R206" s="230" t="str">
        <f t="shared" si="83"/>
        <v/>
      </c>
      <c r="S206" s="230" t="str">
        <f t="shared" si="84"/>
        <v/>
      </c>
      <c r="T206" s="351"/>
      <c r="U206" s="43"/>
      <c r="V206" s="42" t="str">
        <f t="shared" si="60"/>
        <v/>
      </c>
      <c r="W206" s="42" t="e">
        <f>IF(#REF!="","",#REF!)</f>
        <v>#REF!</v>
      </c>
      <c r="X206" s="31" t="str">
        <f t="shared" si="61"/>
        <v/>
      </c>
      <c r="Y206" s="7" t="e">
        <f t="shared" si="62"/>
        <v>#N/A</v>
      </c>
      <c r="Z206" s="7" t="e">
        <f t="shared" si="63"/>
        <v>#N/A</v>
      </c>
      <c r="AA206" s="7" t="e">
        <f t="shared" si="64"/>
        <v>#N/A</v>
      </c>
      <c r="AB206" s="7" t="str">
        <f t="shared" si="65"/>
        <v/>
      </c>
      <c r="AC206" s="11">
        <f t="shared" si="66"/>
        <v>1</v>
      </c>
      <c r="AD206" s="7" t="e">
        <f t="shared" si="67"/>
        <v>#N/A</v>
      </c>
      <c r="AE206" s="7" t="e">
        <f t="shared" si="68"/>
        <v>#N/A</v>
      </c>
      <c r="AF206" s="7" t="e">
        <f t="shared" si="69"/>
        <v>#N/A</v>
      </c>
      <c r="AG206" s="472" t="e">
        <f>VLOOKUP(AI206,'排出係数(2017)'!$A$4:$I$1151,9,FALSE)</f>
        <v>#N/A</v>
      </c>
      <c r="AH206" s="12" t="str">
        <f t="shared" si="70"/>
        <v xml:space="preserve"> </v>
      </c>
      <c r="AI206" s="7" t="e">
        <f t="shared" si="85"/>
        <v>#N/A</v>
      </c>
      <c r="AJ206" s="7" t="e">
        <f t="shared" si="71"/>
        <v>#N/A</v>
      </c>
      <c r="AK206" s="472" t="e">
        <f>VLOOKUP(AI206,'排出係数(2017)'!$A$4:$I$1151,6,FALSE)</f>
        <v>#N/A</v>
      </c>
      <c r="AL206" s="7" t="e">
        <f t="shared" si="72"/>
        <v>#N/A</v>
      </c>
      <c r="AM206" s="7" t="e">
        <f t="shared" si="73"/>
        <v>#N/A</v>
      </c>
      <c r="AN206" s="472" t="e">
        <f>VLOOKUP(AI206,'排出係数(2017)'!$A$4:$I$1151,7,FALSE)</f>
        <v>#N/A</v>
      </c>
      <c r="AO206" s="7" t="e">
        <f t="shared" si="74"/>
        <v>#N/A</v>
      </c>
      <c r="AP206" s="7" t="e">
        <f t="shared" si="75"/>
        <v>#N/A</v>
      </c>
      <c r="AQ206" s="7" t="e">
        <f t="shared" si="86"/>
        <v>#N/A</v>
      </c>
      <c r="AR206" s="7">
        <f t="shared" si="76"/>
        <v>0</v>
      </c>
      <c r="AS206" s="7" t="e">
        <f t="shared" si="87"/>
        <v>#N/A</v>
      </c>
      <c r="AT206" s="7" t="str">
        <f t="shared" si="77"/>
        <v/>
      </c>
      <c r="AU206" s="7" t="str">
        <f t="shared" si="78"/>
        <v/>
      </c>
      <c r="AV206" s="7" t="str">
        <f t="shared" si="79"/>
        <v/>
      </c>
      <c r="AW206" s="7" t="str">
        <f t="shared" si="80"/>
        <v/>
      </c>
      <c r="AX206" s="97"/>
      <c r="BD206" s="453" t="s">
        <v>115</v>
      </c>
      <c r="CG206"/>
      <c r="CH206"/>
      <c r="CK206" s="592" t="str">
        <f t="shared" si="88"/>
        <v/>
      </c>
      <c r="CL206" s="421" t="str">
        <f t="shared" si="89"/>
        <v/>
      </c>
      <c r="CM206" s="594"/>
      <c r="CN206" s="594"/>
      <c r="CO206" s="594"/>
      <c r="CP206" s="594"/>
      <c r="CQ206" s="594"/>
      <c r="CR206" s="594"/>
    </row>
    <row r="207" spans="1:96" s="13" customFormat="1" ht="13.75" customHeight="1">
      <c r="A207" s="137">
        <v>192</v>
      </c>
      <c r="B207" s="138"/>
      <c r="C207" s="139"/>
      <c r="D207" s="140"/>
      <c r="E207" s="139"/>
      <c r="F207" s="139"/>
      <c r="G207" s="191"/>
      <c r="H207" s="139"/>
      <c r="I207" s="141"/>
      <c r="J207" s="142"/>
      <c r="K207" s="139"/>
      <c r="L207" s="147"/>
      <c r="M207" s="148"/>
      <c r="N207" s="139"/>
      <c r="O207" s="589"/>
      <c r="P207" s="229" t="str">
        <f t="shared" si="81"/>
        <v/>
      </c>
      <c r="Q207" s="229" t="str">
        <f t="shared" si="82"/>
        <v/>
      </c>
      <c r="R207" s="230" t="str">
        <f t="shared" si="83"/>
        <v/>
      </c>
      <c r="S207" s="230" t="str">
        <f t="shared" si="84"/>
        <v/>
      </c>
      <c r="T207" s="351"/>
      <c r="U207" s="43"/>
      <c r="V207" s="42" t="str">
        <f t="shared" si="60"/>
        <v/>
      </c>
      <c r="W207" s="42" t="e">
        <f>IF(#REF!="","",#REF!)</f>
        <v>#REF!</v>
      </c>
      <c r="X207" s="31" t="str">
        <f t="shared" si="61"/>
        <v/>
      </c>
      <c r="Y207" s="7" t="e">
        <f t="shared" si="62"/>
        <v>#N/A</v>
      </c>
      <c r="Z207" s="7" t="e">
        <f t="shared" si="63"/>
        <v>#N/A</v>
      </c>
      <c r="AA207" s="7" t="e">
        <f t="shared" si="64"/>
        <v>#N/A</v>
      </c>
      <c r="AB207" s="7" t="str">
        <f t="shared" si="65"/>
        <v/>
      </c>
      <c r="AC207" s="11">
        <f t="shared" si="66"/>
        <v>1</v>
      </c>
      <c r="AD207" s="7" t="e">
        <f t="shared" si="67"/>
        <v>#N/A</v>
      </c>
      <c r="AE207" s="7" t="e">
        <f t="shared" si="68"/>
        <v>#N/A</v>
      </c>
      <c r="AF207" s="7" t="e">
        <f t="shared" si="69"/>
        <v>#N/A</v>
      </c>
      <c r="AG207" s="472" t="e">
        <f>VLOOKUP(AI207,'排出係数(2017)'!$A$4:$I$1151,9,FALSE)</f>
        <v>#N/A</v>
      </c>
      <c r="AH207" s="12" t="str">
        <f t="shared" si="70"/>
        <v xml:space="preserve"> </v>
      </c>
      <c r="AI207" s="7" t="e">
        <f t="shared" si="85"/>
        <v>#N/A</v>
      </c>
      <c r="AJ207" s="7" t="e">
        <f t="shared" si="71"/>
        <v>#N/A</v>
      </c>
      <c r="AK207" s="472" t="e">
        <f>VLOOKUP(AI207,'排出係数(2017)'!$A$4:$I$1151,6,FALSE)</f>
        <v>#N/A</v>
      </c>
      <c r="AL207" s="7" t="e">
        <f t="shared" si="72"/>
        <v>#N/A</v>
      </c>
      <c r="AM207" s="7" t="e">
        <f t="shared" si="73"/>
        <v>#N/A</v>
      </c>
      <c r="AN207" s="472" t="e">
        <f>VLOOKUP(AI207,'排出係数(2017)'!$A$4:$I$1151,7,FALSE)</f>
        <v>#N/A</v>
      </c>
      <c r="AO207" s="7" t="e">
        <f t="shared" si="74"/>
        <v>#N/A</v>
      </c>
      <c r="AP207" s="7" t="e">
        <f t="shared" si="75"/>
        <v>#N/A</v>
      </c>
      <c r="AQ207" s="7" t="e">
        <f t="shared" si="86"/>
        <v>#N/A</v>
      </c>
      <c r="AR207" s="7">
        <f t="shared" si="76"/>
        <v>0</v>
      </c>
      <c r="AS207" s="7" t="e">
        <f t="shared" si="87"/>
        <v>#N/A</v>
      </c>
      <c r="AT207" s="7" t="str">
        <f t="shared" si="77"/>
        <v/>
      </c>
      <c r="AU207" s="7" t="str">
        <f t="shared" si="78"/>
        <v/>
      </c>
      <c r="AV207" s="7" t="str">
        <f t="shared" si="79"/>
        <v/>
      </c>
      <c r="AW207" s="7" t="str">
        <f t="shared" si="80"/>
        <v/>
      </c>
      <c r="AX207" s="97"/>
      <c r="BD207" s="453" t="s">
        <v>116</v>
      </c>
      <c r="CG207"/>
      <c r="CH207"/>
      <c r="CK207" s="592" t="str">
        <f t="shared" si="88"/>
        <v/>
      </c>
      <c r="CL207" s="421" t="str">
        <f t="shared" si="89"/>
        <v/>
      </c>
      <c r="CM207" s="594"/>
      <c r="CN207" s="594"/>
      <c r="CO207" s="594"/>
      <c r="CP207" s="594"/>
      <c r="CQ207" s="594"/>
      <c r="CR207" s="594"/>
    </row>
    <row r="208" spans="1:96" s="13" customFormat="1" ht="13.75" customHeight="1">
      <c r="A208" s="137">
        <v>193</v>
      </c>
      <c r="B208" s="138"/>
      <c r="C208" s="139"/>
      <c r="D208" s="140"/>
      <c r="E208" s="139"/>
      <c r="F208" s="139"/>
      <c r="G208" s="191"/>
      <c r="H208" s="139"/>
      <c r="I208" s="141"/>
      <c r="J208" s="142"/>
      <c r="K208" s="139"/>
      <c r="L208" s="147"/>
      <c r="M208" s="148"/>
      <c r="N208" s="139"/>
      <c r="O208" s="589"/>
      <c r="P208" s="229" t="str">
        <f t="shared" si="81"/>
        <v/>
      </c>
      <c r="Q208" s="229" t="str">
        <f t="shared" si="82"/>
        <v/>
      </c>
      <c r="R208" s="230" t="str">
        <f t="shared" si="83"/>
        <v/>
      </c>
      <c r="S208" s="230" t="str">
        <f t="shared" si="84"/>
        <v/>
      </c>
      <c r="T208" s="351"/>
      <c r="U208" s="43"/>
      <c r="V208" s="42" t="str">
        <f t="shared" ref="V208:V271" si="90">IF(O208="","",O208)</f>
        <v/>
      </c>
      <c r="W208" s="42" t="e">
        <f>IF(#REF!="","",#REF!)</f>
        <v>#REF!</v>
      </c>
      <c r="X208" s="31" t="str">
        <f t="shared" ref="X208:X271" si="91">IF(ISBLANK(H208)=TRUE,"",IF(OR(ISBLANK(B208)=TRUE),1,""))</f>
        <v/>
      </c>
      <c r="Y208" s="7" t="e">
        <f t="shared" ref="Y208:Y271" si="92">VLOOKUP(H208,$AY$17:$BB$23,2,FALSE)</f>
        <v>#N/A</v>
      </c>
      <c r="Z208" s="7" t="e">
        <f t="shared" ref="Z208:Z271" si="93">VLOOKUP(H208,$AY$17:$BB$23,3,FALSE)</f>
        <v>#N/A</v>
      </c>
      <c r="AA208" s="7" t="e">
        <f t="shared" ref="AA208:AA271" si="94">VLOOKUP(H208,$AY$17:$BB$23,4,FALSE)</f>
        <v>#N/A</v>
      </c>
      <c r="AB208" s="7" t="str">
        <f t="shared" ref="AB208:AB271" si="95">IF(ISERROR(SEARCH("-",I208,1))=TRUE,ASC(UPPER(I208)),ASC(UPPER(LEFT(I208,SEARCH("-",I208,1)-1))))</f>
        <v/>
      </c>
      <c r="AC208" s="11">
        <f t="shared" ref="AC208:AC271" si="96">IF(J208&gt;3500,J208/1000,1)</f>
        <v>1</v>
      </c>
      <c r="AD208" s="7" t="e">
        <f t="shared" ref="AD208:AD271" si="97">IF(AA208=9,0,IF(J208&lt;=1700,1,IF(J208&lt;=2500,2,IF(J208&lt;=3500,3,4))))</f>
        <v>#N/A</v>
      </c>
      <c r="AE208" s="7" t="e">
        <f t="shared" ref="AE208:AE271" si="98">IF(AA208=5,0,IF(AA208=9,0,IF(J208&lt;=1700,1,IF(J208&lt;=2500,2,IF(J208&lt;=3500,3,4)))))</f>
        <v>#N/A</v>
      </c>
      <c r="AF208" s="7" t="e">
        <f t="shared" ref="AF208:AF271" si="99">VLOOKUP(K208,$BG$17:$BH$25,2,FALSE)</f>
        <v>#N/A</v>
      </c>
      <c r="AG208" s="472" t="e">
        <f>VLOOKUP(AI208,'排出係数(2017)'!$A$4:$I$1151,9,FALSE)</f>
        <v>#N/A</v>
      </c>
      <c r="AH208" s="12" t="str">
        <f t="shared" ref="AH208:AH271" si="100">IF(OR(ISBLANK(K208)=TRUE,ISBLANK(B208)=TRUE)," ",CONCATENATE(B208,AA208,AD208))</f>
        <v xml:space="preserve"> </v>
      </c>
      <c r="AI208" s="7" t="e">
        <f t="shared" si="85"/>
        <v>#N/A</v>
      </c>
      <c r="AJ208" s="7" t="e">
        <f t="shared" ref="AJ208:AJ271" si="101">IF(AND(L208="あり",AF208="軽"),AL208,AK208)</f>
        <v>#N/A</v>
      </c>
      <c r="AK208" s="472" t="e">
        <f>VLOOKUP(AI208,'排出係数(2017)'!$A$4:$I$1151,6,FALSE)</f>
        <v>#N/A</v>
      </c>
      <c r="AL208" s="7" t="e">
        <f t="shared" ref="AL208:AL271" si="102">VLOOKUP(AE208,$BU$17:$BY$21,2,FALSE)</f>
        <v>#N/A</v>
      </c>
      <c r="AM208" s="7" t="e">
        <f t="shared" ref="AM208:AM271" si="103">IF(AND(L208="あり",M208="なし",AF208="軽"),AO208,IF(AND(L208="あり",M208="あり(H17なし)",AF208="軽"),AO208,IF(AND(L208="あり",M208="",AF208="軽"),AO208,IF(AND(L208="なし",M208="あり(H17なし)",AF208="軽"),AP208,IF(AND(L208="",M208="あり(H17なし)",AF208="軽"),AP208,IF(AND(M208="あり(H17あり)",AF208="軽"),AQ208,AN208))))))</f>
        <v>#N/A</v>
      </c>
      <c r="AN208" s="472" t="e">
        <f>VLOOKUP(AI208,'排出係数(2017)'!$A$4:$I$1151,7,FALSE)</f>
        <v>#N/A</v>
      </c>
      <c r="AO208" s="7" t="e">
        <f t="shared" ref="AO208:AO271" si="104">VLOOKUP(AE208,$BU$17:$BY$21,3,FALSE)</f>
        <v>#N/A</v>
      </c>
      <c r="AP208" s="7" t="e">
        <f t="shared" ref="AP208:AP271" si="105">VLOOKUP(AE208,$BU$17:$BY$21,4,FALSE)</f>
        <v>#N/A</v>
      </c>
      <c r="AQ208" s="7" t="e">
        <f t="shared" si="86"/>
        <v>#N/A</v>
      </c>
      <c r="AR208" s="7">
        <f t="shared" ref="AR208:AR271" si="106">IF(AND(L208="なし",M208="なし"),0,IF(AND(L208="",M208=""),0,IF(AND(L208="",M208="なし"),0,IF(AND(L208="なし",M208=""),0,1))))</f>
        <v>0</v>
      </c>
      <c r="AS208" s="7" t="e">
        <f t="shared" si="87"/>
        <v>#N/A</v>
      </c>
      <c r="AT208" s="7" t="str">
        <f t="shared" ref="AT208:AT271" si="107">IF(H208="","",VLOOKUP(H208,$AY$17:$BC$25,5,FALSE))</f>
        <v/>
      </c>
      <c r="AU208" s="7" t="str">
        <f t="shared" ref="AU208:AU271" si="108">IF(D208="","",VLOOKUP(CONCATENATE("A",LEFT(D208)),$BR$17:$BS$26,2,FALSE))</f>
        <v/>
      </c>
      <c r="AV208" s="7" t="str">
        <f t="shared" ref="AV208:AV271" si="109">IF(AT208=AU208,"",1)</f>
        <v/>
      </c>
      <c r="AW208" s="7" t="str">
        <f t="shared" ref="AW208:AW271" si="110">CONCATENATE(C208,D208,E208,F208)</f>
        <v/>
      </c>
      <c r="AX208" s="97"/>
      <c r="BD208" s="453" t="s">
        <v>117</v>
      </c>
      <c r="CG208"/>
      <c r="CH208"/>
      <c r="CK208" s="592" t="str">
        <f t="shared" si="88"/>
        <v/>
      </c>
      <c r="CL208" s="421" t="str">
        <f t="shared" si="89"/>
        <v/>
      </c>
      <c r="CM208" s="594"/>
      <c r="CN208" s="594"/>
      <c r="CO208" s="594"/>
      <c r="CP208" s="594"/>
      <c r="CQ208" s="594"/>
      <c r="CR208" s="594"/>
    </row>
    <row r="209" spans="1:96" s="13" customFormat="1" ht="13.75" customHeight="1">
      <c r="A209" s="137">
        <v>194</v>
      </c>
      <c r="B209" s="138"/>
      <c r="C209" s="139"/>
      <c r="D209" s="140"/>
      <c r="E209" s="139"/>
      <c r="F209" s="139"/>
      <c r="G209" s="191"/>
      <c r="H209" s="139"/>
      <c r="I209" s="141"/>
      <c r="J209" s="142"/>
      <c r="K209" s="139"/>
      <c r="L209" s="147"/>
      <c r="M209" s="148"/>
      <c r="N209" s="139"/>
      <c r="O209" s="589"/>
      <c r="P209" s="229" t="str">
        <f t="shared" ref="P209:P272" si="111">IF(ISBLANK(K209)=TRUE,"",IF(ISNUMBER(AJ209)=TRUE,AJ209,"0"))</f>
        <v/>
      </c>
      <c r="Q209" s="229" t="str">
        <f t="shared" ref="Q209:Q272" si="112">IF(ISBLANK(K209)=TRUE,"",IF(ISNUMBER(AM209)=TRUE,AM209,"0"))</f>
        <v/>
      </c>
      <c r="R209" s="230" t="str">
        <f t="shared" ref="R209:R272" si="113">IF(P209="","",IF(ISERROR(P209*V209*AC209),"0",IF(ISBLANK(V209)=TRUE,"0",IF(ISBLANK(P209)=TRUE,"0",IF(AV209=1,"0",P209*AC209*V209/1000)))))</f>
        <v/>
      </c>
      <c r="S209" s="230" t="str">
        <f t="shared" ref="S209:S272" si="114">IF(Q209="","",IF(ISERROR(Q209*V209*AC209),"0",IF(ISBLANK(V209)=TRUE,"0",IF(ISBLANK(Q209)=TRUE,"0",IF(AV209=1,"0",Q209*AC209*V209/1000)))))</f>
        <v/>
      </c>
      <c r="T209" s="351"/>
      <c r="U209" s="43"/>
      <c r="V209" s="42" t="str">
        <f t="shared" si="90"/>
        <v/>
      </c>
      <c r="W209" s="42" t="e">
        <f>IF(#REF!="","",#REF!)</f>
        <v>#REF!</v>
      </c>
      <c r="X209" s="31" t="str">
        <f t="shared" si="91"/>
        <v/>
      </c>
      <c r="Y209" s="7" t="e">
        <f t="shared" si="92"/>
        <v>#N/A</v>
      </c>
      <c r="Z209" s="7" t="e">
        <f t="shared" si="93"/>
        <v>#N/A</v>
      </c>
      <c r="AA209" s="7" t="e">
        <f t="shared" si="94"/>
        <v>#N/A</v>
      </c>
      <c r="AB209" s="7" t="str">
        <f t="shared" si="95"/>
        <v/>
      </c>
      <c r="AC209" s="11">
        <f t="shared" si="96"/>
        <v>1</v>
      </c>
      <c r="AD209" s="7" t="e">
        <f t="shared" si="97"/>
        <v>#N/A</v>
      </c>
      <c r="AE209" s="7" t="e">
        <f t="shared" si="98"/>
        <v>#N/A</v>
      </c>
      <c r="AF209" s="7" t="e">
        <f t="shared" si="99"/>
        <v>#N/A</v>
      </c>
      <c r="AG209" s="472" t="e">
        <f>VLOOKUP(AI209,'排出係数(2017)'!$A$4:$I$1151,9,FALSE)</f>
        <v>#N/A</v>
      </c>
      <c r="AH209" s="12" t="str">
        <f t="shared" si="100"/>
        <v xml:space="preserve"> </v>
      </c>
      <c r="AI209" s="7" t="e">
        <f t="shared" ref="AI209:AI272" si="115">CONCATENATE(Y209,AE209,AF209,AB209)</f>
        <v>#N/A</v>
      </c>
      <c r="AJ209" s="7" t="e">
        <f t="shared" si="101"/>
        <v>#N/A</v>
      </c>
      <c r="AK209" s="472" t="e">
        <f>VLOOKUP(AI209,'排出係数(2017)'!$A$4:$I$1151,6,FALSE)</f>
        <v>#N/A</v>
      </c>
      <c r="AL209" s="7" t="e">
        <f t="shared" si="102"/>
        <v>#N/A</v>
      </c>
      <c r="AM209" s="7" t="e">
        <f t="shared" si="103"/>
        <v>#N/A</v>
      </c>
      <c r="AN209" s="472" t="e">
        <f>VLOOKUP(AI209,'排出係数(2017)'!$A$4:$I$1151,7,FALSE)</f>
        <v>#N/A</v>
      </c>
      <c r="AO209" s="7" t="e">
        <f t="shared" si="104"/>
        <v>#N/A</v>
      </c>
      <c r="AP209" s="7" t="e">
        <f t="shared" si="105"/>
        <v>#N/A</v>
      </c>
      <c r="AQ209" s="7" t="e">
        <f t="shared" ref="AQ209:AQ272" si="116">VLOOKUP(AE209,$BU$17:$BY$21,5,FALSE)</f>
        <v>#N/A</v>
      </c>
      <c r="AR209" s="7">
        <f t="shared" si="106"/>
        <v>0</v>
      </c>
      <c r="AS209" s="7" t="e">
        <f t="shared" ref="AS209:AS272" si="117">VLOOKUP(AI209,排出係数表,8,FALSE)</f>
        <v>#N/A</v>
      </c>
      <c r="AT209" s="7" t="str">
        <f t="shared" si="107"/>
        <v/>
      </c>
      <c r="AU209" s="7" t="str">
        <f t="shared" si="108"/>
        <v/>
      </c>
      <c r="AV209" s="7" t="str">
        <f t="shared" si="109"/>
        <v/>
      </c>
      <c r="AW209" s="7" t="str">
        <f t="shared" si="110"/>
        <v/>
      </c>
      <c r="AX209" s="97"/>
      <c r="BD209" s="453" t="s">
        <v>7</v>
      </c>
      <c r="CG209"/>
      <c r="CH209"/>
      <c r="CK209" s="592" t="str">
        <f t="shared" ref="CK209:CK272" si="118">IF(COUNTA(B209:F209,H209:K209)&gt;0,IF(OR(ISNUMBER(AK209)=FALSE,ISNUMBER(AN209)=FALSE,COUNTA(B209:F209,H209:K209)&lt;9),"×","〇"),"")</f>
        <v/>
      </c>
      <c r="CL209" s="421" t="str">
        <f t="shared" ref="CL209:CL272" si="119">IF(T209="廃止","※前年度に「廃止」報告をした自動車はその行を空白にしてください。",IF(T209="新規かつ廃止","※「新規」と「廃止」の両方に該当する自動車かご確認ください。",""))</f>
        <v/>
      </c>
      <c r="CM209" s="594"/>
      <c r="CN209" s="594"/>
      <c r="CO209" s="594"/>
      <c r="CP209" s="594"/>
      <c r="CQ209" s="594"/>
      <c r="CR209" s="594"/>
    </row>
    <row r="210" spans="1:96" s="13" customFormat="1" ht="13.75" customHeight="1">
      <c r="A210" s="137">
        <v>195</v>
      </c>
      <c r="B210" s="138"/>
      <c r="C210" s="139"/>
      <c r="D210" s="140"/>
      <c r="E210" s="139"/>
      <c r="F210" s="139"/>
      <c r="G210" s="191"/>
      <c r="H210" s="139"/>
      <c r="I210" s="141"/>
      <c r="J210" s="142"/>
      <c r="K210" s="139"/>
      <c r="L210" s="147"/>
      <c r="M210" s="148"/>
      <c r="N210" s="139"/>
      <c r="O210" s="589"/>
      <c r="P210" s="229" t="str">
        <f t="shared" si="111"/>
        <v/>
      </c>
      <c r="Q210" s="229" t="str">
        <f t="shared" si="112"/>
        <v/>
      </c>
      <c r="R210" s="230" t="str">
        <f t="shared" si="113"/>
        <v/>
      </c>
      <c r="S210" s="230" t="str">
        <f t="shared" si="114"/>
        <v/>
      </c>
      <c r="T210" s="351"/>
      <c r="U210" s="43"/>
      <c r="V210" s="42" t="str">
        <f t="shared" si="90"/>
        <v/>
      </c>
      <c r="W210" s="42" t="e">
        <f>IF(#REF!="","",#REF!)</f>
        <v>#REF!</v>
      </c>
      <c r="X210" s="31" t="str">
        <f t="shared" si="91"/>
        <v/>
      </c>
      <c r="Y210" s="7" t="e">
        <f t="shared" si="92"/>
        <v>#N/A</v>
      </c>
      <c r="Z210" s="7" t="e">
        <f t="shared" si="93"/>
        <v>#N/A</v>
      </c>
      <c r="AA210" s="7" t="e">
        <f t="shared" si="94"/>
        <v>#N/A</v>
      </c>
      <c r="AB210" s="7" t="str">
        <f t="shared" si="95"/>
        <v/>
      </c>
      <c r="AC210" s="11">
        <f t="shared" si="96"/>
        <v>1</v>
      </c>
      <c r="AD210" s="7" t="e">
        <f t="shared" si="97"/>
        <v>#N/A</v>
      </c>
      <c r="AE210" s="7" t="e">
        <f t="shared" si="98"/>
        <v>#N/A</v>
      </c>
      <c r="AF210" s="7" t="e">
        <f t="shared" si="99"/>
        <v>#N/A</v>
      </c>
      <c r="AG210" s="472" t="e">
        <f>VLOOKUP(AI210,'排出係数(2017)'!$A$4:$I$1151,9,FALSE)</f>
        <v>#N/A</v>
      </c>
      <c r="AH210" s="12" t="str">
        <f t="shared" si="100"/>
        <v xml:space="preserve"> </v>
      </c>
      <c r="AI210" s="7" t="e">
        <f t="shared" si="115"/>
        <v>#N/A</v>
      </c>
      <c r="AJ210" s="7" t="e">
        <f t="shared" si="101"/>
        <v>#N/A</v>
      </c>
      <c r="AK210" s="472" t="e">
        <f>VLOOKUP(AI210,'排出係数(2017)'!$A$4:$I$1151,6,FALSE)</f>
        <v>#N/A</v>
      </c>
      <c r="AL210" s="7" t="e">
        <f t="shared" si="102"/>
        <v>#N/A</v>
      </c>
      <c r="AM210" s="7" t="e">
        <f t="shared" si="103"/>
        <v>#N/A</v>
      </c>
      <c r="AN210" s="472" t="e">
        <f>VLOOKUP(AI210,'排出係数(2017)'!$A$4:$I$1151,7,FALSE)</f>
        <v>#N/A</v>
      </c>
      <c r="AO210" s="7" t="e">
        <f t="shared" si="104"/>
        <v>#N/A</v>
      </c>
      <c r="AP210" s="7" t="e">
        <f t="shared" si="105"/>
        <v>#N/A</v>
      </c>
      <c r="AQ210" s="7" t="e">
        <f t="shared" si="116"/>
        <v>#N/A</v>
      </c>
      <c r="AR210" s="7">
        <f t="shared" si="106"/>
        <v>0</v>
      </c>
      <c r="AS210" s="7" t="e">
        <f t="shared" si="117"/>
        <v>#N/A</v>
      </c>
      <c r="AT210" s="7" t="str">
        <f t="shared" si="107"/>
        <v/>
      </c>
      <c r="AU210" s="7" t="str">
        <f t="shared" si="108"/>
        <v/>
      </c>
      <c r="AV210" s="7" t="str">
        <f t="shared" si="109"/>
        <v/>
      </c>
      <c r="AW210" s="7" t="str">
        <f t="shared" si="110"/>
        <v/>
      </c>
      <c r="AX210" s="97"/>
      <c r="BD210" s="453" t="s">
        <v>6</v>
      </c>
      <c r="CG210"/>
      <c r="CH210"/>
      <c r="CK210" s="592" t="str">
        <f t="shared" si="118"/>
        <v/>
      </c>
      <c r="CL210" s="421" t="str">
        <f t="shared" si="119"/>
        <v/>
      </c>
      <c r="CM210" s="594"/>
      <c r="CN210" s="594"/>
      <c r="CO210" s="594"/>
      <c r="CP210" s="594"/>
      <c r="CQ210" s="594"/>
      <c r="CR210" s="594"/>
    </row>
    <row r="211" spans="1:96" s="13" customFormat="1" ht="13.75" customHeight="1">
      <c r="A211" s="137">
        <v>196</v>
      </c>
      <c r="B211" s="138"/>
      <c r="C211" s="139"/>
      <c r="D211" s="140"/>
      <c r="E211" s="139"/>
      <c r="F211" s="139"/>
      <c r="G211" s="191"/>
      <c r="H211" s="139"/>
      <c r="I211" s="141"/>
      <c r="J211" s="142"/>
      <c r="K211" s="139"/>
      <c r="L211" s="147"/>
      <c r="M211" s="148"/>
      <c r="N211" s="139"/>
      <c r="O211" s="589"/>
      <c r="P211" s="229" t="str">
        <f t="shared" si="111"/>
        <v/>
      </c>
      <c r="Q211" s="229" t="str">
        <f t="shared" si="112"/>
        <v/>
      </c>
      <c r="R211" s="230" t="str">
        <f t="shared" si="113"/>
        <v/>
      </c>
      <c r="S211" s="230" t="str">
        <f t="shared" si="114"/>
        <v/>
      </c>
      <c r="T211" s="351"/>
      <c r="U211" s="43"/>
      <c r="V211" s="42" t="str">
        <f t="shared" si="90"/>
        <v/>
      </c>
      <c r="W211" s="42" t="e">
        <f>IF(#REF!="","",#REF!)</f>
        <v>#REF!</v>
      </c>
      <c r="X211" s="31" t="str">
        <f t="shared" si="91"/>
        <v/>
      </c>
      <c r="Y211" s="7" t="e">
        <f t="shared" si="92"/>
        <v>#N/A</v>
      </c>
      <c r="Z211" s="7" t="e">
        <f t="shared" si="93"/>
        <v>#N/A</v>
      </c>
      <c r="AA211" s="7" t="e">
        <f t="shared" si="94"/>
        <v>#N/A</v>
      </c>
      <c r="AB211" s="7" t="str">
        <f t="shared" si="95"/>
        <v/>
      </c>
      <c r="AC211" s="11">
        <f t="shared" si="96"/>
        <v>1</v>
      </c>
      <c r="AD211" s="7" t="e">
        <f t="shared" si="97"/>
        <v>#N/A</v>
      </c>
      <c r="AE211" s="7" t="e">
        <f t="shared" si="98"/>
        <v>#N/A</v>
      </c>
      <c r="AF211" s="7" t="e">
        <f t="shared" si="99"/>
        <v>#N/A</v>
      </c>
      <c r="AG211" s="472" t="e">
        <f>VLOOKUP(AI211,'排出係数(2017)'!$A$4:$I$1151,9,FALSE)</f>
        <v>#N/A</v>
      </c>
      <c r="AH211" s="12" t="str">
        <f t="shared" si="100"/>
        <v xml:space="preserve"> </v>
      </c>
      <c r="AI211" s="7" t="e">
        <f t="shared" si="115"/>
        <v>#N/A</v>
      </c>
      <c r="AJ211" s="7" t="e">
        <f t="shared" si="101"/>
        <v>#N/A</v>
      </c>
      <c r="AK211" s="472" t="e">
        <f>VLOOKUP(AI211,'排出係数(2017)'!$A$4:$I$1151,6,FALSE)</f>
        <v>#N/A</v>
      </c>
      <c r="AL211" s="7" t="e">
        <f t="shared" si="102"/>
        <v>#N/A</v>
      </c>
      <c r="AM211" s="7" t="e">
        <f t="shared" si="103"/>
        <v>#N/A</v>
      </c>
      <c r="AN211" s="472" t="e">
        <f>VLOOKUP(AI211,'排出係数(2017)'!$A$4:$I$1151,7,FALSE)</f>
        <v>#N/A</v>
      </c>
      <c r="AO211" s="7" t="e">
        <f t="shared" si="104"/>
        <v>#N/A</v>
      </c>
      <c r="AP211" s="7" t="e">
        <f t="shared" si="105"/>
        <v>#N/A</v>
      </c>
      <c r="AQ211" s="7" t="e">
        <f t="shared" si="116"/>
        <v>#N/A</v>
      </c>
      <c r="AR211" s="7">
        <f t="shared" si="106"/>
        <v>0</v>
      </c>
      <c r="AS211" s="7" t="e">
        <f t="shared" si="117"/>
        <v>#N/A</v>
      </c>
      <c r="AT211" s="7" t="str">
        <f t="shared" si="107"/>
        <v/>
      </c>
      <c r="AU211" s="7" t="str">
        <f t="shared" si="108"/>
        <v/>
      </c>
      <c r="AV211" s="7" t="str">
        <f t="shared" si="109"/>
        <v/>
      </c>
      <c r="AW211" s="7" t="str">
        <f t="shared" si="110"/>
        <v/>
      </c>
      <c r="AX211" s="97"/>
      <c r="BD211" s="453" t="s">
        <v>14</v>
      </c>
      <c r="CG211"/>
      <c r="CH211"/>
      <c r="CK211" s="592" t="str">
        <f t="shared" si="118"/>
        <v/>
      </c>
      <c r="CL211" s="421" t="str">
        <f t="shared" si="119"/>
        <v/>
      </c>
      <c r="CM211" s="594"/>
      <c r="CN211" s="594"/>
      <c r="CO211" s="594"/>
      <c r="CP211" s="594"/>
      <c r="CQ211" s="594"/>
      <c r="CR211" s="594"/>
    </row>
    <row r="212" spans="1:96" s="13" customFormat="1" ht="13.75" customHeight="1">
      <c r="A212" s="137">
        <v>197</v>
      </c>
      <c r="B212" s="138"/>
      <c r="C212" s="139"/>
      <c r="D212" s="140"/>
      <c r="E212" s="139"/>
      <c r="F212" s="139"/>
      <c r="G212" s="191"/>
      <c r="H212" s="139"/>
      <c r="I212" s="141"/>
      <c r="J212" s="142"/>
      <c r="K212" s="139"/>
      <c r="L212" s="147"/>
      <c r="M212" s="148"/>
      <c r="N212" s="139"/>
      <c r="O212" s="589"/>
      <c r="P212" s="229" t="str">
        <f t="shared" si="111"/>
        <v/>
      </c>
      <c r="Q212" s="229" t="str">
        <f t="shared" si="112"/>
        <v/>
      </c>
      <c r="R212" s="230" t="str">
        <f t="shared" si="113"/>
        <v/>
      </c>
      <c r="S212" s="230" t="str">
        <f t="shared" si="114"/>
        <v/>
      </c>
      <c r="T212" s="351"/>
      <c r="U212" s="43"/>
      <c r="V212" s="42" t="str">
        <f t="shared" si="90"/>
        <v/>
      </c>
      <c r="W212" s="42" t="e">
        <f>IF(#REF!="","",#REF!)</f>
        <v>#REF!</v>
      </c>
      <c r="X212" s="31" t="str">
        <f t="shared" si="91"/>
        <v/>
      </c>
      <c r="Y212" s="7" t="e">
        <f t="shared" si="92"/>
        <v>#N/A</v>
      </c>
      <c r="Z212" s="7" t="e">
        <f t="shared" si="93"/>
        <v>#N/A</v>
      </c>
      <c r="AA212" s="7" t="e">
        <f t="shared" si="94"/>
        <v>#N/A</v>
      </c>
      <c r="AB212" s="7" t="str">
        <f t="shared" si="95"/>
        <v/>
      </c>
      <c r="AC212" s="11">
        <f t="shared" si="96"/>
        <v>1</v>
      </c>
      <c r="AD212" s="7" t="e">
        <f t="shared" si="97"/>
        <v>#N/A</v>
      </c>
      <c r="AE212" s="7" t="e">
        <f t="shared" si="98"/>
        <v>#N/A</v>
      </c>
      <c r="AF212" s="7" t="e">
        <f t="shared" si="99"/>
        <v>#N/A</v>
      </c>
      <c r="AG212" s="472" t="e">
        <f>VLOOKUP(AI212,'排出係数(2017)'!$A$4:$I$1151,9,FALSE)</f>
        <v>#N/A</v>
      </c>
      <c r="AH212" s="12" t="str">
        <f t="shared" si="100"/>
        <v xml:space="preserve"> </v>
      </c>
      <c r="AI212" s="7" t="e">
        <f t="shared" si="115"/>
        <v>#N/A</v>
      </c>
      <c r="AJ212" s="7" t="e">
        <f t="shared" si="101"/>
        <v>#N/A</v>
      </c>
      <c r="AK212" s="472" t="e">
        <f>VLOOKUP(AI212,'排出係数(2017)'!$A$4:$I$1151,6,FALSE)</f>
        <v>#N/A</v>
      </c>
      <c r="AL212" s="7" t="e">
        <f t="shared" si="102"/>
        <v>#N/A</v>
      </c>
      <c r="AM212" s="7" t="e">
        <f t="shared" si="103"/>
        <v>#N/A</v>
      </c>
      <c r="AN212" s="472" t="e">
        <f>VLOOKUP(AI212,'排出係数(2017)'!$A$4:$I$1151,7,FALSE)</f>
        <v>#N/A</v>
      </c>
      <c r="AO212" s="7" t="e">
        <f t="shared" si="104"/>
        <v>#N/A</v>
      </c>
      <c r="AP212" s="7" t="e">
        <f t="shared" si="105"/>
        <v>#N/A</v>
      </c>
      <c r="AQ212" s="7" t="e">
        <f t="shared" si="116"/>
        <v>#N/A</v>
      </c>
      <c r="AR212" s="7">
        <f t="shared" si="106"/>
        <v>0</v>
      </c>
      <c r="AS212" s="7" t="e">
        <f t="shared" si="117"/>
        <v>#N/A</v>
      </c>
      <c r="AT212" s="7" t="str">
        <f t="shared" si="107"/>
        <v/>
      </c>
      <c r="AU212" s="7" t="str">
        <f t="shared" si="108"/>
        <v/>
      </c>
      <c r="AV212" s="7" t="str">
        <f t="shared" si="109"/>
        <v/>
      </c>
      <c r="AW212" s="7" t="str">
        <f t="shared" si="110"/>
        <v/>
      </c>
      <c r="AX212" s="97"/>
      <c r="BD212" s="473" t="s">
        <v>17</v>
      </c>
      <c r="CG212"/>
      <c r="CH212"/>
      <c r="CK212" s="592" t="str">
        <f t="shared" si="118"/>
        <v/>
      </c>
      <c r="CL212" s="421" t="str">
        <f t="shared" si="119"/>
        <v/>
      </c>
      <c r="CM212" s="594"/>
      <c r="CN212" s="594"/>
      <c r="CO212" s="594"/>
      <c r="CP212" s="594"/>
      <c r="CQ212" s="594"/>
      <c r="CR212" s="594"/>
    </row>
    <row r="213" spans="1:96" s="13" customFormat="1" ht="13.75" customHeight="1">
      <c r="A213" s="137">
        <v>198</v>
      </c>
      <c r="B213" s="138"/>
      <c r="C213" s="139"/>
      <c r="D213" s="140"/>
      <c r="E213" s="139"/>
      <c r="F213" s="139"/>
      <c r="G213" s="191"/>
      <c r="H213" s="139"/>
      <c r="I213" s="141"/>
      <c r="J213" s="142"/>
      <c r="K213" s="139"/>
      <c r="L213" s="147"/>
      <c r="M213" s="148"/>
      <c r="N213" s="139"/>
      <c r="O213" s="589"/>
      <c r="P213" s="229" t="str">
        <f t="shared" si="111"/>
        <v/>
      </c>
      <c r="Q213" s="229" t="str">
        <f t="shared" si="112"/>
        <v/>
      </c>
      <c r="R213" s="230" t="str">
        <f t="shared" si="113"/>
        <v/>
      </c>
      <c r="S213" s="230" t="str">
        <f t="shared" si="114"/>
        <v/>
      </c>
      <c r="T213" s="351"/>
      <c r="U213" s="43"/>
      <c r="V213" s="42" t="str">
        <f t="shared" si="90"/>
        <v/>
      </c>
      <c r="W213" s="42" t="e">
        <f>IF(#REF!="","",#REF!)</f>
        <v>#REF!</v>
      </c>
      <c r="X213" s="31" t="str">
        <f t="shared" si="91"/>
        <v/>
      </c>
      <c r="Y213" s="7" t="e">
        <f t="shared" si="92"/>
        <v>#N/A</v>
      </c>
      <c r="Z213" s="7" t="e">
        <f t="shared" si="93"/>
        <v>#N/A</v>
      </c>
      <c r="AA213" s="7" t="e">
        <f t="shared" si="94"/>
        <v>#N/A</v>
      </c>
      <c r="AB213" s="7" t="str">
        <f t="shared" si="95"/>
        <v/>
      </c>
      <c r="AC213" s="11">
        <f t="shared" si="96"/>
        <v>1</v>
      </c>
      <c r="AD213" s="7" t="e">
        <f t="shared" si="97"/>
        <v>#N/A</v>
      </c>
      <c r="AE213" s="7" t="e">
        <f t="shared" si="98"/>
        <v>#N/A</v>
      </c>
      <c r="AF213" s="7" t="e">
        <f t="shared" si="99"/>
        <v>#N/A</v>
      </c>
      <c r="AG213" s="472" t="e">
        <f>VLOOKUP(AI213,'排出係数(2017)'!$A$4:$I$1151,9,FALSE)</f>
        <v>#N/A</v>
      </c>
      <c r="AH213" s="12" t="str">
        <f t="shared" si="100"/>
        <v xml:space="preserve"> </v>
      </c>
      <c r="AI213" s="7" t="e">
        <f t="shared" si="115"/>
        <v>#N/A</v>
      </c>
      <c r="AJ213" s="7" t="e">
        <f t="shared" si="101"/>
        <v>#N/A</v>
      </c>
      <c r="AK213" s="472" t="e">
        <f>VLOOKUP(AI213,'排出係数(2017)'!$A$4:$I$1151,6,FALSE)</f>
        <v>#N/A</v>
      </c>
      <c r="AL213" s="7" t="e">
        <f t="shared" si="102"/>
        <v>#N/A</v>
      </c>
      <c r="AM213" s="7" t="e">
        <f t="shared" si="103"/>
        <v>#N/A</v>
      </c>
      <c r="AN213" s="472" t="e">
        <f>VLOOKUP(AI213,'排出係数(2017)'!$A$4:$I$1151,7,FALSE)</f>
        <v>#N/A</v>
      </c>
      <c r="AO213" s="7" t="e">
        <f t="shared" si="104"/>
        <v>#N/A</v>
      </c>
      <c r="AP213" s="7" t="e">
        <f t="shared" si="105"/>
        <v>#N/A</v>
      </c>
      <c r="AQ213" s="7" t="e">
        <f t="shared" si="116"/>
        <v>#N/A</v>
      </c>
      <c r="AR213" s="7">
        <f t="shared" si="106"/>
        <v>0</v>
      </c>
      <c r="AS213" s="7" t="e">
        <f t="shared" si="117"/>
        <v>#N/A</v>
      </c>
      <c r="AT213" s="7" t="str">
        <f t="shared" si="107"/>
        <v/>
      </c>
      <c r="AU213" s="7" t="str">
        <f t="shared" si="108"/>
        <v/>
      </c>
      <c r="AV213" s="7" t="str">
        <f t="shared" si="109"/>
        <v/>
      </c>
      <c r="AW213" s="7" t="str">
        <f t="shared" si="110"/>
        <v/>
      </c>
      <c r="AX213" s="97"/>
      <c r="BD213" s="453" t="s">
        <v>23</v>
      </c>
      <c r="CG213"/>
      <c r="CH213"/>
      <c r="CK213" s="592" t="str">
        <f t="shared" si="118"/>
        <v/>
      </c>
      <c r="CL213" s="421" t="str">
        <f t="shared" si="119"/>
        <v/>
      </c>
      <c r="CM213" s="594"/>
      <c r="CN213" s="594"/>
      <c r="CO213" s="594"/>
      <c r="CP213" s="594"/>
      <c r="CQ213" s="594"/>
      <c r="CR213" s="594"/>
    </row>
    <row r="214" spans="1:96" s="13" customFormat="1" ht="13.75" customHeight="1">
      <c r="A214" s="137">
        <v>199</v>
      </c>
      <c r="B214" s="138"/>
      <c r="C214" s="139"/>
      <c r="D214" s="140"/>
      <c r="E214" s="139"/>
      <c r="F214" s="139"/>
      <c r="G214" s="191"/>
      <c r="H214" s="139"/>
      <c r="I214" s="141"/>
      <c r="J214" s="142"/>
      <c r="K214" s="139"/>
      <c r="L214" s="147"/>
      <c r="M214" s="148"/>
      <c r="N214" s="139"/>
      <c r="O214" s="589"/>
      <c r="P214" s="229" t="str">
        <f t="shared" si="111"/>
        <v/>
      </c>
      <c r="Q214" s="229" t="str">
        <f t="shared" si="112"/>
        <v/>
      </c>
      <c r="R214" s="230" t="str">
        <f t="shared" si="113"/>
        <v/>
      </c>
      <c r="S214" s="230" t="str">
        <f t="shared" si="114"/>
        <v/>
      </c>
      <c r="T214" s="351"/>
      <c r="U214" s="43"/>
      <c r="V214" s="42" t="str">
        <f t="shared" si="90"/>
        <v/>
      </c>
      <c r="W214" s="42" t="e">
        <f>IF(#REF!="","",#REF!)</f>
        <v>#REF!</v>
      </c>
      <c r="X214" s="31" t="str">
        <f t="shared" si="91"/>
        <v/>
      </c>
      <c r="Y214" s="7" t="e">
        <f t="shared" si="92"/>
        <v>#N/A</v>
      </c>
      <c r="Z214" s="7" t="e">
        <f t="shared" si="93"/>
        <v>#N/A</v>
      </c>
      <c r="AA214" s="7" t="e">
        <f t="shared" si="94"/>
        <v>#N/A</v>
      </c>
      <c r="AB214" s="7" t="str">
        <f t="shared" si="95"/>
        <v/>
      </c>
      <c r="AC214" s="11">
        <f t="shared" si="96"/>
        <v>1</v>
      </c>
      <c r="AD214" s="7" t="e">
        <f t="shared" si="97"/>
        <v>#N/A</v>
      </c>
      <c r="AE214" s="7" t="e">
        <f t="shared" si="98"/>
        <v>#N/A</v>
      </c>
      <c r="AF214" s="7" t="e">
        <f t="shared" si="99"/>
        <v>#N/A</v>
      </c>
      <c r="AG214" s="472" t="e">
        <f>VLOOKUP(AI214,'排出係数(2017)'!$A$4:$I$1151,9,FALSE)</f>
        <v>#N/A</v>
      </c>
      <c r="AH214" s="12" t="str">
        <f t="shared" si="100"/>
        <v xml:space="preserve"> </v>
      </c>
      <c r="AI214" s="7" t="e">
        <f t="shared" si="115"/>
        <v>#N/A</v>
      </c>
      <c r="AJ214" s="7" t="e">
        <f t="shared" si="101"/>
        <v>#N/A</v>
      </c>
      <c r="AK214" s="472" t="e">
        <f>VLOOKUP(AI214,'排出係数(2017)'!$A$4:$I$1151,6,FALSE)</f>
        <v>#N/A</v>
      </c>
      <c r="AL214" s="7" t="e">
        <f t="shared" si="102"/>
        <v>#N/A</v>
      </c>
      <c r="AM214" s="7" t="e">
        <f t="shared" si="103"/>
        <v>#N/A</v>
      </c>
      <c r="AN214" s="472" t="e">
        <f>VLOOKUP(AI214,'排出係数(2017)'!$A$4:$I$1151,7,FALSE)</f>
        <v>#N/A</v>
      </c>
      <c r="AO214" s="7" t="e">
        <f t="shared" si="104"/>
        <v>#N/A</v>
      </c>
      <c r="AP214" s="7" t="e">
        <f t="shared" si="105"/>
        <v>#N/A</v>
      </c>
      <c r="AQ214" s="7" t="e">
        <f t="shared" si="116"/>
        <v>#N/A</v>
      </c>
      <c r="AR214" s="7">
        <f t="shared" si="106"/>
        <v>0</v>
      </c>
      <c r="AS214" s="7" t="e">
        <f t="shared" si="117"/>
        <v>#N/A</v>
      </c>
      <c r="AT214" s="7" t="str">
        <f t="shared" si="107"/>
        <v/>
      </c>
      <c r="AU214" s="7" t="str">
        <f t="shared" si="108"/>
        <v/>
      </c>
      <c r="AV214" s="7" t="str">
        <f t="shared" si="109"/>
        <v/>
      </c>
      <c r="AW214" s="7" t="str">
        <f t="shared" si="110"/>
        <v/>
      </c>
      <c r="AX214" s="97"/>
      <c r="BD214" s="453" t="s">
        <v>34</v>
      </c>
      <c r="CG214"/>
      <c r="CH214"/>
      <c r="CK214" s="592" t="str">
        <f t="shared" si="118"/>
        <v/>
      </c>
      <c r="CL214" s="421" t="str">
        <f t="shared" si="119"/>
        <v/>
      </c>
      <c r="CM214" s="594"/>
      <c r="CN214" s="594"/>
      <c r="CO214" s="594"/>
      <c r="CP214" s="594"/>
      <c r="CQ214" s="594"/>
      <c r="CR214" s="594"/>
    </row>
    <row r="215" spans="1:96" s="13" customFormat="1" ht="13.75" customHeight="1">
      <c r="A215" s="137">
        <v>200</v>
      </c>
      <c r="B215" s="138"/>
      <c r="C215" s="139"/>
      <c r="D215" s="140"/>
      <c r="E215" s="139"/>
      <c r="F215" s="139"/>
      <c r="G215" s="191"/>
      <c r="H215" s="139"/>
      <c r="I215" s="141"/>
      <c r="J215" s="142"/>
      <c r="K215" s="139"/>
      <c r="L215" s="147"/>
      <c r="M215" s="148"/>
      <c r="N215" s="139"/>
      <c r="O215" s="589"/>
      <c r="P215" s="229" t="str">
        <f t="shared" si="111"/>
        <v/>
      </c>
      <c r="Q215" s="229" t="str">
        <f t="shared" si="112"/>
        <v/>
      </c>
      <c r="R215" s="230" t="str">
        <f t="shared" si="113"/>
        <v/>
      </c>
      <c r="S215" s="230" t="str">
        <f t="shared" si="114"/>
        <v/>
      </c>
      <c r="T215" s="351"/>
      <c r="U215" s="43"/>
      <c r="V215" s="42" t="str">
        <f t="shared" si="90"/>
        <v/>
      </c>
      <c r="W215" s="42" t="e">
        <f>IF(#REF!="","",#REF!)</f>
        <v>#REF!</v>
      </c>
      <c r="X215" s="31" t="str">
        <f t="shared" si="91"/>
        <v/>
      </c>
      <c r="Y215" s="7" t="e">
        <f t="shared" si="92"/>
        <v>#N/A</v>
      </c>
      <c r="Z215" s="7" t="e">
        <f t="shared" si="93"/>
        <v>#N/A</v>
      </c>
      <c r="AA215" s="7" t="e">
        <f t="shared" si="94"/>
        <v>#N/A</v>
      </c>
      <c r="AB215" s="7" t="str">
        <f t="shared" si="95"/>
        <v/>
      </c>
      <c r="AC215" s="11">
        <f t="shared" si="96"/>
        <v>1</v>
      </c>
      <c r="AD215" s="7" t="e">
        <f t="shared" si="97"/>
        <v>#N/A</v>
      </c>
      <c r="AE215" s="7" t="e">
        <f t="shared" si="98"/>
        <v>#N/A</v>
      </c>
      <c r="AF215" s="7" t="e">
        <f t="shared" si="99"/>
        <v>#N/A</v>
      </c>
      <c r="AG215" s="472" t="e">
        <f>VLOOKUP(AI215,'排出係数(2017)'!$A$4:$I$1151,9,FALSE)</f>
        <v>#N/A</v>
      </c>
      <c r="AH215" s="12" t="str">
        <f t="shared" si="100"/>
        <v xml:space="preserve"> </v>
      </c>
      <c r="AI215" s="7" t="e">
        <f t="shared" si="115"/>
        <v>#N/A</v>
      </c>
      <c r="AJ215" s="7" t="e">
        <f t="shared" si="101"/>
        <v>#N/A</v>
      </c>
      <c r="AK215" s="472" t="e">
        <f>VLOOKUP(AI215,'排出係数(2017)'!$A$4:$I$1151,6,FALSE)</f>
        <v>#N/A</v>
      </c>
      <c r="AL215" s="7" t="e">
        <f t="shared" si="102"/>
        <v>#N/A</v>
      </c>
      <c r="AM215" s="7" t="e">
        <f t="shared" si="103"/>
        <v>#N/A</v>
      </c>
      <c r="AN215" s="472" t="e">
        <f>VLOOKUP(AI215,'排出係数(2017)'!$A$4:$I$1151,7,FALSE)</f>
        <v>#N/A</v>
      </c>
      <c r="AO215" s="7" t="e">
        <f t="shared" si="104"/>
        <v>#N/A</v>
      </c>
      <c r="AP215" s="7" t="e">
        <f t="shared" si="105"/>
        <v>#N/A</v>
      </c>
      <c r="AQ215" s="7" t="e">
        <f t="shared" si="116"/>
        <v>#N/A</v>
      </c>
      <c r="AR215" s="7">
        <f t="shared" si="106"/>
        <v>0</v>
      </c>
      <c r="AS215" s="7" t="e">
        <f t="shared" si="117"/>
        <v>#N/A</v>
      </c>
      <c r="AT215" s="7" t="str">
        <f t="shared" si="107"/>
        <v/>
      </c>
      <c r="AU215" s="7" t="str">
        <f t="shared" si="108"/>
        <v/>
      </c>
      <c r="AV215" s="7" t="str">
        <f t="shared" si="109"/>
        <v/>
      </c>
      <c r="AW215" s="7" t="str">
        <f t="shared" si="110"/>
        <v/>
      </c>
      <c r="AX215" s="97"/>
      <c r="BD215" s="453" t="s">
        <v>118</v>
      </c>
      <c r="CG215"/>
      <c r="CH215"/>
      <c r="CK215" s="592" t="str">
        <f t="shared" si="118"/>
        <v/>
      </c>
      <c r="CL215" s="421" t="str">
        <f t="shared" si="119"/>
        <v/>
      </c>
      <c r="CM215" s="594"/>
      <c r="CN215" s="594"/>
      <c r="CO215" s="594"/>
      <c r="CP215" s="594"/>
      <c r="CQ215" s="594"/>
      <c r="CR215" s="594"/>
    </row>
    <row r="216" spans="1:96" s="13" customFormat="1" ht="13.75" customHeight="1">
      <c r="A216" s="137">
        <v>201</v>
      </c>
      <c r="B216" s="138"/>
      <c r="C216" s="139"/>
      <c r="D216" s="140"/>
      <c r="E216" s="139"/>
      <c r="F216" s="139"/>
      <c r="G216" s="191"/>
      <c r="H216" s="139"/>
      <c r="I216" s="141"/>
      <c r="J216" s="142"/>
      <c r="K216" s="139"/>
      <c r="L216" s="147"/>
      <c r="M216" s="148"/>
      <c r="N216" s="139"/>
      <c r="O216" s="589"/>
      <c r="P216" s="229" t="str">
        <f t="shared" si="111"/>
        <v/>
      </c>
      <c r="Q216" s="229" t="str">
        <f t="shared" si="112"/>
        <v/>
      </c>
      <c r="R216" s="230" t="str">
        <f t="shared" si="113"/>
        <v/>
      </c>
      <c r="S216" s="230" t="str">
        <f t="shared" si="114"/>
        <v/>
      </c>
      <c r="T216" s="351"/>
      <c r="U216" s="43"/>
      <c r="V216" s="42" t="str">
        <f t="shared" si="90"/>
        <v/>
      </c>
      <c r="W216" s="42" t="e">
        <f>IF(#REF!="","",#REF!)</f>
        <v>#REF!</v>
      </c>
      <c r="X216" s="31" t="str">
        <f t="shared" si="91"/>
        <v/>
      </c>
      <c r="Y216" s="7" t="e">
        <f t="shared" si="92"/>
        <v>#N/A</v>
      </c>
      <c r="Z216" s="7" t="e">
        <f t="shared" si="93"/>
        <v>#N/A</v>
      </c>
      <c r="AA216" s="7" t="e">
        <f t="shared" si="94"/>
        <v>#N/A</v>
      </c>
      <c r="AB216" s="7" t="str">
        <f t="shared" si="95"/>
        <v/>
      </c>
      <c r="AC216" s="11">
        <f t="shared" si="96"/>
        <v>1</v>
      </c>
      <c r="AD216" s="7" t="e">
        <f t="shared" si="97"/>
        <v>#N/A</v>
      </c>
      <c r="AE216" s="7" t="e">
        <f t="shared" si="98"/>
        <v>#N/A</v>
      </c>
      <c r="AF216" s="7" t="e">
        <f t="shared" si="99"/>
        <v>#N/A</v>
      </c>
      <c r="AG216" s="472" t="e">
        <f>VLOOKUP(AI216,'排出係数(2017)'!$A$4:$I$1151,9,FALSE)</f>
        <v>#N/A</v>
      </c>
      <c r="AH216" s="12" t="str">
        <f t="shared" si="100"/>
        <v xml:space="preserve"> </v>
      </c>
      <c r="AI216" s="7" t="e">
        <f t="shared" si="115"/>
        <v>#N/A</v>
      </c>
      <c r="AJ216" s="7" t="e">
        <f t="shared" si="101"/>
        <v>#N/A</v>
      </c>
      <c r="AK216" s="472" t="e">
        <f>VLOOKUP(AI216,'排出係数(2017)'!$A$4:$I$1151,6,FALSE)</f>
        <v>#N/A</v>
      </c>
      <c r="AL216" s="7" t="e">
        <f t="shared" si="102"/>
        <v>#N/A</v>
      </c>
      <c r="AM216" s="7" t="e">
        <f t="shared" si="103"/>
        <v>#N/A</v>
      </c>
      <c r="AN216" s="472" t="e">
        <f>VLOOKUP(AI216,'排出係数(2017)'!$A$4:$I$1151,7,FALSE)</f>
        <v>#N/A</v>
      </c>
      <c r="AO216" s="7" t="e">
        <f t="shared" si="104"/>
        <v>#N/A</v>
      </c>
      <c r="AP216" s="7" t="e">
        <f t="shared" si="105"/>
        <v>#N/A</v>
      </c>
      <c r="AQ216" s="7" t="e">
        <f t="shared" si="116"/>
        <v>#N/A</v>
      </c>
      <c r="AR216" s="7">
        <f t="shared" si="106"/>
        <v>0</v>
      </c>
      <c r="AS216" s="7" t="e">
        <f t="shared" si="117"/>
        <v>#N/A</v>
      </c>
      <c r="AT216" s="7" t="str">
        <f t="shared" si="107"/>
        <v/>
      </c>
      <c r="AU216" s="7" t="str">
        <f t="shared" si="108"/>
        <v/>
      </c>
      <c r="AV216" s="7" t="str">
        <f t="shared" si="109"/>
        <v/>
      </c>
      <c r="AW216" s="7" t="str">
        <f t="shared" si="110"/>
        <v/>
      </c>
      <c r="AX216" s="97"/>
      <c r="BD216" s="473" t="s">
        <v>119</v>
      </c>
      <c r="CG216"/>
      <c r="CH216"/>
      <c r="CK216" s="592" t="str">
        <f t="shared" si="118"/>
        <v/>
      </c>
      <c r="CL216" s="421" t="str">
        <f t="shared" si="119"/>
        <v/>
      </c>
      <c r="CM216" s="594"/>
      <c r="CN216" s="594"/>
      <c r="CO216" s="594"/>
      <c r="CP216" s="594"/>
      <c r="CQ216" s="594"/>
      <c r="CR216" s="594"/>
    </row>
    <row r="217" spans="1:96" s="13" customFormat="1" ht="13.75" customHeight="1">
      <c r="A217" s="137">
        <v>202</v>
      </c>
      <c r="B217" s="138"/>
      <c r="C217" s="139"/>
      <c r="D217" s="140"/>
      <c r="E217" s="139"/>
      <c r="F217" s="139"/>
      <c r="G217" s="191"/>
      <c r="H217" s="139"/>
      <c r="I217" s="141"/>
      <c r="J217" s="142"/>
      <c r="K217" s="139"/>
      <c r="L217" s="147"/>
      <c r="M217" s="148"/>
      <c r="N217" s="139"/>
      <c r="O217" s="589"/>
      <c r="P217" s="229" t="str">
        <f t="shared" si="111"/>
        <v/>
      </c>
      <c r="Q217" s="229" t="str">
        <f t="shared" si="112"/>
        <v/>
      </c>
      <c r="R217" s="230" t="str">
        <f t="shared" si="113"/>
        <v/>
      </c>
      <c r="S217" s="230" t="str">
        <f t="shared" si="114"/>
        <v/>
      </c>
      <c r="T217" s="351"/>
      <c r="U217" s="43"/>
      <c r="V217" s="42" t="str">
        <f t="shared" si="90"/>
        <v/>
      </c>
      <c r="W217" s="42" t="e">
        <f>IF(#REF!="","",#REF!)</f>
        <v>#REF!</v>
      </c>
      <c r="X217" s="31" t="str">
        <f t="shared" si="91"/>
        <v/>
      </c>
      <c r="Y217" s="7" t="e">
        <f t="shared" si="92"/>
        <v>#N/A</v>
      </c>
      <c r="Z217" s="7" t="e">
        <f t="shared" si="93"/>
        <v>#N/A</v>
      </c>
      <c r="AA217" s="7" t="e">
        <f t="shared" si="94"/>
        <v>#N/A</v>
      </c>
      <c r="AB217" s="7" t="str">
        <f t="shared" si="95"/>
        <v/>
      </c>
      <c r="AC217" s="11">
        <f t="shared" si="96"/>
        <v>1</v>
      </c>
      <c r="AD217" s="7" t="e">
        <f t="shared" si="97"/>
        <v>#N/A</v>
      </c>
      <c r="AE217" s="7" t="e">
        <f t="shared" si="98"/>
        <v>#N/A</v>
      </c>
      <c r="AF217" s="7" t="e">
        <f t="shared" si="99"/>
        <v>#N/A</v>
      </c>
      <c r="AG217" s="472" t="e">
        <f>VLOOKUP(AI217,'排出係数(2017)'!$A$4:$I$1151,9,FALSE)</f>
        <v>#N/A</v>
      </c>
      <c r="AH217" s="12" t="str">
        <f t="shared" si="100"/>
        <v xml:space="preserve"> </v>
      </c>
      <c r="AI217" s="7" t="e">
        <f t="shared" si="115"/>
        <v>#N/A</v>
      </c>
      <c r="AJ217" s="7" t="e">
        <f t="shared" si="101"/>
        <v>#N/A</v>
      </c>
      <c r="AK217" s="472" t="e">
        <f>VLOOKUP(AI217,'排出係数(2017)'!$A$4:$I$1151,6,FALSE)</f>
        <v>#N/A</v>
      </c>
      <c r="AL217" s="7" t="e">
        <f t="shared" si="102"/>
        <v>#N/A</v>
      </c>
      <c r="AM217" s="7" t="e">
        <f t="shared" si="103"/>
        <v>#N/A</v>
      </c>
      <c r="AN217" s="472" t="e">
        <f>VLOOKUP(AI217,'排出係数(2017)'!$A$4:$I$1151,7,FALSE)</f>
        <v>#N/A</v>
      </c>
      <c r="AO217" s="7" t="e">
        <f t="shared" si="104"/>
        <v>#N/A</v>
      </c>
      <c r="AP217" s="7" t="e">
        <f t="shared" si="105"/>
        <v>#N/A</v>
      </c>
      <c r="AQ217" s="7" t="e">
        <f t="shared" si="116"/>
        <v>#N/A</v>
      </c>
      <c r="AR217" s="7">
        <f t="shared" si="106"/>
        <v>0</v>
      </c>
      <c r="AS217" s="7" t="e">
        <f t="shared" si="117"/>
        <v>#N/A</v>
      </c>
      <c r="AT217" s="7" t="str">
        <f t="shared" si="107"/>
        <v/>
      </c>
      <c r="AU217" s="7" t="str">
        <f t="shared" si="108"/>
        <v/>
      </c>
      <c r="AV217" s="7" t="str">
        <f t="shared" si="109"/>
        <v/>
      </c>
      <c r="AW217" s="7" t="str">
        <f t="shared" si="110"/>
        <v/>
      </c>
      <c r="AX217" s="97"/>
      <c r="BD217" s="453" t="s">
        <v>120</v>
      </c>
      <c r="CG217"/>
      <c r="CH217"/>
      <c r="CK217" s="592" t="str">
        <f t="shared" si="118"/>
        <v/>
      </c>
      <c r="CL217" s="421" t="str">
        <f t="shared" si="119"/>
        <v/>
      </c>
      <c r="CM217" s="594"/>
      <c r="CN217" s="594"/>
      <c r="CO217" s="594"/>
      <c r="CP217" s="594"/>
      <c r="CQ217" s="594"/>
      <c r="CR217" s="594"/>
    </row>
    <row r="218" spans="1:96" s="13" customFormat="1" ht="13.75" customHeight="1">
      <c r="A218" s="137">
        <v>203</v>
      </c>
      <c r="B218" s="138"/>
      <c r="C218" s="139"/>
      <c r="D218" s="140"/>
      <c r="E218" s="139"/>
      <c r="F218" s="139"/>
      <c r="G218" s="191"/>
      <c r="H218" s="139"/>
      <c r="I218" s="141"/>
      <c r="J218" s="142"/>
      <c r="K218" s="139"/>
      <c r="L218" s="147"/>
      <c r="M218" s="148"/>
      <c r="N218" s="139"/>
      <c r="O218" s="589"/>
      <c r="P218" s="229" t="str">
        <f t="shared" si="111"/>
        <v/>
      </c>
      <c r="Q218" s="229" t="str">
        <f t="shared" si="112"/>
        <v/>
      </c>
      <c r="R218" s="230" t="str">
        <f t="shared" si="113"/>
        <v/>
      </c>
      <c r="S218" s="230" t="str">
        <f t="shared" si="114"/>
        <v/>
      </c>
      <c r="T218" s="351"/>
      <c r="U218" s="43"/>
      <c r="V218" s="42" t="str">
        <f t="shared" si="90"/>
        <v/>
      </c>
      <c r="W218" s="42" t="e">
        <f>IF(#REF!="","",#REF!)</f>
        <v>#REF!</v>
      </c>
      <c r="X218" s="31" t="str">
        <f t="shared" si="91"/>
        <v/>
      </c>
      <c r="Y218" s="7" t="e">
        <f t="shared" si="92"/>
        <v>#N/A</v>
      </c>
      <c r="Z218" s="7" t="e">
        <f t="shared" si="93"/>
        <v>#N/A</v>
      </c>
      <c r="AA218" s="7" t="e">
        <f t="shared" si="94"/>
        <v>#N/A</v>
      </c>
      <c r="AB218" s="7" t="str">
        <f t="shared" si="95"/>
        <v/>
      </c>
      <c r="AC218" s="11">
        <f t="shared" si="96"/>
        <v>1</v>
      </c>
      <c r="AD218" s="7" t="e">
        <f t="shared" si="97"/>
        <v>#N/A</v>
      </c>
      <c r="AE218" s="7" t="e">
        <f t="shared" si="98"/>
        <v>#N/A</v>
      </c>
      <c r="AF218" s="7" t="e">
        <f t="shared" si="99"/>
        <v>#N/A</v>
      </c>
      <c r="AG218" s="472" t="e">
        <f>VLOOKUP(AI218,'排出係数(2017)'!$A$4:$I$1151,9,FALSE)</f>
        <v>#N/A</v>
      </c>
      <c r="AH218" s="12" t="str">
        <f t="shared" si="100"/>
        <v xml:space="preserve"> </v>
      </c>
      <c r="AI218" s="7" t="e">
        <f t="shared" si="115"/>
        <v>#N/A</v>
      </c>
      <c r="AJ218" s="7" t="e">
        <f t="shared" si="101"/>
        <v>#N/A</v>
      </c>
      <c r="AK218" s="472" t="e">
        <f>VLOOKUP(AI218,'排出係数(2017)'!$A$4:$I$1151,6,FALSE)</f>
        <v>#N/A</v>
      </c>
      <c r="AL218" s="7" t="e">
        <f t="shared" si="102"/>
        <v>#N/A</v>
      </c>
      <c r="AM218" s="7" t="e">
        <f t="shared" si="103"/>
        <v>#N/A</v>
      </c>
      <c r="AN218" s="472" t="e">
        <f>VLOOKUP(AI218,'排出係数(2017)'!$A$4:$I$1151,7,FALSE)</f>
        <v>#N/A</v>
      </c>
      <c r="AO218" s="7" t="e">
        <f t="shared" si="104"/>
        <v>#N/A</v>
      </c>
      <c r="AP218" s="7" t="e">
        <f t="shared" si="105"/>
        <v>#N/A</v>
      </c>
      <c r="AQ218" s="7" t="e">
        <f t="shared" si="116"/>
        <v>#N/A</v>
      </c>
      <c r="AR218" s="7">
        <f t="shared" si="106"/>
        <v>0</v>
      </c>
      <c r="AS218" s="7" t="e">
        <f t="shared" si="117"/>
        <v>#N/A</v>
      </c>
      <c r="AT218" s="7" t="str">
        <f t="shared" si="107"/>
        <v/>
      </c>
      <c r="AU218" s="7" t="str">
        <f t="shared" si="108"/>
        <v/>
      </c>
      <c r="AV218" s="7" t="str">
        <f t="shared" si="109"/>
        <v/>
      </c>
      <c r="AW218" s="7" t="str">
        <f t="shared" si="110"/>
        <v/>
      </c>
      <c r="AX218" s="97"/>
      <c r="BD218" s="453" t="s">
        <v>121</v>
      </c>
      <c r="CG218"/>
      <c r="CH218"/>
      <c r="CK218" s="592" t="str">
        <f t="shared" si="118"/>
        <v/>
      </c>
      <c r="CL218" s="421" t="str">
        <f t="shared" si="119"/>
        <v/>
      </c>
      <c r="CM218" s="594"/>
      <c r="CN218" s="594"/>
      <c r="CO218" s="594"/>
      <c r="CP218" s="594"/>
      <c r="CQ218" s="594"/>
      <c r="CR218" s="594"/>
    </row>
    <row r="219" spans="1:96" s="13" customFormat="1" ht="13.75" customHeight="1">
      <c r="A219" s="137">
        <v>204</v>
      </c>
      <c r="B219" s="138"/>
      <c r="C219" s="139"/>
      <c r="D219" s="140"/>
      <c r="E219" s="139"/>
      <c r="F219" s="139"/>
      <c r="G219" s="191"/>
      <c r="H219" s="139"/>
      <c r="I219" s="141"/>
      <c r="J219" s="142"/>
      <c r="K219" s="139"/>
      <c r="L219" s="147"/>
      <c r="M219" s="148"/>
      <c r="N219" s="139"/>
      <c r="O219" s="589"/>
      <c r="P219" s="229" t="str">
        <f t="shared" si="111"/>
        <v/>
      </c>
      <c r="Q219" s="229" t="str">
        <f t="shared" si="112"/>
        <v/>
      </c>
      <c r="R219" s="230" t="str">
        <f t="shared" si="113"/>
        <v/>
      </c>
      <c r="S219" s="230" t="str">
        <f t="shared" si="114"/>
        <v/>
      </c>
      <c r="T219" s="351"/>
      <c r="U219" s="43"/>
      <c r="V219" s="42" t="str">
        <f t="shared" si="90"/>
        <v/>
      </c>
      <c r="W219" s="42" t="e">
        <f>IF(#REF!="","",#REF!)</f>
        <v>#REF!</v>
      </c>
      <c r="X219" s="31" t="str">
        <f t="shared" si="91"/>
        <v/>
      </c>
      <c r="Y219" s="7" t="e">
        <f t="shared" si="92"/>
        <v>#N/A</v>
      </c>
      <c r="Z219" s="7" t="e">
        <f t="shared" si="93"/>
        <v>#N/A</v>
      </c>
      <c r="AA219" s="7" t="e">
        <f t="shared" si="94"/>
        <v>#N/A</v>
      </c>
      <c r="AB219" s="7" t="str">
        <f t="shared" si="95"/>
        <v/>
      </c>
      <c r="AC219" s="11">
        <f t="shared" si="96"/>
        <v>1</v>
      </c>
      <c r="AD219" s="7" t="e">
        <f t="shared" si="97"/>
        <v>#N/A</v>
      </c>
      <c r="AE219" s="7" t="e">
        <f t="shared" si="98"/>
        <v>#N/A</v>
      </c>
      <c r="AF219" s="7" t="e">
        <f t="shared" si="99"/>
        <v>#N/A</v>
      </c>
      <c r="AG219" s="472" t="e">
        <f>VLOOKUP(AI219,'排出係数(2017)'!$A$4:$I$1151,9,FALSE)</f>
        <v>#N/A</v>
      </c>
      <c r="AH219" s="12" t="str">
        <f t="shared" si="100"/>
        <v xml:space="preserve"> </v>
      </c>
      <c r="AI219" s="7" t="e">
        <f t="shared" si="115"/>
        <v>#N/A</v>
      </c>
      <c r="AJ219" s="7" t="e">
        <f t="shared" si="101"/>
        <v>#N/A</v>
      </c>
      <c r="AK219" s="472" t="e">
        <f>VLOOKUP(AI219,'排出係数(2017)'!$A$4:$I$1151,6,FALSE)</f>
        <v>#N/A</v>
      </c>
      <c r="AL219" s="7" t="e">
        <f t="shared" si="102"/>
        <v>#N/A</v>
      </c>
      <c r="AM219" s="7" t="e">
        <f t="shared" si="103"/>
        <v>#N/A</v>
      </c>
      <c r="AN219" s="472" t="e">
        <f>VLOOKUP(AI219,'排出係数(2017)'!$A$4:$I$1151,7,FALSE)</f>
        <v>#N/A</v>
      </c>
      <c r="AO219" s="7" t="e">
        <f t="shared" si="104"/>
        <v>#N/A</v>
      </c>
      <c r="AP219" s="7" t="e">
        <f t="shared" si="105"/>
        <v>#N/A</v>
      </c>
      <c r="AQ219" s="7" t="e">
        <f t="shared" si="116"/>
        <v>#N/A</v>
      </c>
      <c r="AR219" s="7">
        <f t="shared" si="106"/>
        <v>0</v>
      </c>
      <c r="AS219" s="7" t="e">
        <f t="shared" si="117"/>
        <v>#N/A</v>
      </c>
      <c r="AT219" s="7" t="str">
        <f t="shared" si="107"/>
        <v/>
      </c>
      <c r="AU219" s="7" t="str">
        <f t="shared" si="108"/>
        <v/>
      </c>
      <c r="AV219" s="7" t="str">
        <f t="shared" si="109"/>
        <v/>
      </c>
      <c r="AW219" s="7" t="str">
        <f t="shared" si="110"/>
        <v/>
      </c>
      <c r="AX219" s="97"/>
      <c r="BD219" s="453" t="s">
        <v>122</v>
      </c>
      <c r="CG219"/>
      <c r="CH219"/>
      <c r="CK219" s="592" t="str">
        <f t="shared" si="118"/>
        <v/>
      </c>
      <c r="CL219" s="421" t="str">
        <f t="shared" si="119"/>
        <v/>
      </c>
      <c r="CM219" s="594"/>
      <c r="CN219" s="594"/>
      <c r="CO219" s="594"/>
      <c r="CP219" s="594"/>
      <c r="CQ219" s="594"/>
      <c r="CR219" s="594"/>
    </row>
    <row r="220" spans="1:96" s="13" customFormat="1" ht="13.75" customHeight="1">
      <c r="A220" s="137">
        <v>205</v>
      </c>
      <c r="B220" s="138"/>
      <c r="C220" s="139"/>
      <c r="D220" s="140"/>
      <c r="E220" s="139"/>
      <c r="F220" s="139"/>
      <c r="G220" s="191"/>
      <c r="H220" s="139"/>
      <c r="I220" s="141"/>
      <c r="J220" s="142"/>
      <c r="K220" s="139"/>
      <c r="L220" s="147"/>
      <c r="M220" s="148"/>
      <c r="N220" s="139"/>
      <c r="O220" s="589"/>
      <c r="P220" s="229" t="str">
        <f t="shared" si="111"/>
        <v/>
      </c>
      <c r="Q220" s="229" t="str">
        <f t="shared" si="112"/>
        <v/>
      </c>
      <c r="R220" s="230" t="str">
        <f t="shared" si="113"/>
        <v/>
      </c>
      <c r="S220" s="230" t="str">
        <f t="shared" si="114"/>
        <v/>
      </c>
      <c r="T220" s="351"/>
      <c r="U220" s="43"/>
      <c r="V220" s="42" t="str">
        <f t="shared" si="90"/>
        <v/>
      </c>
      <c r="W220" s="42" t="e">
        <f>IF(#REF!="","",#REF!)</f>
        <v>#REF!</v>
      </c>
      <c r="X220" s="31" t="str">
        <f t="shared" si="91"/>
        <v/>
      </c>
      <c r="Y220" s="7" t="e">
        <f t="shared" si="92"/>
        <v>#N/A</v>
      </c>
      <c r="Z220" s="7" t="e">
        <f t="shared" si="93"/>
        <v>#N/A</v>
      </c>
      <c r="AA220" s="7" t="e">
        <f t="shared" si="94"/>
        <v>#N/A</v>
      </c>
      <c r="AB220" s="7" t="str">
        <f t="shared" si="95"/>
        <v/>
      </c>
      <c r="AC220" s="11">
        <f t="shared" si="96"/>
        <v>1</v>
      </c>
      <c r="AD220" s="7" t="e">
        <f t="shared" si="97"/>
        <v>#N/A</v>
      </c>
      <c r="AE220" s="7" t="e">
        <f t="shared" si="98"/>
        <v>#N/A</v>
      </c>
      <c r="AF220" s="7" t="e">
        <f t="shared" si="99"/>
        <v>#N/A</v>
      </c>
      <c r="AG220" s="472" t="e">
        <f>VLOOKUP(AI220,'排出係数(2017)'!$A$4:$I$1151,9,FALSE)</f>
        <v>#N/A</v>
      </c>
      <c r="AH220" s="12" t="str">
        <f t="shared" si="100"/>
        <v xml:space="preserve"> </v>
      </c>
      <c r="AI220" s="7" t="e">
        <f t="shared" si="115"/>
        <v>#N/A</v>
      </c>
      <c r="AJ220" s="7" t="e">
        <f t="shared" si="101"/>
        <v>#N/A</v>
      </c>
      <c r="AK220" s="472" t="e">
        <f>VLOOKUP(AI220,'排出係数(2017)'!$A$4:$I$1151,6,FALSE)</f>
        <v>#N/A</v>
      </c>
      <c r="AL220" s="7" t="e">
        <f t="shared" si="102"/>
        <v>#N/A</v>
      </c>
      <c r="AM220" s="7" t="e">
        <f t="shared" si="103"/>
        <v>#N/A</v>
      </c>
      <c r="AN220" s="472" t="e">
        <f>VLOOKUP(AI220,'排出係数(2017)'!$A$4:$I$1151,7,FALSE)</f>
        <v>#N/A</v>
      </c>
      <c r="AO220" s="7" t="e">
        <f t="shared" si="104"/>
        <v>#N/A</v>
      </c>
      <c r="AP220" s="7" t="e">
        <f t="shared" si="105"/>
        <v>#N/A</v>
      </c>
      <c r="AQ220" s="7" t="e">
        <f t="shared" si="116"/>
        <v>#N/A</v>
      </c>
      <c r="AR220" s="7">
        <f t="shared" si="106"/>
        <v>0</v>
      </c>
      <c r="AS220" s="7" t="e">
        <f t="shared" si="117"/>
        <v>#N/A</v>
      </c>
      <c r="AT220" s="7" t="str">
        <f t="shared" si="107"/>
        <v/>
      </c>
      <c r="AU220" s="7" t="str">
        <f t="shared" si="108"/>
        <v/>
      </c>
      <c r="AV220" s="7" t="str">
        <f t="shared" si="109"/>
        <v/>
      </c>
      <c r="AW220" s="7" t="str">
        <f t="shared" si="110"/>
        <v/>
      </c>
      <c r="AX220" s="97"/>
      <c r="BD220" s="453" t="s">
        <v>123</v>
      </c>
      <c r="CG220"/>
      <c r="CH220"/>
      <c r="CK220" s="592" t="str">
        <f t="shared" si="118"/>
        <v/>
      </c>
      <c r="CL220" s="421" t="str">
        <f t="shared" si="119"/>
        <v/>
      </c>
      <c r="CM220" s="594"/>
      <c r="CN220" s="594"/>
      <c r="CO220" s="594"/>
      <c r="CP220" s="594"/>
      <c r="CQ220" s="594"/>
      <c r="CR220" s="594"/>
    </row>
    <row r="221" spans="1:96" s="13" customFormat="1" ht="13.75" customHeight="1">
      <c r="A221" s="137">
        <v>206</v>
      </c>
      <c r="B221" s="138"/>
      <c r="C221" s="139"/>
      <c r="D221" s="140"/>
      <c r="E221" s="139"/>
      <c r="F221" s="139"/>
      <c r="G221" s="191"/>
      <c r="H221" s="139"/>
      <c r="I221" s="141"/>
      <c r="J221" s="142"/>
      <c r="K221" s="139"/>
      <c r="L221" s="147"/>
      <c r="M221" s="148"/>
      <c r="N221" s="139"/>
      <c r="O221" s="589"/>
      <c r="P221" s="229" t="str">
        <f t="shared" si="111"/>
        <v/>
      </c>
      <c r="Q221" s="229" t="str">
        <f t="shared" si="112"/>
        <v/>
      </c>
      <c r="R221" s="230" t="str">
        <f t="shared" si="113"/>
        <v/>
      </c>
      <c r="S221" s="230" t="str">
        <f t="shared" si="114"/>
        <v/>
      </c>
      <c r="T221" s="351"/>
      <c r="U221" s="43"/>
      <c r="V221" s="42" t="str">
        <f t="shared" si="90"/>
        <v/>
      </c>
      <c r="W221" s="42" t="e">
        <f>IF(#REF!="","",#REF!)</f>
        <v>#REF!</v>
      </c>
      <c r="X221" s="31" t="str">
        <f t="shared" si="91"/>
        <v/>
      </c>
      <c r="Y221" s="7" t="e">
        <f t="shared" si="92"/>
        <v>#N/A</v>
      </c>
      <c r="Z221" s="7" t="e">
        <f t="shared" si="93"/>
        <v>#N/A</v>
      </c>
      <c r="AA221" s="7" t="e">
        <f t="shared" si="94"/>
        <v>#N/A</v>
      </c>
      <c r="AB221" s="7" t="str">
        <f t="shared" si="95"/>
        <v/>
      </c>
      <c r="AC221" s="11">
        <f t="shared" si="96"/>
        <v>1</v>
      </c>
      <c r="AD221" s="7" t="e">
        <f t="shared" si="97"/>
        <v>#N/A</v>
      </c>
      <c r="AE221" s="7" t="e">
        <f t="shared" si="98"/>
        <v>#N/A</v>
      </c>
      <c r="AF221" s="7" t="e">
        <f t="shared" si="99"/>
        <v>#N/A</v>
      </c>
      <c r="AG221" s="472" t="e">
        <f>VLOOKUP(AI221,'排出係数(2017)'!$A$4:$I$1151,9,FALSE)</f>
        <v>#N/A</v>
      </c>
      <c r="AH221" s="12" t="str">
        <f t="shared" si="100"/>
        <v xml:space="preserve"> </v>
      </c>
      <c r="AI221" s="7" t="e">
        <f t="shared" si="115"/>
        <v>#N/A</v>
      </c>
      <c r="AJ221" s="7" t="e">
        <f t="shared" si="101"/>
        <v>#N/A</v>
      </c>
      <c r="AK221" s="472" t="e">
        <f>VLOOKUP(AI221,'排出係数(2017)'!$A$4:$I$1151,6,FALSE)</f>
        <v>#N/A</v>
      </c>
      <c r="AL221" s="7" t="e">
        <f t="shared" si="102"/>
        <v>#N/A</v>
      </c>
      <c r="AM221" s="7" t="e">
        <f t="shared" si="103"/>
        <v>#N/A</v>
      </c>
      <c r="AN221" s="472" t="e">
        <f>VLOOKUP(AI221,'排出係数(2017)'!$A$4:$I$1151,7,FALSE)</f>
        <v>#N/A</v>
      </c>
      <c r="AO221" s="7" t="e">
        <f t="shared" si="104"/>
        <v>#N/A</v>
      </c>
      <c r="AP221" s="7" t="e">
        <f t="shared" si="105"/>
        <v>#N/A</v>
      </c>
      <c r="AQ221" s="7" t="e">
        <f t="shared" si="116"/>
        <v>#N/A</v>
      </c>
      <c r="AR221" s="7">
        <f t="shared" si="106"/>
        <v>0</v>
      </c>
      <c r="AS221" s="7" t="e">
        <f t="shared" si="117"/>
        <v>#N/A</v>
      </c>
      <c r="AT221" s="7" t="str">
        <f t="shared" si="107"/>
        <v/>
      </c>
      <c r="AU221" s="7" t="str">
        <f t="shared" si="108"/>
        <v/>
      </c>
      <c r="AV221" s="7" t="str">
        <f t="shared" si="109"/>
        <v/>
      </c>
      <c r="AW221" s="7" t="str">
        <f t="shared" si="110"/>
        <v/>
      </c>
      <c r="AX221" s="97"/>
      <c r="BD221" s="453" t="s">
        <v>124</v>
      </c>
      <c r="CG221"/>
      <c r="CH221"/>
      <c r="CK221" s="592" t="str">
        <f t="shared" si="118"/>
        <v/>
      </c>
      <c r="CL221" s="421" t="str">
        <f t="shared" si="119"/>
        <v/>
      </c>
      <c r="CM221" s="594"/>
      <c r="CN221" s="594"/>
      <c r="CO221" s="594"/>
      <c r="CP221" s="594"/>
      <c r="CQ221" s="594"/>
      <c r="CR221" s="594"/>
    </row>
    <row r="222" spans="1:96" s="13" customFormat="1" ht="13.75" customHeight="1">
      <c r="A222" s="137">
        <v>207</v>
      </c>
      <c r="B222" s="138"/>
      <c r="C222" s="139"/>
      <c r="D222" s="140"/>
      <c r="E222" s="139"/>
      <c r="F222" s="139"/>
      <c r="G222" s="191"/>
      <c r="H222" s="139"/>
      <c r="I222" s="141"/>
      <c r="J222" s="142"/>
      <c r="K222" s="139"/>
      <c r="L222" s="147"/>
      <c r="M222" s="148"/>
      <c r="N222" s="139"/>
      <c r="O222" s="589"/>
      <c r="P222" s="229" t="str">
        <f t="shared" si="111"/>
        <v/>
      </c>
      <c r="Q222" s="229" t="str">
        <f t="shared" si="112"/>
        <v/>
      </c>
      <c r="R222" s="230" t="str">
        <f t="shared" si="113"/>
        <v/>
      </c>
      <c r="S222" s="230" t="str">
        <f t="shared" si="114"/>
        <v/>
      </c>
      <c r="T222" s="351"/>
      <c r="U222" s="43"/>
      <c r="V222" s="42" t="str">
        <f t="shared" si="90"/>
        <v/>
      </c>
      <c r="W222" s="42" t="e">
        <f>IF(#REF!="","",#REF!)</f>
        <v>#REF!</v>
      </c>
      <c r="X222" s="31" t="str">
        <f t="shared" si="91"/>
        <v/>
      </c>
      <c r="Y222" s="7" t="e">
        <f t="shared" si="92"/>
        <v>#N/A</v>
      </c>
      <c r="Z222" s="7" t="e">
        <f t="shared" si="93"/>
        <v>#N/A</v>
      </c>
      <c r="AA222" s="7" t="e">
        <f t="shared" si="94"/>
        <v>#N/A</v>
      </c>
      <c r="AB222" s="7" t="str">
        <f t="shared" si="95"/>
        <v/>
      </c>
      <c r="AC222" s="11">
        <f t="shared" si="96"/>
        <v>1</v>
      </c>
      <c r="AD222" s="7" t="e">
        <f t="shared" si="97"/>
        <v>#N/A</v>
      </c>
      <c r="AE222" s="7" t="e">
        <f t="shared" si="98"/>
        <v>#N/A</v>
      </c>
      <c r="AF222" s="7" t="e">
        <f t="shared" si="99"/>
        <v>#N/A</v>
      </c>
      <c r="AG222" s="472" t="e">
        <f>VLOOKUP(AI222,'排出係数(2017)'!$A$4:$I$1151,9,FALSE)</f>
        <v>#N/A</v>
      </c>
      <c r="AH222" s="12" t="str">
        <f t="shared" si="100"/>
        <v xml:space="preserve"> </v>
      </c>
      <c r="AI222" s="7" t="e">
        <f t="shared" si="115"/>
        <v>#N/A</v>
      </c>
      <c r="AJ222" s="7" t="e">
        <f t="shared" si="101"/>
        <v>#N/A</v>
      </c>
      <c r="AK222" s="472" t="e">
        <f>VLOOKUP(AI222,'排出係数(2017)'!$A$4:$I$1151,6,FALSE)</f>
        <v>#N/A</v>
      </c>
      <c r="AL222" s="7" t="e">
        <f t="shared" si="102"/>
        <v>#N/A</v>
      </c>
      <c r="AM222" s="7" t="e">
        <f t="shared" si="103"/>
        <v>#N/A</v>
      </c>
      <c r="AN222" s="472" t="e">
        <f>VLOOKUP(AI222,'排出係数(2017)'!$A$4:$I$1151,7,FALSE)</f>
        <v>#N/A</v>
      </c>
      <c r="AO222" s="7" t="e">
        <f t="shared" si="104"/>
        <v>#N/A</v>
      </c>
      <c r="AP222" s="7" t="e">
        <f t="shared" si="105"/>
        <v>#N/A</v>
      </c>
      <c r="AQ222" s="7" t="e">
        <f t="shared" si="116"/>
        <v>#N/A</v>
      </c>
      <c r="AR222" s="7">
        <f t="shared" si="106"/>
        <v>0</v>
      </c>
      <c r="AS222" s="7" t="e">
        <f t="shared" si="117"/>
        <v>#N/A</v>
      </c>
      <c r="AT222" s="7" t="str">
        <f t="shared" si="107"/>
        <v/>
      </c>
      <c r="AU222" s="7" t="str">
        <f t="shared" si="108"/>
        <v/>
      </c>
      <c r="AV222" s="7" t="str">
        <f t="shared" si="109"/>
        <v/>
      </c>
      <c r="AW222" s="7" t="str">
        <f t="shared" si="110"/>
        <v/>
      </c>
      <c r="AX222" s="97"/>
      <c r="BD222" s="453" t="s">
        <v>125</v>
      </c>
      <c r="CG222"/>
      <c r="CH222"/>
      <c r="CK222" s="592" t="str">
        <f t="shared" si="118"/>
        <v/>
      </c>
      <c r="CL222" s="421" t="str">
        <f t="shared" si="119"/>
        <v/>
      </c>
      <c r="CM222" s="594"/>
      <c r="CN222" s="594"/>
      <c r="CO222" s="594"/>
      <c r="CP222" s="594"/>
      <c r="CQ222" s="594"/>
      <c r="CR222" s="594"/>
    </row>
    <row r="223" spans="1:96" s="13" customFormat="1" ht="13.75" customHeight="1">
      <c r="A223" s="137">
        <v>208</v>
      </c>
      <c r="B223" s="138"/>
      <c r="C223" s="139"/>
      <c r="D223" s="140"/>
      <c r="E223" s="139"/>
      <c r="F223" s="139"/>
      <c r="G223" s="191"/>
      <c r="H223" s="139"/>
      <c r="I223" s="141"/>
      <c r="J223" s="142"/>
      <c r="K223" s="139"/>
      <c r="L223" s="147"/>
      <c r="M223" s="148"/>
      <c r="N223" s="139"/>
      <c r="O223" s="589"/>
      <c r="P223" s="229" t="str">
        <f t="shared" si="111"/>
        <v/>
      </c>
      <c r="Q223" s="229" t="str">
        <f t="shared" si="112"/>
        <v/>
      </c>
      <c r="R223" s="230" t="str">
        <f t="shared" si="113"/>
        <v/>
      </c>
      <c r="S223" s="230" t="str">
        <f t="shared" si="114"/>
        <v/>
      </c>
      <c r="T223" s="351"/>
      <c r="U223" s="43"/>
      <c r="V223" s="42" t="str">
        <f t="shared" si="90"/>
        <v/>
      </c>
      <c r="W223" s="42" t="e">
        <f>IF(#REF!="","",#REF!)</f>
        <v>#REF!</v>
      </c>
      <c r="X223" s="31" t="str">
        <f t="shared" si="91"/>
        <v/>
      </c>
      <c r="Y223" s="7" t="e">
        <f t="shared" si="92"/>
        <v>#N/A</v>
      </c>
      <c r="Z223" s="7" t="e">
        <f t="shared" si="93"/>
        <v>#N/A</v>
      </c>
      <c r="AA223" s="7" t="e">
        <f t="shared" si="94"/>
        <v>#N/A</v>
      </c>
      <c r="AB223" s="7" t="str">
        <f t="shared" si="95"/>
        <v/>
      </c>
      <c r="AC223" s="11">
        <f t="shared" si="96"/>
        <v>1</v>
      </c>
      <c r="AD223" s="7" t="e">
        <f t="shared" si="97"/>
        <v>#N/A</v>
      </c>
      <c r="AE223" s="7" t="e">
        <f t="shared" si="98"/>
        <v>#N/A</v>
      </c>
      <c r="AF223" s="7" t="e">
        <f t="shared" si="99"/>
        <v>#N/A</v>
      </c>
      <c r="AG223" s="472" t="e">
        <f>VLOOKUP(AI223,'排出係数(2017)'!$A$4:$I$1151,9,FALSE)</f>
        <v>#N/A</v>
      </c>
      <c r="AH223" s="12" t="str">
        <f t="shared" si="100"/>
        <v xml:space="preserve"> </v>
      </c>
      <c r="AI223" s="7" t="e">
        <f t="shared" si="115"/>
        <v>#N/A</v>
      </c>
      <c r="AJ223" s="7" t="e">
        <f t="shared" si="101"/>
        <v>#N/A</v>
      </c>
      <c r="AK223" s="472" t="e">
        <f>VLOOKUP(AI223,'排出係数(2017)'!$A$4:$I$1151,6,FALSE)</f>
        <v>#N/A</v>
      </c>
      <c r="AL223" s="7" t="e">
        <f t="shared" si="102"/>
        <v>#N/A</v>
      </c>
      <c r="AM223" s="7" t="e">
        <f t="shared" si="103"/>
        <v>#N/A</v>
      </c>
      <c r="AN223" s="472" t="e">
        <f>VLOOKUP(AI223,'排出係数(2017)'!$A$4:$I$1151,7,FALSE)</f>
        <v>#N/A</v>
      </c>
      <c r="AO223" s="7" t="e">
        <f t="shared" si="104"/>
        <v>#N/A</v>
      </c>
      <c r="AP223" s="7" t="e">
        <f t="shared" si="105"/>
        <v>#N/A</v>
      </c>
      <c r="AQ223" s="7" t="e">
        <f t="shared" si="116"/>
        <v>#N/A</v>
      </c>
      <c r="AR223" s="7">
        <f t="shared" si="106"/>
        <v>0</v>
      </c>
      <c r="AS223" s="7" t="e">
        <f t="shared" si="117"/>
        <v>#N/A</v>
      </c>
      <c r="AT223" s="7" t="str">
        <f t="shared" si="107"/>
        <v/>
      </c>
      <c r="AU223" s="7" t="str">
        <f t="shared" si="108"/>
        <v/>
      </c>
      <c r="AV223" s="7" t="str">
        <f t="shared" si="109"/>
        <v/>
      </c>
      <c r="AW223" s="7" t="str">
        <f t="shared" si="110"/>
        <v/>
      </c>
      <c r="AX223" s="97"/>
      <c r="BD223" s="453" t="s">
        <v>126</v>
      </c>
      <c r="CG223"/>
      <c r="CH223"/>
      <c r="CK223" s="592" t="str">
        <f t="shared" si="118"/>
        <v/>
      </c>
      <c r="CL223" s="421" t="str">
        <f t="shared" si="119"/>
        <v/>
      </c>
      <c r="CM223" s="594"/>
      <c r="CN223" s="594"/>
      <c r="CO223" s="594"/>
      <c r="CP223" s="594"/>
      <c r="CQ223" s="594"/>
      <c r="CR223" s="594"/>
    </row>
    <row r="224" spans="1:96" s="13" customFormat="1" ht="13.75" customHeight="1">
      <c r="A224" s="137">
        <v>209</v>
      </c>
      <c r="B224" s="138"/>
      <c r="C224" s="139"/>
      <c r="D224" s="140"/>
      <c r="E224" s="139"/>
      <c r="F224" s="139"/>
      <c r="G224" s="191"/>
      <c r="H224" s="139"/>
      <c r="I224" s="141"/>
      <c r="J224" s="142"/>
      <c r="K224" s="139"/>
      <c r="L224" s="147"/>
      <c r="M224" s="148"/>
      <c r="N224" s="139"/>
      <c r="O224" s="589"/>
      <c r="P224" s="229" t="str">
        <f t="shared" si="111"/>
        <v/>
      </c>
      <c r="Q224" s="229" t="str">
        <f t="shared" si="112"/>
        <v/>
      </c>
      <c r="R224" s="230" t="str">
        <f t="shared" si="113"/>
        <v/>
      </c>
      <c r="S224" s="230" t="str">
        <f t="shared" si="114"/>
        <v/>
      </c>
      <c r="T224" s="351"/>
      <c r="U224" s="43"/>
      <c r="V224" s="42" t="str">
        <f t="shared" si="90"/>
        <v/>
      </c>
      <c r="W224" s="42" t="e">
        <f>IF(#REF!="","",#REF!)</f>
        <v>#REF!</v>
      </c>
      <c r="X224" s="31" t="str">
        <f t="shared" si="91"/>
        <v/>
      </c>
      <c r="Y224" s="7" t="e">
        <f t="shared" si="92"/>
        <v>#N/A</v>
      </c>
      <c r="Z224" s="7" t="e">
        <f t="shared" si="93"/>
        <v>#N/A</v>
      </c>
      <c r="AA224" s="7" t="e">
        <f t="shared" si="94"/>
        <v>#N/A</v>
      </c>
      <c r="AB224" s="7" t="str">
        <f t="shared" si="95"/>
        <v/>
      </c>
      <c r="AC224" s="11">
        <f t="shared" si="96"/>
        <v>1</v>
      </c>
      <c r="AD224" s="7" t="e">
        <f t="shared" si="97"/>
        <v>#N/A</v>
      </c>
      <c r="AE224" s="7" t="e">
        <f t="shared" si="98"/>
        <v>#N/A</v>
      </c>
      <c r="AF224" s="7" t="e">
        <f t="shared" si="99"/>
        <v>#N/A</v>
      </c>
      <c r="AG224" s="472" t="e">
        <f>VLOOKUP(AI224,'排出係数(2017)'!$A$4:$I$1151,9,FALSE)</f>
        <v>#N/A</v>
      </c>
      <c r="AH224" s="12" t="str">
        <f t="shared" si="100"/>
        <v xml:space="preserve"> </v>
      </c>
      <c r="AI224" s="7" t="e">
        <f t="shared" si="115"/>
        <v>#N/A</v>
      </c>
      <c r="AJ224" s="7" t="e">
        <f t="shared" si="101"/>
        <v>#N/A</v>
      </c>
      <c r="AK224" s="472" t="e">
        <f>VLOOKUP(AI224,'排出係数(2017)'!$A$4:$I$1151,6,FALSE)</f>
        <v>#N/A</v>
      </c>
      <c r="AL224" s="7" t="e">
        <f t="shared" si="102"/>
        <v>#N/A</v>
      </c>
      <c r="AM224" s="7" t="e">
        <f t="shared" si="103"/>
        <v>#N/A</v>
      </c>
      <c r="AN224" s="472" t="e">
        <f>VLOOKUP(AI224,'排出係数(2017)'!$A$4:$I$1151,7,FALSE)</f>
        <v>#N/A</v>
      </c>
      <c r="AO224" s="7" t="e">
        <f t="shared" si="104"/>
        <v>#N/A</v>
      </c>
      <c r="AP224" s="7" t="e">
        <f t="shared" si="105"/>
        <v>#N/A</v>
      </c>
      <c r="AQ224" s="7" t="e">
        <f t="shared" si="116"/>
        <v>#N/A</v>
      </c>
      <c r="AR224" s="7">
        <f t="shared" si="106"/>
        <v>0</v>
      </c>
      <c r="AS224" s="7" t="e">
        <f t="shared" si="117"/>
        <v>#N/A</v>
      </c>
      <c r="AT224" s="7" t="str">
        <f t="shared" si="107"/>
        <v/>
      </c>
      <c r="AU224" s="7" t="str">
        <f t="shared" si="108"/>
        <v/>
      </c>
      <c r="AV224" s="7" t="str">
        <f t="shared" si="109"/>
        <v/>
      </c>
      <c r="AW224" s="7" t="str">
        <f t="shared" si="110"/>
        <v/>
      </c>
      <c r="AX224" s="97"/>
      <c r="BD224" s="453" t="s">
        <v>127</v>
      </c>
      <c r="CG224"/>
      <c r="CH224"/>
      <c r="CK224" s="592" t="str">
        <f t="shared" si="118"/>
        <v/>
      </c>
      <c r="CL224" s="421" t="str">
        <f t="shared" si="119"/>
        <v/>
      </c>
      <c r="CM224" s="594"/>
      <c r="CN224" s="594"/>
      <c r="CO224" s="594"/>
      <c r="CP224" s="594"/>
      <c r="CQ224" s="594"/>
      <c r="CR224" s="594"/>
    </row>
    <row r="225" spans="1:96" s="13" customFormat="1" ht="13.75" customHeight="1">
      <c r="A225" s="137">
        <v>210</v>
      </c>
      <c r="B225" s="138"/>
      <c r="C225" s="139"/>
      <c r="D225" s="140"/>
      <c r="E225" s="139"/>
      <c r="F225" s="139"/>
      <c r="G225" s="191"/>
      <c r="H225" s="139"/>
      <c r="I225" s="141"/>
      <c r="J225" s="142"/>
      <c r="K225" s="139"/>
      <c r="L225" s="147"/>
      <c r="M225" s="148"/>
      <c r="N225" s="139"/>
      <c r="O225" s="589"/>
      <c r="P225" s="229" t="str">
        <f t="shared" si="111"/>
        <v/>
      </c>
      <c r="Q225" s="229" t="str">
        <f t="shared" si="112"/>
        <v/>
      </c>
      <c r="R225" s="230" t="str">
        <f t="shared" si="113"/>
        <v/>
      </c>
      <c r="S225" s="230" t="str">
        <f t="shared" si="114"/>
        <v/>
      </c>
      <c r="T225" s="351"/>
      <c r="U225" s="43"/>
      <c r="V225" s="42" t="str">
        <f t="shared" si="90"/>
        <v/>
      </c>
      <c r="W225" s="42" t="e">
        <f>IF(#REF!="","",#REF!)</f>
        <v>#REF!</v>
      </c>
      <c r="X225" s="31" t="str">
        <f t="shared" si="91"/>
        <v/>
      </c>
      <c r="Y225" s="7" t="e">
        <f t="shared" si="92"/>
        <v>#N/A</v>
      </c>
      <c r="Z225" s="7" t="e">
        <f t="shared" si="93"/>
        <v>#N/A</v>
      </c>
      <c r="AA225" s="7" t="e">
        <f t="shared" si="94"/>
        <v>#N/A</v>
      </c>
      <c r="AB225" s="7" t="str">
        <f t="shared" si="95"/>
        <v/>
      </c>
      <c r="AC225" s="11">
        <f t="shared" si="96"/>
        <v>1</v>
      </c>
      <c r="AD225" s="7" t="e">
        <f t="shared" si="97"/>
        <v>#N/A</v>
      </c>
      <c r="AE225" s="7" t="e">
        <f t="shared" si="98"/>
        <v>#N/A</v>
      </c>
      <c r="AF225" s="7" t="e">
        <f t="shared" si="99"/>
        <v>#N/A</v>
      </c>
      <c r="AG225" s="472" t="e">
        <f>VLOOKUP(AI225,'排出係数(2017)'!$A$4:$I$1151,9,FALSE)</f>
        <v>#N/A</v>
      </c>
      <c r="AH225" s="12" t="str">
        <f t="shared" si="100"/>
        <v xml:space="preserve"> </v>
      </c>
      <c r="AI225" s="7" t="e">
        <f t="shared" si="115"/>
        <v>#N/A</v>
      </c>
      <c r="AJ225" s="7" t="e">
        <f t="shared" si="101"/>
        <v>#N/A</v>
      </c>
      <c r="AK225" s="472" t="e">
        <f>VLOOKUP(AI225,'排出係数(2017)'!$A$4:$I$1151,6,FALSE)</f>
        <v>#N/A</v>
      </c>
      <c r="AL225" s="7" t="e">
        <f t="shared" si="102"/>
        <v>#N/A</v>
      </c>
      <c r="AM225" s="7" t="e">
        <f t="shared" si="103"/>
        <v>#N/A</v>
      </c>
      <c r="AN225" s="472" t="e">
        <f>VLOOKUP(AI225,'排出係数(2017)'!$A$4:$I$1151,7,FALSE)</f>
        <v>#N/A</v>
      </c>
      <c r="AO225" s="7" t="e">
        <f t="shared" si="104"/>
        <v>#N/A</v>
      </c>
      <c r="AP225" s="7" t="e">
        <f t="shared" si="105"/>
        <v>#N/A</v>
      </c>
      <c r="AQ225" s="7" t="e">
        <f t="shared" si="116"/>
        <v>#N/A</v>
      </c>
      <c r="AR225" s="7">
        <f t="shared" si="106"/>
        <v>0</v>
      </c>
      <c r="AS225" s="7" t="e">
        <f t="shared" si="117"/>
        <v>#N/A</v>
      </c>
      <c r="AT225" s="7" t="str">
        <f t="shared" si="107"/>
        <v/>
      </c>
      <c r="AU225" s="7" t="str">
        <f t="shared" si="108"/>
        <v/>
      </c>
      <c r="AV225" s="7" t="str">
        <f t="shared" si="109"/>
        <v/>
      </c>
      <c r="AW225" s="7" t="str">
        <f t="shared" si="110"/>
        <v/>
      </c>
      <c r="AX225" s="97"/>
      <c r="BD225" s="453" t="s">
        <v>128</v>
      </c>
      <c r="CG225"/>
      <c r="CH225"/>
      <c r="CK225" s="592" t="str">
        <f t="shared" si="118"/>
        <v/>
      </c>
      <c r="CL225" s="421" t="str">
        <f t="shared" si="119"/>
        <v/>
      </c>
      <c r="CM225" s="594"/>
      <c r="CN225" s="594"/>
      <c r="CO225" s="594"/>
      <c r="CP225" s="594"/>
      <c r="CQ225" s="594"/>
      <c r="CR225" s="594"/>
    </row>
    <row r="226" spans="1:96" s="13" customFormat="1" ht="13.75" customHeight="1">
      <c r="A226" s="137">
        <v>211</v>
      </c>
      <c r="B226" s="138"/>
      <c r="C226" s="139"/>
      <c r="D226" s="140"/>
      <c r="E226" s="139"/>
      <c r="F226" s="139"/>
      <c r="G226" s="191"/>
      <c r="H226" s="139"/>
      <c r="I226" s="141"/>
      <c r="J226" s="142"/>
      <c r="K226" s="139"/>
      <c r="L226" s="147"/>
      <c r="M226" s="148"/>
      <c r="N226" s="139"/>
      <c r="O226" s="589"/>
      <c r="P226" s="229" t="str">
        <f t="shared" si="111"/>
        <v/>
      </c>
      <c r="Q226" s="229" t="str">
        <f t="shared" si="112"/>
        <v/>
      </c>
      <c r="R226" s="230" t="str">
        <f t="shared" si="113"/>
        <v/>
      </c>
      <c r="S226" s="230" t="str">
        <f t="shared" si="114"/>
        <v/>
      </c>
      <c r="T226" s="351"/>
      <c r="U226" s="43"/>
      <c r="V226" s="42" t="str">
        <f t="shared" si="90"/>
        <v/>
      </c>
      <c r="W226" s="42" t="e">
        <f>IF(#REF!="","",#REF!)</f>
        <v>#REF!</v>
      </c>
      <c r="X226" s="31" t="str">
        <f t="shared" si="91"/>
        <v/>
      </c>
      <c r="Y226" s="7" t="e">
        <f t="shared" si="92"/>
        <v>#N/A</v>
      </c>
      <c r="Z226" s="7" t="e">
        <f t="shared" si="93"/>
        <v>#N/A</v>
      </c>
      <c r="AA226" s="7" t="e">
        <f t="shared" si="94"/>
        <v>#N/A</v>
      </c>
      <c r="AB226" s="7" t="str">
        <f t="shared" si="95"/>
        <v/>
      </c>
      <c r="AC226" s="11">
        <f t="shared" si="96"/>
        <v>1</v>
      </c>
      <c r="AD226" s="7" t="e">
        <f t="shared" si="97"/>
        <v>#N/A</v>
      </c>
      <c r="AE226" s="7" t="e">
        <f t="shared" si="98"/>
        <v>#N/A</v>
      </c>
      <c r="AF226" s="7" t="e">
        <f t="shared" si="99"/>
        <v>#N/A</v>
      </c>
      <c r="AG226" s="472" t="e">
        <f>VLOOKUP(AI226,'排出係数(2017)'!$A$4:$I$1151,9,FALSE)</f>
        <v>#N/A</v>
      </c>
      <c r="AH226" s="12" t="str">
        <f t="shared" si="100"/>
        <v xml:space="preserve"> </v>
      </c>
      <c r="AI226" s="7" t="e">
        <f t="shared" si="115"/>
        <v>#N/A</v>
      </c>
      <c r="AJ226" s="7" t="e">
        <f t="shared" si="101"/>
        <v>#N/A</v>
      </c>
      <c r="AK226" s="472" t="e">
        <f>VLOOKUP(AI226,'排出係数(2017)'!$A$4:$I$1151,6,FALSE)</f>
        <v>#N/A</v>
      </c>
      <c r="AL226" s="7" t="e">
        <f t="shared" si="102"/>
        <v>#N/A</v>
      </c>
      <c r="AM226" s="7" t="e">
        <f t="shared" si="103"/>
        <v>#N/A</v>
      </c>
      <c r="AN226" s="472" t="e">
        <f>VLOOKUP(AI226,'排出係数(2017)'!$A$4:$I$1151,7,FALSE)</f>
        <v>#N/A</v>
      </c>
      <c r="AO226" s="7" t="e">
        <f t="shared" si="104"/>
        <v>#N/A</v>
      </c>
      <c r="AP226" s="7" t="e">
        <f t="shared" si="105"/>
        <v>#N/A</v>
      </c>
      <c r="AQ226" s="7" t="e">
        <f t="shared" si="116"/>
        <v>#N/A</v>
      </c>
      <c r="AR226" s="7">
        <f t="shared" si="106"/>
        <v>0</v>
      </c>
      <c r="AS226" s="7" t="e">
        <f t="shared" si="117"/>
        <v>#N/A</v>
      </c>
      <c r="AT226" s="7" t="str">
        <f t="shared" si="107"/>
        <v/>
      </c>
      <c r="AU226" s="7" t="str">
        <f t="shared" si="108"/>
        <v/>
      </c>
      <c r="AV226" s="7" t="str">
        <f t="shared" si="109"/>
        <v/>
      </c>
      <c r="AW226" s="7" t="str">
        <f t="shared" si="110"/>
        <v/>
      </c>
      <c r="AX226" s="97"/>
      <c r="BD226" s="453" t="s">
        <v>129</v>
      </c>
      <c r="CG226"/>
      <c r="CH226"/>
      <c r="CK226" s="592" t="str">
        <f t="shared" si="118"/>
        <v/>
      </c>
      <c r="CL226" s="421" t="str">
        <f t="shared" si="119"/>
        <v/>
      </c>
      <c r="CM226" s="594"/>
      <c r="CN226" s="594"/>
      <c r="CO226" s="594"/>
      <c r="CP226" s="594"/>
      <c r="CQ226" s="594"/>
      <c r="CR226" s="594"/>
    </row>
    <row r="227" spans="1:96" s="13" customFormat="1" ht="13.75" customHeight="1">
      <c r="A227" s="137">
        <v>212</v>
      </c>
      <c r="B227" s="138"/>
      <c r="C227" s="139"/>
      <c r="D227" s="140"/>
      <c r="E227" s="139"/>
      <c r="F227" s="139"/>
      <c r="G227" s="191"/>
      <c r="H227" s="139"/>
      <c r="I227" s="141"/>
      <c r="J227" s="142"/>
      <c r="K227" s="139"/>
      <c r="L227" s="147"/>
      <c r="M227" s="148"/>
      <c r="N227" s="139"/>
      <c r="O227" s="589"/>
      <c r="P227" s="229" t="str">
        <f t="shared" si="111"/>
        <v/>
      </c>
      <c r="Q227" s="229" t="str">
        <f t="shared" si="112"/>
        <v/>
      </c>
      <c r="R227" s="230" t="str">
        <f t="shared" si="113"/>
        <v/>
      </c>
      <c r="S227" s="230" t="str">
        <f t="shared" si="114"/>
        <v/>
      </c>
      <c r="T227" s="351"/>
      <c r="U227" s="43"/>
      <c r="V227" s="42" t="str">
        <f t="shared" si="90"/>
        <v/>
      </c>
      <c r="W227" s="42" t="e">
        <f>IF(#REF!="","",#REF!)</f>
        <v>#REF!</v>
      </c>
      <c r="X227" s="31" t="str">
        <f t="shared" si="91"/>
        <v/>
      </c>
      <c r="Y227" s="7" t="e">
        <f t="shared" si="92"/>
        <v>#N/A</v>
      </c>
      <c r="Z227" s="7" t="e">
        <f t="shared" si="93"/>
        <v>#N/A</v>
      </c>
      <c r="AA227" s="7" t="e">
        <f t="shared" si="94"/>
        <v>#N/A</v>
      </c>
      <c r="AB227" s="7" t="str">
        <f t="shared" si="95"/>
        <v/>
      </c>
      <c r="AC227" s="11">
        <f t="shared" si="96"/>
        <v>1</v>
      </c>
      <c r="AD227" s="7" t="e">
        <f t="shared" si="97"/>
        <v>#N/A</v>
      </c>
      <c r="AE227" s="7" t="e">
        <f t="shared" si="98"/>
        <v>#N/A</v>
      </c>
      <c r="AF227" s="7" t="e">
        <f t="shared" si="99"/>
        <v>#N/A</v>
      </c>
      <c r="AG227" s="472" t="e">
        <f>VLOOKUP(AI227,'排出係数(2017)'!$A$4:$I$1151,9,FALSE)</f>
        <v>#N/A</v>
      </c>
      <c r="AH227" s="12" t="str">
        <f t="shared" si="100"/>
        <v xml:space="preserve"> </v>
      </c>
      <c r="AI227" s="7" t="e">
        <f t="shared" si="115"/>
        <v>#N/A</v>
      </c>
      <c r="AJ227" s="7" t="e">
        <f t="shared" si="101"/>
        <v>#N/A</v>
      </c>
      <c r="AK227" s="472" t="e">
        <f>VLOOKUP(AI227,'排出係数(2017)'!$A$4:$I$1151,6,FALSE)</f>
        <v>#N/A</v>
      </c>
      <c r="AL227" s="7" t="e">
        <f t="shared" si="102"/>
        <v>#N/A</v>
      </c>
      <c r="AM227" s="7" t="e">
        <f t="shared" si="103"/>
        <v>#N/A</v>
      </c>
      <c r="AN227" s="472" t="e">
        <f>VLOOKUP(AI227,'排出係数(2017)'!$A$4:$I$1151,7,FALSE)</f>
        <v>#N/A</v>
      </c>
      <c r="AO227" s="7" t="e">
        <f t="shared" si="104"/>
        <v>#N/A</v>
      </c>
      <c r="AP227" s="7" t="e">
        <f t="shared" si="105"/>
        <v>#N/A</v>
      </c>
      <c r="AQ227" s="7" t="e">
        <f t="shared" si="116"/>
        <v>#N/A</v>
      </c>
      <c r="AR227" s="7">
        <f t="shared" si="106"/>
        <v>0</v>
      </c>
      <c r="AS227" s="7" t="e">
        <f t="shared" si="117"/>
        <v>#N/A</v>
      </c>
      <c r="AT227" s="7" t="str">
        <f t="shared" si="107"/>
        <v/>
      </c>
      <c r="AU227" s="7" t="str">
        <f t="shared" si="108"/>
        <v/>
      </c>
      <c r="AV227" s="7" t="str">
        <f t="shared" si="109"/>
        <v/>
      </c>
      <c r="AW227" s="7" t="str">
        <f t="shared" si="110"/>
        <v/>
      </c>
      <c r="AX227" s="97"/>
      <c r="BD227" s="453" t="s">
        <v>130</v>
      </c>
      <c r="CG227"/>
      <c r="CH227"/>
      <c r="CK227" s="592" t="str">
        <f t="shared" si="118"/>
        <v/>
      </c>
      <c r="CL227" s="421" t="str">
        <f t="shared" si="119"/>
        <v/>
      </c>
      <c r="CM227" s="594"/>
      <c r="CN227" s="594"/>
      <c r="CO227" s="594"/>
      <c r="CP227" s="594"/>
      <c r="CQ227" s="594"/>
      <c r="CR227" s="594"/>
    </row>
    <row r="228" spans="1:96" s="13" customFormat="1" ht="13.75" customHeight="1">
      <c r="A228" s="137">
        <v>213</v>
      </c>
      <c r="B228" s="138"/>
      <c r="C228" s="139"/>
      <c r="D228" s="140"/>
      <c r="E228" s="139"/>
      <c r="F228" s="139"/>
      <c r="G228" s="191"/>
      <c r="H228" s="139"/>
      <c r="I228" s="141"/>
      <c r="J228" s="142"/>
      <c r="K228" s="139"/>
      <c r="L228" s="147"/>
      <c r="M228" s="148"/>
      <c r="N228" s="139"/>
      <c r="O228" s="589"/>
      <c r="P228" s="229" t="str">
        <f t="shared" si="111"/>
        <v/>
      </c>
      <c r="Q228" s="229" t="str">
        <f t="shared" si="112"/>
        <v/>
      </c>
      <c r="R228" s="230" t="str">
        <f t="shared" si="113"/>
        <v/>
      </c>
      <c r="S228" s="230" t="str">
        <f t="shared" si="114"/>
        <v/>
      </c>
      <c r="T228" s="351"/>
      <c r="U228" s="43"/>
      <c r="V228" s="42" t="str">
        <f t="shared" si="90"/>
        <v/>
      </c>
      <c r="W228" s="42" t="e">
        <f>IF(#REF!="","",#REF!)</f>
        <v>#REF!</v>
      </c>
      <c r="X228" s="31" t="str">
        <f t="shared" si="91"/>
        <v/>
      </c>
      <c r="Y228" s="7" t="e">
        <f t="shared" si="92"/>
        <v>#N/A</v>
      </c>
      <c r="Z228" s="7" t="e">
        <f t="shared" si="93"/>
        <v>#N/A</v>
      </c>
      <c r="AA228" s="7" t="e">
        <f t="shared" si="94"/>
        <v>#N/A</v>
      </c>
      <c r="AB228" s="7" t="str">
        <f t="shared" si="95"/>
        <v/>
      </c>
      <c r="AC228" s="11">
        <f t="shared" si="96"/>
        <v>1</v>
      </c>
      <c r="AD228" s="7" t="e">
        <f t="shared" si="97"/>
        <v>#N/A</v>
      </c>
      <c r="AE228" s="7" t="e">
        <f t="shared" si="98"/>
        <v>#N/A</v>
      </c>
      <c r="AF228" s="7" t="e">
        <f t="shared" si="99"/>
        <v>#N/A</v>
      </c>
      <c r="AG228" s="472" t="e">
        <f>VLOOKUP(AI228,'排出係数(2017)'!$A$4:$I$1151,9,FALSE)</f>
        <v>#N/A</v>
      </c>
      <c r="AH228" s="12" t="str">
        <f t="shared" si="100"/>
        <v xml:space="preserve"> </v>
      </c>
      <c r="AI228" s="7" t="e">
        <f t="shared" si="115"/>
        <v>#N/A</v>
      </c>
      <c r="AJ228" s="7" t="e">
        <f t="shared" si="101"/>
        <v>#N/A</v>
      </c>
      <c r="AK228" s="472" t="e">
        <f>VLOOKUP(AI228,'排出係数(2017)'!$A$4:$I$1151,6,FALSE)</f>
        <v>#N/A</v>
      </c>
      <c r="AL228" s="7" t="e">
        <f t="shared" si="102"/>
        <v>#N/A</v>
      </c>
      <c r="AM228" s="7" t="e">
        <f t="shared" si="103"/>
        <v>#N/A</v>
      </c>
      <c r="AN228" s="472" t="e">
        <f>VLOOKUP(AI228,'排出係数(2017)'!$A$4:$I$1151,7,FALSE)</f>
        <v>#N/A</v>
      </c>
      <c r="AO228" s="7" t="e">
        <f t="shared" si="104"/>
        <v>#N/A</v>
      </c>
      <c r="AP228" s="7" t="e">
        <f t="shared" si="105"/>
        <v>#N/A</v>
      </c>
      <c r="AQ228" s="7" t="e">
        <f t="shared" si="116"/>
        <v>#N/A</v>
      </c>
      <c r="AR228" s="7">
        <f t="shared" si="106"/>
        <v>0</v>
      </c>
      <c r="AS228" s="7" t="e">
        <f t="shared" si="117"/>
        <v>#N/A</v>
      </c>
      <c r="AT228" s="7" t="str">
        <f t="shared" si="107"/>
        <v/>
      </c>
      <c r="AU228" s="7" t="str">
        <f t="shared" si="108"/>
        <v/>
      </c>
      <c r="AV228" s="7" t="str">
        <f t="shared" si="109"/>
        <v/>
      </c>
      <c r="AW228" s="7" t="str">
        <f t="shared" si="110"/>
        <v/>
      </c>
      <c r="AX228" s="97"/>
      <c r="BD228" s="453" t="s">
        <v>10</v>
      </c>
      <c r="CG228"/>
      <c r="CH228"/>
      <c r="CK228" s="592" t="str">
        <f t="shared" si="118"/>
        <v/>
      </c>
      <c r="CL228" s="421" t="str">
        <f t="shared" si="119"/>
        <v/>
      </c>
      <c r="CM228" s="594"/>
      <c r="CN228" s="594"/>
      <c r="CO228" s="594"/>
      <c r="CP228" s="594"/>
      <c r="CQ228" s="594"/>
      <c r="CR228" s="594"/>
    </row>
    <row r="229" spans="1:96" s="13" customFormat="1" ht="13.75" customHeight="1">
      <c r="A229" s="137">
        <v>214</v>
      </c>
      <c r="B229" s="138"/>
      <c r="C229" s="139"/>
      <c r="D229" s="140"/>
      <c r="E229" s="139"/>
      <c r="F229" s="139"/>
      <c r="G229" s="191"/>
      <c r="H229" s="139"/>
      <c r="I229" s="141"/>
      <c r="J229" s="142"/>
      <c r="K229" s="139"/>
      <c r="L229" s="147"/>
      <c r="M229" s="148"/>
      <c r="N229" s="139"/>
      <c r="O229" s="589"/>
      <c r="P229" s="229" t="str">
        <f t="shared" si="111"/>
        <v/>
      </c>
      <c r="Q229" s="229" t="str">
        <f t="shared" si="112"/>
        <v/>
      </c>
      <c r="R229" s="230" t="str">
        <f t="shared" si="113"/>
        <v/>
      </c>
      <c r="S229" s="230" t="str">
        <f t="shared" si="114"/>
        <v/>
      </c>
      <c r="T229" s="351"/>
      <c r="U229" s="43"/>
      <c r="V229" s="42" t="str">
        <f t="shared" si="90"/>
        <v/>
      </c>
      <c r="W229" s="42" t="e">
        <f>IF(#REF!="","",#REF!)</f>
        <v>#REF!</v>
      </c>
      <c r="X229" s="31" t="str">
        <f t="shared" si="91"/>
        <v/>
      </c>
      <c r="Y229" s="7" t="e">
        <f t="shared" si="92"/>
        <v>#N/A</v>
      </c>
      <c r="Z229" s="7" t="e">
        <f t="shared" si="93"/>
        <v>#N/A</v>
      </c>
      <c r="AA229" s="7" t="e">
        <f t="shared" si="94"/>
        <v>#N/A</v>
      </c>
      <c r="AB229" s="7" t="str">
        <f t="shared" si="95"/>
        <v/>
      </c>
      <c r="AC229" s="11">
        <f t="shared" si="96"/>
        <v>1</v>
      </c>
      <c r="AD229" s="7" t="e">
        <f t="shared" si="97"/>
        <v>#N/A</v>
      </c>
      <c r="AE229" s="7" t="e">
        <f t="shared" si="98"/>
        <v>#N/A</v>
      </c>
      <c r="AF229" s="7" t="e">
        <f t="shared" si="99"/>
        <v>#N/A</v>
      </c>
      <c r="AG229" s="472" t="e">
        <f>VLOOKUP(AI229,'排出係数(2017)'!$A$4:$I$1151,9,FALSE)</f>
        <v>#N/A</v>
      </c>
      <c r="AH229" s="12" t="str">
        <f t="shared" si="100"/>
        <v xml:space="preserve"> </v>
      </c>
      <c r="AI229" s="7" t="e">
        <f t="shared" si="115"/>
        <v>#N/A</v>
      </c>
      <c r="AJ229" s="7" t="e">
        <f t="shared" si="101"/>
        <v>#N/A</v>
      </c>
      <c r="AK229" s="472" t="e">
        <f>VLOOKUP(AI229,'排出係数(2017)'!$A$4:$I$1151,6,FALSE)</f>
        <v>#N/A</v>
      </c>
      <c r="AL229" s="7" t="e">
        <f t="shared" si="102"/>
        <v>#N/A</v>
      </c>
      <c r="AM229" s="7" t="e">
        <f t="shared" si="103"/>
        <v>#N/A</v>
      </c>
      <c r="AN229" s="472" t="e">
        <f>VLOOKUP(AI229,'排出係数(2017)'!$A$4:$I$1151,7,FALSE)</f>
        <v>#N/A</v>
      </c>
      <c r="AO229" s="7" t="e">
        <f t="shared" si="104"/>
        <v>#N/A</v>
      </c>
      <c r="AP229" s="7" t="e">
        <f t="shared" si="105"/>
        <v>#N/A</v>
      </c>
      <c r="AQ229" s="7" t="e">
        <f t="shared" si="116"/>
        <v>#N/A</v>
      </c>
      <c r="AR229" s="7">
        <f t="shared" si="106"/>
        <v>0</v>
      </c>
      <c r="AS229" s="7" t="e">
        <f t="shared" si="117"/>
        <v>#N/A</v>
      </c>
      <c r="AT229" s="7" t="str">
        <f t="shared" si="107"/>
        <v/>
      </c>
      <c r="AU229" s="7" t="str">
        <f t="shared" si="108"/>
        <v/>
      </c>
      <c r="AV229" s="7" t="str">
        <f t="shared" si="109"/>
        <v/>
      </c>
      <c r="AW229" s="7" t="str">
        <f t="shared" si="110"/>
        <v/>
      </c>
      <c r="AX229" s="97"/>
      <c r="BD229" s="453" t="s">
        <v>70</v>
      </c>
      <c r="CG229"/>
      <c r="CH229"/>
      <c r="CK229" s="592" t="str">
        <f t="shared" si="118"/>
        <v/>
      </c>
      <c r="CL229" s="421" t="str">
        <f t="shared" si="119"/>
        <v/>
      </c>
      <c r="CM229" s="594"/>
      <c r="CN229" s="594"/>
      <c r="CO229" s="594"/>
      <c r="CP229" s="594"/>
      <c r="CQ229" s="594"/>
      <c r="CR229" s="594"/>
    </row>
    <row r="230" spans="1:96" s="13" customFormat="1" ht="13.75" customHeight="1">
      <c r="A230" s="137">
        <v>215</v>
      </c>
      <c r="B230" s="138"/>
      <c r="C230" s="139"/>
      <c r="D230" s="140"/>
      <c r="E230" s="139"/>
      <c r="F230" s="139"/>
      <c r="G230" s="191"/>
      <c r="H230" s="139"/>
      <c r="I230" s="141"/>
      <c r="J230" s="142"/>
      <c r="K230" s="139"/>
      <c r="L230" s="147"/>
      <c r="M230" s="148"/>
      <c r="N230" s="139"/>
      <c r="O230" s="589"/>
      <c r="P230" s="229" t="str">
        <f t="shared" si="111"/>
        <v/>
      </c>
      <c r="Q230" s="229" t="str">
        <f t="shared" si="112"/>
        <v/>
      </c>
      <c r="R230" s="230" t="str">
        <f t="shared" si="113"/>
        <v/>
      </c>
      <c r="S230" s="230" t="str">
        <f t="shared" si="114"/>
        <v/>
      </c>
      <c r="T230" s="351"/>
      <c r="U230" s="43"/>
      <c r="V230" s="42" t="str">
        <f t="shared" si="90"/>
        <v/>
      </c>
      <c r="W230" s="42" t="e">
        <f>IF(#REF!="","",#REF!)</f>
        <v>#REF!</v>
      </c>
      <c r="X230" s="31" t="str">
        <f t="shared" si="91"/>
        <v/>
      </c>
      <c r="Y230" s="7" t="e">
        <f t="shared" si="92"/>
        <v>#N/A</v>
      </c>
      <c r="Z230" s="7" t="e">
        <f t="shared" si="93"/>
        <v>#N/A</v>
      </c>
      <c r="AA230" s="7" t="e">
        <f t="shared" si="94"/>
        <v>#N/A</v>
      </c>
      <c r="AB230" s="7" t="str">
        <f t="shared" si="95"/>
        <v/>
      </c>
      <c r="AC230" s="11">
        <f t="shared" si="96"/>
        <v>1</v>
      </c>
      <c r="AD230" s="7" t="e">
        <f t="shared" si="97"/>
        <v>#N/A</v>
      </c>
      <c r="AE230" s="7" t="e">
        <f t="shared" si="98"/>
        <v>#N/A</v>
      </c>
      <c r="AF230" s="7" t="e">
        <f t="shared" si="99"/>
        <v>#N/A</v>
      </c>
      <c r="AG230" s="472" t="e">
        <f>VLOOKUP(AI230,'排出係数(2017)'!$A$4:$I$1151,9,FALSE)</f>
        <v>#N/A</v>
      </c>
      <c r="AH230" s="12" t="str">
        <f t="shared" si="100"/>
        <v xml:space="preserve"> </v>
      </c>
      <c r="AI230" s="7" t="e">
        <f t="shared" si="115"/>
        <v>#N/A</v>
      </c>
      <c r="AJ230" s="7" t="e">
        <f t="shared" si="101"/>
        <v>#N/A</v>
      </c>
      <c r="AK230" s="472" t="e">
        <f>VLOOKUP(AI230,'排出係数(2017)'!$A$4:$I$1151,6,FALSE)</f>
        <v>#N/A</v>
      </c>
      <c r="AL230" s="7" t="e">
        <f t="shared" si="102"/>
        <v>#N/A</v>
      </c>
      <c r="AM230" s="7" t="e">
        <f t="shared" si="103"/>
        <v>#N/A</v>
      </c>
      <c r="AN230" s="472" t="e">
        <f>VLOOKUP(AI230,'排出係数(2017)'!$A$4:$I$1151,7,FALSE)</f>
        <v>#N/A</v>
      </c>
      <c r="AO230" s="7" t="e">
        <f t="shared" si="104"/>
        <v>#N/A</v>
      </c>
      <c r="AP230" s="7" t="e">
        <f t="shared" si="105"/>
        <v>#N/A</v>
      </c>
      <c r="AQ230" s="7" t="e">
        <f t="shared" si="116"/>
        <v>#N/A</v>
      </c>
      <c r="AR230" s="7">
        <f t="shared" si="106"/>
        <v>0</v>
      </c>
      <c r="AS230" s="7" t="e">
        <f t="shared" si="117"/>
        <v>#N/A</v>
      </c>
      <c r="AT230" s="7" t="str">
        <f t="shared" si="107"/>
        <v/>
      </c>
      <c r="AU230" s="7" t="str">
        <f t="shared" si="108"/>
        <v/>
      </c>
      <c r="AV230" s="7" t="str">
        <f t="shared" si="109"/>
        <v/>
      </c>
      <c r="AW230" s="7" t="str">
        <f t="shared" si="110"/>
        <v/>
      </c>
      <c r="AX230" s="97"/>
      <c r="BD230" s="453" t="s">
        <v>1418</v>
      </c>
      <c r="CG230"/>
      <c r="CH230"/>
      <c r="CK230" s="592" t="str">
        <f t="shared" si="118"/>
        <v/>
      </c>
      <c r="CL230" s="421" t="str">
        <f t="shared" si="119"/>
        <v/>
      </c>
      <c r="CM230" s="594"/>
      <c r="CN230" s="594"/>
      <c r="CO230" s="594"/>
      <c r="CP230" s="594"/>
      <c r="CQ230" s="594"/>
      <c r="CR230" s="594"/>
    </row>
    <row r="231" spans="1:96" s="13" customFormat="1" ht="13.75" customHeight="1">
      <c r="A231" s="137">
        <v>216</v>
      </c>
      <c r="B231" s="138"/>
      <c r="C231" s="139"/>
      <c r="D231" s="140"/>
      <c r="E231" s="139"/>
      <c r="F231" s="139"/>
      <c r="G231" s="191"/>
      <c r="H231" s="139"/>
      <c r="I231" s="141"/>
      <c r="J231" s="142"/>
      <c r="K231" s="139"/>
      <c r="L231" s="147"/>
      <c r="M231" s="148"/>
      <c r="N231" s="139"/>
      <c r="O231" s="589"/>
      <c r="P231" s="229" t="str">
        <f t="shared" si="111"/>
        <v/>
      </c>
      <c r="Q231" s="229" t="str">
        <f t="shared" si="112"/>
        <v/>
      </c>
      <c r="R231" s="230" t="str">
        <f t="shared" si="113"/>
        <v/>
      </c>
      <c r="S231" s="230" t="str">
        <f t="shared" si="114"/>
        <v/>
      </c>
      <c r="T231" s="351"/>
      <c r="U231" s="43"/>
      <c r="V231" s="42" t="str">
        <f t="shared" si="90"/>
        <v/>
      </c>
      <c r="W231" s="42" t="e">
        <f>IF(#REF!="","",#REF!)</f>
        <v>#REF!</v>
      </c>
      <c r="X231" s="31" t="str">
        <f t="shared" si="91"/>
        <v/>
      </c>
      <c r="Y231" s="7" t="e">
        <f t="shared" si="92"/>
        <v>#N/A</v>
      </c>
      <c r="Z231" s="7" t="e">
        <f t="shared" si="93"/>
        <v>#N/A</v>
      </c>
      <c r="AA231" s="7" t="e">
        <f t="shared" si="94"/>
        <v>#N/A</v>
      </c>
      <c r="AB231" s="7" t="str">
        <f t="shared" si="95"/>
        <v/>
      </c>
      <c r="AC231" s="11">
        <f t="shared" si="96"/>
        <v>1</v>
      </c>
      <c r="AD231" s="7" t="e">
        <f t="shared" si="97"/>
        <v>#N/A</v>
      </c>
      <c r="AE231" s="7" t="e">
        <f t="shared" si="98"/>
        <v>#N/A</v>
      </c>
      <c r="AF231" s="7" t="e">
        <f t="shared" si="99"/>
        <v>#N/A</v>
      </c>
      <c r="AG231" s="472" t="e">
        <f>VLOOKUP(AI231,'排出係数(2017)'!$A$4:$I$1151,9,FALSE)</f>
        <v>#N/A</v>
      </c>
      <c r="AH231" s="12" t="str">
        <f t="shared" si="100"/>
        <v xml:space="preserve"> </v>
      </c>
      <c r="AI231" s="7" t="e">
        <f t="shared" si="115"/>
        <v>#N/A</v>
      </c>
      <c r="AJ231" s="7" t="e">
        <f t="shared" si="101"/>
        <v>#N/A</v>
      </c>
      <c r="AK231" s="472" t="e">
        <f>VLOOKUP(AI231,'排出係数(2017)'!$A$4:$I$1151,6,FALSE)</f>
        <v>#N/A</v>
      </c>
      <c r="AL231" s="7" t="e">
        <f t="shared" si="102"/>
        <v>#N/A</v>
      </c>
      <c r="AM231" s="7" t="e">
        <f t="shared" si="103"/>
        <v>#N/A</v>
      </c>
      <c r="AN231" s="472" t="e">
        <f>VLOOKUP(AI231,'排出係数(2017)'!$A$4:$I$1151,7,FALSE)</f>
        <v>#N/A</v>
      </c>
      <c r="AO231" s="7" t="e">
        <f t="shared" si="104"/>
        <v>#N/A</v>
      </c>
      <c r="AP231" s="7" t="e">
        <f t="shared" si="105"/>
        <v>#N/A</v>
      </c>
      <c r="AQ231" s="7" t="e">
        <f t="shared" si="116"/>
        <v>#N/A</v>
      </c>
      <c r="AR231" s="7">
        <f t="shared" si="106"/>
        <v>0</v>
      </c>
      <c r="AS231" s="7" t="e">
        <f t="shared" si="117"/>
        <v>#N/A</v>
      </c>
      <c r="AT231" s="7" t="str">
        <f t="shared" si="107"/>
        <v/>
      </c>
      <c r="AU231" s="7" t="str">
        <f t="shared" si="108"/>
        <v/>
      </c>
      <c r="AV231" s="7" t="str">
        <f t="shared" si="109"/>
        <v/>
      </c>
      <c r="AW231" s="7" t="str">
        <f t="shared" si="110"/>
        <v/>
      </c>
      <c r="AX231" s="97"/>
      <c r="BD231" s="467" t="s">
        <v>271</v>
      </c>
      <c r="CG231"/>
      <c r="CH231"/>
      <c r="CK231" s="592" t="str">
        <f t="shared" si="118"/>
        <v/>
      </c>
      <c r="CL231" s="421" t="str">
        <f t="shared" si="119"/>
        <v/>
      </c>
      <c r="CM231" s="594"/>
      <c r="CN231" s="594"/>
      <c r="CO231" s="594"/>
      <c r="CP231" s="594"/>
      <c r="CQ231" s="594"/>
      <c r="CR231" s="594"/>
    </row>
    <row r="232" spans="1:96" s="13" customFormat="1" ht="13.75" customHeight="1">
      <c r="A232" s="137">
        <v>217</v>
      </c>
      <c r="B232" s="138"/>
      <c r="C232" s="139"/>
      <c r="D232" s="140"/>
      <c r="E232" s="139"/>
      <c r="F232" s="139"/>
      <c r="G232" s="191"/>
      <c r="H232" s="139"/>
      <c r="I232" s="141"/>
      <c r="J232" s="142"/>
      <c r="K232" s="139"/>
      <c r="L232" s="147"/>
      <c r="M232" s="148"/>
      <c r="N232" s="139"/>
      <c r="O232" s="589"/>
      <c r="P232" s="229" t="str">
        <f t="shared" si="111"/>
        <v/>
      </c>
      <c r="Q232" s="229" t="str">
        <f t="shared" si="112"/>
        <v/>
      </c>
      <c r="R232" s="230" t="str">
        <f t="shared" si="113"/>
        <v/>
      </c>
      <c r="S232" s="230" t="str">
        <f t="shared" si="114"/>
        <v/>
      </c>
      <c r="T232" s="351"/>
      <c r="U232" s="43"/>
      <c r="V232" s="42" t="str">
        <f t="shared" si="90"/>
        <v/>
      </c>
      <c r="W232" s="42" t="e">
        <f>IF(#REF!="","",#REF!)</f>
        <v>#REF!</v>
      </c>
      <c r="X232" s="31" t="str">
        <f t="shared" si="91"/>
        <v/>
      </c>
      <c r="Y232" s="7" t="e">
        <f t="shared" si="92"/>
        <v>#N/A</v>
      </c>
      <c r="Z232" s="7" t="e">
        <f t="shared" si="93"/>
        <v>#N/A</v>
      </c>
      <c r="AA232" s="7" t="e">
        <f t="shared" si="94"/>
        <v>#N/A</v>
      </c>
      <c r="AB232" s="7" t="str">
        <f t="shared" si="95"/>
        <v/>
      </c>
      <c r="AC232" s="11">
        <f t="shared" si="96"/>
        <v>1</v>
      </c>
      <c r="AD232" s="7" t="e">
        <f t="shared" si="97"/>
        <v>#N/A</v>
      </c>
      <c r="AE232" s="7" t="e">
        <f t="shared" si="98"/>
        <v>#N/A</v>
      </c>
      <c r="AF232" s="7" t="e">
        <f t="shared" si="99"/>
        <v>#N/A</v>
      </c>
      <c r="AG232" s="472" t="e">
        <f>VLOOKUP(AI232,'排出係数(2017)'!$A$4:$I$1151,9,FALSE)</f>
        <v>#N/A</v>
      </c>
      <c r="AH232" s="12" t="str">
        <f t="shared" si="100"/>
        <v xml:space="preserve"> </v>
      </c>
      <c r="AI232" s="7" t="e">
        <f t="shared" si="115"/>
        <v>#N/A</v>
      </c>
      <c r="AJ232" s="7" t="e">
        <f t="shared" si="101"/>
        <v>#N/A</v>
      </c>
      <c r="AK232" s="472" t="e">
        <f>VLOOKUP(AI232,'排出係数(2017)'!$A$4:$I$1151,6,FALSE)</f>
        <v>#N/A</v>
      </c>
      <c r="AL232" s="7" t="e">
        <f t="shared" si="102"/>
        <v>#N/A</v>
      </c>
      <c r="AM232" s="7" t="e">
        <f t="shared" si="103"/>
        <v>#N/A</v>
      </c>
      <c r="AN232" s="472" t="e">
        <f>VLOOKUP(AI232,'排出係数(2017)'!$A$4:$I$1151,7,FALSE)</f>
        <v>#N/A</v>
      </c>
      <c r="AO232" s="7" t="e">
        <f t="shared" si="104"/>
        <v>#N/A</v>
      </c>
      <c r="AP232" s="7" t="e">
        <f t="shared" si="105"/>
        <v>#N/A</v>
      </c>
      <c r="AQ232" s="7" t="e">
        <f t="shared" si="116"/>
        <v>#N/A</v>
      </c>
      <c r="AR232" s="7">
        <f t="shared" si="106"/>
        <v>0</v>
      </c>
      <c r="AS232" s="7" t="e">
        <f t="shared" si="117"/>
        <v>#N/A</v>
      </c>
      <c r="AT232" s="7" t="str">
        <f t="shared" si="107"/>
        <v/>
      </c>
      <c r="AU232" s="7" t="str">
        <f t="shared" si="108"/>
        <v/>
      </c>
      <c r="AV232" s="7" t="str">
        <f t="shared" si="109"/>
        <v/>
      </c>
      <c r="AW232" s="7" t="str">
        <f t="shared" si="110"/>
        <v/>
      </c>
      <c r="AX232" s="97"/>
      <c r="BD232" s="453" t="s">
        <v>317</v>
      </c>
      <c r="CG232"/>
      <c r="CH232"/>
      <c r="CK232" s="592" t="str">
        <f t="shared" si="118"/>
        <v/>
      </c>
      <c r="CL232" s="421" t="str">
        <f t="shared" si="119"/>
        <v/>
      </c>
      <c r="CM232" s="594"/>
      <c r="CN232" s="594"/>
      <c r="CO232" s="594"/>
      <c r="CP232" s="594"/>
      <c r="CQ232" s="594"/>
      <c r="CR232" s="594"/>
    </row>
    <row r="233" spans="1:96" s="13" customFormat="1" ht="13.75" customHeight="1">
      <c r="A233" s="137">
        <v>218</v>
      </c>
      <c r="B233" s="138"/>
      <c r="C233" s="139"/>
      <c r="D233" s="140"/>
      <c r="E233" s="139"/>
      <c r="F233" s="139"/>
      <c r="G233" s="191"/>
      <c r="H233" s="139"/>
      <c r="I233" s="141"/>
      <c r="J233" s="142"/>
      <c r="K233" s="139"/>
      <c r="L233" s="147"/>
      <c r="M233" s="148"/>
      <c r="N233" s="139"/>
      <c r="O233" s="589"/>
      <c r="P233" s="229" t="str">
        <f t="shared" si="111"/>
        <v/>
      </c>
      <c r="Q233" s="229" t="str">
        <f t="shared" si="112"/>
        <v/>
      </c>
      <c r="R233" s="230" t="str">
        <f t="shared" si="113"/>
        <v/>
      </c>
      <c r="S233" s="230" t="str">
        <f t="shared" si="114"/>
        <v/>
      </c>
      <c r="T233" s="351"/>
      <c r="U233" s="43"/>
      <c r="V233" s="42" t="str">
        <f t="shared" si="90"/>
        <v/>
      </c>
      <c r="W233" s="42" t="e">
        <f>IF(#REF!="","",#REF!)</f>
        <v>#REF!</v>
      </c>
      <c r="X233" s="31" t="str">
        <f t="shared" si="91"/>
        <v/>
      </c>
      <c r="Y233" s="7" t="e">
        <f t="shared" si="92"/>
        <v>#N/A</v>
      </c>
      <c r="Z233" s="7" t="e">
        <f t="shared" si="93"/>
        <v>#N/A</v>
      </c>
      <c r="AA233" s="7" t="e">
        <f t="shared" si="94"/>
        <v>#N/A</v>
      </c>
      <c r="AB233" s="7" t="str">
        <f t="shared" si="95"/>
        <v/>
      </c>
      <c r="AC233" s="11">
        <f t="shared" si="96"/>
        <v>1</v>
      </c>
      <c r="AD233" s="7" t="e">
        <f t="shared" si="97"/>
        <v>#N/A</v>
      </c>
      <c r="AE233" s="7" t="e">
        <f t="shared" si="98"/>
        <v>#N/A</v>
      </c>
      <c r="AF233" s="7" t="e">
        <f t="shared" si="99"/>
        <v>#N/A</v>
      </c>
      <c r="AG233" s="472" t="e">
        <f>VLOOKUP(AI233,'排出係数(2017)'!$A$4:$I$1151,9,FALSE)</f>
        <v>#N/A</v>
      </c>
      <c r="AH233" s="12" t="str">
        <f t="shared" si="100"/>
        <v xml:space="preserve"> </v>
      </c>
      <c r="AI233" s="7" t="e">
        <f t="shared" si="115"/>
        <v>#N/A</v>
      </c>
      <c r="AJ233" s="7" t="e">
        <f t="shared" si="101"/>
        <v>#N/A</v>
      </c>
      <c r="AK233" s="472" t="e">
        <f>VLOOKUP(AI233,'排出係数(2017)'!$A$4:$I$1151,6,FALSE)</f>
        <v>#N/A</v>
      </c>
      <c r="AL233" s="7" t="e">
        <f t="shared" si="102"/>
        <v>#N/A</v>
      </c>
      <c r="AM233" s="7" t="e">
        <f t="shared" si="103"/>
        <v>#N/A</v>
      </c>
      <c r="AN233" s="472" t="e">
        <f>VLOOKUP(AI233,'排出係数(2017)'!$A$4:$I$1151,7,FALSE)</f>
        <v>#N/A</v>
      </c>
      <c r="AO233" s="7" t="e">
        <f t="shared" si="104"/>
        <v>#N/A</v>
      </c>
      <c r="AP233" s="7" t="e">
        <f t="shared" si="105"/>
        <v>#N/A</v>
      </c>
      <c r="AQ233" s="7" t="e">
        <f t="shared" si="116"/>
        <v>#N/A</v>
      </c>
      <c r="AR233" s="7">
        <f t="shared" si="106"/>
        <v>0</v>
      </c>
      <c r="AS233" s="7" t="e">
        <f t="shared" si="117"/>
        <v>#N/A</v>
      </c>
      <c r="AT233" s="7" t="str">
        <f t="shared" si="107"/>
        <v/>
      </c>
      <c r="AU233" s="7" t="str">
        <f t="shared" si="108"/>
        <v/>
      </c>
      <c r="AV233" s="7" t="str">
        <f t="shared" si="109"/>
        <v/>
      </c>
      <c r="AW233" s="7" t="str">
        <f t="shared" si="110"/>
        <v/>
      </c>
      <c r="AX233" s="97"/>
      <c r="BD233" s="453" t="s">
        <v>397</v>
      </c>
      <c r="CG233"/>
      <c r="CH233"/>
      <c r="CK233" s="592" t="str">
        <f t="shared" si="118"/>
        <v/>
      </c>
      <c r="CL233" s="421" t="str">
        <f t="shared" si="119"/>
        <v/>
      </c>
      <c r="CM233" s="594"/>
      <c r="CN233" s="594"/>
      <c r="CO233" s="594"/>
      <c r="CP233" s="594"/>
      <c r="CQ233" s="594"/>
      <c r="CR233" s="594"/>
    </row>
    <row r="234" spans="1:96" s="13" customFormat="1" ht="13.75" customHeight="1">
      <c r="A234" s="137">
        <v>219</v>
      </c>
      <c r="B234" s="138"/>
      <c r="C234" s="139"/>
      <c r="D234" s="140"/>
      <c r="E234" s="139"/>
      <c r="F234" s="139"/>
      <c r="G234" s="191"/>
      <c r="H234" s="139"/>
      <c r="I234" s="141"/>
      <c r="J234" s="142"/>
      <c r="K234" s="139"/>
      <c r="L234" s="147"/>
      <c r="M234" s="148"/>
      <c r="N234" s="139"/>
      <c r="O234" s="589"/>
      <c r="P234" s="229" t="str">
        <f t="shared" si="111"/>
        <v/>
      </c>
      <c r="Q234" s="229" t="str">
        <f t="shared" si="112"/>
        <v/>
      </c>
      <c r="R234" s="230" t="str">
        <f t="shared" si="113"/>
        <v/>
      </c>
      <c r="S234" s="230" t="str">
        <f t="shared" si="114"/>
        <v/>
      </c>
      <c r="T234" s="351"/>
      <c r="U234" s="43"/>
      <c r="V234" s="42" t="str">
        <f t="shared" si="90"/>
        <v/>
      </c>
      <c r="W234" s="42" t="e">
        <f>IF(#REF!="","",#REF!)</f>
        <v>#REF!</v>
      </c>
      <c r="X234" s="31" t="str">
        <f t="shared" si="91"/>
        <v/>
      </c>
      <c r="Y234" s="7" t="e">
        <f t="shared" si="92"/>
        <v>#N/A</v>
      </c>
      <c r="Z234" s="7" t="e">
        <f t="shared" si="93"/>
        <v>#N/A</v>
      </c>
      <c r="AA234" s="7" t="e">
        <f t="shared" si="94"/>
        <v>#N/A</v>
      </c>
      <c r="AB234" s="7" t="str">
        <f t="shared" si="95"/>
        <v/>
      </c>
      <c r="AC234" s="11">
        <f t="shared" si="96"/>
        <v>1</v>
      </c>
      <c r="AD234" s="7" t="e">
        <f t="shared" si="97"/>
        <v>#N/A</v>
      </c>
      <c r="AE234" s="7" t="e">
        <f t="shared" si="98"/>
        <v>#N/A</v>
      </c>
      <c r="AF234" s="7" t="e">
        <f t="shared" si="99"/>
        <v>#N/A</v>
      </c>
      <c r="AG234" s="472" t="e">
        <f>VLOOKUP(AI234,'排出係数(2017)'!$A$4:$I$1151,9,FALSE)</f>
        <v>#N/A</v>
      </c>
      <c r="AH234" s="12" t="str">
        <f t="shared" si="100"/>
        <v xml:space="preserve"> </v>
      </c>
      <c r="AI234" s="7" t="e">
        <f t="shared" si="115"/>
        <v>#N/A</v>
      </c>
      <c r="AJ234" s="7" t="e">
        <f t="shared" si="101"/>
        <v>#N/A</v>
      </c>
      <c r="AK234" s="472" t="e">
        <f>VLOOKUP(AI234,'排出係数(2017)'!$A$4:$I$1151,6,FALSE)</f>
        <v>#N/A</v>
      </c>
      <c r="AL234" s="7" t="e">
        <f t="shared" si="102"/>
        <v>#N/A</v>
      </c>
      <c r="AM234" s="7" t="e">
        <f t="shared" si="103"/>
        <v>#N/A</v>
      </c>
      <c r="AN234" s="472" t="e">
        <f>VLOOKUP(AI234,'排出係数(2017)'!$A$4:$I$1151,7,FALSE)</f>
        <v>#N/A</v>
      </c>
      <c r="AO234" s="7" t="e">
        <f t="shared" si="104"/>
        <v>#N/A</v>
      </c>
      <c r="AP234" s="7" t="e">
        <f t="shared" si="105"/>
        <v>#N/A</v>
      </c>
      <c r="AQ234" s="7" t="e">
        <f t="shared" si="116"/>
        <v>#N/A</v>
      </c>
      <c r="AR234" s="7">
        <f t="shared" si="106"/>
        <v>0</v>
      </c>
      <c r="AS234" s="7" t="e">
        <f t="shared" si="117"/>
        <v>#N/A</v>
      </c>
      <c r="AT234" s="7" t="str">
        <f t="shared" si="107"/>
        <v/>
      </c>
      <c r="AU234" s="7" t="str">
        <f t="shared" si="108"/>
        <v/>
      </c>
      <c r="AV234" s="7" t="str">
        <f t="shared" si="109"/>
        <v/>
      </c>
      <c r="AW234" s="7" t="str">
        <f t="shared" si="110"/>
        <v/>
      </c>
      <c r="AX234" s="97"/>
      <c r="BD234" s="453" t="s">
        <v>71</v>
      </c>
      <c r="CG234"/>
      <c r="CH234"/>
      <c r="CK234" s="592" t="str">
        <f t="shared" si="118"/>
        <v/>
      </c>
      <c r="CL234" s="421" t="str">
        <f t="shared" si="119"/>
        <v/>
      </c>
      <c r="CM234" s="594"/>
      <c r="CN234" s="594"/>
      <c r="CO234" s="594"/>
      <c r="CP234" s="594"/>
      <c r="CQ234" s="594"/>
      <c r="CR234" s="594"/>
    </row>
    <row r="235" spans="1:96" s="13" customFormat="1" ht="13.75" customHeight="1">
      <c r="A235" s="137">
        <v>220</v>
      </c>
      <c r="B235" s="138"/>
      <c r="C235" s="139"/>
      <c r="D235" s="140"/>
      <c r="E235" s="139"/>
      <c r="F235" s="139"/>
      <c r="G235" s="191"/>
      <c r="H235" s="139"/>
      <c r="I235" s="141"/>
      <c r="J235" s="142"/>
      <c r="K235" s="139"/>
      <c r="L235" s="147"/>
      <c r="M235" s="148"/>
      <c r="N235" s="139"/>
      <c r="O235" s="589"/>
      <c r="P235" s="229" t="str">
        <f t="shared" si="111"/>
        <v/>
      </c>
      <c r="Q235" s="229" t="str">
        <f t="shared" si="112"/>
        <v/>
      </c>
      <c r="R235" s="230" t="str">
        <f t="shared" si="113"/>
        <v/>
      </c>
      <c r="S235" s="230" t="str">
        <f t="shared" si="114"/>
        <v/>
      </c>
      <c r="T235" s="351"/>
      <c r="U235" s="43"/>
      <c r="V235" s="42" t="str">
        <f t="shared" si="90"/>
        <v/>
      </c>
      <c r="W235" s="42" t="e">
        <f>IF(#REF!="","",#REF!)</f>
        <v>#REF!</v>
      </c>
      <c r="X235" s="31" t="str">
        <f t="shared" si="91"/>
        <v/>
      </c>
      <c r="Y235" s="7" t="e">
        <f t="shared" si="92"/>
        <v>#N/A</v>
      </c>
      <c r="Z235" s="7" t="e">
        <f t="shared" si="93"/>
        <v>#N/A</v>
      </c>
      <c r="AA235" s="7" t="e">
        <f t="shared" si="94"/>
        <v>#N/A</v>
      </c>
      <c r="AB235" s="7" t="str">
        <f t="shared" si="95"/>
        <v/>
      </c>
      <c r="AC235" s="11">
        <f t="shared" si="96"/>
        <v>1</v>
      </c>
      <c r="AD235" s="7" t="e">
        <f t="shared" si="97"/>
        <v>#N/A</v>
      </c>
      <c r="AE235" s="7" t="e">
        <f t="shared" si="98"/>
        <v>#N/A</v>
      </c>
      <c r="AF235" s="7" t="e">
        <f t="shared" si="99"/>
        <v>#N/A</v>
      </c>
      <c r="AG235" s="472" t="e">
        <f>VLOOKUP(AI235,'排出係数(2017)'!$A$4:$I$1151,9,FALSE)</f>
        <v>#N/A</v>
      </c>
      <c r="AH235" s="12" t="str">
        <f t="shared" si="100"/>
        <v xml:space="preserve"> </v>
      </c>
      <c r="AI235" s="7" t="e">
        <f t="shared" si="115"/>
        <v>#N/A</v>
      </c>
      <c r="AJ235" s="7" t="e">
        <f t="shared" si="101"/>
        <v>#N/A</v>
      </c>
      <c r="AK235" s="472" t="e">
        <f>VLOOKUP(AI235,'排出係数(2017)'!$A$4:$I$1151,6,FALSE)</f>
        <v>#N/A</v>
      </c>
      <c r="AL235" s="7" t="e">
        <f t="shared" si="102"/>
        <v>#N/A</v>
      </c>
      <c r="AM235" s="7" t="e">
        <f t="shared" si="103"/>
        <v>#N/A</v>
      </c>
      <c r="AN235" s="472" t="e">
        <f>VLOOKUP(AI235,'排出係数(2017)'!$A$4:$I$1151,7,FALSE)</f>
        <v>#N/A</v>
      </c>
      <c r="AO235" s="7" t="e">
        <f t="shared" si="104"/>
        <v>#N/A</v>
      </c>
      <c r="AP235" s="7" t="e">
        <f t="shared" si="105"/>
        <v>#N/A</v>
      </c>
      <c r="AQ235" s="7" t="e">
        <f t="shared" si="116"/>
        <v>#N/A</v>
      </c>
      <c r="AR235" s="7">
        <f t="shared" si="106"/>
        <v>0</v>
      </c>
      <c r="AS235" s="7" t="e">
        <f t="shared" si="117"/>
        <v>#N/A</v>
      </c>
      <c r="AT235" s="7" t="str">
        <f t="shared" si="107"/>
        <v/>
      </c>
      <c r="AU235" s="7" t="str">
        <f t="shared" si="108"/>
        <v/>
      </c>
      <c r="AV235" s="7" t="str">
        <f t="shared" si="109"/>
        <v/>
      </c>
      <c r="AW235" s="7" t="str">
        <f t="shared" si="110"/>
        <v/>
      </c>
      <c r="AX235" s="97"/>
      <c r="BD235" s="453" t="s">
        <v>1416</v>
      </c>
      <c r="CG235"/>
      <c r="CH235"/>
      <c r="CK235" s="592" t="str">
        <f t="shared" si="118"/>
        <v/>
      </c>
      <c r="CL235" s="421" t="str">
        <f t="shared" si="119"/>
        <v/>
      </c>
      <c r="CM235" s="594"/>
      <c r="CN235" s="594"/>
      <c r="CO235" s="594"/>
      <c r="CP235" s="594"/>
      <c r="CQ235" s="594"/>
      <c r="CR235" s="594"/>
    </row>
    <row r="236" spans="1:96" s="13" customFormat="1" ht="13.75" customHeight="1">
      <c r="A236" s="137">
        <v>221</v>
      </c>
      <c r="B236" s="138"/>
      <c r="C236" s="139"/>
      <c r="D236" s="140"/>
      <c r="E236" s="139"/>
      <c r="F236" s="139"/>
      <c r="G236" s="191"/>
      <c r="H236" s="139"/>
      <c r="I236" s="141"/>
      <c r="J236" s="142"/>
      <c r="K236" s="139"/>
      <c r="L236" s="147"/>
      <c r="M236" s="148"/>
      <c r="N236" s="139"/>
      <c r="O236" s="589"/>
      <c r="P236" s="229" t="str">
        <f t="shared" si="111"/>
        <v/>
      </c>
      <c r="Q236" s="229" t="str">
        <f t="shared" si="112"/>
        <v/>
      </c>
      <c r="R236" s="230" t="str">
        <f t="shared" si="113"/>
        <v/>
      </c>
      <c r="S236" s="230" t="str">
        <f t="shared" si="114"/>
        <v/>
      </c>
      <c r="T236" s="351"/>
      <c r="U236" s="43"/>
      <c r="V236" s="42" t="str">
        <f t="shared" si="90"/>
        <v/>
      </c>
      <c r="W236" s="42" t="e">
        <f>IF(#REF!="","",#REF!)</f>
        <v>#REF!</v>
      </c>
      <c r="X236" s="31" t="str">
        <f t="shared" si="91"/>
        <v/>
      </c>
      <c r="Y236" s="7" t="e">
        <f t="shared" si="92"/>
        <v>#N/A</v>
      </c>
      <c r="Z236" s="7" t="e">
        <f t="shared" si="93"/>
        <v>#N/A</v>
      </c>
      <c r="AA236" s="7" t="e">
        <f t="shared" si="94"/>
        <v>#N/A</v>
      </c>
      <c r="AB236" s="7" t="str">
        <f t="shared" si="95"/>
        <v/>
      </c>
      <c r="AC236" s="11">
        <f t="shared" si="96"/>
        <v>1</v>
      </c>
      <c r="AD236" s="7" t="e">
        <f t="shared" si="97"/>
        <v>#N/A</v>
      </c>
      <c r="AE236" s="7" t="e">
        <f t="shared" si="98"/>
        <v>#N/A</v>
      </c>
      <c r="AF236" s="7" t="e">
        <f t="shared" si="99"/>
        <v>#N/A</v>
      </c>
      <c r="AG236" s="472" t="e">
        <f>VLOOKUP(AI236,'排出係数(2017)'!$A$4:$I$1151,9,FALSE)</f>
        <v>#N/A</v>
      </c>
      <c r="AH236" s="12" t="str">
        <f t="shared" si="100"/>
        <v xml:space="preserve"> </v>
      </c>
      <c r="AI236" s="7" t="e">
        <f t="shared" si="115"/>
        <v>#N/A</v>
      </c>
      <c r="AJ236" s="7" t="e">
        <f t="shared" si="101"/>
        <v>#N/A</v>
      </c>
      <c r="AK236" s="472" t="e">
        <f>VLOOKUP(AI236,'排出係数(2017)'!$A$4:$I$1151,6,FALSE)</f>
        <v>#N/A</v>
      </c>
      <c r="AL236" s="7" t="e">
        <f t="shared" si="102"/>
        <v>#N/A</v>
      </c>
      <c r="AM236" s="7" t="e">
        <f t="shared" si="103"/>
        <v>#N/A</v>
      </c>
      <c r="AN236" s="472" t="e">
        <f>VLOOKUP(AI236,'排出係数(2017)'!$A$4:$I$1151,7,FALSE)</f>
        <v>#N/A</v>
      </c>
      <c r="AO236" s="7" t="e">
        <f t="shared" si="104"/>
        <v>#N/A</v>
      </c>
      <c r="AP236" s="7" t="e">
        <f t="shared" si="105"/>
        <v>#N/A</v>
      </c>
      <c r="AQ236" s="7" t="e">
        <f t="shared" si="116"/>
        <v>#N/A</v>
      </c>
      <c r="AR236" s="7">
        <f t="shared" si="106"/>
        <v>0</v>
      </c>
      <c r="AS236" s="7" t="e">
        <f t="shared" si="117"/>
        <v>#N/A</v>
      </c>
      <c r="AT236" s="7" t="str">
        <f t="shared" si="107"/>
        <v/>
      </c>
      <c r="AU236" s="7" t="str">
        <f t="shared" si="108"/>
        <v/>
      </c>
      <c r="AV236" s="7" t="str">
        <f t="shared" si="109"/>
        <v/>
      </c>
      <c r="AW236" s="7" t="str">
        <f t="shared" si="110"/>
        <v/>
      </c>
      <c r="AX236" s="97"/>
      <c r="BD236" s="467" t="s">
        <v>269</v>
      </c>
      <c r="CG236"/>
      <c r="CH236"/>
      <c r="CK236" s="592" t="str">
        <f t="shared" si="118"/>
        <v/>
      </c>
      <c r="CL236" s="421" t="str">
        <f t="shared" si="119"/>
        <v/>
      </c>
      <c r="CM236" s="594"/>
      <c r="CN236" s="594"/>
      <c r="CO236" s="594"/>
      <c r="CP236" s="594"/>
      <c r="CQ236" s="594"/>
      <c r="CR236" s="594"/>
    </row>
    <row r="237" spans="1:96" s="13" customFormat="1" ht="13.75" customHeight="1">
      <c r="A237" s="137">
        <v>222</v>
      </c>
      <c r="B237" s="138"/>
      <c r="C237" s="139"/>
      <c r="D237" s="140"/>
      <c r="E237" s="139"/>
      <c r="F237" s="139"/>
      <c r="G237" s="191"/>
      <c r="H237" s="139"/>
      <c r="I237" s="141"/>
      <c r="J237" s="142"/>
      <c r="K237" s="139"/>
      <c r="L237" s="147"/>
      <c r="M237" s="148"/>
      <c r="N237" s="139"/>
      <c r="O237" s="589"/>
      <c r="P237" s="229" t="str">
        <f t="shared" si="111"/>
        <v/>
      </c>
      <c r="Q237" s="229" t="str">
        <f t="shared" si="112"/>
        <v/>
      </c>
      <c r="R237" s="230" t="str">
        <f t="shared" si="113"/>
        <v/>
      </c>
      <c r="S237" s="230" t="str">
        <f t="shared" si="114"/>
        <v/>
      </c>
      <c r="T237" s="351"/>
      <c r="U237" s="43"/>
      <c r="V237" s="42" t="str">
        <f t="shared" si="90"/>
        <v/>
      </c>
      <c r="W237" s="42" t="e">
        <f>IF(#REF!="","",#REF!)</f>
        <v>#REF!</v>
      </c>
      <c r="X237" s="31" t="str">
        <f t="shared" si="91"/>
        <v/>
      </c>
      <c r="Y237" s="7" t="e">
        <f t="shared" si="92"/>
        <v>#N/A</v>
      </c>
      <c r="Z237" s="7" t="e">
        <f t="shared" si="93"/>
        <v>#N/A</v>
      </c>
      <c r="AA237" s="7" t="e">
        <f t="shared" si="94"/>
        <v>#N/A</v>
      </c>
      <c r="AB237" s="7" t="str">
        <f t="shared" si="95"/>
        <v/>
      </c>
      <c r="AC237" s="11">
        <f t="shared" si="96"/>
        <v>1</v>
      </c>
      <c r="AD237" s="7" t="e">
        <f t="shared" si="97"/>
        <v>#N/A</v>
      </c>
      <c r="AE237" s="7" t="e">
        <f t="shared" si="98"/>
        <v>#N/A</v>
      </c>
      <c r="AF237" s="7" t="e">
        <f t="shared" si="99"/>
        <v>#N/A</v>
      </c>
      <c r="AG237" s="472" t="e">
        <f>VLOOKUP(AI237,'排出係数(2017)'!$A$4:$I$1151,9,FALSE)</f>
        <v>#N/A</v>
      </c>
      <c r="AH237" s="12" t="str">
        <f t="shared" si="100"/>
        <v xml:space="preserve"> </v>
      </c>
      <c r="AI237" s="7" t="e">
        <f t="shared" si="115"/>
        <v>#N/A</v>
      </c>
      <c r="AJ237" s="7" t="e">
        <f t="shared" si="101"/>
        <v>#N/A</v>
      </c>
      <c r="AK237" s="472" t="e">
        <f>VLOOKUP(AI237,'排出係数(2017)'!$A$4:$I$1151,6,FALSE)</f>
        <v>#N/A</v>
      </c>
      <c r="AL237" s="7" t="e">
        <f t="shared" si="102"/>
        <v>#N/A</v>
      </c>
      <c r="AM237" s="7" t="e">
        <f t="shared" si="103"/>
        <v>#N/A</v>
      </c>
      <c r="AN237" s="472" t="e">
        <f>VLOOKUP(AI237,'排出係数(2017)'!$A$4:$I$1151,7,FALSE)</f>
        <v>#N/A</v>
      </c>
      <c r="AO237" s="7" t="e">
        <f t="shared" si="104"/>
        <v>#N/A</v>
      </c>
      <c r="AP237" s="7" t="e">
        <f t="shared" si="105"/>
        <v>#N/A</v>
      </c>
      <c r="AQ237" s="7" t="e">
        <f t="shared" si="116"/>
        <v>#N/A</v>
      </c>
      <c r="AR237" s="7">
        <f t="shared" si="106"/>
        <v>0</v>
      </c>
      <c r="AS237" s="7" t="e">
        <f t="shared" si="117"/>
        <v>#N/A</v>
      </c>
      <c r="AT237" s="7" t="str">
        <f t="shared" si="107"/>
        <v/>
      </c>
      <c r="AU237" s="7" t="str">
        <f t="shared" si="108"/>
        <v/>
      </c>
      <c r="AV237" s="7" t="str">
        <f t="shared" si="109"/>
        <v/>
      </c>
      <c r="AW237" s="7" t="str">
        <f t="shared" si="110"/>
        <v/>
      </c>
      <c r="AX237" s="97"/>
      <c r="BD237" s="453" t="s">
        <v>315</v>
      </c>
      <c r="CG237"/>
      <c r="CH237"/>
      <c r="CK237" s="592" t="str">
        <f t="shared" si="118"/>
        <v/>
      </c>
      <c r="CL237" s="421" t="str">
        <f t="shared" si="119"/>
        <v/>
      </c>
      <c r="CM237" s="594"/>
      <c r="CN237" s="594"/>
      <c r="CO237" s="594"/>
      <c r="CP237" s="594"/>
      <c r="CQ237" s="594"/>
      <c r="CR237" s="594"/>
    </row>
    <row r="238" spans="1:96" s="13" customFormat="1" ht="13.75" customHeight="1">
      <c r="A238" s="137">
        <v>223</v>
      </c>
      <c r="B238" s="138"/>
      <c r="C238" s="139"/>
      <c r="D238" s="140"/>
      <c r="E238" s="139"/>
      <c r="F238" s="139"/>
      <c r="G238" s="191"/>
      <c r="H238" s="139"/>
      <c r="I238" s="141"/>
      <c r="J238" s="142"/>
      <c r="K238" s="139"/>
      <c r="L238" s="147"/>
      <c r="M238" s="148"/>
      <c r="N238" s="139"/>
      <c r="O238" s="589"/>
      <c r="P238" s="229" t="str">
        <f t="shared" si="111"/>
        <v/>
      </c>
      <c r="Q238" s="229" t="str">
        <f t="shared" si="112"/>
        <v/>
      </c>
      <c r="R238" s="230" t="str">
        <f t="shared" si="113"/>
        <v/>
      </c>
      <c r="S238" s="230" t="str">
        <f t="shared" si="114"/>
        <v/>
      </c>
      <c r="T238" s="351"/>
      <c r="U238" s="43"/>
      <c r="V238" s="42" t="str">
        <f t="shared" si="90"/>
        <v/>
      </c>
      <c r="W238" s="42" t="e">
        <f>IF(#REF!="","",#REF!)</f>
        <v>#REF!</v>
      </c>
      <c r="X238" s="31" t="str">
        <f t="shared" si="91"/>
        <v/>
      </c>
      <c r="Y238" s="7" t="e">
        <f t="shared" si="92"/>
        <v>#N/A</v>
      </c>
      <c r="Z238" s="7" t="e">
        <f t="shared" si="93"/>
        <v>#N/A</v>
      </c>
      <c r="AA238" s="7" t="e">
        <f t="shared" si="94"/>
        <v>#N/A</v>
      </c>
      <c r="AB238" s="7" t="str">
        <f t="shared" si="95"/>
        <v/>
      </c>
      <c r="AC238" s="11">
        <f t="shared" si="96"/>
        <v>1</v>
      </c>
      <c r="AD238" s="7" t="e">
        <f t="shared" si="97"/>
        <v>#N/A</v>
      </c>
      <c r="AE238" s="7" t="e">
        <f t="shared" si="98"/>
        <v>#N/A</v>
      </c>
      <c r="AF238" s="7" t="e">
        <f t="shared" si="99"/>
        <v>#N/A</v>
      </c>
      <c r="AG238" s="472" t="e">
        <f>VLOOKUP(AI238,'排出係数(2017)'!$A$4:$I$1151,9,FALSE)</f>
        <v>#N/A</v>
      </c>
      <c r="AH238" s="12" t="str">
        <f t="shared" si="100"/>
        <v xml:space="preserve"> </v>
      </c>
      <c r="AI238" s="7" t="e">
        <f t="shared" si="115"/>
        <v>#N/A</v>
      </c>
      <c r="AJ238" s="7" t="e">
        <f t="shared" si="101"/>
        <v>#N/A</v>
      </c>
      <c r="AK238" s="472" t="e">
        <f>VLOOKUP(AI238,'排出係数(2017)'!$A$4:$I$1151,6,FALSE)</f>
        <v>#N/A</v>
      </c>
      <c r="AL238" s="7" t="e">
        <f t="shared" si="102"/>
        <v>#N/A</v>
      </c>
      <c r="AM238" s="7" t="e">
        <f t="shared" si="103"/>
        <v>#N/A</v>
      </c>
      <c r="AN238" s="472" t="e">
        <f>VLOOKUP(AI238,'排出係数(2017)'!$A$4:$I$1151,7,FALSE)</f>
        <v>#N/A</v>
      </c>
      <c r="AO238" s="7" t="e">
        <f t="shared" si="104"/>
        <v>#N/A</v>
      </c>
      <c r="AP238" s="7" t="e">
        <f t="shared" si="105"/>
        <v>#N/A</v>
      </c>
      <c r="AQ238" s="7" t="e">
        <f t="shared" si="116"/>
        <v>#N/A</v>
      </c>
      <c r="AR238" s="7">
        <f t="shared" si="106"/>
        <v>0</v>
      </c>
      <c r="AS238" s="7" t="e">
        <f t="shared" si="117"/>
        <v>#N/A</v>
      </c>
      <c r="AT238" s="7" t="str">
        <f t="shared" si="107"/>
        <v/>
      </c>
      <c r="AU238" s="7" t="str">
        <f t="shared" si="108"/>
        <v/>
      </c>
      <c r="AV238" s="7" t="str">
        <f t="shared" si="109"/>
        <v/>
      </c>
      <c r="AW238" s="7" t="str">
        <f t="shared" si="110"/>
        <v/>
      </c>
      <c r="AX238" s="97"/>
      <c r="BD238" s="453" t="s">
        <v>395</v>
      </c>
      <c r="CG238"/>
      <c r="CH238"/>
      <c r="CK238" s="592" t="str">
        <f t="shared" si="118"/>
        <v/>
      </c>
      <c r="CL238" s="421" t="str">
        <f t="shared" si="119"/>
        <v/>
      </c>
      <c r="CM238" s="594"/>
      <c r="CN238" s="594"/>
      <c r="CO238" s="594"/>
      <c r="CP238" s="594"/>
      <c r="CQ238" s="594"/>
      <c r="CR238" s="594"/>
    </row>
    <row r="239" spans="1:96" s="13" customFormat="1" ht="13.75" customHeight="1">
      <c r="A239" s="137">
        <v>224</v>
      </c>
      <c r="B239" s="138"/>
      <c r="C239" s="139"/>
      <c r="D239" s="140"/>
      <c r="E239" s="139"/>
      <c r="F239" s="139"/>
      <c r="G239" s="191"/>
      <c r="H239" s="139"/>
      <c r="I239" s="141"/>
      <c r="J239" s="142"/>
      <c r="K239" s="139"/>
      <c r="L239" s="147"/>
      <c r="M239" s="148"/>
      <c r="N239" s="139"/>
      <c r="O239" s="589"/>
      <c r="P239" s="229" t="str">
        <f t="shared" si="111"/>
        <v/>
      </c>
      <c r="Q239" s="229" t="str">
        <f t="shared" si="112"/>
        <v/>
      </c>
      <c r="R239" s="230" t="str">
        <f t="shared" si="113"/>
        <v/>
      </c>
      <c r="S239" s="230" t="str">
        <f t="shared" si="114"/>
        <v/>
      </c>
      <c r="T239" s="351"/>
      <c r="U239" s="43"/>
      <c r="V239" s="42" t="str">
        <f t="shared" si="90"/>
        <v/>
      </c>
      <c r="W239" s="42" t="e">
        <f>IF(#REF!="","",#REF!)</f>
        <v>#REF!</v>
      </c>
      <c r="X239" s="31" t="str">
        <f t="shared" si="91"/>
        <v/>
      </c>
      <c r="Y239" s="7" t="e">
        <f t="shared" si="92"/>
        <v>#N/A</v>
      </c>
      <c r="Z239" s="7" t="e">
        <f t="shared" si="93"/>
        <v>#N/A</v>
      </c>
      <c r="AA239" s="7" t="e">
        <f t="shared" si="94"/>
        <v>#N/A</v>
      </c>
      <c r="AB239" s="7" t="str">
        <f t="shared" si="95"/>
        <v/>
      </c>
      <c r="AC239" s="11">
        <f t="shared" si="96"/>
        <v>1</v>
      </c>
      <c r="AD239" s="7" t="e">
        <f t="shared" si="97"/>
        <v>#N/A</v>
      </c>
      <c r="AE239" s="7" t="e">
        <f t="shared" si="98"/>
        <v>#N/A</v>
      </c>
      <c r="AF239" s="7" t="e">
        <f t="shared" si="99"/>
        <v>#N/A</v>
      </c>
      <c r="AG239" s="472" t="e">
        <f>VLOOKUP(AI239,'排出係数(2017)'!$A$4:$I$1151,9,FALSE)</f>
        <v>#N/A</v>
      </c>
      <c r="AH239" s="12" t="str">
        <f t="shared" si="100"/>
        <v xml:space="preserve"> </v>
      </c>
      <c r="AI239" s="7" t="e">
        <f t="shared" si="115"/>
        <v>#N/A</v>
      </c>
      <c r="AJ239" s="7" t="e">
        <f t="shared" si="101"/>
        <v>#N/A</v>
      </c>
      <c r="AK239" s="472" t="e">
        <f>VLOOKUP(AI239,'排出係数(2017)'!$A$4:$I$1151,6,FALSE)</f>
        <v>#N/A</v>
      </c>
      <c r="AL239" s="7" t="e">
        <f t="shared" si="102"/>
        <v>#N/A</v>
      </c>
      <c r="AM239" s="7" t="e">
        <f t="shared" si="103"/>
        <v>#N/A</v>
      </c>
      <c r="AN239" s="472" t="e">
        <f>VLOOKUP(AI239,'排出係数(2017)'!$A$4:$I$1151,7,FALSE)</f>
        <v>#N/A</v>
      </c>
      <c r="AO239" s="7" t="e">
        <f t="shared" si="104"/>
        <v>#N/A</v>
      </c>
      <c r="AP239" s="7" t="e">
        <f t="shared" si="105"/>
        <v>#N/A</v>
      </c>
      <c r="AQ239" s="7" t="e">
        <f t="shared" si="116"/>
        <v>#N/A</v>
      </c>
      <c r="AR239" s="7">
        <f t="shared" si="106"/>
        <v>0</v>
      </c>
      <c r="AS239" s="7" t="e">
        <f t="shared" si="117"/>
        <v>#N/A</v>
      </c>
      <c r="AT239" s="7" t="str">
        <f t="shared" si="107"/>
        <v/>
      </c>
      <c r="AU239" s="7" t="str">
        <f t="shared" si="108"/>
        <v/>
      </c>
      <c r="AV239" s="7" t="str">
        <f t="shared" si="109"/>
        <v/>
      </c>
      <c r="AW239" s="7" t="str">
        <f t="shared" si="110"/>
        <v/>
      </c>
      <c r="AX239" s="97"/>
      <c r="BD239" s="473" t="s">
        <v>72</v>
      </c>
      <c r="CG239"/>
      <c r="CH239"/>
      <c r="CK239" s="592" t="str">
        <f t="shared" si="118"/>
        <v/>
      </c>
      <c r="CL239" s="421" t="str">
        <f t="shared" si="119"/>
        <v/>
      </c>
      <c r="CM239" s="594"/>
      <c r="CN239" s="594"/>
      <c r="CO239" s="594"/>
      <c r="CP239" s="594"/>
      <c r="CQ239" s="594"/>
      <c r="CR239" s="594"/>
    </row>
    <row r="240" spans="1:96" s="13" customFormat="1" ht="13.75" customHeight="1">
      <c r="A240" s="137">
        <v>225</v>
      </c>
      <c r="B240" s="138"/>
      <c r="C240" s="139"/>
      <c r="D240" s="140"/>
      <c r="E240" s="139"/>
      <c r="F240" s="139"/>
      <c r="G240" s="191"/>
      <c r="H240" s="139"/>
      <c r="I240" s="141"/>
      <c r="J240" s="142"/>
      <c r="K240" s="139"/>
      <c r="L240" s="147"/>
      <c r="M240" s="148"/>
      <c r="N240" s="139"/>
      <c r="O240" s="589"/>
      <c r="P240" s="229" t="str">
        <f t="shared" si="111"/>
        <v/>
      </c>
      <c r="Q240" s="229" t="str">
        <f t="shared" si="112"/>
        <v/>
      </c>
      <c r="R240" s="230" t="str">
        <f t="shared" si="113"/>
        <v/>
      </c>
      <c r="S240" s="230" t="str">
        <f t="shared" si="114"/>
        <v/>
      </c>
      <c r="T240" s="351"/>
      <c r="U240" s="43"/>
      <c r="V240" s="42" t="str">
        <f t="shared" si="90"/>
        <v/>
      </c>
      <c r="W240" s="42" t="e">
        <f>IF(#REF!="","",#REF!)</f>
        <v>#REF!</v>
      </c>
      <c r="X240" s="31" t="str">
        <f t="shared" si="91"/>
        <v/>
      </c>
      <c r="Y240" s="7" t="e">
        <f t="shared" si="92"/>
        <v>#N/A</v>
      </c>
      <c r="Z240" s="7" t="e">
        <f t="shared" si="93"/>
        <v>#N/A</v>
      </c>
      <c r="AA240" s="7" t="e">
        <f t="shared" si="94"/>
        <v>#N/A</v>
      </c>
      <c r="AB240" s="7" t="str">
        <f t="shared" si="95"/>
        <v/>
      </c>
      <c r="AC240" s="11">
        <f t="shared" si="96"/>
        <v>1</v>
      </c>
      <c r="AD240" s="7" t="e">
        <f t="shared" si="97"/>
        <v>#N/A</v>
      </c>
      <c r="AE240" s="7" t="e">
        <f t="shared" si="98"/>
        <v>#N/A</v>
      </c>
      <c r="AF240" s="7" t="e">
        <f t="shared" si="99"/>
        <v>#N/A</v>
      </c>
      <c r="AG240" s="472" t="e">
        <f>VLOOKUP(AI240,'排出係数(2017)'!$A$4:$I$1151,9,FALSE)</f>
        <v>#N/A</v>
      </c>
      <c r="AH240" s="12" t="str">
        <f t="shared" si="100"/>
        <v xml:space="preserve"> </v>
      </c>
      <c r="AI240" s="7" t="e">
        <f t="shared" si="115"/>
        <v>#N/A</v>
      </c>
      <c r="AJ240" s="7" t="e">
        <f t="shared" si="101"/>
        <v>#N/A</v>
      </c>
      <c r="AK240" s="472" t="e">
        <f>VLOOKUP(AI240,'排出係数(2017)'!$A$4:$I$1151,6,FALSE)</f>
        <v>#N/A</v>
      </c>
      <c r="AL240" s="7" t="e">
        <f t="shared" si="102"/>
        <v>#N/A</v>
      </c>
      <c r="AM240" s="7" t="e">
        <f t="shared" si="103"/>
        <v>#N/A</v>
      </c>
      <c r="AN240" s="472" t="e">
        <f>VLOOKUP(AI240,'排出係数(2017)'!$A$4:$I$1151,7,FALSE)</f>
        <v>#N/A</v>
      </c>
      <c r="AO240" s="7" t="e">
        <f t="shared" si="104"/>
        <v>#N/A</v>
      </c>
      <c r="AP240" s="7" t="e">
        <f t="shared" si="105"/>
        <v>#N/A</v>
      </c>
      <c r="AQ240" s="7" t="e">
        <f t="shared" si="116"/>
        <v>#N/A</v>
      </c>
      <c r="AR240" s="7">
        <f t="shared" si="106"/>
        <v>0</v>
      </c>
      <c r="AS240" s="7" t="e">
        <f t="shared" si="117"/>
        <v>#N/A</v>
      </c>
      <c r="AT240" s="7" t="str">
        <f t="shared" si="107"/>
        <v/>
      </c>
      <c r="AU240" s="7" t="str">
        <f t="shared" si="108"/>
        <v/>
      </c>
      <c r="AV240" s="7" t="str">
        <f t="shared" si="109"/>
        <v/>
      </c>
      <c r="AW240" s="7" t="str">
        <f t="shared" si="110"/>
        <v/>
      </c>
      <c r="AX240" s="97"/>
      <c r="BD240" s="453" t="s">
        <v>1576</v>
      </c>
      <c r="CG240"/>
      <c r="CH240"/>
      <c r="CK240" s="592" t="str">
        <f t="shared" si="118"/>
        <v/>
      </c>
      <c r="CL240" s="421" t="str">
        <f t="shared" si="119"/>
        <v/>
      </c>
      <c r="CM240" s="594"/>
      <c r="CN240" s="594"/>
      <c r="CO240" s="594"/>
      <c r="CP240" s="594"/>
      <c r="CQ240" s="594"/>
      <c r="CR240" s="594"/>
    </row>
    <row r="241" spans="1:96" s="13" customFormat="1" ht="13.75" customHeight="1">
      <c r="A241" s="137">
        <v>226</v>
      </c>
      <c r="B241" s="138"/>
      <c r="C241" s="139"/>
      <c r="D241" s="140"/>
      <c r="E241" s="139"/>
      <c r="F241" s="139"/>
      <c r="G241" s="191"/>
      <c r="H241" s="139"/>
      <c r="I241" s="141"/>
      <c r="J241" s="142"/>
      <c r="K241" s="139"/>
      <c r="L241" s="147"/>
      <c r="M241" s="148"/>
      <c r="N241" s="139"/>
      <c r="O241" s="589"/>
      <c r="P241" s="229" t="str">
        <f t="shared" si="111"/>
        <v/>
      </c>
      <c r="Q241" s="229" t="str">
        <f t="shared" si="112"/>
        <v/>
      </c>
      <c r="R241" s="230" t="str">
        <f t="shared" si="113"/>
        <v/>
      </c>
      <c r="S241" s="230" t="str">
        <f t="shared" si="114"/>
        <v/>
      </c>
      <c r="T241" s="351"/>
      <c r="U241" s="43"/>
      <c r="V241" s="42" t="str">
        <f t="shared" si="90"/>
        <v/>
      </c>
      <c r="W241" s="42" t="e">
        <f>IF(#REF!="","",#REF!)</f>
        <v>#REF!</v>
      </c>
      <c r="X241" s="31" t="str">
        <f t="shared" si="91"/>
        <v/>
      </c>
      <c r="Y241" s="7" t="e">
        <f t="shared" si="92"/>
        <v>#N/A</v>
      </c>
      <c r="Z241" s="7" t="e">
        <f t="shared" si="93"/>
        <v>#N/A</v>
      </c>
      <c r="AA241" s="7" t="e">
        <f t="shared" si="94"/>
        <v>#N/A</v>
      </c>
      <c r="AB241" s="7" t="str">
        <f t="shared" si="95"/>
        <v/>
      </c>
      <c r="AC241" s="11">
        <f t="shared" si="96"/>
        <v>1</v>
      </c>
      <c r="AD241" s="7" t="e">
        <f t="shared" si="97"/>
        <v>#N/A</v>
      </c>
      <c r="AE241" s="7" t="e">
        <f t="shared" si="98"/>
        <v>#N/A</v>
      </c>
      <c r="AF241" s="7" t="e">
        <f t="shared" si="99"/>
        <v>#N/A</v>
      </c>
      <c r="AG241" s="472" t="e">
        <f>VLOOKUP(AI241,'排出係数(2017)'!$A$4:$I$1151,9,FALSE)</f>
        <v>#N/A</v>
      </c>
      <c r="AH241" s="12" t="str">
        <f t="shared" si="100"/>
        <v xml:space="preserve"> </v>
      </c>
      <c r="AI241" s="7" t="e">
        <f t="shared" si="115"/>
        <v>#N/A</v>
      </c>
      <c r="AJ241" s="7" t="e">
        <f t="shared" si="101"/>
        <v>#N/A</v>
      </c>
      <c r="AK241" s="472" t="e">
        <f>VLOOKUP(AI241,'排出係数(2017)'!$A$4:$I$1151,6,FALSE)</f>
        <v>#N/A</v>
      </c>
      <c r="AL241" s="7" t="e">
        <f t="shared" si="102"/>
        <v>#N/A</v>
      </c>
      <c r="AM241" s="7" t="e">
        <f t="shared" si="103"/>
        <v>#N/A</v>
      </c>
      <c r="AN241" s="472" t="e">
        <f>VLOOKUP(AI241,'排出係数(2017)'!$A$4:$I$1151,7,FALSE)</f>
        <v>#N/A</v>
      </c>
      <c r="AO241" s="7" t="e">
        <f t="shared" si="104"/>
        <v>#N/A</v>
      </c>
      <c r="AP241" s="7" t="e">
        <f t="shared" si="105"/>
        <v>#N/A</v>
      </c>
      <c r="AQ241" s="7" t="e">
        <f t="shared" si="116"/>
        <v>#N/A</v>
      </c>
      <c r="AR241" s="7">
        <f t="shared" si="106"/>
        <v>0</v>
      </c>
      <c r="AS241" s="7" t="e">
        <f t="shared" si="117"/>
        <v>#N/A</v>
      </c>
      <c r="AT241" s="7" t="str">
        <f t="shared" si="107"/>
        <v/>
      </c>
      <c r="AU241" s="7" t="str">
        <f t="shared" si="108"/>
        <v/>
      </c>
      <c r="AV241" s="7" t="str">
        <f t="shared" si="109"/>
        <v/>
      </c>
      <c r="AW241" s="7" t="str">
        <f t="shared" si="110"/>
        <v/>
      </c>
      <c r="AX241" s="97"/>
      <c r="BD241" s="453" t="s">
        <v>615</v>
      </c>
      <c r="CG241"/>
      <c r="CH241"/>
      <c r="CK241" s="592" t="str">
        <f t="shared" si="118"/>
        <v/>
      </c>
      <c r="CL241" s="421" t="str">
        <f t="shared" si="119"/>
        <v/>
      </c>
      <c r="CM241" s="594"/>
      <c r="CN241" s="594"/>
      <c r="CO241" s="594"/>
      <c r="CP241" s="594"/>
      <c r="CQ241" s="594"/>
      <c r="CR241" s="594"/>
    </row>
    <row r="242" spans="1:96" s="13" customFormat="1" ht="13.75" customHeight="1">
      <c r="A242" s="137">
        <v>227</v>
      </c>
      <c r="B242" s="138"/>
      <c r="C242" s="139"/>
      <c r="D242" s="140"/>
      <c r="E242" s="139"/>
      <c r="F242" s="139"/>
      <c r="G242" s="191"/>
      <c r="H242" s="139"/>
      <c r="I242" s="141"/>
      <c r="J242" s="142"/>
      <c r="K242" s="139"/>
      <c r="L242" s="147"/>
      <c r="M242" s="148"/>
      <c r="N242" s="139"/>
      <c r="O242" s="589"/>
      <c r="P242" s="229" t="str">
        <f t="shared" si="111"/>
        <v/>
      </c>
      <c r="Q242" s="229" t="str">
        <f t="shared" si="112"/>
        <v/>
      </c>
      <c r="R242" s="230" t="str">
        <f t="shared" si="113"/>
        <v/>
      </c>
      <c r="S242" s="230" t="str">
        <f t="shared" si="114"/>
        <v/>
      </c>
      <c r="T242" s="351"/>
      <c r="U242" s="43"/>
      <c r="V242" s="42" t="str">
        <f t="shared" si="90"/>
        <v/>
      </c>
      <c r="W242" s="42" t="e">
        <f>IF(#REF!="","",#REF!)</f>
        <v>#REF!</v>
      </c>
      <c r="X242" s="31" t="str">
        <f t="shared" si="91"/>
        <v/>
      </c>
      <c r="Y242" s="7" t="e">
        <f t="shared" si="92"/>
        <v>#N/A</v>
      </c>
      <c r="Z242" s="7" t="e">
        <f t="shared" si="93"/>
        <v>#N/A</v>
      </c>
      <c r="AA242" s="7" t="e">
        <f t="shared" si="94"/>
        <v>#N/A</v>
      </c>
      <c r="AB242" s="7" t="str">
        <f t="shared" si="95"/>
        <v/>
      </c>
      <c r="AC242" s="11">
        <f t="shared" si="96"/>
        <v>1</v>
      </c>
      <c r="AD242" s="7" t="e">
        <f t="shared" si="97"/>
        <v>#N/A</v>
      </c>
      <c r="AE242" s="7" t="e">
        <f t="shared" si="98"/>
        <v>#N/A</v>
      </c>
      <c r="AF242" s="7" t="e">
        <f t="shared" si="99"/>
        <v>#N/A</v>
      </c>
      <c r="AG242" s="472" t="e">
        <f>VLOOKUP(AI242,'排出係数(2017)'!$A$4:$I$1151,9,FALSE)</f>
        <v>#N/A</v>
      </c>
      <c r="AH242" s="12" t="str">
        <f t="shared" si="100"/>
        <v xml:space="preserve"> </v>
      </c>
      <c r="AI242" s="7" t="e">
        <f t="shared" si="115"/>
        <v>#N/A</v>
      </c>
      <c r="AJ242" s="7" t="e">
        <f t="shared" si="101"/>
        <v>#N/A</v>
      </c>
      <c r="AK242" s="472" t="e">
        <f>VLOOKUP(AI242,'排出係数(2017)'!$A$4:$I$1151,6,FALSE)</f>
        <v>#N/A</v>
      </c>
      <c r="AL242" s="7" t="e">
        <f t="shared" si="102"/>
        <v>#N/A</v>
      </c>
      <c r="AM242" s="7" t="e">
        <f t="shared" si="103"/>
        <v>#N/A</v>
      </c>
      <c r="AN242" s="472" t="e">
        <f>VLOOKUP(AI242,'排出係数(2017)'!$A$4:$I$1151,7,FALSE)</f>
        <v>#N/A</v>
      </c>
      <c r="AO242" s="7" t="e">
        <f t="shared" si="104"/>
        <v>#N/A</v>
      </c>
      <c r="AP242" s="7" t="e">
        <f t="shared" si="105"/>
        <v>#N/A</v>
      </c>
      <c r="AQ242" s="7" t="e">
        <f t="shared" si="116"/>
        <v>#N/A</v>
      </c>
      <c r="AR242" s="7">
        <f t="shared" si="106"/>
        <v>0</v>
      </c>
      <c r="AS242" s="7" t="e">
        <f t="shared" si="117"/>
        <v>#N/A</v>
      </c>
      <c r="AT242" s="7" t="str">
        <f t="shared" si="107"/>
        <v/>
      </c>
      <c r="AU242" s="7" t="str">
        <f t="shared" si="108"/>
        <v/>
      </c>
      <c r="AV242" s="7" t="str">
        <f t="shared" si="109"/>
        <v/>
      </c>
      <c r="AW242" s="7" t="str">
        <f t="shared" si="110"/>
        <v/>
      </c>
      <c r="AX242" s="97"/>
      <c r="BD242" s="453" t="s">
        <v>848</v>
      </c>
      <c r="CG242"/>
      <c r="CH242"/>
      <c r="CK242" s="592" t="str">
        <f t="shared" si="118"/>
        <v/>
      </c>
      <c r="CL242" s="421" t="str">
        <f t="shared" si="119"/>
        <v/>
      </c>
      <c r="CM242" s="594"/>
      <c r="CN242" s="594"/>
      <c r="CO242" s="594"/>
      <c r="CP242" s="594"/>
      <c r="CQ242" s="594"/>
      <c r="CR242" s="594"/>
    </row>
    <row r="243" spans="1:96" s="13" customFormat="1" ht="13.75" customHeight="1">
      <c r="A243" s="137">
        <v>228</v>
      </c>
      <c r="B243" s="138"/>
      <c r="C243" s="139"/>
      <c r="D243" s="140"/>
      <c r="E243" s="139"/>
      <c r="F243" s="139"/>
      <c r="G243" s="191"/>
      <c r="H243" s="139"/>
      <c r="I243" s="141"/>
      <c r="J243" s="142"/>
      <c r="K243" s="139"/>
      <c r="L243" s="147"/>
      <c r="M243" s="148"/>
      <c r="N243" s="139"/>
      <c r="O243" s="589"/>
      <c r="P243" s="229" t="str">
        <f t="shared" si="111"/>
        <v/>
      </c>
      <c r="Q243" s="229" t="str">
        <f t="shared" si="112"/>
        <v/>
      </c>
      <c r="R243" s="230" t="str">
        <f t="shared" si="113"/>
        <v/>
      </c>
      <c r="S243" s="230" t="str">
        <f t="shared" si="114"/>
        <v/>
      </c>
      <c r="T243" s="351"/>
      <c r="U243" s="43"/>
      <c r="V243" s="42" t="str">
        <f t="shared" si="90"/>
        <v/>
      </c>
      <c r="W243" s="42" t="e">
        <f>IF(#REF!="","",#REF!)</f>
        <v>#REF!</v>
      </c>
      <c r="X243" s="31" t="str">
        <f t="shared" si="91"/>
        <v/>
      </c>
      <c r="Y243" s="7" t="e">
        <f t="shared" si="92"/>
        <v>#N/A</v>
      </c>
      <c r="Z243" s="7" t="e">
        <f t="shared" si="93"/>
        <v>#N/A</v>
      </c>
      <c r="AA243" s="7" t="e">
        <f t="shared" si="94"/>
        <v>#N/A</v>
      </c>
      <c r="AB243" s="7" t="str">
        <f t="shared" si="95"/>
        <v/>
      </c>
      <c r="AC243" s="11">
        <f t="shared" si="96"/>
        <v>1</v>
      </c>
      <c r="AD243" s="7" t="e">
        <f t="shared" si="97"/>
        <v>#N/A</v>
      </c>
      <c r="AE243" s="7" t="e">
        <f t="shared" si="98"/>
        <v>#N/A</v>
      </c>
      <c r="AF243" s="7" t="e">
        <f t="shared" si="99"/>
        <v>#N/A</v>
      </c>
      <c r="AG243" s="472" t="e">
        <f>VLOOKUP(AI243,'排出係数(2017)'!$A$4:$I$1151,9,FALSE)</f>
        <v>#N/A</v>
      </c>
      <c r="AH243" s="12" t="str">
        <f t="shared" si="100"/>
        <v xml:space="preserve"> </v>
      </c>
      <c r="AI243" s="7" t="e">
        <f t="shared" si="115"/>
        <v>#N/A</v>
      </c>
      <c r="AJ243" s="7" t="e">
        <f t="shared" si="101"/>
        <v>#N/A</v>
      </c>
      <c r="AK243" s="472" t="e">
        <f>VLOOKUP(AI243,'排出係数(2017)'!$A$4:$I$1151,6,FALSE)</f>
        <v>#N/A</v>
      </c>
      <c r="AL243" s="7" t="e">
        <f t="shared" si="102"/>
        <v>#N/A</v>
      </c>
      <c r="AM243" s="7" t="e">
        <f t="shared" si="103"/>
        <v>#N/A</v>
      </c>
      <c r="AN243" s="472" t="e">
        <f>VLOOKUP(AI243,'排出係数(2017)'!$A$4:$I$1151,7,FALSE)</f>
        <v>#N/A</v>
      </c>
      <c r="AO243" s="7" t="e">
        <f t="shared" si="104"/>
        <v>#N/A</v>
      </c>
      <c r="AP243" s="7" t="e">
        <f t="shared" si="105"/>
        <v>#N/A</v>
      </c>
      <c r="AQ243" s="7" t="e">
        <f t="shared" si="116"/>
        <v>#N/A</v>
      </c>
      <c r="AR243" s="7">
        <f t="shared" si="106"/>
        <v>0</v>
      </c>
      <c r="AS243" s="7" t="e">
        <f t="shared" si="117"/>
        <v>#N/A</v>
      </c>
      <c r="AT243" s="7" t="str">
        <f t="shared" si="107"/>
        <v/>
      </c>
      <c r="AU243" s="7" t="str">
        <f t="shared" si="108"/>
        <v/>
      </c>
      <c r="AV243" s="7" t="str">
        <f t="shared" si="109"/>
        <v/>
      </c>
      <c r="AW243" s="7" t="str">
        <f t="shared" si="110"/>
        <v/>
      </c>
      <c r="AX243" s="97"/>
      <c r="BD243" s="473" t="s">
        <v>1055</v>
      </c>
      <c r="CG243"/>
      <c r="CH243"/>
      <c r="CK243" s="592" t="str">
        <f t="shared" si="118"/>
        <v/>
      </c>
      <c r="CL243" s="421" t="str">
        <f t="shared" si="119"/>
        <v/>
      </c>
      <c r="CM243" s="594"/>
      <c r="CN243" s="594"/>
      <c r="CO243" s="594"/>
      <c r="CP243" s="594"/>
      <c r="CQ243" s="594"/>
      <c r="CR243" s="594"/>
    </row>
    <row r="244" spans="1:96" s="13" customFormat="1" ht="13.75" customHeight="1">
      <c r="A244" s="137">
        <v>229</v>
      </c>
      <c r="B244" s="138"/>
      <c r="C244" s="139"/>
      <c r="D244" s="140"/>
      <c r="E244" s="139"/>
      <c r="F244" s="139"/>
      <c r="G244" s="191"/>
      <c r="H244" s="139"/>
      <c r="I244" s="141"/>
      <c r="J244" s="142"/>
      <c r="K244" s="139"/>
      <c r="L244" s="147"/>
      <c r="M244" s="148"/>
      <c r="N244" s="139"/>
      <c r="O244" s="589"/>
      <c r="P244" s="229" t="str">
        <f t="shared" si="111"/>
        <v/>
      </c>
      <c r="Q244" s="229" t="str">
        <f t="shared" si="112"/>
        <v/>
      </c>
      <c r="R244" s="230" t="str">
        <f t="shared" si="113"/>
        <v/>
      </c>
      <c r="S244" s="230" t="str">
        <f t="shared" si="114"/>
        <v/>
      </c>
      <c r="T244" s="351"/>
      <c r="U244" s="43"/>
      <c r="V244" s="42" t="str">
        <f t="shared" si="90"/>
        <v/>
      </c>
      <c r="W244" s="42" t="e">
        <f>IF(#REF!="","",#REF!)</f>
        <v>#REF!</v>
      </c>
      <c r="X244" s="31" t="str">
        <f t="shared" si="91"/>
        <v/>
      </c>
      <c r="Y244" s="7" t="e">
        <f t="shared" si="92"/>
        <v>#N/A</v>
      </c>
      <c r="Z244" s="7" t="e">
        <f t="shared" si="93"/>
        <v>#N/A</v>
      </c>
      <c r="AA244" s="7" t="e">
        <f t="shared" si="94"/>
        <v>#N/A</v>
      </c>
      <c r="AB244" s="7" t="str">
        <f t="shared" si="95"/>
        <v/>
      </c>
      <c r="AC244" s="11">
        <f t="shared" si="96"/>
        <v>1</v>
      </c>
      <c r="AD244" s="7" t="e">
        <f t="shared" si="97"/>
        <v>#N/A</v>
      </c>
      <c r="AE244" s="7" t="e">
        <f t="shared" si="98"/>
        <v>#N/A</v>
      </c>
      <c r="AF244" s="7" t="e">
        <f t="shared" si="99"/>
        <v>#N/A</v>
      </c>
      <c r="AG244" s="472" t="e">
        <f>VLOOKUP(AI244,'排出係数(2017)'!$A$4:$I$1151,9,FALSE)</f>
        <v>#N/A</v>
      </c>
      <c r="AH244" s="12" t="str">
        <f t="shared" si="100"/>
        <v xml:space="preserve"> </v>
      </c>
      <c r="AI244" s="7" t="e">
        <f t="shared" si="115"/>
        <v>#N/A</v>
      </c>
      <c r="AJ244" s="7" t="e">
        <f t="shared" si="101"/>
        <v>#N/A</v>
      </c>
      <c r="AK244" s="472" t="e">
        <f>VLOOKUP(AI244,'排出係数(2017)'!$A$4:$I$1151,6,FALSE)</f>
        <v>#N/A</v>
      </c>
      <c r="AL244" s="7" t="e">
        <f t="shared" si="102"/>
        <v>#N/A</v>
      </c>
      <c r="AM244" s="7" t="e">
        <f t="shared" si="103"/>
        <v>#N/A</v>
      </c>
      <c r="AN244" s="472" t="e">
        <f>VLOOKUP(AI244,'排出係数(2017)'!$A$4:$I$1151,7,FALSE)</f>
        <v>#N/A</v>
      </c>
      <c r="AO244" s="7" t="e">
        <f t="shared" si="104"/>
        <v>#N/A</v>
      </c>
      <c r="AP244" s="7" t="e">
        <f t="shared" si="105"/>
        <v>#N/A</v>
      </c>
      <c r="AQ244" s="7" t="e">
        <f t="shared" si="116"/>
        <v>#N/A</v>
      </c>
      <c r="AR244" s="7">
        <f t="shared" si="106"/>
        <v>0</v>
      </c>
      <c r="AS244" s="7" t="e">
        <f t="shared" si="117"/>
        <v>#N/A</v>
      </c>
      <c r="AT244" s="7" t="str">
        <f t="shared" si="107"/>
        <v/>
      </c>
      <c r="AU244" s="7" t="str">
        <f t="shared" si="108"/>
        <v/>
      </c>
      <c r="AV244" s="7" t="str">
        <f t="shared" si="109"/>
        <v/>
      </c>
      <c r="AW244" s="7" t="str">
        <f t="shared" si="110"/>
        <v/>
      </c>
      <c r="AX244" s="97"/>
      <c r="BD244" s="473" t="s">
        <v>73</v>
      </c>
      <c r="CG244"/>
      <c r="CH244"/>
      <c r="CK244" s="592" t="str">
        <f t="shared" si="118"/>
        <v/>
      </c>
      <c r="CL244" s="421" t="str">
        <f t="shared" si="119"/>
        <v/>
      </c>
      <c r="CM244" s="594"/>
      <c r="CN244" s="594"/>
      <c r="CO244" s="594"/>
      <c r="CP244" s="594"/>
      <c r="CQ244" s="594"/>
      <c r="CR244" s="594"/>
    </row>
    <row r="245" spans="1:96" s="13" customFormat="1" ht="13.75" customHeight="1">
      <c r="A245" s="137">
        <v>230</v>
      </c>
      <c r="B245" s="138"/>
      <c r="C245" s="139"/>
      <c r="D245" s="140"/>
      <c r="E245" s="139"/>
      <c r="F245" s="139"/>
      <c r="G245" s="191"/>
      <c r="H245" s="139"/>
      <c r="I245" s="141"/>
      <c r="J245" s="142"/>
      <c r="K245" s="139"/>
      <c r="L245" s="147"/>
      <c r="M245" s="148"/>
      <c r="N245" s="139"/>
      <c r="O245" s="589"/>
      <c r="P245" s="229" t="str">
        <f t="shared" si="111"/>
        <v/>
      </c>
      <c r="Q245" s="229" t="str">
        <f t="shared" si="112"/>
        <v/>
      </c>
      <c r="R245" s="230" t="str">
        <f t="shared" si="113"/>
        <v/>
      </c>
      <c r="S245" s="230" t="str">
        <f t="shared" si="114"/>
        <v/>
      </c>
      <c r="T245" s="351"/>
      <c r="U245" s="43"/>
      <c r="V245" s="42" t="str">
        <f t="shared" si="90"/>
        <v/>
      </c>
      <c r="W245" s="42" t="e">
        <f>IF(#REF!="","",#REF!)</f>
        <v>#REF!</v>
      </c>
      <c r="X245" s="31" t="str">
        <f t="shared" si="91"/>
        <v/>
      </c>
      <c r="Y245" s="7" t="e">
        <f t="shared" si="92"/>
        <v>#N/A</v>
      </c>
      <c r="Z245" s="7" t="e">
        <f t="shared" si="93"/>
        <v>#N/A</v>
      </c>
      <c r="AA245" s="7" t="e">
        <f t="shared" si="94"/>
        <v>#N/A</v>
      </c>
      <c r="AB245" s="7" t="str">
        <f t="shared" si="95"/>
        <v/>
      </c>
      <c r="AC245" s="11">
        <f t="shared" si="96"/>
        <v>1</v>
      </c>
      <c r="AD245" s="7" t="e">
        <f t="shared" si="97"/>
        <v>#N/A</v>
      </c>
      <c r="AE245" s="7" t="e">
        <f t="shared" si="98"/>
        <v>#N/A</v>
      </c>
      <c r="AF245" s="7" t="e">
        <f t="shared" si="99"/>
        <v>#N/A</v>
      </c>
      <c r="AG245" s="472" t="e">
        <f>VLOOKUP(AI245,'排出係数(2017)'!$A$4:$I$1151,9,FALSE)</f>
        <v>#N/A</v>
      </c>
      <c r="AH245" s="12" t="str">
        <f t="shared" si="100"/>
        <v xml:space="preserve"> </v>
      </c>
      <c r="AI245" s="7" t="e">
        <f t="shared" si="115"/>
        <v>#N/A</v>
      </c>
      <c r="AJ245" s="7" t="e">
        <f t="shared" si="101"/>
        <v>#N/A</v>
      </c>
      <c r="AK245" s="472" t="e">
        <f>VLOOKUP(AI245,'排出係数(2017)'!$A$4:$I$1151,6,FALSE)</f>
        <v>#N/A</v>
      </c>
      <c r="AL245" s="7" t="e">
        <f t="shared" si="102"/>
        <v>#N/A</v>
      </c>
      <c r="AM245" s="7" t="e">
        <f t="shared" si="103"/>
        <v>#N/A</v>
      </c>
      <c r="AN245" s="472" t="e">
        <f>VLOOKUP(AI245,'排出係数(2017)'!$A$4:$I$1151,7,FALSE)</f>
        <v>#N/A</v>
      </c>
      <c r="AO245" s="7" t="e">
        <f t="shared" si="104"/>
        <v>#N/A</v>
      </c>
      <c r="AP245" s="7" t="e">
        <f t="shared" si="105"/>
        <v>#N/A</v>
      </c>
      <c r="AQ245" s="7" t="e">
        <f t="shared" si="116"/>
        <v>#N/A</v>
      </c>
      <c r="AR245" s="7">
        <f t="shared" si="106"/>
        <v>0</v>
      </c>
      <c r="AS245" s="7" t="e">
        <f t="shared" si="117"/>
        <v>#N/A</v>
      </c>
      <c r="AT245" s="7" t="str">
        <f t="shared" si="107"/>
        <v/>
      </c>
      <c r="AU245" s="7" t="str">
        <f t="shared" si="108"/>
        <v/>
      </c>
      <c r="AV245" s="7" t="str">
        <f t="shared" si="109"/>
        <v/>
      </c>
      <c r="AW245" s="7" t="str">
        <f t="shared" si="110"/>
        <v/>
      </c>
      <c r="AX245" s="97"/>
      <c r="BD245" s="453" t="s">
        <v>1570</v>
      </c>
      <c r="CG245"/>
      <c r="CH245"/>
      <c r="CK245" s="592" t="str">
        <f t="shared" si="118"/>
        <v/>
      </c>
      <c r="CL245" s="421" t="str">
        <f t="shared" si="119"/>
        <v/>
      </c>
      <c r="CM245" s="594"/>
      <c r="CN245" s="594"/>
      <c r="CO245" s="594"/>
      <c r="CP245" s="594"/>
      <c r="CQ245" s="594"/>
      <c r="CR245" s="594"/>
    </row>
    <row r="246" spans="1:96" s="13" customFormat="1" ht="13.75" customHeight="1">
      <c r="A246" s="137">
        <v>231</v>
      </c>
      <c r="B246" s="138"/>
      <c r="C246" s="139"/>
      <c r="D246" s="140"/>
      <c r="E246" s="139"/>
      <c r="F246" s="139"/>
      <c r="G246" s="191"/>
      <c r="H246" s="139"/>
      <c r="I246" s="141"/>
      <c r="J246" s="142"/>
      <c r="K246" s="139"/>
      <c r="L246" s="147"/>
      <c r="M246" s="148"/>
      <c r="N246" s="139"/>
      <c r="O246" s="589"/>
      <c r="P246" s="229" t="str">
        <f t="shared" si="111"/>
        <v/>
      </c>
      <c r="Q246" s="229" t="str">
        <f t="shared" si="112"/>
        <v/>
      </c>
      <c r="R246" s="230" t="str">
        <f t="shared" si="113"/>
        <v/>
      </c>
      <c r="S246" s="230" t="str">
        <f t="shared" si="114"/>
        <v/>
      </c>
      <c r="T246" s="351"/>
      <c r="U246" s="43"/>
      <c r="V246" s="42" t="str">
        <f t="shared" si="90"/>
        <v/>
      </c>
      <c r="W246" s="42" t="e">
        <f>IF(#REF!="","",#REF!)</f>
        <v>#REF!</v>
      </c>
      <c r="X246" s="31" t="str">
        <f t="shared" si="91"/>
        <v/>
      </c>
      <c r="Y246" s="7" t="e">
        <f t="shared" si="92"/>
        <v>#N/A</v>
      </c>
      <c r="Z246" s="7" t="e">
        <f t="shared" si="93"/>
        <v>#N/A</v>
      </c>
      <c r="AA246" s="7" t="e">
        <f t="shared" si="94"/>
        <v>#N/A</v>
      </c>
      <c r="AB246" s="7" t="str">
        <f t="shared" si="95"/>
        <v/>
      </c>
      <c r="AC246" s="11">
        <f t="shared" si="96"/>
        <v>1</v>
      </c>
      <c r="AD246" s="7" t="e">
        <f t="shared" si="97"/>
        <v>#N/A</v>
      </c>
      <c r="AE246" s="7" t="e">
        <f t="shared" si="98"/>
        <v>#N/A</v>
      </c>
      <c r="AF246" s="7" t="e">
        <f t="shared" si="99"/>
        <v>#N/A</v>
      </c>
      <c r="AG246" s="472" t="e">
        <f>VLOOKUP(AI246,'排出係数(2017)'!$A$4:$I$1151,9,FALSE)</f>
        <v>#N/A</v>
      </c>
      <c r="AH246" s="12" t="str">
        <f t="shared" si="100"/>
        <v xml:space="preserve"> </v>
      </c>
      <c r="AI246" s="7" t="e">
        <f t="shared" si="115"/>
        <v>#N/A</v>
      </c>
      <c r="AJ246" s="7" t="e">
        <f t="shared" si="101"/>
        <v>#N/A</v>
      </c>
      <c r="AK246" s="472" t="e">
        <f>VLOOKUP(AI246,'排出係数(2017)'!$A$4:$I$1151,6,FALSE)</f>
        <v>#N/A</v>
      </c>
      <c r="AL246" s="7" t="e">
        <f t="shared" si="102"/>
        <v>#N/A</v>
      </c>
      <c r="AM246" s="7" t="e">
        <f t="shared" si="103"/>
        <v>#N/A</v>
      </c>
      <c r="AN246" s="472" t="e">
        <f>VLOOKUP(AI246,'排出係数(2017)'!$A$4:$I$1151,7,FALSE)</f>
        <v>#N/A</v>
      </c>
      <c r="AO246" s="7" t="e">
        <f t="shared" si="104"/>
        <v>#N/A</v>
      </c>
      <c r="AP246" s="7" t="e">
        <f t="shared" si="105"/>
        <v>#N/A</v>
      </c>
      <c r="AQ246" s="7" t="e">
        <f t="shared" si="116"/>
        <v>#N/A</v>
      </c>
      <c r="AR246" s="7">
        <f t="shared" si="106"/>
        <v>0</v>
      </c>
      <c r="AS246" s="7" t="e">
        <f t="shared" si="117"/>
        <v>#N/A</v>
      </c>
      <c r="AT246" s="7" t="str">
        <f t="shared" si="107"/>
        <v/>
      </c>
      <c r="AU246" s="7" t="str">
        <f t="shared" si="108"/>
        <v/>
      </c>
      <c r="AV246" s="7" t="str">
        <f t="shared" si="109"/>
        <v/>
      </c>
      <c r="AW246" s="7" t="str">
        <f t="shared" si="110"/>
        <v/>
      </c>
      <c r="AX246" s="97"/>
      <c r="BD246" s="467" t="s">
        <v>606</v>
      </c>
      <c r="CG246"/>
      <c r="CH246"/>
      <c r="CK246" s="592" t="str">
        <f t="shared" si="118"/>
        <v/>
      </c>
      <c r="CL246" s="421" t="str">
        <f t="shared" si="119"/>
        <v/>
      </c>
      <c r="CM246" s="594"/>
      <c r="CN246" s="594"/>
      <c r="CO246" s="594"/>
      <c r="CP246" s="594"/>
      <c r="CQ246" s="594"/>
      <c r="CR246" s="594"/>
    </row>
    <row r="247" spans="1:96" s="13" customFormat="1" ht="13.75" customHeight="1">
      <c r="A247" s="137">
        <v>232</v>
      </c>
      <c r="B247" s="138"/>
      <c r="C247" s="139"/>
      <c r="D247" s="140"/>
      <c r="E247" s="139"/>
      <c r="F247" s="139"/>
      <c r="G247" s="191"/>
      <c r="H247" s="139"/>
      <c r="I247" s="141"/>
      <c r="J247" s="142"/>
      <c r="K247" s="139"/>
      <c r="L247" s="147"/>
      <c r="M247" s="148"/>
      <c r="N247" s="139"/>
      <c r="O247" s="589"/>
      <c r="P247" s="229" t="str">
        <f t="shared" si="111"/>
        <v/>
      </c>
      <c r="Q247" s="229" t="str">
        <f t="shared" si="112"/>
        <v/>
      </c>
      <c r="R247" s="230" t="str">
        <f t="shared" si="113"/>
        <v/>
      </c>
      <c r="S247" s="230" t="str">
        <f t="shared" si="114"/>
        <v/>
      </c>
      <c r="T247" s="351"/>
      <c r="U247" s="43"/>
      <c r="V247" s="42" t="str">
        <f t="shared" si="90"/>
        <v/>
      </c>
      <c r="W247" s="42" t="e">
        <f>IF(#REF!="","",#REF!)</f>
        <v>#REF!</v>
      </c>
      <c r="X247" s="31" t="str">
        <f t="shared" si="91"/>
        <v/>
      </c>
      <c r="Y247" s="7" t="e">
        <f t="shared" si="92"/>
        <v>#N/A</v>
      </c>
      <c r="Z247" s="7" t="e">
        <f t="shared" si="93"/>
        <v>#N/A</v>
      </c>
      <c r="AA247" s="7" t="e">
        <f t="shared" si="94"/>
        <v>#N/A</v>
      </c>
      <c r="AB247" s="7" t="str">
        <f t="shared" si="95"/>
        <v/>
      </c>
      <c r="AC247" s="11">
        <f t="shared" si="96"/>
        <v>1</v>
      </c>
      <c r="AD247" s="7" t="e">
        <f t="shared" si="97"/>
        <v>#N/A</v>
      </c>
      <c r="AE247" s="7" t="e">
        <f t="shared" si="98"/>
        <v>#N/A</v>
      </c>
      <c r="AF247" s="7" t="e">
        <f t="shared" si="99"/>
        <v>#N/A</v>
      </c>
      <c r="AG247" s="472" t="e">
        <f>VLOOKUP(AI247,'排出係数(2017)'!$A$4:$I$1151,9,FALSE)</f>
        <v>#N/A</v>
      </c>
      <c r="AH247" s="12" t="str">
        <f t="shared" si="100"/>
        <v xml:space="preserve"> </v>
      </c>
      <c r="AI247" s="7" t="e">
        <f t="shared" si="115"/>
        <v>#N/A</v>
      </c>
      <c r="AJ247" s="7" t="e">
        <f t="shared" si="101"/>
        <v>#N/A</v>
      </c>
      <c r="AK247" s="472" t="e">
        <f>VLOOKUP(AI247,'排出係数(2017)'!$A$4:$I$1151,6,FALSE)</f>
        <v>#N/A</v>
      </c>
      <c r="AL247" s="7" t="e">
        <f t="shared" si="102"/>
        <v>#N/A</v>
      </c>
      <c r="AM247" s="7" t="e">
        <f t="shared" si="103"/>
        <v>#N/A</v>
      </c>
      <c r="AN247" s="472" t="e">
        <f>VLOOKUP(AI247,'排出係数(2017)'!$A$4:$I$1151,7,FALSE)</f>
        <v>#N/A</v>
      </c>
      <c r="AO247" s="7" t="e">
        <f t="shared" si="104"/>
        <v>#N/A</v>
      </c>
      <c r="AP247" s="7" t="e">
        <f t="shared" si="105"/>
        <v>#N/A</v>
      </c>
      <c r="AQ247" s="7" t="e">
        <f t="shared" si="116"/>
        <v>#N/A</v>
      </c>
      <c r="AR247" s="7">
        <f t="shared" si="106"/>
        <v>0</v>
      </c>
      <c r="AS247" s="7" t="e">
        <f t="shared" si="117"/>
        <v>#N/A</v>
      </c>
      <c r="AT247" s="7" t="str">
        <f t="shared" si="107"/>
        <v/>
      </c>
      <c r="AU247" s="7" t="str">
        <f t="shared" si="108"/>
        <v/>
      </c>
      <c r="AV247" s="7" t="str">
        <f t="shared" si="109"/>
        <v/>
      </c>
      <c r="AW247" s="7" t="str">
        <f t="shared" si="110"/>
        <v/>
      </c>
      <c r="AX247" s="97"/>
      <c r="BD247" s="467" t="s">
        <v>840</v>
      </c>
      <c r="CG247"/>
      <c r="CH247"/>
      <c r="CK247" s="592" t="str">
        <f t="shared" si="118"/>
        <v/>
      </c>
      <c r="CL247" s="421" t="str">
        <f t="shared" si="119"/>
        <v/>
      </c>
      <c r="CM247" s="594"/>
      <c r="CN247" s="594"/>
      <c r="CO247" s="594"/>
      <c r="CP247" s="594"/>
      <c r="CQ247" s="594"/>
      <c r="CR247" s="594"/>
    </row>
    <row r="248" spans="1:96" s="13" customFormat="1" ht="13.75" customHeight="1">
      <c r="A248" s="137">
        <v>233</v>
      </c>
      <c r="B248" s="138"/>
      <c r="C248" s="139"/>
      <c r="D248" s="140"/>
      <c r="E248" s="139"/>
      <c r="F248" s="139"/>
      <c r="G248" s="191"/>
      <c r="H248" s="139"/>
      <c r="I248" s="141"/>
      <c r="J248" s="142"/>
      <c r="K248" s="139"/>
      <c r="L248" s="147"/>
      <c r="M248" s="148"/>
      <c r="N248" s="139"/>
      <c r="O248" s="589"/>
      <c r="P248" s="229" t="str">
        <f t="shared" si="111"/>
        <v/>
      </c>
      <c r="Q248" s="229" t="str">
        <f t="shared" si="112"/>
        <v/>
      </c>
      <c r="R248" s="230" t="str">
        <f t="shared" si="113"/>
        <v/>
      </c>
      <c r="S248" s="230" t="str">
        <f t="shared" si="114"/>
        <v/>
      </c>
      <c r="T248" s="351"/>
      <c r="U248" s="43"/>
      <c r="V248" s="42" t="str">
        <f t="shared" si="90"/>
        <v/>
      </c>
      <c r="W248" s="42" t="e">
        <f>IF(#REF!="","",#REF!)</f>
        <v>#REF!</v>
      </c>
      <c r="X248" s="31" t="str">
        <f t="shared" si="91"/>
        <v/>
      </c>
      <c r="Y248" s="7" t="e">
        <f t="shared" si="92"/>
        <v>#N/A</v>
      </c>
      <c r="Z248" s="7" t="e">
        <f t="shared" si="93"/>
        <v>#N/A</v>
      </c>
      <c r="AA248" s="7" t="e">
        <f t="shared" si="94"/>
        <v>#N/A</v>
      </c>
      <c r="AB248" s="7" t="str">
        <f t="shared" si="95"/>
        <v/>
      </c>
      <c r="AC248" s="11">
        <f t="shared" si="96"/>
        <v>1</v>
      </c>
      <c r="AD248" s="7" t="e">
        <f t="shared" si="97"/>
        <v>#N/A</v>
      </c>
      <c r="AE248" s="7" t="e">
        <f t="shared" si="98"/>
        <v>#N/A</v>
      </c>
      <c r="AF248" s="7" t="e">
        <f t="shared" si="99"/>
        <v>#N/A</v>
      </c>
      <c r="AG248" s="472" t="e">
        <f>VLOOKUP(AI248,'排出係数(2017)'!$A$4:$I$1151,9,FALSE)</f>
        <v>#N/A</v>
      </c>
      <c r="AH248" s="12" t="str">
        <f t="shared" si="100"/>
        <v xml:space="preserve"> </v>
      </c>
      <c r="AI248" s="7" t="e">
        <f t="shared" si="115"/>
        <v>#N/A</v>
      </c>
      <c r="AJ248" s="7" t="e">
        <f t="shared" si="101"/>
        <v>#N/A</v>
      </c>
      <c r="AK248" s="472" t="e">
        <f>VLOOKUP(AI248,'排出係数(2017)'!$A$4:$I$1151,6,FALSE)</f>
        <v>#N/A</v>
      </c>
      <c r="AL248" s="7" t="e">
        <f t="shared" si="102"/>
        <v>#N/A</v>
      </c>
      <c r="AM248" s="7" t="e">
        <f t="shared" si="103"/>
        <v>#N/A</v>
      </c>
      <c r="AN248" s="472" t="e">
        <f>VLOOKUP(AI248,'排出係数(2017)'!$A$4:$I$1151,7,FALSE)</f>
        <v>#N/A</v>
      </c>
      <c r="AO248" s="7" t="e">
        <f t="shared" si="104"/>
        <v>#N/A</v>
      </c>
      <c r="AP248" s="7" t="e">
        <f t="shared" si="105"/>
        <v>#N/A</v>
      </c>
      <c r="AQ248" s="7" t="e">
        <f t="shared" si="116"/>
        <v>#N/A</v>
      </c>
      <c r="AR248" s="7">
        <f t="shared" si="106"/>
        <v>0</v>
      </c>
      <c r="AS248" s="7" t="e">
        <f t="shared" si="117"/>
        <v>#N/A</v>
      </c>
      <c r="AT248" s="7" t="str">
        <f t="shared" si="107"/>
        <v/>
      </c>
      <c r="AU248" s="7" t="str">
        <f t="shared" si="108"/>
        <v/>
      </c>
      <c r="AV248" s="7" t="str">
        <f t="shared" si="109"/>
        <v/>
      </c>
      <c r="AW248" s="7" t="str">
        <f t="shared" si="110"/>
        <v/>
      </c>
      <c r="AX248" s="97"/>
      <c r="BD248" s="453" t="s">
        <v>1047</v>
      </c>
      <c r="CG248"/>
      <c r="CH248"/>
      <c r="CK248" s="592" t="str">
        <f t="shared" si="118"/>
        <v/>
      </c>
      <c r="CL248" s="421" t="str">
        <f t="shared" si="119"/>
        <v/>
      </c>
      <c r="CM248" s="594"/>
      <c r="CN248" s="594"/>
      <c r="CO248" s="594"/>
      <c r="CP248" s="594"/>
      <c r="CQ248" s="594"/>
      <c r="CR248" s="594"/>
    </row>
    <row r="249" spans="1:96" s="13" customFormat="1" ht="13.75" customHeight="1">
      <c r="A249" s="137">
        <v>234</v>
      </c>
      <c r="B249" s="138"/>
      <c r="C249" s="139"/>
      <c r="D249" s="140"/>
      <c r="E249" s="139"/>
      <c r="F249" s="139"/>
      <c r="G249" s="191"/>
      <c r="H249" s="139"/>
      <c r="I249" s="141"/>
      <c r="J249" s="142"/>
      <c r="K249" s="139"/>
      <c r="L249" s="147"/>
      <c r="M249" s="148"/>
      <c r="N249" s="139"/>
      <c r="O249" s="589"/>
      <c r="P249" s="229" t="str">
        <f t="shared" si="111"/>
        <v/>
      </c>
      <c r="Q249" s="229" t="str">
        <f t="shared" si="112"/>
        <v/>
      </c>
      <c r="R249" s="230" t="str">
        <f t="shared" si="113"/>
        <v/>
      </c>
      <c r="S249" s="230" t="str">
        <f t="shared" si="114"/>
        <v/>
      </c>
      <c r="T249" s="351"/>
      <c r="U249" s="43"/>
      <c r="V249" s="42" t="str">
        <f t="shared" si="90"/>
        <v/>
      </c>
      <c r="W249" s="42" t="e">
        <f>IF(#REF!="","",#REF!)</f>
        <v>#REF!</v>
      </c>
      <c r="X249" s="31" t="str">
        <f t="shared" si="91"/>
        <v/>
      </c>
      <c r="Y249" s="7" t="e">
        <f t="shared" si="92"/>
        <v>#N/A</v>
      </c>
      <c r="Z249" s="7" t="e">
        <f t="shared" si="93"/>
        <v>#N/A</v>
      </c>
      <c r="AA249" s="7" t="e">
        <f t="shared" si="94"/>
        <v>#N/A</v>
      </c>
      <c r="AB249" s="7" t="str">
        <f t="shared" si="95"/>
        <v/>
      </c>
      <c r="AC249" s="11">
        <f t="shared" si="96"/>
        <v>1</v>
      </c>
      <c r="AD249" s="7" t="e">
        <f t="shared" si="97"/>
        <v>#N/A</v>
      </c>
      <c r="AE249" s="7" t="e">
        <f t="shared" si="98"/>
        <v>#N/A</v>
      </c>
      <c r="AF249" s="7" t="e">
        <f t="shared" si="99"/>
        <v>#N/A</v>
      </c>
      <c r="AG249" s="472" t="e">
        <f>VLOOKUP(AI249,'排出係数(2017)'!$A$4:$I$1151,9,FALSE)</f>
        <v>#N/A</v>
      </c>
      <c r="AH249" s="12" t="str">
        <f t="shared" si="100"/>
        <v xml:space="preserve"> </v>
      </c>
      <c r="AI249" s="7" t="e">
        <f t="shared" si="115"/>
        <v>#N/A</v>
      </c>
      <c r="AJ249" s="7" t="e">
        <f t="shared" si="101"/>
        <v>#N/A</v>
      </c>
      <c r="AK249" s="472" t="e">
        <f>VLOOKUP(AI249,'排出係数(2017)'!$A$4:$I$1151,6,FALSE)</f>
        <v>#N/A</v>
      </c>
      <c r="AL249" s="7" t="e">
        <f t="shared" si="102"/>
        <v>#N/A</v>
      </c>
      <c r="AM249" s="7" t="e">
        <f t="shared" si="103"/>
        <v>#N/A</v>
      </c>
      <c r="AN249" s="472" t="e">
        <f>VLOOKUP(AI249,'排出係数(2017)'!$A$4:$I$1151,7,FALSE)</f>
        <v>#N/A</v>
      </c>
      <c r="AO249" s="7" t="e">
        <f t="shared" si="104"/>
        <v>#N/A</v>
      </c>
      <c r="AP249" s="7" t="e">
        <f t="shared" si="105"/>
        <v>#N/A</v>
      </c>
      <c r="AQ249" s="7" t="e">
        <f t="shared" si="116"/>
        <v>#N/A</v>
      </c>
      <c r="AR249" s="7">
        <f t="shared" si="106"/>
        <v>0</v>
      </c>
      <c r="AS249" s="7" t="e">
        <f t="shared" si="117"/>
        <v>#N/A</v>
      </c>
      <c r="AT249" s="7" t="str">
        <f t="shared" si="107"/>
        <v/>
      </c>
      <c r="AU249" s="7" t="str">
        <f t="shared" si="108"/>
        <v/>
      </c>
      <c r="AV249" s="7" t="str">
        <f t="shared" si="109"/>
        <v/>
      </c>
      <c r="AW249" s="7" t="str">
        <f t="shared" si="110"/>
        <v/>
      </c>
      <c r="AX249" s="97"/>
      <c r="BD249" s="453" t="s">
        <v>1678</v>
      </c>
      <c r="CG249"/>
      <c r="CH249"/>
      <c r="CK249" s="592" t="str">
        <f t="shared" si="118"/>
        <v/>
      </c>
      <c r="CL249" s="421" t="str">
        <f t="shared" si="119"/>
        <v/>
      </c>
      <c r="CM249" s="594"/>
      <c r="CN249" s="594"/>
      <c r="CO249" s="594"/>
      <c r="CP249" s="594"/>
      <c r="CQ249" s="594"/>
      <c r="CR249" s="594"/>
    </row>
    <row r="250" spans="1:96" s="13" customFormat="1" ht="13.75" customHeight="1">
      <c r="A250" s="137">
        <v>235</v>
      </c>
      <c r="B250" s="138"/>
      <c r="C250" s="139"/>
      <c r="D250" s="140"/>
      <c r="E250" s="139"/>
      <c r="F250" s="139"/>
      <c r="G250" s="191"/>
      <c r="H250" s="139"/>
      <c r="I250" s="141"/>
      <c r="J250" s="142"/>
      <c r="K250" s="139"/>
      <c r="L250" s="147"/>
      <c r="M250" s="148"/>
      <c r="N250" s="139"/>
      <c r="O250" s="589"/>
      <c r="P250" s="229" t="str">
        <f t="shared" si="111"/>
        <v/>
      </c>
      <c r="Q250" s="229" t="str">
        <f t="shared" si="112"/>
        <v/>
      </c>
      <c r="R250" s="230" t="str">
        <f t="shared" si="113"/>
        <v/>
      </c>
      <c r="S250" s="230" t="str">
        <f t="shared" si="114"/>
        <v/>
      </c>
      <c r="T250" s="351"/>
      <c r="U250" s="43"/>
      <c r="V250" s="42" t="str">
        <f t="shared" si="90"/>
        <v/>
      </c>
      <c r="W250" s="42" t="e">
        <f>IF(#REF!="","",#REF!)</f>
        <v>#REF!</v>
      </c>
      <c r="X250" s="31" t="str">
        <f t="shared" si="91"/>
        <v/>
      </c>
      <c r="Y250" s="7" t="e">
        <f t="shared" si="92"/>
        <v>#N/A</v>
      </c>
      <c r="Z250" s="7" t="e">
        <f t="shared" si="93"/>
        <v>#N/A</v>
      </c>
      <c r="AA250" s="7" t="e">
        <f t="shared" si="94"/>
        <v>#N/A</v>
      </c>
      <c r="AB250" s="7" t="str">
        <f t="shared" si="95"/>
        <v/>
      </c>
      <c r="AC250" s="11">
        <f t="shared" si="96"/>
        <v>1</v>
      </c>
      <c r="AD250" s="7" t="e">
        <f t="shared" si="97"/>
        <v>#N/A</v>
      </c>
      <c r="AE250" s="7" t="e">
        <f t="shared" si="98"/>
        <v>#N/A</v>
      </c>
      <c r="AF250" s="7" t="e">
        <f t="shared" si="99"/>
        <v>#N/A</v>
      </c>
      <c r="AG250" s="472" t="e">
        <f>VLOOKUP(AI250,'排出係数(2017)'!$A$4:$I$1151,9,FALSE)</f>
        <v>#N/A</v>
      </c>
      <c r="AH250" s="12" t="str">
        <f t="shared" si="100"/>
        <v xml:space="preserve"> </v>
      </c>
      <c r="AI250" s="7" t="e">
        <f t="shared" si="115"/>
        <v>#N/A</v>
      </c>
      <c r="AJ250" s="7" t="e">
        <f t="shared" si="101"/>
        <v>#N/A</v>
      </c>
      <c r="AK250" s="472" t="e">
        <f>VLOOKUP(AI250,'排出係数(2017)'!$A$4:$I$1151,6,FALSE)</f>
        <v>#N/A</v>
      </c>
      <c r="AL250" s="7" t="e">
        <f t="shared" si="102"/>
        <v>#N/A</v>
      </c>
      <c r="AM250" s="7" t="e">
        <f t="shared" si="103"/>
        <v>#N/A</v>
      </c>
      <c r="AN250" s="472" t="e">
        <f>VLOOKUP(AI250,'排出係数(2017)'!$A$4:$I$1151,7,FALSE)</f>
        <v>#N/A</v>
      </c>
      <c r="AO250" s="7" t="e">
        <f t="shared" si="104"/>
        <v>#N/A</v>
      </c>
      <c r="AP250" s="7" t="e">
        <f t="shared" si="105"/>
        <v>#N/A</v>
      </c>
      <c r="AQ250" s="7" t="e">
        <f t="shared" si="116"/>
        <v>#N/A</v>
      </c>
      <c r="AR250" s="7">
        <f t="shared" si="106"/>
        <v>0</v>
      </c>
      <c r="AS250" s="7" t="e">
        <f t="shared" si="117"/>
        <v>#N/A</v>
      </c>
      <c r="AT250" s="7" t="str">
        <f t="shared" si="107"/>
        <v/>
      </c>
      <c r="AU250" s="7" t="str">
        <f t="shared" si="108"/>
        <v/>
      </c>
      <c r="AV250" s="7" t="str">
        <f t="shared" si="109"/>
        <v/>
      </c>
      <c r="AW250" s="7" t="str">
        <f t="shared" si="110"/>
        <v/>
      </c>
      <c r="AX250" s="97"/>
      <c r="BD250" s="453" t="s">
        <v>1147</v>
      </c>
      <c r="CG250"/>
      <c r="CH250"/>
      <c r="CK250" s="592" t="str">
        <f t="shared" si="118"/>
        <v/>
      </c>
      <c r="CL250" s="421" t="str">
        <f t="shared" si="119"/>
        <v/>
      </c>
      <c r="CM250" s="594"/>
      <c r="CN250" s="594"/>
      <c r="CO250" s="594"/>
      <c r="CP250" s="594"/>
      <c r="CQ250" s="594"/>
      <c r="CR250" s="594"/>
    </row>
    <row r="251" spans="1:96" s="13" customFormat="1" ht="13.75" customHeight="1">
      <c r="A251" s="137">
        <v>236</v>
      </c>
      <c r="B251" s="138"/>
      <c r="C251" s="139"/>
      <c r="D251" s="140"/>
      <c r="E251" s="139"/>
      <c r="F251" s="139"/>
      <c r="G251" s="191"/>
      <c r="H251" s="139"/>
      <c r="I251" s="141"/>
      <c r="J251" s="142"/>
      <c r="K251" s="139"/>
      <c r="L251" s="147"/>
      <c r="M251" s="148"/>
      <c r="N251" s="139"/>
      <c r="O251" s="589"/>
      <c r="P251" s="229" t="str">
        <f t="shared" si="111"/>
        <v/>
      </c>
      <c r="Q251" s="229" t="str">
        <f t="shared" si="112"/>
        <v/>
      </c>
      <c r="R251" s="230" t="str">
        <f t="shared" si="113"/>
        <v/>
      </c>
      <c r="S251" s="230" t="str">
        <f t="shared" si="114"/>
        <v/>
      </c>
      <c r="T251" s="351"/>
      <c r="U251" s="43"/>
      <c r="V251" s="42" t="str">
        <f t="shared" si="90"/>
        <v/>
      </c>
      <c r="W251" s="42" t="e">
        <f>IF(#REF!="","",#REF!)</f>
        <v>#REF!</v>
      </c>
      <c r="X251" s="31" t="str">
        <f t="shared" si="91"/>
        <v/>
      </c>
      <c r="Y251" s="7" t="e">
        <f t="shared" si="92"/>
        <v>#N/A</v>
      </c>
      <c r="Z251" s="7" t="e">
        <f t="shared" si="93"/>
        <v>#N/A</v>
      </c>
      <c r="AA251" s="7" t="e">
        <f t="shared" si="94"/>
        <v>#N/A</v>
      </c>
      <c r="AB251" s="7" t="str">
        <f t="shared" si="95"/>
        <v/>
      </c>
      <c r="AC251" s="11">
        <f t="shared" si="96"/>
        <v>1</v>
      </c>
      <c r="AD251" s="7" t="e">
        <f t="shared" si="97"/>
        <v>#N/A</v>
      </c>
      <c r="AE251" s="7" t="e">
        <f t="shared" si="98"/>
        <v>#N/A</v>
      </c>
      <c r="AF251" s="7" t="e">
        <f t="shared" si="99"/>
        <v>#N/A</v>
      </c>
      <c r="AG251" s="472" t="e">
        <f>VLOOKUP(AI251,'排出係数(2017)'!$A$4:$I$1151,9,FALSE)</f>
        <v>#N/A</v>
      </c>
      <c r="AH251" s="12" t="str">
        <f t="shared" si="100"/>
        <v xml:space="preserve"> </v>
      </c>
      <c r="AI251" s="7" t="e">
        <f t="shared" si="115"/>
        <v>#N/A</v>
      </c>
      <c r="AJ251" s="7" t="e">
        <f t="shared" si="101"/>
        <v>#N/A</v>
      </c>
      <c r="AK251" s="472" t="e">
        <f>VLOOKUP(AI251,'排出係数(2017)'!$A$4:$I$1151,6,FALSE)</f>
        <v>#N/A</v>
      </c>
      <c r="AL251" s="7" t="e">
        <f t="shared" si="102"/>
        <v>#N/A</v>
      </c>
      <c r="AM251" s="7" t="e">
        <f t="shared" si="103"/>
        <v>#N/A</v>
      </c>
      <c r="AN251" s="472" t="e">
        <f>VLOOKUP(AI251,'排出係数(2017)'!$A$4:$I$1151,7,FALSE)</f>
        <v>#N/A</v>
      </c>
      <c r="AO251" s="7" t="e">
        <f t="shared" si="104"/>
        <v>#N/A</v>
      </c>
      <c r="AP251" s="7" t="e">
        <f t="shared" si="105"/>
        <v>#N/A</v>
      </c>
      <c r="AQ251" s="7" t="e">
        <f t="shared" si="116"/>
        <v>#N/A</v>
      </c>
      <c r="AR251" s="7">
        <f t="shared" si="106"/>
        <v>0</v>
      </c>
      <c r="AS251" s="7" t="e">
        <f t="shared" si="117"/>
        <v>#N/A</v>
      </c>
      <c r="AT251" s="7" t="str">
        <f t="shared" si="107"/>
        <v/>
      </c>
      <c r="AU251" s="7" t="str">
        <f t="shared" si="108"/>
        <v/>
      </c>
      <c r="AV251" s="7" t="str">
        <f t="shared" si="109"/>
        <v/>
      </c>
      <c r="AW251" s="7" t="str">
        <f t="shared" si="110"/>
        <v/>
      </c>
      <c r="AX251" s="97"/>
      <c r="BD251" s="453" t="s">
        <v>1180</v>
      </c>
      <c r="CG251"/>
      <c r="CH251"/>
      <c r="CK251" s="592" t="str">
        <f t="shared" si="118"/>
        <v/>
      </c>
      <c r="CL251" s="421" t="str">
        <f t="shared" si="119"/>
        <v/>
      </c>
      <c r="CM251" s="594"/>
      <c r="CN251" s="594"/>
      <c r="CO251" s="594"/>
      <c r="CP251" s="594"/>
      <c r="CQ251" s="594"/>
      <c r="CR251" s="594"/>
    </row>
    <row r="252" spans="1:96" s="13" customFormat="1" ht="13.75" customHeight="1">
      <c r="A252" s="137">
        <v>237</v>
      </c>
      <c r="B252" s="138"/>
      <c r="C252" s="139"/>
      <c r="D252" s="140"/>
      <c r="E252" s="139"/>
      <c r="F252" s="139"/>
      <c r="G252" s="191"/>
      <c r="H252" s="139"/>
      <c r="I252" s="141"/>
      <c r="J252" s="142"/>
      <c r="K252" s="139"/>
      <c r="L252" s="147"/>
      <c r="M252" s="148"/>
      <c r="N252" s="139"/>
      <c r="O252" s="589"/>
      <c r="P252" s="229" t="str">
        <f t="shared" si="111"/>
        <v/>
      </c>
      <c r="Q252" s="229" t="str">
        <f t="shared" si="112"/>
        <v/>
      </c>
      <c r="R252" s="230" t="str">
        <f t="shared" si="113"/>
        <v/>
      </c>
      <c r="S252" s="230" t="str">
        <f t="shared" si="114"/>
        <v/>
      </c>
      <c r="T252" s="351"/>
      <c r="U252" s="43"/>
      <c r="V252" s="42" t="str">
        <f t="shared" si="90"/>
        <v/>
      </c>
      <c r="W252" s="42" t="e">
        <f>IF(#REF!="","",#REF!)</f>
        <v>#REF!</v>
      </c>
      <c r="X252" s="31" t="str">
        <f t="shared" si="91"/>
        <v/>
      </c>
      <c r="Y252" s="7" t="e">
        <f t="shared" si="92"/>
        <v>#N/A</v>
      </c>
      <c r="Z252" s="7" t="e">
        <f t="shared" si="93"/>
        <v>#N/A</v>
      </c>
      <c r="AA252" s="7" t="e">
        <f t="shared" si="94"/>
        <v>#N/A</v>
      </c>
      <c r="AB252" s="7" t="str">
        <f t="shared" si="95"/>
        <v/>
      </c>
      <c r="AC252" s="11">
        <f t="shared" si="96"/>
        <v>1</v>
      </c>
      <c r="AD252" s="7" t="e">
        <f t="shared" si="97"/>
        <v>#N/A</v>
      </c>
      <c r="AE252" s="7" t="e">
        <f t="shared" si="98"/>
        <v>#N/A</v>
      </c>
      <c r="AF252" s="7" t="e">
        <f t="shared" si="99"/>
        <v>#N/A</v>
      </c>
      <c r="AG252" s="472" t="e">
        <f>VLOOKUP(AI252,'排出係数(2017)'!$A$4:$I$1151,9,FALSE)</f>
        <v>#N/A</v>
      </c>
      <c r="AH252" s="12" t="str">
        <f t="shared" si="100"/>
        <v xml:space="preserve"> </v>
      </c>
      <c r="AI252" s="7" t="e">
        <f t="shared" si="115"/>
        <v>#N/A</v>
      </c>
      <c r="AJ252" s="7" t="e">
        <f t="shared" si="101"/>
        <v>#N/A</v>
      </c>
      <c r="AK252" s="472" t="e">
        <f>VLOOKUP(AI252,'排出係数(2017)'!$A$4:$I$1151,6,FALSE)</f>
        <v>#N/A</v>
      </c>
      <c r="AL252" s="7" t="e">
        <f t="shared" si="102"/>
        <v>#N/A</v>
      </c>
      <c r="AM252" s="7" t="e">
        <f t="shared" si="103"/>
        <v>#N/A</v>
      </c>
      <c r="AN252" s="472" t="e">
        <f>VLOOKUP(AI252,'排出係数(2017)'!$A$4:$I$1151,7,FALSE)</f>
        <v>#N/A</v>
      </c>
      <c r="AO252" s="7" t="e">
        <f t="shared" si="104"/>
        <v>#N/A</v>
      </c>
      <c r="AP252" s="7" t="e">
        <f t="shared" si="105"/>
        <v>#N/A</v>
      </c>
      <c r="AQ252" s="7" t="e">
        <f t="shared" si="116"/>
        <v>#N/A</v>
      </c>
      <c r="AR252" s="7">
        <f t="shared" si="106"/>
        <v>0</v>
      </c>
      <c r="AS252" s="7" t="e">
        <f t="shared" si="117"/>
        <v>#N/A</v>
      </c>
      <c r="AT252" s="7" t="str">
        <f t="shared" si="107"/>
        <v/>
      </c>
      <c r="AU252" s="7" t="str">
        <f t="shared" si="108"/>
        <v/>
      </c>
      <c r="AV252" s="7" t="str">
        <f t="shared" si="109"/>
        <v/>
      </c>
      <c r="AW252" s="7" t="str">
        <f t="shared" si="110"/>
        <v/>
      </c>
      <c r="AX252" s="97"/>
      <c r="BD252" s="453" t="s">
        <v>1241</v>
      </c>
      <c r="CG252"/>
      <c r="CH252"/>
      <c r="CK252" s="592" t="str">
        <f t="shared" si="118"/>
        <v/>
      </c>
      <c r="CL252" s="421" t="str">
        <f t="shared" si="119"/>
        <v/>
      </c>
      <c r="CM252" s="594"/>
      <c r="CN252" s="594"/>
      <c r="CO252" s="594"/>
      <c r="CP252" s="594"/>
      <c r="CQ252" s="594"/>
      <c r="CR252" s="594"/>
    </row>
    <row r="253" spans="1:96" s="13" customFormat="1" ht="13.75" customHeight="1">
      <c r="A253" s="137">
        <v>238</v>
      </c>
      <c r="B253" s="138"/>
      <c r="C253" s="139"/>
      <c r="D253" s="140"/>
      <c r="E253" s="139"/>
      <c r="F253" s="139"/>
      <c r="G253" s="191"/>
      <c r="H253" s="139"/>
      <c r="I253" s="141"/>
      <c r="J253" s="142"/>
      <c r="K253" s="139"/>
      <c r="L253" s="147"/>
      <c r="M253" s="148"/>
      <c r="N253" s="139"/>
      <c r="O253" s="589"/>
      <c r="P253" s="229" t="str">
        <f t="shared" si="111"/>
        <v/>
      </c>
      <c r="Q253" s="229" t="str">
        <f t="shared" si="112"/>
        <v/>
      </c>
      <c r="R253" s="230" t="str">
        <f t="shared" si="113"/>
        <v/>
      </c>
      <c r="S253" s="230" t="str">
        <f t="shared" si="114"/>
        <v/>
      </c>
      <c r="T253" s="351"/>
      <c r="U253" s="43"/>
      <c r="V253" s="42" t="str">
        <f t="shared" si="90"/>
        <v/>
      </c>
      <c r="W253" s="42" t="e">
        <f>IF(#REF!="","",#REF!)</f>
        <v>#REF!</v>
      </c>
      <c r="X253" s="31" t="str">
        <f t="shared" si="91"/>
        <v/>
      </c>
      <c r="Y253" s="7" t="e">
        <f t="shared" si="92"/>
        <v>#N/A</v>
      </c>
      <c r="Z253" s="7" t="e">
        <f t="shared" si="93"/>
        <v>#N/A</v>
      </c>
      <c r="AA253" s="7" t="e">
        <f t="shared" si="94"/>
        <v>#N/A</v>
      </c>
      <c r="AB253" s="7" t="str">
        <f t="shared" si="95"/>
        <v/>
      </c>
      <c r="AC253" s="11">
        <f t="shared" si="96"/>
        <v>1</v>
      </c>
      <c r="AD253" s="7" t="e">
        <f t="shared" si="97"/>
        <v>#N/A</v>
      </c>
      <c r="AE253" s="7" t="e">
        <f t="shared" si="98"/>
        <v>#N/A</v>
      </c>
      <c r="AF253" s="7" t="e">
        <f t="shared" si="99"/>
        <v>#N/A</v>
      </c>
      <c r="AG253" s="472" t="e">
        <f>VLOOKUP(AI253,'排出係数(2017)'!$A$4:$I$1151,9,FALSE)</f>
        <v>#N/A</v>
      </c>
      <c r="AH253" s="12" t="str">
        <f t="shared" si="100"/>
        <v xml:space="preserve"> </v>
      </c>
      <c r="AI253" s="7" t="e">
        <f t="shared" si="115"/>
        <v>#N/A</v>
      </c>
      <c r="AJ253" s="7" t="e">
        <f t="shared" si="101"/>
        <v>#N/A</v>
      </c>
      <c r="AK253" s="472" t="e">
        <f>VLOOKUP(AI253,'排出係数(2017)'!$A$4:$I$1151,6,FALSE)</f>
        <v>#N/A</v>
      </c>
      <c r="AL253" s="7" t="e">
        <f t="shared" si="102"/>
        <v>#N/A</v>
      </c>
      <c r="AM253" s="7" t="e">
        <f t="shared" si="103"/>
        <v>#N/A</v>
      </c>
      <c r="AN253" s="472" t="e">
        <f>VLOOKUP(AI253,'排出係数(2017)'!$A$4:$I$1151,7,FALSE)</f>
        <v>#N/A</v>
      </c>
      <c r="AO253" s="7" t="e">
        <f t="shared" si="104"/>
        <v>#N/A</v>
      </c>
      <c r="AP253" s="7" t="e">
        <f t="shared" si="105"/>
        <v>#N/A</v>
      </c>
      <c r="AQ253" s="7" t="e">
        <f t="shared" si="116"/>
        <v>#N/A</v>
      </c>
      <c r="AR253" s="7">
        <f t="shared" si="106"/>
        <v>0</v>
      </c>
      <c r="AS253" s="7" t="e">
        <f t="shared" si="117"/>
        <v>#N/A</v>
      </c>
      <c r="AT253" s="7" t="str">
        <f t="shared" si="107"/>
        <v/>
      </c>
      <c r="AU253" s="7" t="str">
        <f t="shared" si="108"/>
        <v/>
      </c>
      <c r="AV253" s="7" t="str">
        <f t="shared" si="109"/>
        <v/>
      </c>
      <c r="AW253" s="7" t="str">
        <f t="shared" si="110"/>
        <v/>
      </c>
      <c r="AX253" s="97"/>
      <c r="BD253" s="453" t="s">
        <v>1526</v>
      </c>
      <c r="CG253"/>
      <c r="CH253"/>
      <c r="CK253" s="592" t="str">
        <f t="shared" si="118"/>
        <v/>
      </c>
      <c r="CL253" s="421" t="str">
        <f t="shared" si="119"/>
        <v/>
      </c>
      <c r="CM253" s="594"/>
      <c r="CN253" s="594"/>
      <c r="CO253" s="594"/>
      <c r="CP253" s="594"/>
      <c r="CQ253" s="594"/>
      <c r="CR253" s="594"/>
    </row>
    <row r="254" spans="1:96" s="13" customFormat="1" ht="13.75" customHeight="1">
      <c r="A254" s="137">
        <v>239</v>
      </c>
      <c r="B254" s="138"/>
      <c r="C254" s="139"/>
      <c r="D254" s="140"/>
      <c r="E254" s="139"/>
      <c r="F254" s="139"/>
      <c r="G254" s="191"/>
      <c r="H254" s="139"/>
      <c r="I254" s="141"/>
      <c r="J254" s="142"/>
      <c r="K254" s="139"/>
      <c r="L254" s="147"/>
      <c r="M254" s="148"/>
      <c r="N254" s="139"/>
      <c r="O254" s="589"/>
      <c r="P254" s="229" t="str">
        <f t="shared" si="111"/>
        <v/>
      </c>
      <c r="Q254" s="229" t="str">
        <f t="shared" si="112"/>
        <v/>
      </c>
      <c r="R254" s="230" t="str">
        <f t="shared" si="113"/>
        <v/>
      </c>
      <c r="S254" s="230" t="str">
        <f t="shared" si="114"/>
        <v/>
      </c>
      <c r="T254" s="351"/>
      <c r="U254" s="43"/>
      <c r="V254" s="42" t="str">
        <f t="shared" si="90"/>
        <v/>
      </c>
      <c r="W254" s="42" t="e">
        <f>IF(#REF!="","",#REF!)</f>
        <v>#REF!</v>
      </c>
      <c r="X254" s="31" t="str">
        <f t="shared" si="91"/>
        <v/>
      </c>
      <c r="Y254" s="7" t="e">
        <f t="shared" si="92"/>
        <v>#N/A</v>
      </c>
      <c r="Z254" s="7" t="e">
        <f t="shared" si="93"/>
        <v>#N/A</v>
      </c>
      <c r="AA254" s="7" t="e">
        <f t="shared" si="94"/>
        <v>#N/A</v>
      </c>
      <c r="AB254" s="7" t="str">
        <f t="shared" si="95"/>
        <v/>
      </c>
      <c r="AC254" s="11">
        <f t="shared" si="96"/>
        <v>1</v>
      </c>
      <c r="AD254" s="7" t="e">
        <f t="shared" si="97"/>
        <v>#N/A</v>
      </c>
      <c r="AE254" s="7" t="e">
        <f t="shared" si="98"/>
        <v>#N/A</v>
      </c>
      <c r="AF254" s="7" t="e">
        <f t="shared" si="99"/>
        <v>#N/A</v>
      </c>
      <c r="AG254" s="472" t="e">
        <f>VLOOKUP(AI254,'排出係数(2017)'!$A$4:$I$1151,9,FALSE)</f>
        <v>#N/A</v>
      </c>
      <c r="AH254" s="12" t="str">
        <f t="shared" si="100"/>
        <v xml:space="preserve"> </v>
      </c>
      <c r="AI254" s="7" t="e">
        <f t="shared" si="115"/>
        <v>#N/A</v>
      </c>
      <c r="AJ254" s="7" t="e">
        <f t="shared" si="101"/>
        <v>#N/A</v>
      </c>
      <c r="AK254" s="472" t="e">
        <f>VLOOKUP(AI254,'排出係数(2017)'!$A$4:$I$1151,6,FALSE)</f>
        <v>#N/A</v>
      </c>
      <c r="AL254" s="7" t="e">
        <f t="shared" si="102"/>
        <v>#N/A</v>
      </c>
      <c r="AM254" s="7" t="e">
        <f t="shared" si="103"/>
        <v>#N/A</v>
      </c>
      <c r="AN254" s="472" t="e">
        <f>VLOOKUP(AI254,'排出係数(2017)'!$A$4:$I$1151,7,FALSE)</f>
        <v>#N/A</v>
      </c>
      <c r="AO254" s="7" t="e">
        <f t="shared" si="104"/>
        <v>#N/A</v>
      </c>
      <c r="AP254" s="7" t="e">
        <f t="shared" si="105"/>
        <v>#N/A</v>
      </c>
      <c r="AQ254" s="7" t="e">
        <f t="shared" si="116"/>
        <v>#N/A</v>
      </c>
      <c r="AR254" s="7">
        <f t="shared" si="106"/>
        <v>0</v>
      </c>
      <c r="AS254" s="7" t="e">
        <f t="shared" si="117"/>
        <v>#N/A</v>
      </c>
      <c r="AT254" s="7" t="str">
        <f t="shared" si="107"/>
        <v/>
      </c>
      <c r="AU254" s="7" t="str">
        <f t="shared" si="108"/>
        <v/>
      </c>
      <c r="AV254" s="7" t="str">
        <f t="shared" si="109"/>
        <v/>
      </c>
      <c r="AW254" s="7" t="str">
        <f t="shared" si="110"/>
        <v/>
      </c>
      <c r="AX254" s="97"/>
      <c r="BD254" s="453" t="s">
        <v>1676</v>
      </c>
      <c r="CG254"/>
      <c r="CH254"/>
      <c r="CK254" s="592" t="str">
        <f t="shared" si="118"/>
        <v/>
      </c>
      <c r="CL254" s="421" t="str">
        <f t="shared" si="119"/>
        <v/>
      </c>
      <c r="CM254" s="594"/>
      <c r="CN254" s="594"/>
      <c r="CO254" s="594"/>
      <c r="CP254" s="594"/>
      <c r="CQ254" s="594"/>
      <c r="CR254" s="594"/>
    </row>
    <row r="255" spans="1:96" s="13" customFormat="1" ht="13.75" customHeight="1">
      <c r="A255" s="137">
        <v>240</v>
      </c>
      <c r="B255" s="138"/>
      <c r="C255" s="139"/>
      <c r="D255" s="140"/>
      <c r="E255" s="139"/>
      <c r="F255" s="139"/>
      <c r="G255" s="191"/>
      <c r="H255" s="139"/>
      <c r="I255" s="141"/>
      <c r="J255" s="142"/>
      <c r="K255" s="139"/>
      <c r="L255" s="147"/>
      <c r="M255" s="148"/>
      <c r="N255" s="139"/>
      <c r="O255" s="589"/>
      <c r="P255" s="229" t="str">
        <f t="shared" si="111"/>
        <v/>
      </c>
      <c r="Q255" s="229" t="str">
        <f t="shared" si="112"/>
        <v/>
      </c>
      <c r="R255" s="230" t="str">
        <f t="shared" si="113"/>
        <v/>
      </c>
      <c r="S255" s="230" t="str">
        <f t="shared" si="114"/>
        <v/>
      </c>
      <c r="T255" s="351"/>
      <c r="U255" s="43"/>
      <c r="V255" s="42" t="str">
        <f t="shared" si="90"/>
        <v/>
      </c>
      <c r="W255" s="42" t="e">
        <f>IF(#REF!="","",#REF!)</f>
        <v>#REF!</v>
      </c>
      <c r="X255" s="31" t="str">
        <f t="shared" si="91"/>
        <v/>
      </c>
      <c r="Y255" s="7" t="e">
        <f t="shared" si="92"/>
        <v>#N/A</v>
      </c>
      <c r="Z255" s="7" t="e">
        <f t="shared" si="93"/>
        <v>#N/A</v>
      </c>
      <c r="AA255" s="7" t="e">
        <f t="shared" si="94"/>
        <v>#N/A</v>
      </c>
      <c r="AB255" s="7" t="str">
        <f t="shared" si="95"/>
        <v/>
      </c>
      <c r="AC255" s="11">
        <f t="shared" si="96"/>
        <v>1</v>
      </c>
      <c r="AD255" s="7" t="e">
        <f t="shared" si="97"/>
        <v>#N/A</v>
      </c>
      <c r="AE255" s="7" t="e">
        <f t="shared" si="98"/>
        <v>#N/A</v>
      </c>
      <c r="AF255" s="7" t="e">
        <f t="shared" si="99"/>
        <v>#N/A</v>
      </c>
      <c r="AG255" s="472" t="e">
        <f>VLOOKUP(AI255,'排出係数(2017)'!$A$4:$I$1151,9,FALSE)</f>
        <v>#N/A</v>
      </c>
      <c r="AH255" s="12" t="str">
        <f t="shared" si="100"/>
        <v xml:space="preserve"> </v>
      </c>
      <c r="AI255" s="7" t="e">
        <f t="shared" si="115"/>
        <v>#N/A</v>
      </c>
      <c r="AJ255" s="7" t="e">
        <f t="shared" si="101"/>
        <v>#N/A</v>
      </c>
      <c r="AK255" s="472" t="e">
        <f>VLOOKUP(AI255,'排出係数(2017)'!$A$4:$I$1151,6,FALSE)</f>
        <v>#N/A</v>
      </c>
      <c r="AL255" s="7" t="e">
        <f t="shared" si="102"/>
        <v>#N/A</v>
      </c>
      <c r="AM255" s="7" t="e">
        <f t="shared" si="103"/>
        <v>#N/A</v>
      </c>
      <c r="AN255" s="472" t="e">
        <f>VLOOKUP(AI255,'排出係数(2017)'!$A$4:$I$1151,7,FALSE)</f>
        <v>#N/A</v>
      </c>
      <c r="AO255" s="7" t="e">
        <f t="shared" si="104"/>
        <v>#N/A</v>
      </c>
      <c r="AP255" s="7" t="e">
        <f t="shared" si="105"/>
        <v>#N/A</v>
      </c>
      <c r="AQ255" s="7" t="e">
        <f t="shared" si="116"/>
        <v>#N/A</v>
      </c>
      <c r="AR255" s="7">
        <f t="shared" si="106"/>
        <v>0</v>
      </c>
      <c r="AS255" s="7" t="e">
        <f t="shared" si="117"/>
        <v>#N/A</v>
      </c>
      <c r="AT255" s="7" t="str">
        <f t="shared" si="107"/>
        <v/>
      </c>
      <c r="AU255" s="7" t="str">
        <f t="shared" si="108"/>
        <v/>
      </c>
      <c r="AV255" s="7" t="str">
        <f t="shared" si="109"/>
        <v/>
      </c>
      <c r="AW255" s="7" t="str">
        <f t="shared" si="110"/>
        <v/>
      </c>
      <c r="AX255" s="97"/>
      <c r="BD255" s="467" t="s">
        <v>1145</v>
      </c>
      <c r="CG255"/>
      <c r="CH255"/>
      <c r="CK255" s="592" t="str">
        <f t="shared" si="118"/>
        <v/>
      </c>
      <c r="CL255" s="421" t="str">
        <f t="shared" si="119"/>
        <v/>
      </c>
      <c r="CM255" s="594"/>
      <c r="CN255" s="594"/>
      <c r="CO255" s="594"/>
      <c r="CP255" s="594"/>
      <c r="CQ255" s="594"/>
      <c r="CR255" s="594"/>
    </row>
    <row r="256" spans="1:96" s="13" customFormat="1" ht="13.75" customHeight="1">
      <c r="A256" s="137">
        <v>241</v>
      </c>
      <c r="B256" s="138"/>
      <c r="C256" s="139"/>
      <c r="D256" s="140"/>
      <c r="E256" s="139"/>
      <c r="F256" s="139"/>
      <c r="G256" s="191"/>
      <c r="H256" s="139"/>
      <c r="I256" s="141"/>
      <c r="J256" s="142"/>
      <c r="K256" s="139"/>
      <c r="L256" s="147"/>
      <c r="M256" s="148"/>
      <c r="N256" s="139"/>
      <c r="O256" s="589"/>
      <c r="P256" s="229" t="str">
        <f t="shared" si="111"/>
        <v/>
      </c>
      <c r="Q256" s="229" t="str">
        <f t="shared" si="112"/>
        <v/>
      </c>
      <c r="R256" s="230" t="str">
        <f t="shared" si="113"/>
        <v/>
      </c>
      <c r="S256" s="230" t="str">
        <f t="shared" si="114"/>
        <v/>
      </c>
      <c r="T256" s="351"/>
      <c r="U256" s="43"/>
      <c r="V256" s="42" t="str">
        <f t="shared" si="90"/>
        <v/>
      </c>
      <c r="W256" s="42" t="e">
        <f>IF(#REF!="","",#REF!)</f>
        <v>#REF!</v>
      </c>
      <c r="X256" s="31" t="str">
        <f t="shared" si="91"/>
        <v/>
      </c>
      <c r="Y256" s="7" t="e">
        <f t="shared" si="92"/>
        <v>#N/A</v>
      </c>
      <c r="Z256" s="7" t="e">
        <f t="shared" si="93"/>
        <v>#N/A</v>
      </c>
      <c r="AA256" s="7" t="e">
        <f t="shared" si="94"/>
        <v>#N/A</v>
      </c>
      <c r="AB256" s="7" t="str">
        <f t="shared" si="95"/>
        <v/>
      </c>
      <c r="AC256" s="11">
        <f t="shared" si="96"/>
        <v>1</v>
      </c>
      <c r="AD256" s="7" t="e">
        <f t="shared" si="97"/>
        <v>#N/A</v>
      </c>
      <c r="AE256" s="7" t="e">
        <f t="shared" si="98"/>
        <v>#N/A</v>
      </c>
      <c r="AF256" s="7" t="e">
        <f t="shared" si="99"/>
        <v>#N/A</v>
      </c>
      <c r="AG256" s="472" t="e">
        <f>VLOOKUP(AI256,'排出係数(2017)'!$A$4:$I$1151,9,FALSE)</f>
        <v>#N/A</v>
      </c>
      <c r="AH256" s="12" t="str">
        <f t="shared" si="100"/>
        <v xml:space="preserve"> </v>
      </c>
      <c r="AI256" s="7" t="e">
        <f t="shared" si="115"/>
        <v>#N/A</v>
      </c>
      <c r="AJ256" s="7" t="e">
        <f t="shared" si="101"/>
        <v>#N/A</v>
      </c>
      <c r="AK256" s="472" t="e">
        <f>VLOOKUP(AI256,'排出係数(2017)'!$A$4:$I$1151,6,FALSE)</f>
        <v>#N/A</v>
      </c>
      <c r="AL256" s="7" t="e">
        <f t="shared" si="102"/>
        <v>#N/A</v>
      </c>
      <c r="AM256" s="7" t="e">
        <f t="shared" si="103"/>
        <v>#N/A</v>
      </c>
      <c r="AN256" s="472" t="e">
        <f>VLOOKUP(AI256,'排出係数(2017)'!$A$4:$I$1151,7,FALSE)</f>
        <v>#N/A</v>
      </c>
      <c r="AO256" s="7" t="e">
        <f t="shared" si="104"/>
        <v>#N/A</v>
      </c>
      <c r="AP256" s="7" t="e">
        <f t="shared" si="105"/>
        <v>#N/A</v>
      </c>
      <c r="AQ256" s="7" t="e">
        <f t="shared" si="116"/>
        <v>#N/A</v>
      </c>
      <c r="AR256" s="7">
        <f t="shared" si="106"/>
        <v>0</v>
      </c>
      <c r="AS256" s="7" t="e">
        <f t="shared" si="117"/>
        <v>#N/A</v>
      </c>
      <c r="AT256" s="7" t="str">
        <f t="shared" si="107"/>
        <v/>
      </c>
      <c r="AU256" s="7" t="str">
        <f t="shared" si="108"/>
        <v/>
      </c>
      <c r="AV256" s="7" t="str">
        <f t="shared" si="109"/>
        <v/>
      </c>
      <c r="AW256" s="7" t="str">
        <f t="shared" si="110"/>
        <v/>
      </c>
      <c r="AX256" s="97"/>
      <c r="BD256" s="453" t="s">
        <v>1178</v>
      </c>
      <c r="CG256"/>
      <c r="CH256"/>
      <c r="CK256" s="592" t="str">
        <f t="shared" si="118"/>
        <v/>
      </c>
      <c r="CL256" s="421" t="str">
        <f t="shared" si="119"/>
        <v/>
      </c>
      <c r="CM256" s="594"/>
      <c r="CN256" s="594"/>
      <c r="CO256" s="594"/>
      <c r="CP256" s="594"/>
      <c r="CQ256" s="594"/>
      <c r="CR256" s="594"/>
    </row>
    <row r="257" spans="1:96" s="13" customFormat="1" ht="13.75" customHeight="1">
      <c r="A257" s="137">
        <v>242</v>
      </c>
      <c r="B257" s="138"/>
      <c r="C257" s="139"/>
      <c r="D257" s="140"/>
      <c r="E257" s="139"/>
      <c r="F257" s="139"/>
      <c r="G257" s="191"/>
      <c r="H257" s="139"/>
      <c r="I257" s="141"/>
      <c r="J257" s="142"/>
      <c r="K257" s="139"/>
      <c r="L257" s="147"/>
      <c r="M257" s="148"/>
      <c r="N257" s="139"/>
      <c r="O257" s="589"/>
      <c r="P257" s="229" t="str">
        <f t="shared" si="111"/>
        <v/>
      </c>
      <c r="Q257" s="229" t="str">
        <f t="shared" si="112"/>
        <v/>
      </c>
      <c r="R257" s="230" t="str">
        <f t="shared" si="113"/>
        <v/>
      </c>
      <c r="S257" s="230" t="str">
        <f t="shared" si="114"/>
        <v/>
      </c>
      <c r="T257" s="351"/>
      <c r="U257" s="43"/>
      <c r="V257" s="42" t="str">
        <f t="shared" si="90"/>
        <v/>
      </c>
      <c r="W257" s="42" t="e">
        <f>IF(#REF!="","",#REF!)</f>
        <v>#REF!</v>
      </c>
      <c r="X257" s="31" t="str">
        <f t="shared" si="91"/>
        <v/>
      </c>
      <c r="Y257" s="7" t="e">
        <f t="shared" si="92"/>
        <v>#N/A</v>
      </c>
      <c r="Z257" s="7" t="e">
        <f t="shared" si="93"/>
        <v>#N/A</v>
      </c>
      <c r="AA257" s="7" t="e">
        <f t="shared" si="94"/>
        <v>#N/A</v>
      </c>
      <c r="AB257" s="7" t="str">
        <f t="shared" si="95"/>
        <v/>
      </c>
      <c r="AC257" s="11">
        <f t="shared" si="96"/>
        <v>1</v>
      </c>
      <c r="AD257" s="7" t="e">
        <f t="shared" si="97"/>
        <v>#N/A</v>
      </c>
      <c r="AE257" s="7" t="e">
        <f t="shared" si="98"/>
        <v>#N/A</v>
      </c>
      <c r="AF257" s="7" t="e">
        <f t="shared" si="99"/>
        <v>#N/A</v>
      </c>
      <c r="AG257" s="472" t="e">
        <f>VLOOKUP(AI257,'排出係数(2017)'!$A$4:$I$1151,9,FALSE)</f>
        <v>#N/A</v>
      </c>
      <c r="AH257" s="12" t="str">
        <f t="shared" si="100"/>
        <v xml:space="preserve"> </v>
      </c>
      <c r="AI257" s="7" t="e">
        <f t="shared" si="115"/>
        <v>#N/A</v>
      </c>
      <c r="AJ257" s="7" t="e">
        <f t="shared" si="101"/>
        <v>#N/A</v>
      </c>
      <c r="AK257" s="472" t="e">
        <f>VLOOKUP(AI257,'排出係数(2017)'!$A$4:$I$1151,6,FALSE)</f>
        <v>#N/A</v>
      </c>
      <c r="AL257" s="7" t="e">
        <f t="shared" si="102"/>
        <v>#N/A</v>
      </c>
      <c r="AM257" s="7" t="e">
        <f t="shared" si="103"/>
        <v>#N/A</v>
      </c>
      <c r="AN257" s="472" t="e">
        <f>VLOOKUP(AI257,'排出係数(2017)'!$A$4:$I$1151,7,FALSE)</f>
        <v>#N/A</v>
      </c>
      <c r="AO257" s="7" t="e">
        <f t="shared" si="104"/>
        <v>#N/A</v>
      </c>
      <c r="AP257" s="7" t="e">
        <f t="shared" si="105"/>
        <v>#N/A</v>
      </c>
      <c r="AQ257" s="7" t="e">
        <f t="shared" si="116"/>
        <v>#N/A</v>
      </c>
      <c r="AR257" s="7">
        <f t="shared" si="106"/>
        <v>0</v>
      </c>
      <c r="AS257" s="7" t="e">
        <f t="shared" si="117"/>
        <v>#N/A</v>
      </c>
      <c r="AT257" s="7" t="str">
        <f t="shared" si="107"/>
        <v/>
      </c>
      <c r="AU257" s="7" t="str">
        <f t="shared" si="108"/>
        <v/>
      </c>
      <c r="AV257" s="7" t="str">
        <f t="shared" si="109"/>
        <v/>
      </c>
      <c r="AW257" s="7" t="str">
        <f t="shared" si="110"/>
        <v/>
      </c>
      <c r="AX257" s="97"/>
      <c r="BD257" s="453" t="s">
        <v>1239</v>
      </c>
      <c r="CG257"/>
      <c r="CH257"/>
      <c r="CK257" s="592" t="str">
        <f t="shared" si="118"/>
        <v/>
      </c>
      <c r="CL257" s="421" t="str">
        <f t="shared" si="119"/>
        <v/>
      </c>
      <c r="CM257" s="594"/>
      <c r="CN257" s="594"/>
      <c r="CO257" s="594"/>
      <c r="CP257" s="594"/>
      <c r="CQ257" s="594"/>
      <c r="CR257" s="594"/>
    </row>
    <row r="258" spans="1:96" s="13" customFormat="1" ht="13.75" customHeight="1">
      <c r="A258" s="137">
        <v>243</v>
      </c>
      <c r="B258" s="138"/>
      <c r="C258" s="139"/>
      <c r="D258" s="140"/>
      <c r="E258" s="139"/>
      <c r="F258" s="139"/>
      <c r="G258" s="191"/>
      <c r="H258" s="139"/>
      <c r="I258" s="141"/>
      <c r="J258" s="142"/>
      <c r="K258" s="139"/>
      <c r="L258" s="147"/>
      <c r="M258" s="148"/>
      <c r="N258" s="139"/>
      <c r="O258" s="589"/>
      <c r="P258" s="229" t="str">
        <f t="shared" si="111"/>
        <v/>
      </c>
      <c r="Q258" s="229" t="str">
        <f t="shared" si="112"/>
        <v/>
      </c>
      <c r="R258" s="230" t="str">
        <f t="shared" si="113"/>
        <v/>
      </c>
      <c r="S258" s="230" t="str">
        <f t="shared" si="114"/>
        <v/>
      </c>
      <c r="T258" s="351"/>
      <c r="U258" s="43"/>
      <c r="V258" s="42" t="str">
        <f t="shared" si="90"/>
        <v/>
      </c>
      <c r="W258" s="42" t="e">
        <f>IF(#REF!="","",#REF!)</f>
        <v>#REF!</v>
      </c>
      <c r="X258" s="31" t="str">
        <f t="shared" si="91"/>
        <v/>
      </c>
      <c r="Y258" s="7" t="e">
        <f t="shared" si="92"/>
        <v>#N/A</v>
      </c>
      <c r="Z258" s="7" t="e">
        <f t="shared" si="93"/>
        <v>#N/A</v>
      </c>
      <c r="AA258" s="7" t="e">
        <f t="shared" si="94"/>
        <v>#N/A</v>
      </c>
      <c r="AB258" s="7" t="str">
        <f t="shared" si="95"/>
        <v/>
      </c>
      <c r="AC258" s="11">
        <f t="shared" si="96"/>
        <v>1</v>
      </c>
      <c r="AD258" s="7" t="e">
        <f t="shared" si="97"/>
        <v>#N/A</v>
      </c>
      <c r="AE258" s="7" t="e">
        <f t="shared" si="98"/>
        <v>#N/A</v>
      </c>
      <c r="AF258" s="7" t="e">
        <f t="shared" si="99"/>
        <v>#N/A</v>
      </c>
      <c r="AG258" s="472" t="e">
        <f>VLOOKUP(AI258,'排出係数(2017)'!$A$4:$I$1151,9,FALSE)</f>
        <v>#N/A</v>
      </c>
      <c r="AH258" s="12" t="str">
        <f t="shared" si="100"/>
        <v xml:space="preserve"> </v>
      </c>
      <c r="AI258" s="7" t="e">
        <f t="shared" si="115"/>
        <v>#N/A</v>
      </c>
      <c r="AJ258" s="7" t="e">
        <f t="shared" si="101"/>
        <v>#N/A</v>
      </c>
      <c r="AK258" s="472" t="e">
        <f>VLOOKUP(AI258,'排出係数(2017)'!$A$4:$I$1151,6,FALSE)</f>
        <v>#N/A</v>
      </c>
      <c r="AL258" s="7" t="e">
        <f t="shared" si="102"/>
        <v>#N/A</v>
      </c>
      <c r="AM258" s="7" t="e">
        <f t="shared" si="103"/>
        <v>#N/A</v>
      </c>
      <c r="AN258" s="472" t="e">
        <f>VLOOKUP(AI258,'排出係数(2017)'!$A$4:$I$1151,7,FALSE)</f>
        <v>#N/A</v>
      </c>
      <c r="AO258" s="7" t="e">
        <f t="shared" si="104"/>
        <v>#N/A</v>
      </c>
      <c r="AP258" s="7" t="e">
        <f t="shared" si="105"/>
        <v>#N/A</v>
      </c>
      <c r="AQ258" s="7" t="e">
        <f t="shared" si="116"/>
        <v>#N/A</v>
      </c>
      <c r="AR258" s="7">
        <f t="shared" si="106"/>
        <v>0</v>
      </c>
      <c r="AS258" s="7" t="e">
        <f t="shared" si="117"/>
        <v>#N/A</v>
      </c>
      <c r="AT258" s="7" t="str">
        <f t="shared" si="107"/>
        <v/>
      </c>
      <c r="AU258" s="7" t="str">
        <f t="shared" si="108"/>
        <v/>
      </c>
      <c r="AV258" s="7" t="str">
        <f t="shared" si="109"/>
        <v/>
      </c>
      <c r="AW258" s="7" t="str">
        <f t="shared" si="110"/>
        <v/>
      </c>
      <c r="AX258" s="97"/>
      <c r="BD258" s="453" t="s">
        <v>1530</v>
      </c>
      <c r="CG258"/>
      <c r="CH258"/>
      <c r="CK258" s="592" t="str">
        <f t="shared" si="118"/>
        <v/>
      </c>
      <c r="CL258" s="421" t="str">
        <f t="shared" si="119"/>
        <v/>
      </c>
      <c r="CM258" s="594"/>
      <c r="CN258" s="594"/>
      <c r="CO258" s="594"/>
      <c r="CP258" s="594"/>
      <c r="CQ258" s="594"/>
      <c r="CR258" s="594"/>
    </row>
    <row r="259" spans="1:96" s="13" customFormat="1" ht="13.75" customHeight="1">
      <c r="A259" s="137">
        <v>244</v>
      </c>
      <c r="B259" s="138"/>
      <c r="C259" s="139"/>
      <c r="D259" s="140"/>
      <c r="E259" s="139"/>
      <c r="F259" s="139"/>
      <c r="G259" s="191"/>
      <c r="H259" s="139"/>
      <c r="I259" s="141"/>
      <c r="J259" s="142"/>
      <c r="K259" s="139"/>
      <c r="L259" s="147"/>
      <c r="M259" s="148"/>
      <c r="N259" s="139"/>
      <c r="O259" s="589"/>
      <c r="P259" s="229" t="str">
        <f t="shared" si="111"/>
        <v/>
      </c>
      <c r="Q259" s="229" t="str">
        <f t="shared" si="112"/>
        <v/>
      </c>
      <c r="R259" s="230" t="str">
        <f t="shared" si="113"/>
        <v/>
      </c>
      <c r="S259" s="230" t="str">
        <f t="shared" si="114"/>
        <v/>
      </c>
      <c r="T259" s="351"/>
      <c r="U259" s="43"/>
      <c r="V259" s="42" t="str">
        <f t="shared" si="90"/>
        <v/>
      </c>
      <c r="W259" s="42" t="e">
        <f>IF(#REF!="","",#REF!)</f>
        <v>#REF!</v>
      </c>
      <c r="X259" s="31" t="str">
        <f t="shared" si="91"/>
        <v/>
      </c>
      <c r="Y259" s="7" t="e">
        <f t="shared" si="92"/>
        <v>#N/A</v>
      </c>
      <c r="Z259" s="7" t="e">
        <f t="shared" si="93"/>
        <v>#N/A</v>
      </c>
      <c r="AA259" s="7" t="e">
        <f t="shared" si="94"/>
        <v>#N/A</v>
      </c>
      <c r="AB259" s="7" t="str">
        <f t="shared" si="95"/>
        <v/>
      </c>
      <c r="AC259" s="11">
        <f t="shared" si="96"/>
        <v>1</v>
      </c>
      <c r="AD259" s="7" t="e">
        <f t="shared" si="97"/>
        <v>#N/A</v>
      </c>
      <c r="AE259" s="7" t="e">
        <f t="shared" si="98"/>
        <v>#N/A</v>
      </c>
      <c r="AF259" s="7" t="e">
        <f t="shared" si="99"/>
        <v>#N/A</v>
      </c>
      <c r="AG259" s="472" t="e">
        <f>VLOOKUP(AI259,'排出係数(2017)'!$A$4:$I$1151,9,FALSE)</f>
        <v>#N/A</v>
      </c>
      <c r="AH259" s="12" t="str">
        <f t="shared" si="100"/>
        <v xml:space="preserve"> </v>
      </c>
      <c r="AI259" s="7" t="e">
        <f t="shared" si="115"/>
        <v>#N/A</v>
      </c>
      <c r="AJ259" s="7" t="e">
        <f t="shared" si="101"/>
        <v>#N/A</v>
      </c>
      <c r="AK259" s="472" t="e">
        <f>VLOOKUP(AI259,'排出係数(2017)'!$A$4:$I$1151,6,FALSE)</f>
        <v>#N/A</v>
      </c>
      <c r="AL259" s="7" t="e">
        <f t="shared" si="102"/>
        <v>#N/A</v>
      </c>
      <c r="AM259" s="7" t="e">
        <f t="shared" si="103"/>
        <v>#N/A</v>
      </c>
      <c r="AN259" s="472" t="e">
        <f>VLOOKUP(AI259,'排出係数(2017)'!$A$4:$I$1151,7,FALSE)</f>
        <v>#N/A</v>
      </c>
      <c r="AO259" s="7" t="e">
        <f t="shared" si="104"/>
        <v>#N/A</v>
      </c>
      <c r="AP259" s="7" t="e">
        <f t="shared" si="105"/>
        <v>#N/A</v>
      </c>
      <c r="AQ259" s="7" t="e">
        <f t="shared" si="116"/>
        <v>#N/A</v>
      </c>
      <c r="AR259" s="7">
        <f t="shared" si="106"/>
        <v>0</v>
      </c>
      <c r="AS259" s="7" t="e">
        <f t="shared" si="117"/>
        <v>#N/A</v>
      </c>
      <c r="AT259" s="7" t="str">
        <f t="shared" si="107"/>
        <v/>
      </c>
      <c r="AU259" s="7" t="str">
        <f t="shared" si="108"/>
        <v/>
      </c>
      <c r="AV259" s="7" t="str">
        <f t="shared" si="109"/>
        <v/>
      </c>
      <c r="AW259" s="7" t="str">
        <f t="shared" si="110"/>
        <v/>
      </c>
      <c r="AX259" s="97"/>
      <c r="BD259" s="453" t="s">
        <v>1706</v>
      </c>
      <c r="CG259"/>
      <c r="CH259"/>
      <c r="CK259" s="592" t="str">
        <f t="shared" si="118"/>
        <v/>
      </c>
      <c r="CL259" s="421" t="str">
        <f t="shared" si="119"/>
        <v/>
      </c>
      <c r="CM259" s="594"/>
      <c r="CN259" s="594"/>
      <c r="CO259" s="594"/>
      <c r="CP259" s="594"/>
      <c r="CQ259" s="594"/>
      <c r="CR259" s="594"/>
    </row>
    <row r="260" spans="1:96" s="13" customFormat="1" ht="13.75" customHeight="1">
      <c r="A260" s="137">
        <v>245</v>
      </c>
      <c r="B260" s="138"/>
      <c r="C260" s="139"/>
      <c r="D260" s="140"/>
      <c r="E260" s="139"/>
      <c r="F260" s="139"/>
      <c r="G260" s="191"/>
      <c r="H260" s="139"/>
      <c r="I260" s="141"/>
      <c r="J260" s="142"/>
      <c r="K260" s="139"/>
      <c r="L260" s="147"/>
      <c r="M260" s="148"/>
      <c r="N260" s="139"/>
      <c r="O260" s="589"/>
      <c r="P260" s="229" t="str">
        <f t="shared" si="111"/>
        <v/>
      </c>
      <c r="Q260" s="229" t="str">
        <f t="shared" si="112"/>
        <v/>
      </c>
      <c r="R260" s="230" t="str">
        <f t="shared" si="113"/>
        <v/>
      </c>
      <c r="S260" s="230" t="str">
        <f t="shared" si="114"/>
        <v/>
      </c>
      <c r="T260" s="351"/>
      <c r="U260" s="43"/>
      <c r="V260" s="42" t="str">
        <f t="shared" si="90"/>
        <v/>
      </c>
      <c r="W260" s="42" t="e">
        <f>IF(#REF!="","",#REF!)</f>
        <v>#REF!</v>
      </c>
      <c r="X260" s="31" t="str">
        <f t="shared" si="91"/>
        <v/>
      </c>
      <c r="Y260" s="7" t="e">
        <f t="shared" si="92"/>
        <v>#N/A</v>
      </c>
      <c r="Z260" s="7" t="e">
        <f t="shared" si="93"/>
        <v>#N/A</v>
      </c>
      <c r="AA260" s="7" t="e">
        <f t="shared" si="94"/>
        <v>#N/A</v>
      </c>
      <c r="AB260" s="7" t="str">
        <f t="shared" si="95"/>
        <v/>
      </c>
      <c r="AC260" s="11">
        <f t="shared" si="96"/>
        <v>1</v>
      </c>
      <c r="AD260" s="7" t="e">
        <f t="shared" si="97"/>
        <v>#N/A</v>
      </c>
      <c r="AE260" s="7" t="e">
        <f t="shared" si="98"/>
        <v>#N/A</v>
      </c>
      <c r="AF260" s="7" t="e">
        <f t="shared" si="99"/>
        <v>#N/A</v>
      </c>
      <c r="AG260" s="472" t="e">
        <f>VLOOKUP(AI260,'排出係数(2017)'!$A$4:$I$1151,9,FALSE)</f>
        <v>#N/A</v>
      </c>
      <c r="AH260" s="12" t="str">
        <f t="shared" si="100"/>
        <v xml:space="preserve"> </v>
      </c>
      <c r="AI260" s="7" t="e">
        <f t="shared" si="115"/>
        <v>#N/A</v>
      </c>
      <c r="AJ260" s="7" t="e">
        <f t="shared" si="101"/>
        <v>#N/A</v>
      </c>
      <c r="AK260" s="472" t="e">
        <f>VLOOKUP(AI260,'排出係数(2017)'!$A$4:$I$1151,6,FALSE)</f>
        <v>#N/A</v>
      </c>
      <c r="AL260" s="7" t="e">
        <f t="shared" si="102"/>
        <v>#N/A</v>
      </c>
      <c r="AM260" s="7" t="e">
        <f t="shared" si="103"/>
        <v>#N/A</v>
      </c>
      <c r="AN260" s="472" t="e">
        <f>VLOOKUP(AI260,'排出係数(2017)'!$A$4:$I$1151,7,FALSE)</f>
        <v>#N/A</v>
      </c>
      <c r="AO260" s="7" t="e">
        <f t="shared" si="104"/>
        <v>#N/A</v>
      </c>
      <c r="AP260" s="7" t="e">
        <f t="shared" si="105"/>
        <v>#N/A</v>
      </c>
      <c r="AQ260" s="7" t="e">
        <f t="shared" si="116"/>
        <v>#N/A</v>
      </c>
      <c r="AR260" s="7">
        <f t="shared" si="106"/>
        <v>0</v>
      </c>
      <c r="AS260" s="7" t="e">
        <f t="shared" si="117"/>
        <v>#N/A</v>
      </c>
      <c r="AT260" s="7" t="str">
        <f t="shared" si="107"/>
        <v/>
      </c>
      <c r="AU260" s="7" t="str">
        <f t="shared" si="108"/>
        <v/>
      </c>
      <c r="AV260" s="7" t="str">
        <f t="shared" si="109"/>
        <v/>
      </c>
      <c r="AW260" s="7" t="str">
        <f t="shared" si="110"/>
        <v/>
      </c>
      <c r="AX260" s="97"/>
      <c r="BD260" s="453" t="s">
        <v>1282</v>
      </c>
      <c r="CG260"/>
      <c r="CH260"/>
      <c r="CK260" s="592" t="str">
        <f t="shared" si="118"/>
        <v/>
      </c>
      <c r="CL260" s="421" t="str">
        <f t="shared" si="119"/>
        <v/>
      </c>
      <c r="CM260" s="594"/>
      <c r="CN260" s="594"/>
      <c r="CO260" s="594"/>
      <c r="CP260" s="594"/>
      <c r="CQ260" s="594"/>
      <c r="CR260" s="594"/>
    </row>
    <row r="261" spans="1:96" s="13" customFormat="1" ht="13.75" customHeight="1">
      <c r="A261" s="137">
        <v>246</v>
      </c>
      <c r="B261" s="138"/>
      <c r="C261" s="139"/>
      <c r="D261" s="140"/>
      <c r="E261" s="139"/>
      <c r="F261" s="139"/>
      <c r="G261" s="191"/>
      <c r="H261" s="139"/>
      <c r="I261" s="141"/>
      <c r="J261" s="142"/>
      <c r="K261" s="139"/>
      <c r="L261" s="147"/>
      <c r="M261" s="148"/>
      <c r="N261" s="139"/>
      <c r="O261" s="589"/>
      <c r="P261" s="229" t="str">
        <f t="shared" si="111"/>
        <v/>
      </c>
      <c r="Q261" s="229" t="str">
        <f t="shared" si="112"/>
        <v/>
      </c>
      <c r="R261" s="230" t="str">
        <f t="shared" si="113"/>
        <v/>
      </c>
      <c r="S261" s="230" t="str">
        <f t="shared" si="114"/>
        <v/>
      </c>
      <c r="T261" s="351"/>
      <c r="U261" s="43"/>
      <c r="V261" s="42" t="str">
        <f t="shared" si="90"/>
        <v/>
      </c>
      <c r="W261" s="42" t="e">
        <f>IF(#REF!="","",#REF!)</f>
        <v>#REF!</v>
      </c>
      <c r="X261" s="31" t="str">
        <f t="shared" si="91"/>
        <v/>
      </c>
      <c r="Y261" s="7" t="e">
        <f t="shared" si="92"/>
        <v>#N/A</v>
      </c>
      <c r="Z261" s="7" t="e">
        <f t="shared" si="93"/>
        <v>#N/A</v>
      </c>
      <c r="AA261" s="7" t="e">
        <f t="shared" si="94"/>
        <v>#N/A</v>
      </c>
      <c r="AB261" s="7" t="str">
        <f t="shared" si="95"/>
        <v/>
      </c>
      <c r="AC261" s="11">
        <f t="shared" si="96"/>
        <v>1</v>
      </c>
      <c r="AD261" s="7" t="e">
        <f t="shared" si="97"/>
        <v>#N/A</v>
      </c>
      <c r="AE261" s="7" t="e">
        <f t="shared" si="98"/>
        <v>#N/A</v>
      </c>
      <c r="AF261" s="7" t="e">
        <f t="shared" si="99"/>
        <v>#N/A</v>
      </c>
      <c r="AG261" s="472" t="e">
        <f>VLOOKUP(AI261,'排出係数(2017)'!$A$4:$I$1151,9,FALSE)</f>
        <v>#N/A</v>
      </c>
      <c r="AH261" s="12" t="str">
        <f t="shared" si="100"/>
        <v xml:space="preserve"> </v>
      </c>
      <c r="AI261" s="7" t="e">
        <f t="shared" si="115"/>
        <v>#N/A</v>
      </c>
      <c r="AJ261" s="7" t="e">
        <f t="shared" si="101"/>
        <v>#N/A</v>
      </c>
      <c r="AK261" s="472" t="e">
        <f>VLOOKUP(AI261,'排出係数(2017)'!$A$4:$I$1151,6,FALSE)</f>
        <v>#N/A</v>
      </c>
      <c r="AL261" s="7" t="e">
        <f t="shared" si="102"/>
        <v>#N/A</v>
      </c>
      <c r="AM261" s="7" t="e">
        <f t="shared" si="103"/>
        <v>#N/A</v>
      </c>
      <c r="AN261" s="472" t="e">
        <f>VLOOKUP(AI261,'排出係数(2017)'!$A$4:$I$1151,7,FALSE)</f>
        <v>#N/A</v>
      </c>
      <c r="AO261" s="7" t="e">
        <f t="shared" si="104"/>
        <v>#N/A</v>
      </c>
      <c r="AP261" s="7" t="e">
        <f t="shared" si="105"/>
        <v>#N/A</v>
      </c>
      <c r="AQ261" s="7" t="e">
        <f t="shared" si="116"/>
        <v>#N/A</v>
      </c>
      <c r="AR261" s="7">
        <f t="shared" si="106"/>
        <v>0</v>
      </c>
      <c r="AS261" s="7" t="e">
        <f t="shared" si="117"/>
        <v>#N/A</v>
      </c>
      <c r="AT261" s="7" t="str">
        <f t="shared" si="107"/>
        <v/>
      </c>
      <c r="AU261" s="7" t="str">
        <f t="shared" si="108"/>
        <v/>
      </c>
      <c r="AV261" s="7" t="str">
        <f t="shared" si="109"/>
        <v/>
      </c>
      <c r="AW261" s="7" t="str">
        <f t="shared" si="110"/>
        <v/>
      </c>
      <c r="AX261" s="97"/>
      <c r="BD261" s="467" t="s">
        <v>1313</v>
      </c>
      <c r="CG261"/>
      <c r="CH261"/>
      <c r="CK261" s="592" t="str">
        <f t="shared" si="118"/>
        <v/>
      </c>
      <c r="CL261" s="421" t="str">
        <f t="shared" si="119"/>
        <v/>
      </c>
      <c r="CM261" s="594"/>
      <c r="CN261" s="594"/>
      <c r="CO261" s="594"/>
      <c r="CP261" s="594"/>
      <c r="CQ261" s="594"/>
      <c r="CR261" s="594"/>
    </row>
    <row r="262" spans="1:96" s="13" customFormat="1" ht="13.75" customHeight="1">
      <c r="A262" s="137">
        <v>247</v>
      </c>
      <c r="B262" s="138"/>
      <c r="C262" s="139"/>
      <c r="D262" s="140"/>
      <c r="E262" s="139"/>
      <c r="F262" s="139"/>
      <c r="G262" s="191"/>
      <c r="H262" s="139"/>
      <c r="I262" s="141"/>
      <c r="J262" s="142"/>
      <c r="K262" s="139"/>
      <c r="L262" s="147"/>
      <c r="M262" s="148"/>
      <c r="N262" s="139"/>
      <c r="O262" s="589"/>
      <c r="P262" s="229" t="str">
        <f t="shared" si="111"/>
        <v/>
      </c>
      <c r="Q262" s="229" t="str">
        <f t="shared" si="112"/>
        <v/>
      </c>
      <c r="R262" s="230" t="str">
        <f t="shared" si="113"/>
        <v/>
      </c>
      <c r="S262" s="230" t="str">
        <f t="shared" si="114"/>
        <v/>
      </c>
      <c r="T262" s="351"/>
      <c r="U262" s="43"/>
      <c r="V262" s="42" t="str">
        <f t="shared" si="90"/>
        <v/>
      </c>
      <c r="W262" s="42" t="e">
        <f>IF(#REF!="","",#REF!)</f>
        <v>#REF!</v>
      </c>
      <c r="X262" s="31" t="str">
        <f t="shared" si="91"/>
        <v/>
      </c>
      <c r="Y262" s="7" t="e">
        <f t="shared" si="92"/>
        <v>#N/A</v>
      </c>
      <c r="Z262" s="7" t="e">
        <f t="shared" si="93"/>
        <v>#N/A</v>
      </c>
      <c r="AA262" s="7" t="e">
        <f t="shared" si="94"/>
        <v>#N/A</v>
      </c>
      <c r="AB262" s="7" t="str">
        <f t="shared" si="95"/>
        <v/>
      </c>
      <c r="AC262" s="11">
        <f t="shared" si="96"/>
        <v>1</v>
      </c>
      <c r="AD262" s="7" t="e">
        <f t="shared" si="97"/>
        <v>#N/A</v>
      </c>
      <c r="AE262" s="7" t="e">
        <f t="shared" si="98"/>
        <v>#N/A</v>
      </c>
      <c r="AF262" s="7" t="e">
        <f t="shared" si="99"/>
        <v>#N/A</v>
      </c>
      <c r="AG262" s="472" t="e">
        <f>VLOOKUP(AI262,'排出係数(2017)'!$A$4:$I$1151,9,FALSE)</f>
        <v>#N/A</v>
      </c>
      <c r="AH262" s="12" t="str">
        <f t="shared" si="100"/>
        <v xml:space="preserve"> </v>
      </c>
      <c r="AI262" s="7" t="e">
        <f t="shared" si="115"/>
        <v>#N/A</v>
      </c>
      <c r="AJ262" s="7" t="e">
        <f t="shared" si="101"/>
        <v>#N/A</v>
      </c>
      <c r="AK262" s="472" t="e">
        <f>VLOOKUP(AI262,'排出係数(2017)'!$A$4:$I$1151,6,FALSE)</f>
        <v>#N/A</v>
      </c>
      <c r="AL262" s="7" t="e">
        <f t="shared" si="102"/>
        <v>#N/A</v>
      </c>
      <c r="AM262" s="7" t="e">
        <f t="shared" si="103"/>
        <v>#N/A</v>
      </c>
      <c r="AN262" s="472" t="e">
        <f>VLOOKUP(AI262,'排出係数(2017)'!$A$4:$I$1151,7,FALSE)</f>
        <v>#N/A</v>
      </c>
      <c r="AO262" s="7" t="e">
        <f t="shared" si="104"/>
        <v>#N/A</v>
      </c>
      <c r="AP262" s="7" t="e">
        <f t="shared" si="105"/>
        <v>#N/A</v>
      </c>
      <c r="AQ262" s="7" t="e">
        <f t="shared" si="116"/>
        <v>#N/A</v>
      </c>
      <c r="AR262" s="7">
        <f t="shared" si="106"/>
        <v>0</v>
      </c>
      <c r="AS262" s="7" t="e">
        <f t="shared" si="117"/>
        <v>#N/A</v>
      </c>
      <c r="AT262" s="7" t="str">
        <f t="shared" si="107"/>
        <v/>
      </c>
      <c r="AU262" s="7" t="str">
        <f t="shared" si="108"/>
        <v/>
      </c>
      <c r="AV262" s="7" t="str">
        <f t="shared" si="109"/>
        <v/>
      </c>
      <c r="AW262" s="7" t="str">
        <f t="shared" si="110"/>
        <v/>
      </c>
      <c r="AX262" s="97"/>
      <c r="BD262" s="453" t="s">
        <v>1363</v>
      </c>
      <c r="CG262"/>
      <c r="CH262"/>
      <c r="CK262" s="592" t="str">
        <f t="shared" si="118"/>
        <v/>
      </c>
      <c r="CL262" s="421" t="str">
        <f t="shared" si="119"/>
        <v/>
      </c>
      <c r="CM262" s="594"/>
      <c r="CN262" s="594"/>
      <c r="CO262" s="594"/>
      <c r="CP262" s="594"/>
      <c r="CQ262" s="594"/>
      <c r="CR262" s="594"/>
    </row>
    <row r="263" spans="1:96" s="13" customFormat="1" ht="13.75" customHeight="1">
      <c r="A263" s="137">
        <v>248</v>
      </c>
      <c r="B263" s="138"/>
      <c r="C263" s="139"/>
      <c r="D263" s="140"/>
      <c r="E263" s="139"/>
      <c r="F263" s="139"/>
      <c r="G263" s="191"/>
      <c r="H263" s="139"/>
      <c r="I263" s="141"/>
      <c r="J263" s="142"/>
      <c r="K263" s="139"/>
      <c r="L263" s="147"/>
      <c r="M263" s="148"/>
      <c r="N263" s="139"/>
      <c r="O263" s="589"/>
      <c r="P263" s="229" t="str">
        <f t="shared" si="111"/>
        <v/>
      </c>
      <c r="Q263" s="229" t="str">
        <f t="shared" si="112"/>
        <v/>
      </c>
      <c r="R263" s="230" t="str">
        <f t="shared" si="113"/>
        <v/>
      </c>
      <c r="S263" s="230" t="str">
        <f t="shared" si="114"/>
        <v/>
      </c>
      <c r="T263" s="351"/>
      <c r="U263" s="43"/>
      <c r="V263" s="42" t="str">
        <f t="shared" si="90"/>
        <v/>
      </c>
      <c r="W263" s="42" t="e">
        <f>IF(#REF!="","",#REF!)</f>
        <v>#REF!</v>
      </c>
      <c r="X263" s="31" t="str">
        <f t="shared" si="91"/>
        <v/>
      </c>
      <c r="Y263" s="7" t="e">
        <f t="shared" si="92"/>
        <v>#N/A</v>
      </c>
      <c r="Z263" s="7" t="e">
        <f t="shared" si="93"/>
        <v>#N/A</v>
      </c>
      <c r="AA263" s="7" t="e">
        <f t="shared" si="94"/>
        <v>#N/A</v>
      </c>
      <c r="AB263" s="7" t="str">
        <f t="shared" si="95"/>
        <v/>
      </c>
      <c r="AC263" s="11">
        <f t="shared" si="96"/>
        <v>1</v>
      </c>
      <c r="AD263" s="7" t="e">
        <f t="shared" si="97"/>
        <v>#N/A</v>
      </c>
      <c r="AE263" s="7" t="e">
        <f t="shared" si="98"/>
        <v>#N/A</v>
      </c>
      <c r="AF263" s="7" t="e">
        <f t="shared" si="99"/>
        <v>#N/A</v>
      </c>
      <c r="AG263" s="472" t="e">
        <f>VLOOKUP(AI263,'排出係数(2017)'!$A$4:$I$1151,9,FALSE)</f>
        <v>#N/A</v>
      </c>
      <c r="AH263" s="12" t="str">
        <f t="shared" si="100"/>
        <v xml:space="preserve"> </v>
      </c>
      <c r="AI263" s="7" t="e">
        <f t="shared" si="115"/>
        <v>#N/A</v>
      </c>
      <c r="AJ263" s="7" t="e">
        <f t="shared" si="101"/>
        <v>#N/A</v>
      </c>
      <c r="AK263" s="472" t="e">
        <f>VLOOKUP(AI263,'排出係数(2017)'!$A$4:$I$1151,6,FALSE)</f>
        <v>#N/A</v>
      </c>
      <c r="AL263" s="7" t="e">
        <f t="shared" si="102"/>
        <v>#N/A</v>
      </c>
      <c r="AM263" s="7" t="e">
        <f t="shared" si="103"/>
        <v>#N/A</v>
      </c>
      <c r="AN263" s="472" t="e">
        <f>VLOOKUP(AI263,'排出係数(2017)'!$A$4:$I$1151,7,FALSE)</f>
        <v>#N/A</v>
      </c>
      <c r="AO263" s="7" t="e">
        <f t="shared" si="104"/>
        <v>#N/A</v>
      </c>
      <c r="AP263" s="7" t="e">
        <f t="shared" si="105"/>
        <v>#N/A</v>
      </c>
      <c r="AQ263" s="7" t="e">
        <f t="shared" si="116"/>
        <v>#N/A</v>
      </c>
      <c r="AR263" s="7">
        <f t="shared" si="106"/>
        <v>0</v>
      </c>
      <c r="AS263" s="7" t="e">
        <f t="shared" si="117"/>
        <v>#N/A</v>
      </c>
      <c r="AT263" s="7" t="str">
        <f t="shared" si="107"/>
        <v/>
      </c>
      <c r="AU263" s="7" t="str">
        <f t="shared" si="108"/>
        <v/>
      </c>
      <c r="AV263" s="7" t="str">
        <f t="shared" si="109"/>
        <v/>
      </c>
      <c r="AW263" s="7" t="str">
        <f t="shared" si="110"/>
        <v/>
      </c>
      <c r="AX263" s="97"/>
      <c r="BD263" s="453" t="s">
        <v>131</v>
      </c>
      <c r="CG263"/>
      <c r="CH263"/>
      <c r="CK263" s="592" t="str">
        <f t="shared" si="118"/>
        <v/>
      </c>
      <c r="CL263" s="421" t="str">
        <f t="shared" si="119"/>
        <v/>
      </c>
      <c r="CM263" s="594"/>
      <c r="CN263" s="594"/>
      <c r="CO263" s="594"/>
      <c r="CP263" s="594"/>
      <c r="CQ263" s="594"/>
      <c r="CR263" s="594"/>
    </row>
    <row r="264" spans="1:96" s="13" customFormat="1" ht="13.75" customHeight="1">
      <c r="A264" s="137">
        <v>249</v>
      </c>
      <c r="B264" s="138"/>
      <c r="C264" s="139"/>
      <c r="D264" s="140"/>
      <c r="E264" s="139"/>
      <c r="F264" s="139"/>
      <c r="G264" s="191"/>
      <c r="H264" s="139"/>
      <c r="I264" s="141"/>
      <c r="J264" s="142"/>
      <c r="K264" s="139"/>
      <c r="L264" s="147"/>
      <c r="M264" s="148"/>
      <c r="N264" s="139"/>
      <c r="O264" s="589"/>
      <c r="P264" s="229" t="str">
        <f t="shared" si="111"/>
        <v/>
      </c>
      <c r="Q264" s="229" t="str">
        <f t="shared" si="112"/>
        <v/>
      </c>
      <c r="R264" s="230" t="str">
        <f t="shared" si="113"/>
        <v/>
      </c>
      <c r="S264" s="230" t="str">
        <f t="shared" si="114"/>
        <v/>
      </c>
      <c r="T264" s="351"/>
      <c r="U264" s="43"/>
      <c r="V264" s="42" t="str">
        <f t="shared" si="90"/>
        <v/>
      </c>
      <c r="W264" s="42" t="e">
        <f>IF(#REF!="","",#REF!)</f>
        <v>#REF!</v>
      </c>
      <c r="X264" s="31" t="str">
        <f t="shared" si="91"/>
        <v/>
      </c>
      <c r="Y264" s="7" t="e">
        <f t="shared" si="92"/>
        <v>#N/A</v>
      </c>
      <c r="Z264" s="7" t="e">
        <f t="shared" si="93"/>
        <v>#N/A</v>
      </c>
      <c r="AA264" s="7" t="e">
        <f t="shared" si="94"/>
        <v>#N/A</v>
      </c>
      <c r="AB264" s="7" t="str">
        <f t="shared" si="95"/>
        <v/>
      </c>
      <c r="AC264" s="11">
        <f t="shared" si="96"/>
        <v>1</v>
      </c>
      <c r="AD264" s="7" t="e">
        <f t="shared" si="97"/>
        <v>#N/A</v>
      </c>
      <c r="AE264" s="7" t="e">
        <f t="shared" si="98"/>
        <v>#N/A</v>
      </c>
      <c r="AF264" s="7" t="e">
        <f t="shared" si="99"/>
        <v>#N/A</v>
      </c>
      <c r="AG264" s="472" t="e">
        <f>VLOOKUP(AI264,'排出係数(2017)'!$A$4:$I$1151,9,FALSE)</f>
        <v>#N/A</v>
      </c>
      <c r="AH264" s="12" t="str">
        <f t="shared" si="100"/>
        <v xml:space="preserve"> </v>
      </c>
      <c r="AI264" s="7" t="e">
        <f t="shared" si="115"/>
        <v>#N/A</v>
      </c>
      <c r="AJ264" s="7" t="e">
        <f t="shared" si="101"/>
        <v>#N/A</v>
      </c>
      <c r="AK264" s="472" t="e">
        <f>VLOOKUP(AI264,'排出係数(2017)'!$A$4:$I$1151,6,FALSE)</f>
        <v>#N/A</v>
      </c>
      <c r="AL264" s="7" t="e">
        <f t="shared" si="102"/>
        <v>#N/A</v>
      </c>
      <c r="AM264" s="7" t="e">
        <f t="shared" si="103"/>
        <v>#N/A</v>
      </c>
      <c r="AN264" s="472" t="e">
        <f>VLOOKUP(AI264,'排出係数(2017)'!$A$4:$I$1151,7,FALSE)</f>
        <v>#N/A</v>
      </c>
      <c r="AO264" s="7" t="e">
        <f t="shared" si="104"/>
        <v>#N/A</v>
      </c>
      <c r="AP264" s="7" t="e">
        <f t="shared" si="105"/>
        <v>#N/A</v>
      </c>
      <c r="AQ264" s="7" t="e">
        <f t="shared" si="116"/>
        <v>#N/A</v>
      </c>
      <c r="AR264" s="7">
        <f t="shared" si="106"/>
        <v>0</v>
      </c>
      <c r="AS264" s="7" t="e">
        <f t="shared" si="117"/>
        <v>#N/A</v>
      </c>
      <c r="AT264" s="7" t="str">
        <f t="shared" si="107"/>
        <v/>
      </c>
      <c r="AU264" s="7" t="str">
        <f t="shared" si="108"/>
        <v/>
      </c>
      <c r="AV264" s="7" t="str">
        <f t="shared" si="109"/>
        <v/>
      </c>
      <c r="AW264" s="7" t="str">
        <f t="shared" si="110"/>
        <v/>
      </c>
      <c r="AX264" s="97"/>
      <c r="BD264" s="453" t="s">
        <v>1704</v>
      </c>
      <c r="CG264"/>
      <c r="CH264"/>
      <c r="CK264" s="592" t="str">
        <f t="shared" si="118"/>
        <v/>
      </c>
      <c r="CL264" s="421" t="str">
        <f t="shared" si="119"/>
        <v/>
      </c>
      <c r="CM264" s="594"/>
      <c r="CN264" s="594"/>
      <c r="CO264" s="594"/>
      <c r="CP264" s="594"/>
      <c r="CQ264" s="594"/>
      <c r="CR264" s="594"/>
    </row>
    <row r="265" spans="1:96" s="13" customFormat="1" ht="13.75" customHeight="1">
      <c r="A265" s="137">
        <v>250</v>
      </c>
      <c r="B265" s="138"/>
      <c r="C265" s="139"/>
      <c r="D265" s="140"/>
      <c r="E265" s="139"/>
      <c r="F265" s="139"/>
      <c r="G265" s="191"/>
      <c r="H265" s="139"/>
      <c r="I265" s="141"/>
      <c r="J265" s="142"/>
      <c r="K265" s="139"/>
      <c r="L265" s="147"/>
      <c r="M265" s="148"/>
      <c r="N265" s="139"/>
      <c r="O265" s="589"/>
      <c r="P265" s="229" t="str">
        <f t="shared" si="111"/>
        <v/>
      </c>
      <c r="Q265" s="229" t="str">
        <f t="shared" si="112"/>
        <v/>
      </c>
      <c r="R265" s="230" t="str">
        <f t="shared" si="113"/>
        <v/>
      </c>
      <c r="S265" s="230" t="str">
        <f t="shared" si="114"/>
        <v/>
      </c>
      <c r="T265" s="351"/>
      <c r="U265" s="43"/>
      <c r="V265" s="42" t="str">
        <f t="shared" si="90"/>
        <v/>
      </c>
      <c r="W265" s="42" t="e">
        <f>IF(#REF!="","",#REF!)</f>
        <v>#REF!</v>
      </c>
      <c r="X265" s="31" t="str">
        <f t="shared" si="91"/>
        <v/>
      </c>
      <c r="Y265" s="7" t="e">
        <f t="shared" si="92"/>
        <v>#N/A</v>
      </c>
      <c r="Z265" s="7" t="e">
        <f t="shared" si="93"/>
        <v>#N/A</v>
      </c>
      <c r="AA265" s="7" t="e">
        <f t="shared" si="94"/>
        <v>#N/A</v>
      </c>
      <c r="AB265" s="7" t="str">
        <f t="shared" si="95"/>
        <v/>
      </c>
      <c r="AC265" s="11">
        <f t="shared" si="96"/>
        <v>1</v>
      </c>
      <c r="AD265" s="7" t="e">
        <f t="shared" si="97"/>
        <v>#N/A</v>
      </c>
      <c r="AE265" s="7" t="e">
        <f t="shared" si="98"/>
        <v>#N/A</v>
      </c>
      <c r="AF265" s="7" t="e">
        <f t="shared" si="99"/>
        <v>#N/A</v>
      </c>
      <c r="AG265" s="472" t="e">
        <f>VLOOKUP(AI265,'排出係数(2017)'!$A$4:$I$1151,9,FALSE)</f>
        <v>#N/A</v>
      </c>
      <c r="AH265" s="12" t="str">
        <f t="shared" si="100"/>
        <v xml:space="preserve"> </v>
      </c>
      <c r="AI265" s="7" t="e">
        <f t="shared" si="115"/>
        <v>#N/A</v>
      </c>
      <c r="AJ265" s="7" t="e">
        <f t="shared" si="101"/>
        <v>#N/A</v>
      </c>
      <c r="AK265" s="472" t="e">
        <f>VLOOKUP(AI265,'排出係数(2017)'!$A$4:$I$1151,6,FALSE)</f>
        <v>#N/A</v>
      </c>
      <c r="AL265" s="7" t="e">
        <f t="shared" si="102"/>
        <v>#N/A</v>
      </c>
      <c r="AM265" s="7" t="e">
        <f t="shared" si="103"/>
        <v>#N/A</v>
      </c>
      <c r="AN265" s="472" t="e">
        <f>VLOOKUP(AI265,'排出係数(2017)'!$A$4:$I$1151,7,FALSE)</f>
        <v>#N/A</v>
      </c>
      <c r="AO265" s="7" t="e">
        <f t="shared" si="104"/>
        <v>#N/A</v>
      </c>
      <c r="AP265" s="7" t="e">
        <f t="shared" si="105"/>
        <v>#N/A</v>
      </c>
      <c r="AQ265" s="7" t="e">
        <f t="shared" si="116"/>
        <v>#N/A</v>
      </c>
      <c r="AR265" s="7">
        <f t="shared" si="106"/>
        <v>0</v>
      </c>
      <c r="AS265" s="7" t="e">
        <f t="shared" si="117"/>
        <v>#N/A</v>
      </c>
      <c r="AT265" s="7" t="str">
        <f t="shared" si="107"/>
        <v/>
      </c>
      <c r="AU265" s="7" t="str">
        <f t="shared" si="108"/>
        <v/>
      </c>
      <c r="AV265" s="7" t="str">
        <f t="shared" si="109"/>
        <v/>
      </c>
      <c r="AW265" s="7" t="str">
        <f t="shared" si="110"/>
        <v/>
      </c>
      <c r="AX265" s="97"/>
      <c r="BD265" s="453" t="s">
        <v>1280</v>
      </c>
      <c r="CG265"/>
      <c r="CH265"/>
      <c r="CK265" s="592" t="str">
        <f t="shared" si="118"/>
        <v/>
      </c>
      <c r="CL265" s="421" t="str">
        <f t="shared" si="119"/>
        <v/>
      </c>
      <c r="CM265" s="594"/>
      <c r="CN265" s="594"/>
      <c r="CO265" s="594"/>
      <c r="CP265" s="594"/>
      <c r="CQ265" s="594"/>
      <c r="CR265" s="594"/>
    </row>
    <row r="266" spans="1:96" s="13" customFormat="1" ht="13.75" customHeight="1">
      <c r="A266" s="137">
        <v>251</v>
      </c>
      <c r="B266" s="138"/>
      <c r="C266" s="139"/>
      <c r="D266" s="140"/>
      <c r="E266" s="139"/>
      <c r="F266" s="139"/>
      <c r="G266" s="191"/>
      <c r="H266" s="139"/>
      <c r="I266" s="141"/>
      <c r="J266" s="142"/>
      <c r="K266" s="139"/>
      <c r="L266" s="147"/>
      <c r="M266" s="148"/>
      <c r="N266" s="139"/>
      <c r="O266" s="589"/>
      <c r="P266" s="229" t="str">
        <f t="shared" si="111"/>
        <v/>
      </c>
      <c r="Q266" s="229" t="str">
        <f t="shared" si="112"/>
        <v/>
      </c>
      <c r="R266" s="230" t="str">
        <f t="shared" si="113"/>
        <v/>
      </c>
      <c r="S266" s="230" t="str">
        <f t="shared" si="114"/>
        <v/>
      </c>
      <c r="T266" s="351"/>
      <c r="U266" s="43"/>
      <c r="V266" s="42" t="str">
        <f t="shared" si="90"/>
        <v/>
      </c>
      <c r="W266" s="42" t="e">
        <f>IF(#REF!="","",#REF!)</f>
        <v>#REF!</v>
      </c>
      <c r="X266" s="31" t="str">
        <f t="shared" si="91"/>
        <v/>
      </c>
      <c r="Y266" s="7" t="e">
        <f t="shared" si="92"/>
        <v>#N/A</v>
      </c>
      <c r="Z266" s="7" t="e">
        <f t="shared" si="93"/>
        <v>#N/A</v>
      </c>
      <c r="AA266" s="7" t="e">
        <f t="shared" si="94"/>
        <v>#N/A</v>
      </c>
      <c r="AB266" s="7" t="str">
        <f t="shared" si="95"/>
        <v/>
      </c>
      <c r="AC266" s="11">
        <f t="shared" si="96"/>
        <v>1</v>
      </c>
      <c r="AD266" s="7" t="e">
        <f t="shared" si="97"/>
        <v>#N/A</v>
      </c>
      <c r="AE266" s="7" t="e">
        <f t="shared" si="98"/>
        <v>#N/A</v>
      </c>
      <c r="AF266" s="7" t="e">
        <f t="shared" si="99"/>
        <v>#N/A</v>
      </c>
      <c r="AG266" s="472" t="e">
        <f>VLOOKUP(AI266,'排出係数(2017)'!$A$4:$I$1151,9,FALSE)</f>
        <v>#N/A</v>
      </c>
      <c r="AH266" s="12" t="str">
        <f t="shared" si="100"/>
        <v xml:space="preserve"> </v>
      </c>
      <c r="AI266" s="7" t="e">
        <f t="shared" si="115"/>
        <v>#N/A</v>
      </c>
      <c r="AJ266" s="7" t="e">
        <f t="shared" si="101"/>
        <v>#N/A</v>
      </c>
      <c r="AK266" s="472" t="e">
        <f>VLOOKUP(AI266,'排出係数(2017)'!$A$4:$I$1151,6,FALSE)</f>
        <v>#N/A</v>
      </c>
      <c r="AL266" s="7" t="e">
        <f t="shared" si="102"/>
        <v>#N/A</v>
      </c>
      <c r="AM266" s="7" t="e">
        <f t="shared" si="103"/>
        <v>#N/A</v>
      </c>
      <c r="AN266" s="472" t="e">
        <f>VLOOKUP(AI266,'排出係数(2017)'!$A$4:$I$1151,7,FALSE)</f>
        <v>#N/A</v>
      </c>
      <c r="AO266" s="7" t="e">
        <f t="shared" si="104"/>
        <v>#N/A</v>
      </c>
      <c r="AP266" s="7" t="e">
        <f t="shared" si="105"/>
        <v>#N/A</v>
      </c>
      <c r="AQ266" s="7" t="e">
        <f t="shared" si="116"/>
        <v>#N/A</v>
      </c>
      <c r="AR266" s="7">
        <f t="shared" si="106"/>
        <v>0</v>
      </c>
      <c r="AS266" s="7" t="e">
        <f t="shared" si="117"/>
        <v>#N/A</v>
      </c>
      <c r="AT266" s="7" t="str">
        <f t="shared" si="107"/>
        <v/>
      </c>
      <c r="AU266" s="7" t="str">
        <f t="shared" si="108"/>
        <v/>
      </c>
      <c r="AV266" s="7" t="str">
        <f t="shared" si="109"/>
        <v/>
      </c>
      <c r="AW266" s="7" t="str">
        <f t="shared" si="110"/>
        <v/>
      </c>
      <c r="AX266" s="97"/>
      <c r="BD266" s="453" t="s">
        <v>1311</v>
      </c>
      <c r="CG266"/>
      <c r="CH266"/>
      <c r="CK266" s="592" t="str">
        <f t="shared" si="118"/>
        <v/>
      </c>
      <c r="CL266" s="421" t="str">
        <f t="shared" si="119"/>
        <v/>
      </c>
      <c r="CM266" s="594"/>
      <c r="CN266" s="594"/>
      <c r="CO266" s="594"/>
      <c r="CP266" s="594"/>
      <c r="CQ266" s="594"/>
      <c r="CR266" s="594"/>
    </row>
    <row r="267" spans="1:96" s="13" customFormat="1" ht="13.75" customHeight="1">
      <c r="A267" s="137">
        <v>252</v>
      </c>
      <c r="B267" s="138"/>
      <c r="C267" s="139"/>
      <c r="D267" s="140"/>
      <c r="E267" s="139"/>
      <c r="F267" s="139"/>
      <c r="G267" s="191"/>
      <c r="H267" s="139"/>
      <c r="I267" s="141"/>
      <c r="J267" s="142"/>
      <c r="K267" s="139"/>
      <c r="L267" s="147"/>
      <c r="M267" s="148"/>
      <c r="N267" s="139"/>
      <c r="O267" s="589"/>
      <c r="P267" s="229" t="str">
        <f t="shared" si="111"/>
        <v/>
      </c>
      <c r="Q267" s="229" t="str">
        <f t="shared" si="112"/>
        <v/>
      </c>
      <c r="R267" s="230" t="str">
        <f t="shared" si="113"/>
        <v/>
      </c>
      <c r="S267" s="230" t="str">
        <f t="shared" si="114"/>
        <v/>
      </c>
      <c r="T267" s="351"/>
      <c r="U267" s="43"/>
      <c r="V267" s="42" t="str">
        <f t="shared" si="90"/>
        <v/>
      </c>
      <c r="W267" s="42" t="e">
        <f>IF(#REF!="","",#REF!)</f>
        <v>#REF!</v>
      </c>
      <c r="X267" s="31" t="str">
        <f t="shared" si="91"/>
        <v/>
      </c>
      <c r="Y267" s="7" t="e">
        <f t="shared" si="92"/>
        <v>#N/A</v>
      </c>
      <c r="Z267" s="7" t="e">
        <f t="shared" si="93"/>
        <v>#N/A</v>
      </c>
      <c r="AA267" s="7" t="e">
        <f t="shared" si="94"/>
        <v>#N/A</v>
      </c>
      <c r="AB267" s="7" t="str">
        <f t="shared" si="95"/>
        <v/>
      </c>
      <c r="AC267" s="11">
        <f t="shared" si="96"/>
        <v>1</v>
      </c>
      <c r="AD267" s="7" t="e">
        <f t="shared" si="97"/>
        <v>#N/A</v>
      </c>
      <c r="AE267" s="7" t="e">
        <f t="shared" si="98"/>
        <v>#N/A</v>
      </c>
      <c r="AF267" s="7" t="e">
        <f t="shared" si="99"/>
        <v>#N/A</v>
      </c>
      <c r="AG267" s="472" t="e">
        <f>VLOOKUP(AI267,'排出係数(2017)'!$A$4:$I$1151,9,FALSE)</f>
        <v>#N/A</v>
      </c>
      <c r="AH267" s="12" t="str">
        <f t="shared" si="100"/>
        <v xml:space="preserve"> </v>
      </c>
      <c r="AI267" s="7" t="e">
        <f t="shared" si="115"/>
        <v>#N/A</v>
      </c>
      <c r="AJ267" s="7" t="e">
        <f t="shared" si="101"/>
        <v>#N/A</v>
      </c>
      <c r="AK267" s="472" t="e">
        <f>VLOOKUP(AI267,'排出係数(2017)'!$A$4:$I$1151,6,FALSE)</f>
        <v>#N/A</v>
      </c>
      <c r="AL267" s="7" t="e">
        <f t="shared" si="102"/>
        <v>#N/A</v>
      </c>
      <c r="AM267" s="7" t="e">
        <f t="shared" si="103"/>
        <v>#N/A</v>
      </c>
      <c r="AN267" s="472" t="e">
        <f>VLOOKUP(AI267,'排出係数(2017)'!$A$4:$I$1151,7,FALSE)</f>
        <v>#N/A</v>
      </c>
      <c r="AO267" s="7" t="e">
        <f t="shared" si="104"/>
        <v>#N/A</v>
      </c>
      <c r="AP267" s="7" t="e">
        <f t="shared" si="105"/>
        <v>#N/A</v>
      </c>
      <c r="AQ267" s="7" t="e">
        <f t="shared" si="116"/>
        <v>#N/A</v>
      </c>
      <c r="AR267" s="7">
        <f t="shared" si="106"/>
        <v>0</v>
      </c>
      <c r="AS267" s="7" t="e">
        <f t="shared" si="117"/>
        <v>#N/A</v>
      </c>
      <c r="AT267" s="7" t="str">
        <f t="shared" si="107"/>
        <v/>
      </c>
      <c r="AU267" s="7" t="str">
        <f t="shared" si="108"/>
        <v/>
      </c>
      <c r="AV267" s="7" t="str">
        <f t="shared" si="109"/>
        <v/>
      </c>
      <c r="AW267" s="7" t="str">
        <f t="shared" si="110"/>
        <v/>
      </c>
      <c r="AX267" s="97"/>
      <c r="BD267" s="453" t="s">
        <v>1361</v>
      </c>
      <c r="CG267"/>
      <c r="CH267"/>
      <c r="CK267" s="592" t="str">
        <f t="shared" si="118"/>
        <v/>
      </c>
      <c r="CL267" s="421" t="str">
        <f t="shared" si="119"/>
        <v/>
      </c>
      <c r="CM267" s="594"/>
      <c r="CN267" s="594"/>
      <c r="CO267" s="594"/>
      <c r="CP267" s="594"/>
      <c r="CQ267" s="594"/>
      <c r="CR267" s="594"/>
    </row>
    <row r="268" spans="1:96" s="13" customFormat="1" ht="13.75" customHeight="1">
      <c r="A268" s="137">
        <v>253</v>
      </c>
      <c r="B268" s="138"/>
      <c r="C268" s="139"/>
      <c r="D268" s="140"/>
      <c r="E268" s="139"/>
      <c r="F268" s="139"/>
      <c r="G268" s="191"/>
      <c r="H268" s="139"/>
      <c r="I268" s="141"/>
      <c r="J268" s="142"/>
      <c r="K268" s="139"/>
      <c r="L268" s="147"/>
      <c r="M268" s="148"/>
      <c r="N268" s="139"/>
      <c r="O268" s="589"/>
      <c r="P268" s="229" t="str">
        <f t="shared" si="111"/>
        <v/>
      </c>
      <c r="Q268" s="229" t="str">
        <f t="shared" si="112"/>
        <v/>
      </c>
      <c r="R268" s="230" t="str">
        <f t="shared" si="113"/>
        <v/>
      </c>
      <c r="S268" s="230" t="str">
        <f t="shared" si="114"/>
        <v/>
      </c>
      <c r="T268" s="351"/>
      <c r="U268" s="43"/>
      <c r="V268" s="42" t="str">
        <f t="shared" si="90"/>
        <v/>
      </c>
      <c r="W268" s="42" t="e">
        <f>IF(#REF!="","",#REF!)</f>
        <v>#REF!</v>
      </c>
      <c r="X268" s="31" t="str">
        <f t="shared" si="91"/>
        <v/>
      </c>
      <c r="Y268" s="7" t="e">
        <f t="shared" si="92"/>
        <v>#N/A</v>
      </c>
      <c r="Z268" s="7" t="e">
        <f t="shared" si="93"/>
        <v>#N/A</v>
      </c>
      <c r="AA268" s="7" t="e">
        <f t="shared" si="94"/>
        <v>#N/A</v>
      </c>
      <c r="AB268" s="7" t="str">
        <f t="shared" si="95"/>
        <v/>
      </c>
      <c r="AC268" s="11">
        <f t="shared" si="96"/>
        <v>1</v>
      </c>
      <c r="AD268" s="7" t="e">
        <f t="shared" si="97"/>
        <v>#N/A</v>
      </c>
      <c r="AE268" s="7" t="e">
        <f t="shared" si="98"/>
        <v>#N/A</v>
      </c>
      <c r="AF268" s="7" t="e">
        <f t="shared" si="99"/>
        <v>#N/A</v>
      </c>
      <c r="AG268" s="472" t="e">
        <f>VLOOKUP(AI268,'排出係数(2017)'!$A$4:$I$1151,9,FALSE)</f>
        <v>#N/A</v>
      </c>
      <c r="AH268" s="12" t="str">
        <f t="shared" si="100"/>
        <v xml:space="preserve"> </v>
      </c>
      <c r="AI268" s="7" t="e">
        <f t="shared" si="115"/>
        <v>#N/A</v>
      </c>
      <c r="AJ268" s="7" t="e">
        <f t="shared" si="101"/>
        <v>#N/A</v>
      </c>
      <c r="AK268" s="472" t="e">
        <f>VLOOKUP(AI268,'排出係数(2017)'!$A$4:$I$1151,6,FALSE)</f>
        <v>#N/A</v>
      </c>
      <c r="AL268" s="7" t="e">
        <f t="shared" si="102"/>
        <v>#N/A</v>
      </c>
      <c r="AM268" s="7" t="e">
        <f t="shared" si="103"/>
        <v>#N/A</v>
      </c>
      <c r="AN268" s="472" t="e">
        <f>VLOOKUP(AI268,'排出係数(2017)'!$A$4:$I$1151,7,FALSE)</f>
        <v>#N/A</v>
      </c>
      <c r="AO268" s="7" t="e">
        <f t="shared" si="104"/>
        <v>#N/A</v>
      </c>
      <c r="AP268" s="7" t="e">
        <f t="shared" si="105"/>
        <v>#N/A</v>
      </c>
      <c r="AQ268" s="7" t="e">
        <f t="shared" si="116"/>
        <v>#N/A</v>
      </c>
      <c r="AR268" s="7">
        <f t="shared" si="106"/>
        <v>0</v>
      </c>
      <c r="AS268" s="7" t="e">
        <f t="shared" si="117"/>
        <v>#N/A</v>
      </c>
      <c r="AT268" s="7" t="str">
        <f t="shared" si="107"/>
        <v/>
      </c>
      <c r="AU268" s="7" t="str">
        <f t="shared" si="108"/>
        <v/>
      </c>
      <c r="AV268" s="7" t="str">
        <f t="shared" si="109"/>
        <v/>
      </c>
      <c r="AW268" s="7" t="str">
        <f t="shared" si="110"/>
        <v/>
      </c>
      <c r="AX268" s="97"/>
      <c r="BD268" s="453" t="s">
        <v>132</v>
      </c>
      <c r="CG268"/>
      <c r="CH268"/>
      <c r="CK268" s="592" t="str">
        <f t="shared" si="118"/>
        <v/>
      </c>
      <c r="CL268" s="421" t="str">
        <f t="shared" si="119"/>
        <v/>
      </c>
      <c r="CM268" s="594"/>
      <c r="CN268" s="594"/>
      <c r="CO268" s="594"/>
      <c r="CP268" s="594"/>
      <c r="CQ268" s="594"/>
      <c r="CR268" s="594"/>
    </row>
    <row r="269" spans="1:96" s="13" customFormat="1" ht="13.75" customHeight="1">
      <c r="A269" s="137">
        <v>254</v>
      </c>
      <c r="B269" s="138"/>
      <c r="C269" s="139"/>
      <c r="D269" s="140"/>
      <c r="E269" s="139"/>
      <c r="F269" s="139"/>
      <c r="G269" s="191"/>
      <c r="H269" s="139"/>
      <c r="I269" s="141"/>
      <c r="J269" s="142"/>
      <c r="K269" s="139"/>
      <c r="L269" s="147"/>
      <c r="M269" s="148"/>
      <c r="N269" s="139"/>
      <c r="O269" s="589"/>
      <c r="P269" s="229" t="str">
        <f t="shared" si="111"/>
        <v/>
      </c>
      <c r="Q269" s="229" t="str">
        <f t="shared" si="112"/>
        <v/>
      </c>
      <c r="R269" s="230" t="str">
        <f t="shared" si="113"/>
        <v/>
      </c>
      <c r="S269" s="230" t="str">
        <f t="shared" si="114"/>
        <v/>
      </c>
      <c r="T269" s="351"/>
      <c r="U269" s="43"/>
      <c r="V269" s="42" t="str">
        <f t="shared" si="90"/>
        <v/>
      </c>
      <c r="W269" s="42" t="e">
        <f>IF(#REF!="","",#REF!)</f>
        <v>#REF!</v>
      </c>
      <c r="X269" s="31" t="str">
        <f t="shared" si="91"/>
        <v/>
      </c>
      <c r="Y269" s="7" t="e">
        <f t="shared" si="92"/>
        <v>#N/A</v>
      </c>
      <c r="Z269" s="7" t="e">
        <f t="shared" si="93"/>
        <v>#N/A</v>
      </c>
      <c r="AA269" s="7" t="e">
        <f t="shared" si="94"/>
        <v>#N/A</v>
      </c>
      <c r="AB269" s="7" t="str">
        <f t="shared" si="95"/>
        <v/>
      </c>
      <c r="AC269" s="11">
        <f t="shared" si="96"/>
        <v>1</v>
      </c>
      <c r="AD269" s="7" t="e">
        <f t="shared" si="97"/>
        <v>#N/A</v>
      </c>
      <c r="AE269" s="7" t="e">
        <f t="shared" si="98"/>
        <v>#N/A</v>
      </c>
      <c r="AF269" s="7" t="e">
        <f t="shared" si="99"/>
        <v>#N/A</v>
      </c>
      <c r="AG269" s="472" t="e">
        <f>VLOOKUP(AI269,'排出係数(2017)'!$A$4:$I$1151,9,FALSE)</f>
        <v>#N/A</v>
      </c>
      <c r="AH269" s="12" t="str">
        <f t="shared" si="100"/>
        <v xml:space="preserve"> </v>
      </c>
      <c r="AI269" s="7" t="e">
        <f t="shared" si="115"/>
        <v>#N/A</v>
      </c>
      <c r="AJ269" s="7" t="e">
        <f t="shared" si="101"/>
        <v>#N/A</v>
      </c>
      <c r="AK269" s="472" t="e">
        <f>VLOOKUP(AI269,'排出係数(2017)'!$A$4:$I$1151,6,FALSE)</f>
        <v>#N/A</v>
      </c>
      <c r="AL269" s="7" t="e">
        <f t="shared" si="102"/>
        <v>#N/A</v>
      </c>
      <c r="AM269" s="7" t="e">
        <f t="shared" si="103"/>
        <v>#N/A</v>
      </c>
      <c r="AN269" s="472" t="e">
        <f>VLOOKUP(AI269,'排出係数(2017)'!$A$4:$I$1151,7,FALSE)</f>
        <v>#N/A</v>
      </c>
      <c r="AO269" s="7" t="e">
        <f t="shared" si="104"/>
        <v>#N/A</v>
      </c>
      <c r="AP269" s="7" t="e">
        <f t="shared" si="105"/>
        <v>#N/A</v>
      </c>
      <c r="AQ269" s="7" t="e">
        <f t="shared" si="116"/>
        <v>#N/A</v>
      </c>
      <c r="AR269" s="7">
        <f t="shared" si="106"/>
        <v>0</v>
      </c>
      <c r="AS269" s="7" t="e">
        <f t="shared" si="117"/>
        <v>#N/A</v>
      </c>
      <c r="AT269" s="7" t="str">
        <f t="shared" si="107"/>
        <v/>
      </c>
      <c r="AU269" s="7" t="str">
        <f t="shared" si="108"/>
        <v/>
      </c>
      <c r="AV269" s="7" t="str">
        <f t="shared" si="109"/>
        <v/>
      </c>
      <c r="AW269" s="7" t="str">
        <f t="shared" si="110"/>
        <v/>
      </c>
      <c r="AX269" s="97"/>
      <c r="BD269" s="473" t="s">
        <v>1057</v>
      </c>
      <c r="CG269"/>
      <c r="CH269"/>
      <c r="CK269" s="592" t="str">
        <f t="shared" si="118"/>
        <v/>
      </c>
      <c r="CL269" s="421" t="str">
        <f t="shared" si="119"/>
        <v/>
      </c>
      <c r="CM269" s="594"/>
      <c r="CN269" s="594"/>
      <c r="CO269" s="594"/>
      <c r="CP269" s="594"/>
      <c r="CQ269" s="594"/>
      <c r="CR269" s="594"/>
    </row>
    <row r="270" spans="1:96" s="13" customFormat="1" ht="13.75" customHeight="1">
      <c r="A270" s="137">
        <v>255</v>
      </c>
      <c r="B270" s="138"/>
      <c r="C270" s="139"/>
      <c r="D270" s="140"/>
      <c r="E270" s="139"/>
      <c r="F270" s="139"/>
      <c r="G270" s="191"/>
      <c r="H270" s="139"/>
      <c r="I270" s="141"/>
      <c r="J270" s="142"/>
      <c r="K270" s="139"/>
      <c r="L270" s="147"/>
      <c r="M270" s="148"/>
      <c r="N270" s="139"/>
      <c r="O270" s="589"/>
      <c r="P270" s="229" t="str">
        <f t="shared" si="111"/>
        <v/>
      </c>
      <c r="Q270" s="229" t="str">
        <f t="shared" si="112"/>
        <v/>
      </c>
      <c r="R270" s="230" t="str">
        <f t="shared" si="113"/>
        <v/>
      </c>
      <c r="S270" s="230" t="str">
        <f t="shared" si="114"/>
        <v/>
      </c>
      <c r="T270" s="351"/>
      <c r="U270" s="43"/>
      <c r="V270" s="42" t="str">
        <f t="shared" si="90"/>
        <v/>
      </c>
      <c r="W270" s="42" t="e">
        <f>IF(#REF!="","",#REF!)</f>
        <v>#REF!</v>
      </c>
      <c r="X270" s="31" t="str">
        <f t="shared" si="91"/>
        <v/>
      </c>
      <c r="Y270" s="7" t="e">
        <f t="shared" si="92"/>
        <v>#N/A</v>
      </c>
      <c r="Z270" s="7" t="e">
        <f t="shared" si="93"/>
        <v>#N/A</v>
      </c>
      <c r="AA270" s="7" t="e">
        <f t="shared" si="94"/>
        <v>#N/A</v>
      </c>
      <c r="AB270" s="7" t="str">
        <f t="shared" si="95"/>
        <v/>
      </c>
      <c r="AC270" s="11">
        <f t="shared" si="96"/>
        <v>1</v>
      </c>
      <c r="AD270" s="7" t="e">
        <f t="shared" si="97"/>
        <v>#N/A</v>
      </c>
      <c r="AE270" s="7" t="e">
        <f t="shared" si="98"/>
        <v>#N/A</v>
      </c>
      <c r="AF270" s="7" t="e">
        <f t="shared" si="99"/>
        <v>#N/A</v>
      </c>
      <c r="AG270" s="472" t="e">
        <f>VLOOKUP(AI270,'排出係数(2017)'!$A$4:$I$1151,9,FALSE)</f>
        <v>#N/A</v>
      </c>
      <c r="AH270" s="12" t="str">
        <f t="shared" si="100"/>
        <v xml:space="preserve"> </v>
      </c>
      <c r="AI270" s="7" t="e">
        <f t="shared" si="115"/>
        <v>#N/A</v>
      </c>
      <c r="AJ270" s="7" t="e">
        <f t="shared" si="101"/>
        <v>#N/A</v>
      </c>
      <c r="AK270" s="472" t="e">
        <f>VLOOKUP(AI270,'排出係数(2017)'!$A$4:$I$1151,6,FALSE)</f>
        <v>#N/A</v>
      </c>
      <c r="AL270" s="7" t="e">
        <f t="shared" si="102"/>
        <v>#N/A</v>
      </c>
      <c r="AM270" s="7" t="e">
        <f t="shared" si="103"/>
        <v>#N/A</v>
      </c>
      <c r="AN270" s="472" t="e">
        <f>VLOOKUP(AI270,'排出係数(2017)'!$A$4:$I$1151,7,FALSE)</f>
        <v>#N/A</v>
      </c>
      <c r="AO270" s="7" t="e">
        <f t="shared" si="104"/>
        <v>#N/A</v>
      </c>
      <c r="AP270" s="7" t="e">
        <f t="shared" si="105"/>
        <v>#N/A</v>
      </c>
      <c r="AQ270" s="7" t="e">
        <f t="shared" si="116"/>
        <v>#N/A</v>
      </c>
      <c r="AR270" s="7">
        <f t="shared" si="106"/>
        <v>0</v>
      </c>
      <c r="AS270" s="7" t="e">
        <f t="shared" si="117"/>
        <v>#N/A</v>
      </c>
      <c r="AT270" s="7" t="str">
        <f t="shared" si="107"/>
        <v/>
      </c>
      <c r="AU270" s="7" t="str">
        <f t="shared" si="108"/>
        <v/>
      </c>
      <c r="AV270" s="7" t="str">
        <f t="shared" si="109"/>
        <v/>
      </c>
      <c r="AW270" s="7" t="str">
        <f t="shared" si="110"/>
        <v/>
      </c>
      <c r="AX270" s="97"/>
      <c r="BD270" s="453" t="s">
        <v>133</v>
      </c>
      <c r="CG270"/>
      <c r="CH270"/>
      <c r="CK270" s="592" t="str">
        <f t="shared" si="118"/>
        <v/>
      </c>
      <c r="CL270" s="421" t="str">
        <f t="shared" si="119"/>
        <v/>
      </c>
      <c r="CM270" s="594"/>
      <c r="CN270" s="594"/>
      <c r="CO270" s="594"/>
      <c r="CP270" s="594"/>
      <c r="CQ270" s="594"/>
      <c r="CR270" s="594"/>
    </row>
    <row r="271" spans="1:96" s="13" customFormat="1" ht="13.75" customHeight="1">
      <c r="A271" s="137">
        <v>256</v>
      </c>
      <c r="B271" s="138"/>
      <c r="C271" s="139"/>
      <c r="D271" s="140"/>
      <c r="E271" s="139"/>
      <c r="F271" s="139"/>
      <c r="G271" s="191"/>
      <c r="H271" s="139"/>
      <c r="I271" s="141"/>
      <c r="J271" s="142"/>
      <c r="K271" s="139"/>
      <c r="L271" s="147"/>
      <c r="M271" s="148"/>
      <c r="N271" s="139"/>
      <c r="O271" s="589"/>
      <c r="P271" s="229" t="str">
        <f t="shared" si="111"/>
        <v/>
      </c>
      <c r="Q271" s="229" t="str">
        <f t="shared" si="112"/>
        <v/>
      </c>
      <c r="R271" s="230" t="str">
        <f t="shared" si="113"/>
        <v/>
      </c>
      <c r="S271" s="230" t="str">
        <f t="shared" si="114"/>
        <v/>
      </c>
      <c r="T271" s="351"/>
      <c r="U271" s="43"/>
      <c r="V271" s="42" t="str">
        <f t="shared" si="90"/>
        <v/>
      </c>
      <c r="W271" s="42" t="e">
        <f>IF(#REF!="","",#REF!)</f>
        <v>#REF!</v>
      </c>
      <c r="X271" s="31" t="str">
        <f t="shared" si="91"/>
        <v/>
      </c>
      <c r="Y271" s="7" t="e">
        <f t="shared" si="92"/>
        <v>#N/A</v>
      </c>
      <c r="Z271" s="7" t="e">
        <f t="shared" si="93"/>
        <v>#N/A</v>
      </c>
      <c r="AA271" s="7" t="e">
        <f t="shared" si="94"/>
        <v>#N/A</v>
      </c>
      <c r="AB271" s="7" t="str">
        <f t="shared" si="95"/>
        <v/>
      </c>
      <c r="AC271" s="11">
        <f t="shared" si="96"/>
        <v>1</v>
      </c>
      <c r="AD271" s="7" t="e">
        <f t="shared" si="97"/>
        <v>#N/A</v>
      </c>
      <c r="AE271" s="7" t="e">
        <f t="shared" si="98"/>
        <v>#N/A</v>
      </c>
      <c r="AF271" s="7" t="e">
        <f t="shared" si="99"/>
        <v>#N/A</v>
      </c>
      <c r="AG271" s="472" t="e">
        <f>VLOOKUP(AI271,'排出係数(2017)'!$A$4:$I$1151,9,FALSE)</f>
        <v>#N/A</v>
      </c>
      <c r="AH271" s="12" t="str">
        <f t="shared" si="100"/>
        <v xml:space="preserve"> </v>
      </c>
      <c r="AI271" s="7" t="e">
        <f t="shared" si="115"/>
        <v>#N/A</v>
      </c>
      <c r="AJ271" s="7" t="e">
        <f t="shared" si="101"/>
        <v>#N/A</v>
      </c>
      <c r="AK271" s="472" t="e">
        <f>VLOOKUP(AI271,'排出係数(2017)'!$A$4:$I$1151,6,FALSE)</f>
        <v>#N/A</v>
      </c>
      <c r="AL271" s="7" t="e">
        <f t="shared" si="102"/>
        <v>#N/A</v>
      </c>
      <c r="AM271" s="7" t="e">
        <f t="shared" si="103"/>
        <v>#N/A</v>
      </c>
      <c r="AN271" s="472" t="e">
        <f>VLOOKUP(AI271,'排出係数(2017)'!$A$4:$I$1151,7,FALSE)</f>
        <v>#N/A</v>
      </c>
      <c r="AO271" s="7" t="e">
        <f t="shared" si="104"/>
        <v>#N/A</v>
      </c>
      <c r="AP271" s="7" t="e">
        <f t="shared" si="105"/>
        <v>#N/A</v>
      </c>
      <c r="AQ271" s="7" t="e">
        <f t="shared" si="116"/>
        <v>#N/A</v>
      </c>
      <c r="AR271" s="7">
        <f t="shared" si="106"/>
        <v>0</v>
      </c>
      <c r="AS271" s="7" t="e">
        <f t="shared" si="117"/>
        <v>#N/A</v>
      </c>
      <c r="AT271" s="7" t="str">
        <f t="shared" si="107"/>
        <v/>
      </c>
      <c r="AU271" s="7" t="str">
        <f t="shared" si="108"/>
        <v/>
      </c>
      <c r="AV271" s="7" t="str">
        <f t="shared" si="109"/>
        <v/>
      </c>
      <c r="AW271" s="7" t="str">
        <f t="shared" si="110"/>
        <v/>
      </c>
      <c r="AX271" s="97"/>
      <c r="BD271" s="453" t="s">
        <v>1049</v>
      </c>
      <c r="CG271"/>
      <c r="CH271"/>
      <c r="CK271" s="592" t="str">
        <f t="shared" si="118"/>
        <v/>
      </c>
      <c r="CL271" s="421" t="str">
        <f t="shared" si="119"/>
        <v/>
      </c>
      <c r="CM271" s="594"/>
      <c r="CN271" s="594"/>
      <c r="CO271" s="594"/>
      <c r="CP271" s="594"/>
      <c r="CQ271" s="594"/>
      <c r="CR271" s="594"/>
    </row>
    <row r="272" spans="1:96" s="13" customFormat="1" ht="13.75" customHeight="1">
      <c r="A272" s="137">
        <v>257</v>
      </c>
      <c r="B272" s="138"/>
      <c r="C272" s="139"/>
      <c r="D272" s="140"/>
      <c r="E272" s="139"/>
      <c r="F272" s="139"/>
      <c r="G272" s="191"/>
      <c r="H272" s="139"/>
      <c r="I272" s="141"/>
      <c r="J272" s="142"/>
      <c r="K272" s="139"/>
      <c r="L272" s="147"/>
      <c r="M272" s="148"/>
      <c r="N272" s="139"/>
      <c r="O272" s="589"/>
      <c r="P272" s="229" t="str">
        <f t="shared" si="111"/>
        <v/>
      </c>
      <c r="Q272" s="229" t="str">
        <f t="shared" si="112"/>
        <v/>
      </c>
      <c r="R272" s="230" t="str">
        <f t="shared" si="113"/>
        <v/>
      </c>
      <c r="S272" s="230" t="str">
        <f t="shared" si="114"/>
        <v/>
      </c>
      <c r="T272" s="351"/>
      <c r="U272" s="43"/>
      <c r="V272" s="42" t="str">
        <f t="shared" ref="V272:V335" si="120">IF(O272="","",O272)</f>
        <v/>
      </c>
      <c r="W272" s="42" t="e">
        <f>IF(#REF!="","",#REF!)</f>
        <v>#REF!</v>
      </c>
      <c r="X272" s="31" t="str">
        <f t="shared" ref="X272:X335" si="121">IF(ISBLANK(H272)=TRUE,"",IF(OR(ISBLANK(B272)=TRUE),1,""))</f>
        <v/>
      </c>
      <c r="Y272" s="7" t="e">
        <f t="shared" ref="Y272:Y335" si="122">VLOOKUP(H272,$AY$17:$BB$23,2,FALSE)</f>
        <v>#N/A</v>
      </c>
      <c r="Z272" s="7" t="e">
        <f t="shared" ref="Z272:Z335" si="123">VLOOKUP(H272,$AY$17:$BB$23,3,FALSE)</f>
        <v>#N/A</v>
      </c>
      <c r="AA272" s="7" t="e">
        <f t="shared" ref="AA272:AA335" si="124">VLOOKUP(H272,$AY$17:$BB$23,4,FALSE)</f>
        <v>#N/A</v>
      </c>
      <c r="AB272" s="7" t="str">
        <f t="shared" ref="AB272:AB335" si="125">IF(ISERROR(SEARCH("-",I272,1))=TRUE,ASC(UPPER(I272)),ASC(UPPER(LEFT(I272,SEARCH("-",I272,1)-1))))</f>
        <v/>
      </c>
      <c r="AC272" s="11">
        <f t="shared" ref="AC272:AC335" si="126">IF(J272&gt;3500,J272/1000,1)</f>
        <v>1</v>
      </c>
      <c r="AD272" s="7" t="e">
        <f t="shared" ref="AD272:AD335" si="127">IF(AA272=9,0,IF(J272&lt;=1700,1,IF(J272&lt;=2500,2,IF(J272&lt;=3500,3,4))))</f>
        <v>#N/A</v>
      </c>
      <c r="AE272" s="7" t="e">
        <f t="shared" ref="AE272:AE335" si="128">IF(AA272=5,0,IF(AA272=9,0,IF(J272&lt;=1700,1,IF(J272&lt;=2500,2,IF(J272&lt;=3500,3,4)))))</f>
        <v>#N/A</v>
      </c>
      <c r="AF272" s="7" t="e">
        <f t="shared" ref="AF272:AF335" si="129">VLOOKUP(K272,$BG$17:$BH$25,2,FALSE)</f>
        <v>#N/A</v>
      </c>
      <c r="AG272" s="472" t="e">
        <f>VLOOKUP(AI272,'排出係数(2017)'!$A$4:$I$1151,9,FALSE)</f>
        <v>#N/A</v>
      </c>
      <c r="AH272" s="12" t="str">
        <f t="shared" ref="AH272:AH335" si="130">IF(OR(ISBLANK(K272)=TRUE,ISBLANK(B272)=TRUE)," ",CONCATENATE(B272,AA272,AD272))</f>
        <v xml:space="preserve"> </v>
      </c>
      <c r="AI272" s="7" t="e">
        <f t="shared" si="115"/>
        <v>#N/A</v>
      </c>
      <c r="AJ272" s="7" t="e">
        <f t="shared" ref="AJ272:AJ335" si="131">IF(AND(L272="あり",AF272="軽"),AL272,AK272)</f>
        <v>#N/A</v>
      </c>
      <c r="AK272" s="472" t="e">
        <f>VLOOKUP(AI272,'排出係数(2017)'!$A$4:$I$1151,6,FALSE)</f>
        <v>#N/A</v>
      </c>
      <c r="AL272" s="7" t="e">
        <f t="shared" ref="AL272:AL335" si="132">VLOOKUP(AE272,$BU$17:$BY$21,2,FALSE)</f>
        <v>#N/A</v>
      </c>
      <c r="AM272" s="7" t="e">
        <f t="shared" ref="AM272:AM335" si="133">IF(AND(L272="あり",M272="なし",AF272="軽"),AO272,IF(AND(L272="あり",M272="あり(H17なし)",AF272="軽"),AO272,IF(AND(L272="あり",M272="",AF272="軽"),AO272,IF(AND(L272="なし",M272="あり(H17なし)",AF272="軽"),AP272,IF(AND(L272="",M272="あり(H17なし)",AF272="軽"),AP272,IF(AND(M272="あり(H17あり)",AF272="軽"),AQ272,AN272))))))</f>
        <v>#N/A</v>
      </c>
      <c r="AN272" s="472" t="e">
        <f>VLOOKUP(AI272,'排出係数(2017)'!$A$4:$I$1151,7,FALSE)</f>
        <v>#N/A</v>
      </c>
      <c r="AO272" s="7" t="e">
        <f t="shared" ref="AO272:AO335" si="134">VLOOKUP(AE272,$BU$17:$BY$21,3,FALSE)</f>
        <v>#N/A</v>
      </c>
      <c r="AP272" s="7" t="e">
        <f t="shared" ref="AP272:AP335" si="135">VLOOKUP(AE272,$BU$17:$BY$21,4,FALSE)</f>
        <v>#N/A</v>
      </c>
      <c r="AQ272" s="7" t="e">
        <f t="shared" si="116"/>
        <v>#N/A</v>
      </c>
      <c r="AR272" s="7">
        <f t="shared" ref="AR272:AR335" si="136">IF(AND(L272="なし",M272="なし"),0,IF(AND(L272="",M272=""),0,IF(AND(L272="",M272="なし"),0,IF(AND(L272="なし",M272=""),0,1))))</f>
        <v>0</v>
      </c>
      <c r="AS272" s="7" t="e">
        <f t="shared" si="117"/>
        <v>#N/A</v>
      </c>
      <c r="AT272" s="7" t="str">
        <f t="shared" ref="AT272:AT335" si="137">IF(H272="","",VLOOKUP(H272,$AY$17:$BC$25,5,FALSE))</f>
        <v/>
      </c>
      <c r="AU272" s="7" t="str">
        <f t="shared" ref="AU272:AU335" si="138">IF(D272="","",VLOOKUP(CONCATENATE("A",LEFT(D272)),$BR$17:$BS$26,2,FALSE))</f>
        <v/>
      </c>
      <c r="AV272" s="7" t="str">
        <f t="shared" ref="AV272:AV335" si="139">IF(AT272=AU272,"",1)</f>
        <v/>
      </c>
      <c r="AW272" s="7" t="str">
        <f t="shared" ref="AW272:AW335" si="140">CONCATENATE(C272,D272,E272,F272)</f>
        <v/>
      </c>
      <c r="AX272" s="97"/>
      <c r="BD272" s="453" t="s">
        <v>134</v>
      </c>
      <c r="CG272"/>
      <c r="CH272"/>
      <c r="CK272" s="592" t="str">
        <f t="shared" si="118"/>
        <v/>
      </c>
      <c r="CL272" s="421" t="str">
        <f t="shared" si="119"/>
        <v/>
      </c>
      <c r="CM272" s="594"/>
      <c r="CN272" s="594"/>
      <c r="CO272" s="594"/>
      <c r="CP272" s="594"/>
      <c r="CQ272" s="594"/>
      <c r="CR272" s="594"/>
    </row>
    <row r="273" spans="1:96" s="13" customFormat="1" ht="13.75" customHeight="1">
      <c r="A273" s="137">
        <v>258</v>
      </c>
      <c r="B273" s="138"/>
      <c r="C273" s="139"/>
      <c r="D273" s="140"/>
      <c r="E273" s="139"/>
      <c r="F273" s="139"/>
      <c r="G273" s="191"/>
      <c r="H273" s="139"/>
      <c r="I273" s="141"/>
      <c r="J273" s="142"/>
      <c r="K273" s="139"/>
      <c r="L273" s="147"/>
      <c r="M273" s="148"/>
      <c r="N273" s="139"/>
      <c r="O273" s="589"/>
      <c r="P273" s="229" t="str">
        <f t="shared" ref="P273:P336" si="141">IF(ISBLANK(K273)=TRUE,"",IF(ISNUMBER(AJ273)=TRUE,AJ273,"0"))</f>
        <v/>
      </c>
      <c r="Q273" s="229" t="str">
        <f t="shared" ref="Q273:Q336" si="142">IF(ISBLANK(K273)=TRUE,"",IF(ISNUMBER(AM273)=TRUE,AM273,"0"))</f>
        <v/>
      </c>
      <c r="R273" s="230" t="str">
        <f t="shared" ref="R273:R336" si="143">IF(P273="","",IF(ISERROR(P273*V273*AC273),"0",IF(ISBLANK(V273)=TRUE,"0",IF(ISBLANK(P273)=TRUE,"0",IF(AV273=1,"0",P273*AC273*V273/1000)))))</f>
        <v/>
      </c>
      <c r="S273" s="230" t="str">
        <f t="shared" ref="S273:S336" si="144">IF(Q273="","",IF(ISERROR(Q273*V273*AC273),"0",IF(ISBLANK(V273)=TRUE,"0",IF(ISBLANK(Q273)=TRUE,"0",IF(AV273=1,"0",Q273*AC273*V273/1000)))))</f>
        <v/>
      </c>
      <c r="T273" s="351"/>
      <c r="U273" s="43"/>
      <c r="V273" s="42" t="str">
        <f t="shared" si="120"/>
        <v/>
      </c>
      <c r="W273" s="42" t="e">
        <f>IF(#REF!="","",#REF!)</f>
        <v>#REF!</v>
      </c>
      <c r="X273" s="31" t="str">
        <f t="shared" si="121"/>
        <v/>
      </c>
      <c r="Y273" s="7" t="e">
        <f t="shared" si="122"/>
        <v>#N/A</v>
      </c>
      <c r="Z273" s="7" t="e">
        <f t="shared" si="123"/>
        <v>#N/A</v>
      </c>
      <c r="AA273" s="7" t="e">
        <f t="shared" si="124"/>
        <v>#N/A</v>
      </c>
      <c r="AB273" s="7" t="str">
        <f t="shared" si="125"/>
        <v/>
      </c>
      <c r="AC273" s="11">
        <f t="shared" si="126"/>
        <v>1</v>
      </c>
      <c r="AD273" s="7" t="e">
        <f t="shared" si="127"/>
        <v>#N/A</v>
      </c>
      <c r="AE273" s="7" t="e">
        <f t="shared" si="128"/>
        <v>#N/A</v>
      </c>
      <c r="AF273" s="7" t="e">
        <f t="shared" si="129"/>
        <v>#N/A</v>
      </c>
      <c r="AG273" s="472" t="e">
        <f>VLOOKUP(AI273,'排出係数(2017)'!$A$4:$I$1151,9,FALSE)</f>
        <v>#N/A</v>
      </c>
      <c r="AH273" s="12" t="str">
        <f t="shared" si="130"/>
        <v xml:space="preserve"> </v>
      </c>
      <c r="AI273" s="7" t="e">
        <f t="shared" ref="AI273:AI336" si="145">CONCATENATE(Y273,AE273,AF273,AB273)</f>
        <v>#N/A</v>
      </c>
      <c r="AJ273" s="7" t="e">
        <f t="shared" si="131"/>
        <v>#N/A</v>
      </c>
      <c r="AK273" s="472" t="e">
        <f>VLOOKUP(AI273,'排出係数(2017)'!$A$4:$I$1151,6,FALSE)</f>
        <v>#N/A</v>
      </c>
      <c r="AL273" s="7" t="e">
        <f t="shared" si="132"/>
        <v>#N/A</v>
      </c>
      <c r="AM273" s="7" t="e">
        <f t="shared" si="133"/>
        <v>#N/A</v>
      </c>
      <c r="AN273" s="472" t="e">
        <f>VLOOKUP(AI273,'排出係数(2017)'!$A$4:$I$1151,7,FALSE)</f>
        <v>#N/A</v>
      </c>
      <c r="AO273" s="7" t="e">
        <f t="shared" si="134"/>
        <v>#N/A</v>
      </c>
      <c r="AP273" s="7" t="e">
        <f t="shared" si="135"/>
        <v>#N/A</v>
      </c>
      <c r="AQ273" s="7" t="e">
        <f t="shared" ref="AQ273:AQ336" si="146">VLOOKUP(AE273,$BU$17:$BY$21,5,FALSE)</f>
        <v>#N/A</v>
      </c>
      <c r="AR273" s="7">
        <f t="shared" si="136"/>
        <v>0</v>
      </c>
      <c r="AS273" s="7" t="e">
        <f t="shared" ref="AS273:AS336" si="147">VLOOKUP(AI273,排出係数表,8,FALSE)</f>
        <v>#N/A</v>
      </c>
      <c r="AT273" s="7" t="str">
        <f t="shared" si="137"/>
        <v/>
      </c>
      <c r="AU273" s="7" t="str">
        <f t="shared" si="138"/>
        <v/>
      </c>
      <c r="AV273" s="7" t="str">
        <f t="shared" si="139"/>
        <v/>
      </c>
      <c r="AW273" s="7" t="str">
        <f t="shared" si="140"/>
        <v/>
      </c>
      <c r="AX273" s="97"/>
      <c r="BD273" s="453" t="s">
        <v>1420</v>
      </c>
      <c r="CG273"/>
      <c r="CH273"/>
      <c r="CK273" s="592" t="str">
        <f t="shared" ref="CK273:CK336" si="148">IF(COUNTA(B273:F273,H273:K273)&gt;0,IF(OR(ISNUMBER(AK273)=FALSE,ISNUMBER(AN273)=FALSE,COUNTA(B273:F273,H273:K273)&lt;9),"×","〇"),"")</f>
        <v/>
      </c>
      <c r="CL273" s="421" t="str">
        <f t="shared" ref="CL273:CL336" si="149">IF(T273="廃止","※前年度に「廃止」報告をした自動車はその行を空白にしてください。",IF(T273="新規かつ廃止","※「新規」と「廃止」の両方に該当する自動車かご確認ください。",""))</f>
        <v/>
      </c>
      <c r="CM273" s="594"/>
      <c r="CN273" s="594"/>
      <c r="CO273" s="594"/>
      <c r="CP273" s="594"/>
      <c r="CQ273" s="594"/>
      <c r="CR273" s="594"/>
    </row>
    <row r="274" spans="1:96" s="13" customFormat="1" ht="13.75" customHeight="1">
      <c r="A274" s="137">
        <v>259</v>
      </c>
      <c r="B274" s="138"/>
      <c r="C274" s="139"/>
      <c r="D274" s="140"/>
      <c r="E274" s="139"/>
      <c r="F274" s="139"/>
      <c r="G274" s="191"/>
      <c r="H274" s="139"/>
      <c r="I274" s="141"/>
      <c r="J274" s="142"/>
      <c r="K274" s="139"/>
      <c r="L274" s="147"/>
      <c r="M274" s="148"/>
      <c r="N274" s="139"/>
      <c r="O274" s="589"/>
      <c r="P274" s="229" t="str">
        <f t="shared" si="141"/>
        <v/>
      </c>
      <c r="Q274" s="229" t="str">
        <f t="shared" si="142"/>
        <v/>
      </c>
      <c r="R274" s="230" t="str">
        <f t="shared" si="143"/>
        <v/>
      </c>
      <c r="S274" s="230" t="str">
        <f t="shared" si="144"/>
        <v/>
      </c>
      <c r="T274" s="351"/>
      <c r="U274" s="43"/>
      <c r="V274" s="42" t="str">
        <f t="shared" si="120"/>
        <v/>
      </c>
      <c r="W274" s="42" t="e">
        <f>IF(#REF!="","",#REF!)</f>
        <v>#REF!</v>
      </c>
      <c r="X274" s="31" t="str">
        <f t="shared" si="121"/>
        <v/>
      </c>
      <c r="Y274" s="7" t="e">
        <f t="shared" si="122"/>
        <v>#N/A</v>
      </c>
      <c r="Z274" s="7" t="e">
        <f t="shared" si="123"/>
        <v>#N/A</v>
      </c>
      <c r="AA274" s="7" t="e">
        <f t="shared" si="124"/>
        <v>#N/A</v>
      </c>
      <c r="AB274" s="7" t="str">
        <f t="shared" si="125"/>
        <v/>
      </c>
      <c r="AC274" s="11">
        <f t="shared" si="126"/>
        <v>1</v>
      </c>
      <c r="AD274" s="7" t="e">
        <f t="shared" si="127"/>
        <v>#N/A</v>
      </c>
      <c r="AE274" s="7" t="e">
        <f t="shared" si="128"/>
        <v>#N/A</v>
      </c>
      <c r="AF274" s="7" t="e">
        <f t="shared" si="129"/>
        <v>#N/A</v>
      </c>
      <c r="AG274" s="472" t="e">
        <f>VLOOKUP(AI274,'排出係数(2017)'!$A$4:$I$1151,9,FALSE)</f>
        <v>#N/A</v>
      </c>
      <c r="AH274" s="12" t="str">
        <f t="shared" si="130"/>
        <v xml:space="preserve"> </v>
      </c>
      <c r="AI274" s="7" t="e">
        <f t="shared" si="145"/>
        <v>#N/A</v>
      </c>
      <c r="AJ274" s="7" t="e">
        <f t="shared" si="131"/>
        <v>#N/A</v>
      </c>
      <c r="AK274" s="472" t="e">
        <f>VLOOKUP(AI274,'排出係数(2017)'!$A$4:$I$1151,6,FALSE)</f>
        <v>#N/A</v>
      </c>
      <c r="AL274" s="7" t="e">
        <f t="shared" si="132"/>
        <v>#N/A</v>
      </c>
      <c r="AM274" s="7" t="e">
        <f t="shared" si="133"/>
        <v>#N/A</v>
      </c>
      <c r="AN274" s="472" t="e">
        <f>VLOOKUP(AI274,'排出係数(2017)'!$A$4:$I$1151,7,FALSE)</f>
        <v>#N/A</v>
      </c>
      <c r="AO274" s="7" t="e">
        <f t="shared" si="134"/>
        <v>#N/A</v>
      </c>
      <c r="AP274" s="7" t="e">
        <f t="shared" si="135"/>
        <v>#N/A</v>
      </c>
      <c r="AQ274" s="7" t="e">
        <f t="shared" si="146"/>
        <v>#N/A</v>
      </c>
      <c r="AR274" s="7">
        <f t="shared" si="136"/>
        <v>0</v>
      </c>
      <c r="AS274" s="7" t="e">
        <f t="shared" si="147"/>
        <v>#N/A</v>
      </c>
      <c r="AT274" s="7" t="str">
        <f t="shared" si="137"/>
        <v/>
      </c>
      <c r="AU274" s="7" t="str">
        <f t="shared" si="138"/>
        <v/>
      </c>
      <c r="AV274" s="7" t="str">
        <f t="shared" si="139"/>
        <v/>
      </c>
      <c r="AW274" s="7" t="str">
        <f t="shared" si="140"/>
        <v/>
      </c>
      <c r="AX274" s="97"/>
      <c r="BD274" s="474" t="s">
        <v>2523</v>
      </c>
      <c r="CG274"/>
      <c r="CH274"/>
      <c r="CK274" s="592" t="str">
        <f t="shared" si="148"/>
        <v/>
      </c>
      <c r="CL274" s="421" t="str">
        <f t="shared" si="149"/>
        <v/>
      </c>
      <c r="CM274" s="594"/>
      <c r="CN274" s="594"/>
      <c r="CO274" s="594"/>
      <c r="CP274" s="594"/>
      <c r="CQ274" s="594"/>
      <c r="CR274" s="594"/>
    </row>
    <row r="275" spans="1:96" s="13" customFormat="1" ht="13.75" customHeight="1">
      <c r="A275" s="137">
        <v>260</v>
      </c>
      <c r="B275" s="138"/>
      <c r="C275" s="139"/>
      <c r="D275" s="140"/>
      <c r="E275" s="139"/>
      <c r="F275" s="139"/>
      <c r="G275" s="191"/>
      <c r="H275" s="139"/>
      <c r="I275" s="141"/>
      <c r="J275" s="142"/>
      <c r="K275" s="139"/>
      <c r="L275" s="147"/>
      <c r="M275" s="148"/>
      <c r="N275" s="139"/>
      <c r="O275" s="589"/>
      <c r="P275" s="229" t="str">
        <f t="shared" si="141"/>
        <v/>
      </c>
      <c r="Q275" s="229" t="str">
        <f t="shared" si="142"/>
        <v/>
      </c>
      <c r="R275" s="230" t="str">
        <f t="shared" si="143"/>
        <v/>
      </c>
      <c r="S275" s="230" t="str">
        <f t="shared" si="144"/>
        <v/>
      </c>
      <c r="T275" s="351"/>
      <c r="U275" s="43"/>
      <c r="V275" s="42" t="str">
        <f t="shared" si="120"/>
        <v/>
      </c>
      <c r="W275" s="42" t="e">
        <f>IF(#REF!="","",#REF!)</f>
        <v>#REF!</v>
      </c>
      <c r="X275" s="31" t="str">
        <f t="shared" si="121"/>
        <v/>
      </c>
      <c r="Y275" s="7" t="e">
        <f t="shared" si="122"/>
        <v>#N/A</v>
      </c>
      <c r="Z275" s="7" t="e">
        <f t="shared" si="123"/>
        <v>#N/A</v>
      </c>
      <c r="AA275" s="7" t="e">
        <f t="shared" si="124"/>
        <v>#N/A</v>
      </c>
      <c r="AB275" s="7" t="str">
        <f t="shared" si="125"/>
        <v/>
      </c>
      <c r="AC275" s="11">
        <f t="shared" si="126"/>
        <v>1</v>
      </c>
      <c r="AD275" s="7" t="e">
        <f t="shared" si="127"/>
        <v>#N/A</v>
      </c>
      <c r="AE275" s="7" t="e">
        <f t="shared" si="128"/>
        <v>#N/A</v>
      </c>
      <c r="AF275" s="7" t="e">
        <f t="shared" si="129"/>
        <v>#N/A</v>
      </c>
      <c r="AG275" s="472" t="e">
        <f>VLOOKUP(AI275,'排出係数(2017)'!$A$4:$I$1151,9,FALSE)</f>
        <v>#N/A</v>
      </c>
      <c r="AH275" s="12" t="str">
        <f t="shared" si="130"/>
        <v xml:space="preserve"> </v>
      </c>
      <c r="AI275" s="7" t="e">
        <f t="shared" si="145"/>
        <v>#N/A</v>
      </c>
      <c r="AJ275" s="7" t="e">
        <f t="shared" si="131"/>
        <v>#N/A</v>
      </c>
      <c r="AK275" s="472" t="e">
        <f>VLOOKUP(AI275,'排出係数(2017)'!$A$4:$I$1151,6,FALSE)</f>
        <v>#N/A</v>
      </c>
      <c r="AL275" s="7" t="e">
        <f t="shared" si="132"/>
        <v>#N/A</v>
      </c>
      <c r="AM275" s="7" t="e">
        <f t="shared" si="133"/>
        <v>#N/A</v>
      </c>
      <c r="AN275" s="472" t="e">
        <f>VLOOKUP(AI275,'排出係数(2017)'!$A$4:$I$1151,7,FALSE)</f>
        <v>#N/A</v>
      </c>
      <c r="AO275" s="7" t="e">
        <f t="shared" si="134"/>
        <v>#N/A</v>
      </c>
      <c r="AP275" s="7" t="e">
        <f t="shared" si="135"/>
        <v>#N/A</v>
      </c>
      <c r="AQ275" s="7" t="e">
        <f t="shared" si="146"/>
        <v>#N/A</v>
      </c>
      <c r="AR275" s="7">
        <f t="shared" si="136"/>
        <v>0</v>
      </c>
      <c r="AS275" s="7" t="e">
        <f t="shared" si="147"/>
        <v>#N/A</v>
      </c>
      <c r="AT275" s="7" t="str">
        <f t="shared" si="137"/>
        <v/>
      </c>
      <c r="AU275" s="7" t="str">
        <f t="shared" si="138"/>
        <v/>
      </c>
      <c r="AV275" s="7" t="str">
        <f t="shared" si="139"/>
        <v/>
      </c>
      <c r="AW275" s="7" t="str">
        <f t="shared" si="140"/>
        <v/>
      </c>
      <c r="AX275" s="97"/>
      <c r="BD275" s="453" t="s">
        <v>2524</v>
      </c>
      <c r="CG275"/>
      <c r="CH275"/>
      <c r="CK275" s="592" t="str">
        <f t="shared" si="148"/>
        <v/>
      </c>
      <c r="CL275" s="421" t="str">
        <f t="shared" si="149"/>
        <v/>
      </c>
      <c r="CM275" s="594"/>
      <c r="CN275" s="594"/>
      <c r="CO275" s="594"/>
      <c r="CP275" s="594"/>
      <c r="CQ275" s="594"/>
      <c r="CR275" s="594"/>
    </row>
    <row r="276" spans="1:96" s="13" customFormat="1" ht="13.75" customHeight="1">
      <c r="A276" s="137">
        <v>261</v>
      </c>
      <c r="B276" s="138"/>
      <c r="C276" s="139"/>
      <c r="D276" s="140"/>
      <c r="E276" s="139"/>
      <c r="F276" s="139"/>
      <c r="G276" s="191"/>
      <c r="H276" s="139"/>
      <c r="I276" s="141"/>
      <c r="J276" s="142"/>
      <c r="K276" s="139"/>
      <c r="L276" s="147"/>
      <c r="M276" s="148"/>
      <c r="N276" s="139"/>
      <c r="O276" s="589"/>
      <c r="P276" s="229" t="str">
        <f t="shared" si="141"/>
        <v/>
      </c>
      <c r="Q276" s="229" t="str">
        <f t="shared" si="142"/>
        <v/>
      </c>
      <c r="R276" s="230" t="str">
        <f t="shared" si="143"/>
        <v/>
      </c>
      <c r="S276" s="230" t="str">
        <f t="shared" si="144"/>
        <v/>
      </c>
      <c r="T276" s="351"/>
      <c r="U276" s="43"/>
      <c r="V276" s="42" t="str">
        <f t="shared" si="120"/>
        <v/>
      </c>
      <c r="W276" s="42" t="e">
        <f>IF(#REF!="","",#REF!)</f>
        <v>#REF!</v>
      </c>
      <c r="X276" s="31" t="str">
        <f t="shared" si="121"/>
        <v/>
      </c>
      <c r="Y276" s="7" t="e">
        <f t="shared" si="122"/>
        <v>#N/A</v>
      </c>
      <c r="Z276" s="7" t="e">
        <f t="shared" si="123"/>
        <v>#N/A</v>
      </c>
      <c r="AA276" s="7" t="e">
        <f t="shared" si="124"/>
        <v>#N/A</v>
      </c>
      <c r="AB276" s="7" t="str">
        <f t="shared" si="125"/>
        <v/>
      </c>
      <c r="AC276" s="11">
        <f t="shared" si="126"/>
        <v>1</v>
      </c>
      <c r="AD276" s="7" t="e">
        <f t="shared" si="127"/>
        <v>#N/A</v>
      </c>
      <c r="AE276" s="7" t="e">
        <f t="shared" si="128"/>
        <v>#N/A</v>
      </c>
      <c r="AF276" s="7" t="e">
        <f t="shared" si="129"/>
        <v>#N/A</v>
      </c>
      <c r="AG276" s="472" t="e">
        <f>VLOOKUP(AI276,'排出係数(2017)'!$A$4:$I$1151,9,FALSE)</f>
        <v>#N/A</v>
      </c>
      <c r="AH276" s="12" t="str">
        <f t="shared" si="130"/>
        <v xml:space="preserve"> </v>
      </c>
      <c r="AI276" s="7" t="e">
        <f t="shared" si="145"/>
        <v>#N/A</v>
      </c>
      <c r="AJ276" s="7" t="e">
        <f t="shared" si="131"/>
        <v>#N/A</v>
      </c>
      <c r="AK276" s="472" t="e">
        <f>VLOOKUP(AI276,'排出係数(2017)'!$A$4:$I$1151,6,FALSE)</f>
        <v>#N/A</v>
      </c>
      <c r="AL276" s="7" t="e">
        <f t="shared" si="132"/>
        <v>#N/A</v>
      </c>
      <c r="AM276" s="7" t="e">
        <f t="shared" si="133"/>
        <v>#N/A</v>
      </c>
      <c r="AN276" s="472" t="e">
        <f>VLOOKUP(AI276,'排出係数(2017)'!$A$4:$I$1151,7,FALSE)</f>
        <v>#N/A</v>
      </c>
      <c r="AO276" s="7" t="e">
        <f t="shared" si="134"/>
        <v>#N/A</v>
      </c>
      <c r="AP276" s="7" t="e">
        <f t="shared" si="135"/>
        <v>#N/A</v>
      </c>
      <c r="AQ276" s="7" t="e">
        <f t="shared" si="146"/>
        <v>#N/A</v>
      </c>
      <c r="AR276" s="7">
        <f t="shared" si="136"/>
        <v>0</v>
      </c>
      <c r="AS276" s="7" t="e">
        <f t="shared" si="147"/>
        <v>#N/A</v>
      </c>
      <c r="AT276" s="7" t="str">
        <f t="shared" si="137"/>
        <v/>
      </c>
      <c r="AU276" s="7" t="str">
        <f t="shared" si="138"/>
        <v/>
      </c>
      <c r="AV276" s="7" t="str">
        <f t="shared" si="139"/>
        <v/>
      </c>
      <c r="AW276" s="7" t="str">
        <f t="shared" si="140"/>
        <v/>
      </c>
      <c r="AX276" s="97"/>
      <c r="BD276" s="453" t="s">
        <v>2525</v>
      </c>
      <c r="CG276"/>
      <c r="CH276"/>
      <c r="CK276" s="592" t="str">
        <f t="shared" si="148"/>
        <v/>
      </c>
      <c r="CL276" s="421" t="str">
        <f t="shared" si="149"/>
        <v/>
      </c>
      <c r="CM276" s="594"/>
      <c r="CN276" s="594"/>
      <c r="CO276" s="594"/>
      <c r="CP276" s="594"/>
      <c r="CQ276" s="594"/>
      <c r="CR276" s="594"/>
    </row>
    <row r="277" spans="1:96" s="13" customFormat="1" ht="13.75" customHeight="1">
      <c r="A277" s="137">
        <v>262</v>
      </c>
      <c r="B277" s="138"/>
      <c r="C277" s="139"/>
      <c r="D277" s="140"/>
      <c r="E277" s="139"/>
      <c r="F277" s="139"/>
      <c r="G277" s="191"/>
      <c r="H277" s="139"/>
      <c r="I277" s="141"/>
      <c r="J277" s="142"/>
      <c r="K277" s="139"/>
      <c r="L277" s="147"/>
      <c r="M277" s="148"/>
      <c r="N277" s="139"/>
      <c r="O277" s="589"/>
      <c r="P277" s="229" t="str">
        <f t="shared" si="141"/>
        <v/>
      </c>
      <c r="Q277" s="229" t="str">
        <f t="shared" si="142"/>
        <v/>
      </c>
      <c r="R277" s="230" t="str">
        <f t="shared" si="143"/>
        <v/>
      </c>
      <c r="S277" s="230" t="str">
        <f t="shared" si="144"/>
        <v/>
      </c>
      <c r="T277" s="351"/>
      <c r="U277" s="43"/>
      <c r="V277" s="42" t="str">
        <f t="shared" si="120"/>
        <v/>
      </c>
      <c r="W277" s="42" t="e">
        <f>IF(#REF!="","",#REF!)</f>
        <v>#REF!</v>
      </c>
      <c r="X277" s="31" t="str">
        <f t="shared" si="121"/>
        <v/>
      </c>
      <c r="Y277" s="7" t="e">
        <f t="shared" si="122"/>
        <v>#N/A</v>
      </c>
      <c r="Z277" s="7" t="e">
        <f t="shared" si="123"/>
        <v>#N/A</v>
      </c>
      <c r="AA277" s="7" t="e">
        <f t="shared" si="124"/>
        <v>#N/A</v>
      </c>
      <c r="AB277" s="7" t="str">
        <f t="shared" si="125"/>
        <v/>
      </c>
      <c r="AC277" s="11">
        <f t="shared" si="126"/>
        <v>1</v>
      </c>
      <c r="AD277" s="7" t="e">
        <f t="shared" si="127"/>
        <v>#N/A</v>
      </c>
      <c r="AE277" s="7" t="e">
        <f t="shared" si="128"/>
        <v>#N/A</v>
      </c>
      <c r="AF277" s="7" t="e">
        <f t="shared" si="129"/>
        <v>#N/A</v>
      </c>
      <c r="AG277" s="472" t="e">
        <f>VLOOKUP(AI277,'排出係数(2017)'!$A$4:$I$1151,9,FALSE)</f>
        <v>#N/A</v>
      </c>
      <c r="AH277" s="12" t="str">
        <f t="shared" si="130"/>
        <v xml:space="preserve"> </v>
      </c>
      <c r="AI277" s="7" t="e">
        <f t="shared" si="145"/>
        <v>#N/A</v>
      </c>
      <c r="AJ277" s="7" t="e">
        <f t="shared" si="131"/>
        <v>#N/A</v>
      </c>
      <c r="AK277" s="472" t="e">
        <f>VLOOKUP(AI277,'排出係数(2017)'!$A$4:$I$1151,6,FALSE)</f>
        <v>#N/A</v>
      </c>
      <c r="AL277" s="7" t="e">
        <f t="shared" si="132"/>
        <v>#N/A</v>
      </c>
      <c r="AM277" s="7" t="e">
        <f t="shared" si="133"/>
        <v>#N/A</v>
      </c>
      <c r="AN277" s="472" t="e">
        <f>VLOOKUP(AI277,'排出係数(2017)'!$A$4:$I$1151,7,FALSE)</f>
        <v>#N/A</v>
      </c>
      <c r="AO277" s="7" t="e">
        <f t="shared" si="134"/>
        <v>#N/A</v>
      </c>
      <c r="AP277" s="7" t="e">
        <f t="shared" si="135"/>
        <v>#N/A</v>
      </c>
      <c r="AQ277" s="7" t="e">
        <f t="shared" si="146"/>
        <v>#N/A</v>
      </c>
      <c r="AR277" s="7">
        <f t="shared" si="136"/>
        <v>0</v>
      </c>
      <c r="AS277" s="7" t="e">
        <f t="shared" si="147"/>
        <v>#N/A</v>
      </c>
      <c r="AT277" s="7" t="str">
        <f t="shared" si="137"/>
        <v/>
      </c>
      <c r="AU277" s="7" t="str">
        <f t="shared" si="138"/>
        <v/>
      </c>
      <c r="AV277" s="7" t="str">
        <f t="shared" si="139"/>
        <v/>
      </c>
      <c r="AW277" s="7" t="str">
        <f t="shared" si="140"/>
        <v/>
      </c>
      <c r="AX277" s="97"/>
      <c r="BD277" s="453" t="s">
        <v>135</v>
      </c>
      <c r="CG277"/>
      <c r="CH277"/>
      <c r="CK277" s="592" t="str">
        <f t="shared" si="148"/>
        <v/>
      </c>
      <c r="CL277" s="421" t="str">
        <f t="shared" si="149"/>
        <v/>
      </c>
      <c r="CM277" s="594"/>
      <c r="CN277" s="594"/>
      <c r="CO277" s="594"/>
      <c r="CP277" s="594"/>
      <c r="CQ277" s="594"/>
      <c r="CR277" s="594"/>
    </row>
    <row r="278" spans="1:96" s="13" customFormat="1" ht="13.75" customHeight="1">
      <c r="A278" s="137">
        <v>263</v>
      </c>
      <c r="B278" s="138"/>
      <c r="C278" s="139"/>
      <c r="D278" s="140"/>
      <c r="E278" s="139"/>
      <c r="F278" s="139"/>
      <c r="G278" s="191"/>
      <c r="H278" s="139"/>
      <c r="I278" s="141"/>
      <c r="J278" s="142"/>
      <c r="K278" s="139"/>
      <c r="L278" s="147"/>
      <c r="M278" s="148"/>
      <c r="N278" s="139"/>
      <c r="O278" s="589"/>
      <c r="P278" s="229" t="str">
        <f t="shared" si="141"/>
        <v/>
      </c>
      <c r="Q278" s="229" t="str">
        <f t="shared" si="142"/>
        <v/>
      </c>
      <c r="R278" s="230" t="str">
        <f t="shared" si="143"/>
        <v/>
      </c>
      <c r="S278" s="230" t="str">
        <f t="shared" si="144"/>
        <v/>
      </c>
      <c r="T278" s="351"/>
      <c r="U278" s="43"/>
      <c r="V278" s="42" t="str">
        <f t="shared" si="120"/>
        <v/>
      </c>
      <c r="W278" s="42" t="e">
        <f>IF(#REF!="","",#REF!)</f>
        <v>#REF!</v>
      </c>
      <c r="X278" s="31" t="str">
        <f t="shared" si="121"/>
        <v/>
      </c>
      <c r="Y278" s="7" t="e">
        <f t="shared" si="122"/>
        <v>#N/A</v>
      </c>
      <c r="Z278" s="7" t="e">
        <f t="shared" si="123"/>
        <v>#N/A</v>
      </c>
      <c r="AA278" s="7" t="e">
        <f t="shared" si="124"/>
        <v>#N/A</v>
      </c>
      <c r="AB278" s="7" t="str">
        <f t="shared" si="125"/>
        <v/>
      </c>
      <c r="AC278" s="11">
        <f t="shared" si="126"/>
        <v>1</v>
      </c>
      <c r="AD278" s="7" t="e">
        <f t="shared" si="127"/>
        <v>#N/A</v>
      </c>
      <c r="AE278" s="7" t="e">
        <f t="shared" si="128"/>
        <v>#N/A</v>
      </c>
      <c r="AF278" s="7" t="e">
        <f t="shared" si="129"/>
        <v>#N/A</v>
      </c>
      <c r="AG278" s="472" t="e">
        <f>VLOOKUP(AI278,'排出係数(2017)'!$A$4:$I$1151,9,FALSE)</f>
        <v>#N/A</v>
      </c>
      <c r="AH278" s="12" t="str">
        <f t="shared" si="130"/>
        <v xml:space="preserve"> </v>
      </c>
      <c r="AI278" s="7" t="e">
        <f t="shared" si="145"/>
        <v>#N/A</v>
      </c>
      <c r="AJ278" s="7" t="e">
        <f t="shared" si="131"/>
        <v>#N/A</v>
      </c>
      <c r="AK278" s="472" t="e">
        <f>VLOOKUP(AI278,'排出係数(2017)'!$A$4:$I$1151,6,FALSE)</f>
        <v>#N/A</v>
      </c>
      <c r="AL278" s="7" t="e">
        <f t="shared" si="132"/>
        <v>#N/A</v>
      </c>
      <c r="AM278" s="7" t="e">
        <f t="shared" si="133"/>
        <v>#N/A</v>
      </c>
      <c r="AN278" s="472" t="e">
        <f>VLOOKUP(AI278,'排出係数(2017)'!$A$4:$I$1151,7,FALSE)</f>
        <v>#N/A</v>
      </c>
      <c r="AO278" s="7" t="e">
        <f t="shared" si="134"/>
        <v>#N/A</v>
      </c>
      <c r="AP278" s="7" t="e">
        <f t="shared" si="135"/>
        <v>#N/A</v>
      </c>
      <c r="AQ278" s="7" t="e">
        <f t="shared" si="146"/>
        <v>#N/A</v>
      </c>
      <c r="AR278" s="7">
        <f t="shared" si="136"/>
        <v>0</v>
      </c>
      <c r="AS278" s="7" t="e">
        <f t="shared" si="147"/>
        <v>#N/A</v>
      </c>
      <c r="AT278" s="7" t="str">
        <f t="shared" si="137"/>
        <v/>
      </c>
      <c r="AU278" s="7" t="str">
        <f t="shared" si="138"/>
        <v/>
      </c>
      <c r="AV278" s="7" t="str">
        <f t="shared" si="139"/>
        <v/>
      </c>
      <c r="AW278" s="7" t="str">
        <f t="shared" si="140"/>
        <v/>
      </c>
      <c r="AX278" s="97"/>
      <c r="BD278" s="453" t="s">
        <v>1582</v>
      </c>
      <c r="CG278"/>
      <c r="CH278"/>
      <c r="CK278" s="592" t="str">
        <f t="shared" si="148"/>
        <v/>
      </c>
      <c r="CL278" s="421" t="str">
        <f t="shared" si="149"/>
        <v/>
      </c>
      <c r="CM278" s="594"/>
      <c r="CN278" s="594"/>
      <c r="CO278" s="594"/>
      <c r="CP278" s="594"/>
      <c r="CQ278" s="594"/>
      <c r="CR278" s="594"/>
    </row>
    <row r="279" spans="1:96" s="13" customFormat="1" ht="13.75" customHeight="1">
      <c r="A279" s="137">
        <v>264</v>
      </c>
      <c r="B279" s="138"/>
      <c r="C279" s="139"/>
      <c r="D279" s="140"/>
      <c r="E279" s="139"/>
      <c r="F279" s="139"/>
      <c r="G279" s="191"/>
      <c r="H279" s="139"/>
      <c r="I279" s="141"/>
      <c r="J279" s="142"/>
      <c r="K279" s="139"/>
      <c r="L279" s="147"/>
      <c r="M279" s="148"/>
      <c r="N279" s="139"/>
      <c r="O279" s="589"/>
      <c r="P279" s="229" t="str">
        <f t="shared" si="141"/>
        <v/>
      </c>
      <c r="Q279" s="229" t="str">
        <f t="shared" si="142"/>
        <v/>
      </c>
      <c r="R279" s="230" t="str">
        <f t="shared" si="143"/>
        <v/>
      </c>
      <c r="S279" s="230" t="str">
        <f t="shared" si="144"/>
        <v/>
      </c>
      <c r="T279" s="351"/>
      <c r="U279" s="43"/>
      <c r="V279" s="42" t="str">
        <f t="shared" si="120"/>
        <v/>
      </c>
      <c r="W279" s="42" t="e">
        <f>IF(#REF!="","",#REF!)</f>
        <v>#REF!</v>
      </c>
      <c r="X279" s="31" t="str">
        <f t="shared" si="121"/>
        <v/>
      </c>
      <c r="Y279" s="7" t="e">
        <f t="shared" si="122"/>
        <v>#N/A</v>
      </c>
      <c r="Z279" s="7" t="e">
        <f t="shared" si="123"/>
        <v>#N/A</v>
      </c>
      <c r="AA279" s="7" t="e">
        <f t="shared" si="124"/>
        <v>#N/A</v>
      </c>
      <c r="AB279" s="7" t="str">
        <f t="shared" si="125"/>
        <v/>
      </c>
      <c r="AC279" s="11">
        <f t="shared" si="126"/>
        <v>1</v>
      </c>
      <c r="AD279" s="7" t="e">
        <f t="shared" si="127"/>
        <v>#N/A</v>
      </c>
      <c r="AE279" s="7" t="e">
        <f t="shared" si="128"/>
        <v>#N/A</v>
      </c>
      <c r="AF279" s="7" t="e">
        <f t="shared" si="129"/>
        <v>#N/A</v>
      </c>
      <c r="AG279" s="472" t="e">
        <f>VLOOKUP(AI279,'排出係数(2017)'!$A$4:$I$1151,9,FALSE)</f>
        <v>#N/A</v>
      </c>
      <c r="AH279" s="12" t="str">
        <f t="shared" si="130"/>
        <v xml:space="preserve"> </v>
      </c>
      <c r="AI279" s="7" t="e">
        <f t="shared" si="145"/>
        <v>#N/A</v>
      </c>
      <c r="AJ279" s="7" t="e">
        <f t="shared" si="131"/>
        <v>#N/A</v>
      </c>
      <c r="AK279" s="472" t="e">
        <f>VLOOKUP(AI279,'排出係数(2017)'!$A$4:$I$1151,6,FALSE)</f>
        <v>#N/A</v>
      </c>
      <c r="AL279" s="7" t="e">
        <f t="shared" si="132"/>
        <v>#N/A</v>
      </c>
      <c r="AM279" s="7" t="e">
        <f t="shared" si="133"/>
        <v>#N/A</v>
      </c>
      <c r="AN279" s="472" t="e">
        <f>VLOOKUP(AI279,'排出係数(2017)'!$A$4:$I$1151,7,FALSE)</f>
        <v>#N/A</v>
      </c>
      <c r="AO279" s="7" t="e">
        <f t="shared" si="134"/>
        <v>#N/A</v>
      </c>
      <c r="AP279" s="7" t="e">
        <f t="shared" si="135"/>
        <v>#N/A</v>
      </c>
      <c r="AQ279" s="7" t="e">
        <f t="shared" si="146"/>
        <v>#N/A</v>
      </c>
      <c r="AR279" s="7">
        <f t="shared" si="136"/>
        <v>0</v>
      </c>
      <c r="AS279" s="7" t="e">
        <f t="shared" si="147"/>
        <v>#N/A</v>
      </c>
      <c r="AT279" s="7" t="str">
        <f t="shared" si="137"/>
        <v/>
      </c>
      <c r="AU279" s="7" t="str">
        <f t="shared" si="138"/>
        <v/>
      </c>
      <c r="AV279" s="7" t="str">
        <f t="shared" si="139"/>
        <v/>
      </c>
      <c r="AW279" s="7" t="str">
        <f t="shared" si="140"/>
        <v/>
      </c>
      <c r="AX279" s="97"/>
      <c r="BD279" s="467" t="s">
        <v>2526</v>
      </c>
      <c r="CG279"/>
      <c r="CH279"/>
      <c r="CK279" s="592" t="str">
        <f t="shared" si="148"/>
        <v/>
      </c>
      <c r="CL279" s="421" t="str">
        <f t="shared" si="149"/>
        <v/>
      </c>
      <c r="CM279" s="594"/>
      <c r="CN279" s="594"/>
      <c r="CO279" s="594"/>
      <c r="CP279" s="594"/>
      <c r="CQ279" s="594"/>
      <c r="CR279" s="594"/>
    </row>
    <row r="280" spans="1:96" s="13" customFormat="1" ht="13.75" customHeight="1">
      <c r="A280" s="137">
        <v>265</v>
      </c>
      <c r="B280" s="138"/>
      <c r="C280" s="139"/>
      <c r="D280" s="140"/>
      <c r="E280" s="139"/>
      <c r="F280" s="139"/>
      <c r="G280" s="191"/>
      <c r="H280" s="139"/>
      <c r="I280" s="141"/>
      <c r="J280" s="142"/>
      <c r="K280" s="139"/>
      <c r="L280" s="147"/>
      <c r="M280" s="148"/>
      <c r="N280" s="139"/>
      <c r="O280" s="589"/>
      <c r="P280" s="229" t="str">
        <f t="shared" si="141"/>
        <v/>
      </c>
      <c r="Q280" s="229" t="str">
        <f t="shared" si="142"/>
        <v/>
      </c>
      <c r="R280" s="230" t="str">
        <f t="shared" si="143"/>
        <v/>
      </c>
      <c r="S280" s="230" t="str">
        <f t="shared" si="144"/>
        <v/>
      </c>
      <c r="T280" s="351"/>
      <c r="U280" s="43"/>
      <c r="V280" s="42" t="str">
        <f t="shared" si="120"/>
        <v/>
      </c>
      <c r="W280" s="42" t="e">
        <f>IF(#REF!="","",#REF!)</f>
        <v>#REF!</v>
      </c>
      <c r="X280" s="31" t="str">
        <f t="shared" si="121"/>
        <v/>
      </c>
      <c r="Y280" s="7" t="e">
        <f t="shared" si="122"/>
        <v>#N/A</v>
      </c>
      <c r="Z280" s="7" t="e">
        <f t="shared" si="123"/>
        <v>#N/A</v>
      </c>
      <c r="AA280" s="7" t="e">
        <f t="shared" si="124"/>
        <v>#N/A</v>
      </c>
      <c r="AB280" s="7" t="str">
        <f t="shared" si="125"/>
        <v/>
      </c>
      <c r="AC280" s="11">
        <f t="shared" si="126"/>
        <v>1</v>
      </c>
      <c r="AD280" s="7" t="e">
        <f t="shared" si="127"/>
        <v>#N/A</v>
      </c>
      <c r="AE280" s="7" t="e">
        <f t="shared" si="128"/>
        <v>#N/A</v>
      </c>
      <c r="AF280" s="7" t="e">
        <f t="shared" si="129"/>
        <v>#N/A</v>
      </c>
      <c r="AG280" s="472" t="e">
        <f>VLOOKUP(AI280,'排出係数(2017)'!$A$4:$I$1151,9,FALSE)</f>
        <v>#N/A</v>
      </c>
      <c r="AH280" s="12" t="str">
        <f t="shared" si="130"/>
        <v xml:space="preserve"> </v>
      </c>
      <c r="AI280" s="7" t="e">
        <f t="shared" si="145"/>
        <v>#N/A</v>
      </c>
      <c r="AJ280" s="7" t="e">
        <f t="shared" si="131"/>
        <v>#N/A</v>
      </c>
      <c r="AK280" s="472" t="e">
        <f>VLOOKUP(AI280,'排出係数(2017)'!$A$4:$I$1151,6,FALSE)</f>
        <v>#N/A</v>
      </c>
      <c r="AL280" s="7" t="e">
        <f t="shared" si="132"/>
        <v>#N/A</v>
      </c>
      <c r="AM280" s="7" t="e">
        <f t="shared" si="133"/>
        <v>#N/A</v>
      </c>
      <c r="AN280" s="472" t="e">
        <f>VLOOKUP(AI280,'排出係数(2017)'!$A$4:$I$1151,7,FALSE)</f>
        <v>#N/A</v>
      </c>
      <c r="AO280" s="7" t="e">
        <f t="shared" si="134"/>
        <v>#N/A</v>
      </c>
      <c r="AP280" s="7" t="e">
        <f t="shared" si="135"/>
        <v>#N/A</v>
      </c>
      <c r="AQ280" s="7" t="e">
        <f t="shared" si="146"/>
        <v>#N/A</v>
      </c>
      <c r="AR280" s="7">
        <f t="shared" si="136"/>
        <v>0</v>
      </c>
      <c r="AS280" s="7" t="e">
        <f t="shared" si="147"/>
        <v>#N/A</v>
      </c>
      <c r="AT280" s="7" t="str">
        <f t="shared" si="137"/>
        <v/>
      </c>
      <c r="AU280" s="7" t="str">
        <f t="shared" si="138"/>
        <v/>
      </c>
      <c r="AV280" s="7" t="str">
        <f t="shared" si="139"/>
        <v/>
      </c>
      <c r="AW280" s="7" t="str">
        <f t="shared" si="140"/>
        <v/>
      </c>
      <c r="AX280" s="97"/>
      <c r="BD280" s="467" t="s">
        <v>2527</v>
      </c>
      <c r="CG280"/>
      <c r="CH280"/>
      <c r="CK280" s="592" t="str">
        <f t="shared" si="148"/>
        <v/>
      </c>
      <c r="CL280" s="421" t="str">
        <f t="shared" si="149"/>
        <v/>
      </c>
      <c r="CM280" s="594"/>
      <c r="CN280" s="594"/>
      <c r="CO280" s="594"/>
      <c r="CP280" s="594"/>
      <c r="CQ280" s="594"/>
      <c r="CR280" s="594"/>
    </row>
    <row r="281" spans="1:96" s="13" customFormat="1" ht="13.75" customHeight="1">
      <c r="A281" s="137">
        <v>266</v>
      </c>
      <c r="B281" s="138"/>
      <c r="C281" s="139"/>
      <c r="D281" s="140"/>
      <c r="E281" s="139"/>
      <c r="F281" s="139"/>
      <c r="G281" s="191"/>
      <c r="H281" s="139"/>
      <c r="I281" s="141"/>
      <c r="J281" s="142"/>
      <c r="K281" s="139"/>
      <c r="L281" s="147"/>
      <c r="M281" s="148"/>
      <c r="N281" s="139"/>
      <c r="O281" s="589"/>
      <c r="P281" s="229" t="str">
        <f t="shared" si="141"/>
        <v/>
      </c>
      <c r="Q281" s="229" t="str">
        <f t="shared" si="142"/>
        <v/>
      </c>
      <c r="R281" s="230" t="str">
        <f t="shared" si="143"/>
        <v/>
      </c>
      <c r="S281" s="230" t="str">
        <f t="shared" si="144"/>
        <v/>
      </c>
      <c r="T281" s="351"/>
      <c r="U281" s="43"/>
      <c r="V281" s="42" t="str">
        <f t="shared" si="120"/>
        <v/>
      </c>
      <c r="W281" s="42" t="e">
        <f>IF(#REF!="","",#REF!)</f>
        <v>#REF!</v>
      </c>
      <c r="X281" s="31" t="str">
        <f t="shared" si="121"/>
        <v/>
      </c>
      <c r="Y281" s="7" t="e">
        <f t="shared" si="122"/>
        <v>#N/A</v>
      </c>
      <c r="Z281" s="7" t="e">
        <f t="shared" si="123"/>
        <v>#N/A</v>
      </c>
      <c r="AA281" s="7" t="e">
        <f t="shared" si="124"/>
        <v>#N/A</v>
      </c>
      <c r="AB281" s="7" t="str">
        <f t="shared" si="125"/>
        <v/>
      </c>
      <c r="AC281" s="11">
        <f t="shared" si="126"/>
        <v>1</v>
      </c>
      <c r="AD281" s="7" t="e">
        <f t="shared" si="127"/>
        <v>#N/A</v>
      </c>
      <c r="AE281" s="7" t="e">
        <f t="shared" si="128"/>
        <v>#N/A</v>
      </c>
      <c r="AF281" s="7" t="e">
        <f t="shared" si="129"/>
        <v>#N/A</v>
      </c>
      <c r="AG281" s="472" t="e">
        <f>VLOOKUP(AI281,'排出係数(2017)'!$A$4:$I$1151,9,FALSE)</f>
        <v>#N/A</v>
      </c>
      <c r="AH281" s="12" t="str">
        <f t="shared" si="130"/>
        <v xml:space="preserve"> </v>
      </c>
      <c r="AI281" s="7" t="e">
        <f t="shared" si="145"/>
        <v>#N/A</v>
      </c>
      <c r="AJ281" s="7" t="e">
        <f t="shared" si="131"/>
        <v>#N/A</v>
      </c>
      <c r="AK281" s="472" t="e">
        <f>VLOOKUP(AI281,'排出係数(2017)'!$A$4:$I$1151,6,FALSE)</f>
        <v>#N/A</v>
      </c>
      <c r="AL281" s="7" t="e">
        <f t="shared" si="132"/>
        <v>#N/A</v>
      </c>
      <c r="AM281" s="7" t="e">
        <f t="shared" si="133"/>
        <v>#N/A</v>
      </c>
      <c r="AN281" s="472" t="e">
        <f>VLOOKUP(AI281,'排出係数(2017)'!$A$4:$I$1151,7,FALSE)</f>
        <v>#N/A</v>
      </c>
      <c r="AO281" s="7" t="e">
        <f t="shared" si="134"/>
        <v>#N/A</v>
      </c>
      <c r="AP281" s="7" t="e">
        <f t="shared" si="135"/>
        <v>#N/A</v>
      </c>
      <c r="AQ281" s="7" t="e">
        <f t="shared" si="146"/>
        <v>#N/A</v>
      </c>
      <c r="AR281" s="7">
        <f t="shared" si="136"/>
        <v>0</v>
      </c>
      <c r="AS281" s="7" t="e">
        <f t="shared" si="147"/>
        <v>#N/A</v>
      </c>
      <c r="AT281" s="7" t="str">
        <f t="shared" si="137"/>
        <v/>
      </c>
      <c r="AU281" s="7" t="str">
        <f t="shared" si="138"/>
        <v/>
      </c>
      <c r="AV281" s="7" t="str">
        <f t="shared" si="139"/>
        <v/>
      </c>
      <c r="AW281" s="7" t="str">
        <f t="shared" si="140"/>
        <v/>
      </c>
      <c r="AX281" s="97"/>
      <c r="BD281" s="453" t="s">
        <v>2528</v>
      </c>
      <c r="CG281"/>
      <c r="CH281"/>
      <c r="CK281" s="592" t="str">
        <f t="shared" si="148"/>
        <v/>
      </c>
      <c r="CL281" s="421" t="str">
        <f t="shared" si="149"/>
        <v/>
      </c>
      <c r="CM281" s="594"/>
      <c r="CN281" s="594"/>
      <c r="CO281" s="594"/>
      <c r="CP281" s="594"/>
      <c r="CQ281" s="594"/>
      <c r="CR281" s="594"/>
    </row>
    <row r="282" spans="1:96" s="13" customFormat="1" ht="13.75" customHeight="1">
      <c r="A282" s="137">
        <v>267</v>
      </c>
      <c r="B282" s="138"/>
      <c r="C282" s="139"/>
      <c r="D282" s="140"/>
      <c r="E282" s="139"/>
      <c r="F282" s="139"/>
      <c r="G282" s="191"/>
      <c r="H282" s="139"/>
      <c r="I282" s="141"/>
      <c r="J282" s="142"/>
      <c r="K282" s="139"/>
      <c r="L282" s="147"/>
      <c r="M282" s="148"/>
      <c r="N282" s="139"/>
      <c r="O282" s="589"/>
      <c r="P282" s="229" t="str">
        <f t="shared" si="141"/>
        <v/>
      </c>
      <c r="Q282" s="229" t="str">
        <f t="shared" si="142"/>
        <v/>
      </c>
      <c r="R282" s="230" t="str">
        <f t="shared" si="143"/>
        <v/>
      </c>
      <c r="S282" s="230" t="str">
        <f t="shared" si="144"/>
        <v/>
      </c>
      <c r="T282" s="351"/>
      <c r="U282" s="43"/>
      <c r="V282" s="42" t="str">
        <f t="shared" si="120"/>
        <v/>
      </c>
      <c r="W282" s="42" t="e">
        <f>IF(#REF!="","",#REF!)</f>
        <v>#REF!</v>
      </c>
      <c r="X282" s="31" t="str">
        <f t="shared" si="121"/>
        <v/>
      </c>
      <c r="Y282" s="7" t="e">
        <f t="shared" si="122"/>
        <v>#N/A</v>
      </c>
      <c r="Z282" s="7" t="e">
        <f t="shared" si="123"/>
        <v>#N/A</v>
      </c>
      <c r="AA282" s="7" t="e">
        <f t="shared" si="124"/>
        <v>#N/A</v>
      </c>
      <c r="AB282" s="7" t="str">
        <f t="shared" si="125"/>
        <v/>
      </c>
      <c r="AC282" s="11">
        <f t="shared" si="126"/>
        <v>1</v>
      </c>
      <c r="AD282" s="7" t="e">
        <f t="shared" si="127"/>
        <v>#N/A</v>
      </c>
      <c r="AE282" s="7" t="e">
        <f t="shared" si="128"/>
        <v>#N/A</v>
      </c>
      <c r="AF282" s="7" t="e">
        <f t="shared" si="129"/>
        <v>#N/A</v>
      </c>
      <c r="AG282" s="472" t="e">
        <f>VLOOKUP(AI282,'排出係数(2017)'!$A$4:$I$1151,9,FALSE)</f>
        <v>#N/A</v>
      </c>
      <c r="AH282" s="12" t="str">
        <f t="shared" si="130"/>
        <v xml:space="preserve"> </v>
      </c>
      <c r="AI282" s="7" t="e">
        <f t="shared" si="145"/>
        <v>#N/A</v>
      </c>
      <c r="AJ282" s="7" t="e">
        <f t="shared" si="131"/>
        <v>#N/A</v>
      </c>
      <c r="AK282" s="472" t="e">
        <f>VLOOKUP(AI282,'排出係数(2017)'!$A$4:$I$1151,6,FALSE)</f>
        <v>#N/A</v>
      </c>
      <c r="AL282" s="7" t="e">
        <f t="shared" si="132"/>
        <v>#N/A</v>
      </c>
      <c r="AM282" s="7" t="e">
        <f t="shared" si="133"/>
        <v>#N/A</v>
      </c>
      <c r="AN282" s="472" t="e">
        <f>VLOOKUP(AI282,'排出係数(2017)'!$A$4:$I$1151,7,FALSE)</f>
        <v>#N/A</v>
      </c>
      <c r="AO282" s="7" t="e">
        <f t="shared" si="134"/>
        <v>#N/A</v>
      </c>
      <c r="AP282" s="7" t="e">
        <f t="shared" si="135"/>
        <v>#N/A</v>
      </c>
      <c r="AQ282" s="7" t="e">
        <f t="shared" si="146"/>
        <v>#N/A</v>
      </c>
      <c r="AR282" s="7">
        <f t="shared" si="136"/>
        <v>0</v>
      </c>
      <c r="AS282" s="7" t="e">
        <f t="shared" si="147"/>
        <v>#N/A</v>
      </c>
      <c r="AT282" s="7" t="str">
        <f t="shared" si="137"/>
        <v/>
      </c>
      <c r="AU282" s="7" t="str">
        <f t="shared" si="138"/>
        <v/>
      </c>
      <c r="AV282" s="7" t="str">
        <f t="shared" si="139"/>
        <v/>
      </c>
      <c r="AW282" s="7" t="str">
        <f t="shared" si="140"/>
        <v/>
      </c>
      <c r="AX282" s="97"/>
      <c r="BD282" s="453" t="s">
        <v>75</v>
      </c>
      <c r="CG282"/>
      <c r="CH282"/>
      <c r="CK282" s="592" t="str">
        <f t="shared" si="148"/>
        <v/>
      </c>
      <c r="CL282" s="421" t="str">
        <f t="shared" si="149"/>
        <v/>
      </c>
      <c r="CM282" s="594"/>
      <c r="CN282" s="594"/>
      <c r="CO282" s="594"/>
      <c r="CP282" s="594"/>
      <c r="CQ282" s="594"/>
      <c r="CR282" s="594"/>
    </row>
    <row r="283" spans="1:96" s="13" customFormat="1" ht="13.75" customHeight="1">
      <c r="A283" s="137">
        <v>268</v>
      </c>
      <c r="B283" s="138"/>
      <c r="C283" s="139"/>
      <c r="D283" s="140"/>
      <c r="E283" s="139"/>
      <c r="F283" s="139"/>
      <c r="G283" s="191"/>
      <c r="H283" s="139"/>
      <c r="I283" s="141"/>
      <c r="J283" s="142"/>
      <c r="K283" s="139"/>
      <c r="L283" s="147"/>
      <c r="M283" s="148"/>
      <c r="N283" s="139"/>
      <c r="O283" s="589"/>
      <c r="P283" s="229" t="str">
        <f t="shared" si="141"/>
        <v/>
      </c>
      <c r="Q283" s="229" t="str">
        <f t="shared" si="142"/>
        <v/>
      </c>
      <c r="R283" s="230" t="str">
        <f t="shared" si="143"/>
        <v/>
      </c>
      <c r="S283" s="230" t="str">
        <f t="shared" si="144"/>
        <v/>
      </c>
      <c r="T283" s="351"/>
      <c r="U283" s="43"/>
      <c r="V283" s="42" t="str">
        <f t="shared" si="120"/>
        <v/>
      </c>
      <c r="W283" s="42" t="e">
        <f>IF(#REF!="","",#REF!)</f>
        <v>#REF!</v>
      </c>
      <c r="X283" s="31" t="str">
        <f t="shared" si="121"/>
        <v/>
      </c>
      <c r="Y283" s="7" t="e">
        <f t="shared" si="122"/>
        <v>#N/A</v>
      </c>
      <c r="Z283" s="7" t="e">
        <f t="shared" si="123"/>
        <v>#N/A</v>
      </c>
      <c r="AA283" s="7" t="e">
        <f t="shared" si="124"/>
        <v>#N/A</v>
      </c>
      <c r="AB283" s="7" t="str">
        <f t="shared" si="125"/>
        <v/>
      </c>
      <c r="AC283" s="11">
        <f t="shared" si="126"/>
        <v>1</v>
      </c>
      <c r="AD283" s="7" t="e">
        <f t="shared" si="127"/>
        <v>#N/A</v>
      </c>
      <c r="AE283" s="7" t="e">
        <f t="shared" si="128"/>
        <v>#N/A</v>
      </c>
      <c r="AF283" s="7" t="e">
        <f t="shared" si="129"/>
        <v>#N/A</v>
      </c>
      <c r="AG283" s="472" t="e">
        <f>VLOOKUP(AI283,'排出係数(2017)'!$A$4:$I$1151,9,FALSE)</f>
        <v>#N/A</v>
      </c>
      <c r="AH283" s="12" t="str">
        <f t="shared" si="130"/>
        <v xml:space="preserve"> </v>
      </c>
      <c r="AI283" s="7" t="e">
        <f t="shared" si="145"/>
        <v>#N/A</v>
      </c>
      <c r="AJ283" s="7" t="e">
        <f t="shared" si="131"/>
        <v>#N/A</v>
      </c>
      <c r="AK283" s="472" t="e">
        <f>VLOOKUP(AI283,'排出係数(2017)'!$A$4:$I$1151,6,FALSE)</f>
        <v>#N/A</v>
      </c>
      <c r="AL283" s="7" t="e">
        <f t="shared" si="132"/>
        <v>#N/A</v>
      </c>
      <c r="AM283" s="7" t="e">
        <f t="shared" si="133"/>
        <v>#N/A</v>
      </c>
      <c r="AN283" s="472" t="e">
        <f>VLOOKUP(AI283,'排出係数(2017)'!$A$4:$I$1151,7,FALSE)</f>
        <v>#N/A</v>
      </c>
      <c r="AO283" s="7" t="e">
        <f t="shared" si="134"/>
        <v>#N/A</v>
      </c>
      <c r="AP283" s="7" t="e">
        <f t="shared" si="135"/>
        <v>#N/A</v>
      </c>
      <c r="AQ283" s="7" t="e">
        <f t="shared" si="146"/>
        <v>#N/A</v>
      </c>
      <c r="AR283" s="7">
        <f t="shared" si="136"/>
        <v>0</v>
      </c>
      <c r="AS283" s="7" t="e">
        <f t="shared" si="147"/>
        <v>#N/A</v>
      </c>
      <c r="AT283" s="7" t="str">
        <f t="shared" si="137"/>
        <v/>
      </c>
      <c r="AU283" s="7" t="str">
        <f t="shared" si="138"/>
        <v/>
      </c>
      <c r="AV283" s="7" t="str">
        <f t="shared" si="139"/>
        <v/>
      </c>
      <c r="AW283" s="7" t="str">
        <f t="shared" si="140"/>
        <v/>
      </c>
      <c r="AX283" s="97"/>
      <c r="BD283" s="473" t="s">
        <v>1059</v>
      </c>
      <c r="CG283"/>
      <c r="CH283"/>
      <c r="CK283" s="592" t="str">
        <f t="shared" si="148"/>
        <v/>
      </c>
      <c r="CL283" s="421" t="str">
        <f t="shared" si="149"/>
        <v/>
      </c>
      <c r="CM283" s="594"/>
      <c r="CN283" s="594"/>
      <c r="CO283" s="594"/>
      <c r="CP283" s="594"/>
      <c r="CQ283" s="594"/>
      <c r="CR283" s="594"/>
    </row>
    <row r="284" spans="1:96" s="13" customFormat="1" ht="13.75" customHeight="1">
      <c r="A284" s="137">
        <v>269</v>
      </c>
      <c r="B284" s="138"/>
      <c r="C284" s="139"/>
      <c r="D284" s="140"/>
      <c r="E284" s="139"/>
      <c r="F284" s="139"/>
      <c r="G284" s="191"/>
      <c r="H284" s="139"/>
      <c r="I284" s="141"/>
      <c r="J284" s="142"/>
      <c r="K284" s="139"/>
      <c r="L284" s="147"/>
      <c r="M284" s="148"/>
      <c r="N284" s="139"/>
      <c r="O284" s="589"/>
      <c r="P284" s="229" t="str">
        <f t="shared" si="141"/>
        <v/>
      </c>
      <c r="Q284" s="229" t="str">
        <f t="shared" si="142"/>
        <v/>
      </c>
      <c r="R284" s="230" t="str">
        <f t="shared" si="143"/>
        <v/>
      </c>
      <c r="S284" s="230" t="str">
        <f t="shared" si="144"/>
        <v/>
      </c>
      <c r="T284" s="351"/>
      <c r="U284" s="43"/>
      <c r="V284" s="42" t="str">
        <f t="shared" si="120"/>
        <v/>
      </c>
      <c r="W284" s="42" t="e">
        <f>IF(#REF!="","",#REF!)</f>
        <v>#REF!</v>
      </c>
      <c r="X284" s="31" t="str">
        <f t="shared" si="121"/>
        <v/>
      </c>
      <c r="Y284" s="7" t="e">
        <f t="shared" si="122"/>
        <v>#N/A</v>
      </c>
      <c r="Z284" s="7" t="e">
        <f t="shared" si="123"/>
        <v>#N/A</v>
      </c>
      <c r="AA284" s="7" t="e">
        <f t="shared" si="124"/>
        <v>#N/A</v>
      </c>
      <c r="AB284" s="7" t="str">
        <f t="shared" si="125"/>
        <v/>
      </c>
      <c r="AC284" s="11">
        <f t="shared" si="126"/>
        <v>1</v>
      </c>
      <c r="AD284" s="7" t="e">
        <f t="shared" si="127"/>
        <v>#N/A</v>
      </c>
      <c r="AE284" s="7" t="e">
        <f t="shared" si="128"/>
        <v>#N/A</v>
      </c>
      <c r="AF284" s="7" t="e">
        <f t="shared" si="129"/>
        <v>#N/A</v>
      </c>
      <c r="AG284" s="472" t="e">
        <f>VLOOKUP(AI284,'排出係数(2017)'!$A$4:$I$1151,9,FALSE)</f>
        <v>#N/A</v>
      </c>
      <c r="AH284" s="12" t="str">
        <f t="shared" si="130"/>
        <v xml:space="preserve"> </v>
      </c>
      <c r="AI284" s="7" t="e">
        <f t="shared" si="145"/>
        <v>#N/A</v>
      </c>
      <c r="AJ284" s="7" t="e">
        <f t="shared" si="131"/>
        <v>#N/A</v>
      </c>
      <c r="AK284" s="472" t="e">
        <f>VLOOKUP(AI284,'排出係数(2017)'!$A$4:$I$1151,6,FALSE)</f>
        <v>#N/A</v>
      </c>
      <c r="AL284" s="7" t="e">
        <f t="shared" si="132"/>
        <v>#N/A</v>
      </c>
      <c r="AM284" s="7" t="e">
        <f t="shared" si="133"/>
        <v>#N/A</v>
      </c>
      <c r="AN284" s="472" t="e">
        <f>VLOOKUP(AI284,'排出係数(2017)'!$A$4:$I$1151,7,FALSE)</f>
        <v>#N/A</v>
      </c>
      <c r="AO284" s="7" t="e">
        <f t="shared" si="134"/>
        <v>#N/A</v>
      </c>
      <c r="AP284" s="7" t="e">
        <f t="shared" si="135"/>
        <v>#N/A</v>
      </c>
      <c r="AQ284" s="7" t="e">
        <f t="shared" si="146"/>
        <v>#N/A</v>
      </c>
      <c r="AR284" s="7">
        <f t="shared" si="136"/>
        <v>0</v>
      </c>
      <c r="AS284" s="7" t="e">
        <f t="shared" si="147"/>
        <v>#N/A</v>
      </c>
      <c r="AT284" s="7" t="str">
        <f t="shared" si="137"/>
        <v/>
      </c>
      <c r="AU284" s="7" t="str">
        <f t="shared" si="138"/>
        <v/>
      </c>
      <c r="AV284" s="7" t="str">
        <f t="shared" si="139"/>
        <v/>
      </c>
      <c r="AW284" s="7" t="str">
        <f t="shared" si="140"/>
        <v/>
      </c>
      <c r="AX284" s="97"/>
      <c r="BD284" s="453" t="s">
        <v>76</v>
      </c>
      <c r="CG284"/>
      <c r="CH284"/>
      <c r="CK284" s="592" t="str">
        <f t="shared" si="148"/>
        <v/>
      </c>
      <c r="CL284" s="421" t="str">
        <f t="shared" si="149"/>
        <v/>
      </c>
      <c r="CM284" s="594"/>
      <c r="CN284" s="594"/>
      <c r="CO284" s="594"/>
      <c r="CP284" s="594"/>
      <c r="CQ284" s="594"/>
      <c r="CR284" s="594"/>
    </row>
    <row r="285" spans="1:96" s="13" customFormat="1" ht="13.75" customHeight="1">
      <c r="A285" s="137">
        <v>270</v>
      </c>
      <c r="B285" s="138"/>
      <c r="C285" s="139"/>
      <c r="D285" s="140"/>
      <c r="E285" s="139"/>
      <c r="F285" s="139"/>
      <c r="G285" s="191"/>
      <c r="H285" s="139"/>
      <c r="I285" s="141"/>
      <c r="J285" s="142"/>
      <c r="K285" s="139"/>
      <c r="L285" s="147"/>
      <c r="M285" s="148"/>
      <c r="N285" s="139"/>
      <c r="O285" s="589"/>
      <c r="P285" s="229" t="str">
        <f t="shared" si="141"/>
        <v/>
      </c>
      <c r="Q285" s="229" t="str">
        <f t="shared" si="142"/>
        <v/>
      </c>
      <c r="R285" s="230" t="str">
        <f t="shared" si="143"/>
        <v/>
      </c>
      <c r="S285" s="230" t="str">
        <f t="shared" si="144"/>
        <v/>
      </c>
      <c r="T285" s="351"/>
      <c r="U285" s="43"/>
      <c r="V285" s="42" t="str">
        <f t="shared" si="120"/>
        <v/>
      </c>
      <c r="W285" s="42" t="e">
        <f>IF(#REF!="","",#REF!)</f>
        <v>#REF!</v>
      </c>
      <c r="X285" s="31" t="str">
        <f t="shared" si="121"/>
        <v/>
      </c>
      <c r="Y285" s="7" t="e">
        <f t="shared" si="122"/>
        <v>#N/A</v>
      </c>
      <c r="Z285" s="7" t="e">
        <f t="shared" si="123"/>
        <v>#N/A</v>
      </c>
      <c r="AA285" s="7" t="e">
        <f t="shared" si="124"/>
        <v>#N/A</v>
      </c>
      <c r="AB285" s="7" t="str">
        <f t="shared" si="125"/>
        <v/>
      </c>
      <c r="AC285" s="11">
        <f t="shared" si="126"/>
        <v>1</v>
      </c>
      <c r="AD285" s="7" t="e">
        <f t="shared" si="127"/>
        <v>#N/A</v>
      </c>
      <c r="AE285" s="7" t="e">
        <f t="shared" si="128"/>
        <v>#N/A</v>
      </c>
      <c r="AF285" s="7" t="e">
        <f t="shared" si="129"/>
        <v>#N/A</v>
      </c>
      <c r="AG285" s="472" t="e">
        <f>VLOOKUP(AI285,'排出係数(2017)'!$A$4:$I$1151,9,FALSE)</f>
        <v>#N/A</v>
      </c>
      <c r="AH285" s="12" t="str">
        <f t="shared" si="130"/>
        <v xml:space="preserve"> </v>
      </c>
      <c r="AI285" s="7" t="e">
        <f t="shared" si="145"/>
        <v>#N/A</v>
      </c>
      <c r="AJ285" s="7" t="e">
        <f t="shared" si="131"/>
        <v>#N/A</v>
      </c>
      <c r="AK285" s="472" t="e">
        <f>VLOOKUP(AI285,'排出係数(2017)'!$A$4:$I$1151,6,FALSE)</f>
        <v>#N/A</v>
      </c>
      <c r="AL285" s="7" t="e">
        <f t="shared" si="132"/>
        <v>#N/A</v>
      </c>
      <c r="AM285" s="7" t="e">
        <f t="shared" si="133"/>
        <v>#N/A</v>
      </c>
      <c r="AN285" s="472" t="e">
        <f>VLOOKUP(AI285,'排出係数(2017)'!$A$4:$I$1151,7,FALSE)</f>
        <v>#N/A</v>
      </c>
      <c r="AO285" s="7" t="e">
        <f t="shared" si="134"/>
        <v>#N/A</v>
      </c>
      <c r="AP285" s="7" t="e">
        <f t="shared" si="135"/>
        <v>#N/A</v>
      </c>
      <c r="AQ285" s="7" t="e">
        <f t="shared" si="146"/>
        <v>#N/A</v>
      </c>
      <c r="AR285" s="7">
        <f t="shared" si="136"/>
        <v>0</v>
      </c>
      <c r="AS285" s="7" t="e">
        <f t="shared" si="147"/>
        <v>#N/A</v>
      </c>
      <c r="AT285" s="7" t="str">
        <f t="shared" si="137"/>
        <v/>
      </c>
      <c r="AU285" s="7" t="str">
        <f t="shared" si="138"/>
        <v/>
      </c>
      <c r="AV285" s="7" t="str">
        <f t="shared" si="139"/>
        <v/>
      </c>
      <c r="AW285" s="7" t="str">
        <f t="shared" si="140"/>
        <v/>
      </c>
      <c r="AX285" s="97"/>
      <c r="BD285" s="453" t="s">
        <v>1051</v>
      </c>
      <c r="CG285"/>
      <c r="CH285"/>
      <c r="CK285" s="592" t="str">
        <f t="shared" si="148"/>
        <v/>
      </c>
      <c r="CL285" s="421" t="str">
        <f t="shared" si="149"/>
        <v/>
      </c>
      <c r="CM285" s="594"/>
      <c r="CN285" s="594"/>
      <c r="CO285" s="594"/>
      <c r="CP285" s="594"/>
      <c r="CQ285" s="594"/>
      <c r="CR285" s="594"/>
    </row>
    <row r="286" spans="1:96" s="13" customFormat="1" ht="13.75" customHeight="1">
      <c r="A286" s="137">
        <v>271</v>
      </c>
      <c r="B286" s="138"/>
      <c r="C286" s="139"/>
      <c r="D286" s="140"/>
      <c r="E286" s="139"/>
      <c r="F286" s="139"/>
      <c r="G286" s="191"/>
      <c r="H286" s="139"/>
      <c r="I286" s="141"/>
      <c r="J286" s="142"/>
      <c r="K286" s="139"/>
      <c r="L286" s="147"/>
      <c r="M286" s="148"/>
      <c r="N286" s="139"/>
      <c r="O286" s="589"/>
      <c r="P286" s="229" t="str">
        <f t="shared" si="141"/>
        <v/>
      </c>
      <c r="Q286" s="229" t="str">
        <f t="shared" si="142"/>
        <v/>
      </c>
      <c r="R286" s="230" t="str">
        <f t="shared" si="143"/>
        <v/>
      </c>
      <c r="S286" s="230" t="str">
        <f t="shared" si="144"/>
        <v/>
      </c>
      <c r="T286" s="351"/>
      <c r="U286" s="43"/>
      <c r="V286" s="42" t="str">
        <f t="shared" si="120"/>
        <v/>
      </c>
      <c r="W286" s="42" t="e">
        <f>IF(#REF!="","",#REF!)</f>
        <v>#REF!</v>
      </c>
      <c r="X286" s="31" t="str">
        <f t="shared" si="121"/>
        <v/>
      </c>
      <c r="Y286" s="7" t="e">
        <f t="shared" si="122"/>
        <v>#N/A</v>
      </c>
      <c r="Z286" s="7" t="e">
        <f t="shared" si="123"/>
        <v>#N/A</v>
      </c>
      <c r="AA286" s="7" t="e">
        <f t="shared" si="124"/>
        <v>#N/A</v>
      </c>
      <c r="AB286" s="7" t="str">
        <f t="shared" si="125"/>
        <v/>
      </c>
      <c r="AC286" s="11">
        <f t="shared" si="126"/>
        <v>1</v>
      </c>
      <c r="AD286" s="7" t="e">
        <f t="shared" si="127"/>
        <v>#N/A</v>
      </c>
      <c r="AE286" s="7" t="e">
        <f t="shared" si="128"/>
        <v>#N/A</v>
      </c>
      <c r="AF286" s="7" t="e">
        <f t="shared" si="129"/>
        <v>#N/A</v>
      </c>
      <c r="AG286" s="472" t="e">
        <f>VLOOKUP(AI286,'排出係数(2017)'!$A$4:$I$1151,9,FALSE)</f>
        <v>#N/A</v>
      </c>
      <c r="AH286" s="12" t="str">
        <f t="shared" si="130"/>
        <v xml:space="preserve"> </v>
      </c>
      <c r="AI286" s="7" t="e">
        <f t="shared" si="145"/>
        <v>#N/A</v>
      </c>
      <c r="AJ286" s="7" t="e">
        <f t="shared" si="131"/>
        <v>#N/A</v>
      </c>
      <c r="AK286" s="472" t="e">
        <f>VLOOKUP(AI286,'排出係数(2017)'!$A$4:$I$1151,6,FALSE)</f>
        <v>#N/A</v>
      </c>
      <c r="AL286" s="7" t="e">
        <f t="shared" si="132"/>
        <v>#N/A</v>
      </c>
      <c r="AM286" s="7" t="e">
        <f t="shared" si="133"/>
        <v>#N/A</v>
      </c>
      <c r="AN286" s="472" t="e">
        <f>VLOOKUP(AI286,'排出係数(2017)'!$A$4:$I$1151,7,FALSE)</f>
        <v>#N/A</v>
      </c>
      <c r="AO286" s="7" t="e">
        <f t="shared" si="134"/>
        <v>#N/A</v>
      </c>
      <c r="AP286" s="7" t="e">
        <f t="shared" si="135"/>
        <v>#N/A</v>
      </c>
      <c r="AQ286" s="7" t="e">
        <f t="shared" si="146"/>
        <v>#N/A</v>
      </c>
      <c r="AR286" s="7">
        <f t="shared" si="136"/>
        <v>0</v>
      </c>
      <c r="AS286" s="7" t="e">
        <f t="shared" si="147"/>
        <v>#N/A</v>
      </c>
      <c r="AT286" s="7" t="str">
        <f t="shared" si="137"/>
        <v/>
      </c>
      <c r="AU286" s="7" t="str">
        <f t="shared" si="138"/>
        <v/>
      </c>
      <c r="AV286" s="7" t="str">
        <f t="shared" si="139"/>
        <v/>
      </c>
      <c r="AW286" s="7" t="str">
        <f t="shared" si="140"/>
        <v/>
      </c>
      <c r="AX286" s="97"/>
      <c r="BD286" s="453" t="s">
        <v>77</v>
      </c>
      <c r="CG286"/>
      <c r="CH286"/>
      <c r="CK286" s="592" t="str">
        <f t="shared" si="148"/>
        <v/>
      </c>
      <c r="CL286" s="421" t="str">
        <f t="shared" si="149"/>
        <v/>
      </c>
      <c r="CM286" s="594"/>
      <c r="CN286" s="594"/>
      <c r="CO286" s="594"/>
      <c r="CP286" s="594"/>
      <c r="CQ286" s="594"/>
      <c r="CR286" s="594"/>
    </row>
    <row r="287" spans="1:96" s="13" customFormat="1" ht="13.75" customHeight="1">
      <c r="A287" s="137">
        <v>272</v>
      </c>
      <c r="B287" s="138"/>
      <c r="C287" s="139"/>
      <c r="D287" s="140"/>
      <c r="E287" s="139"/>
      <c r="F287" s="139"/>
      <c r="G287" s="191"/>
      <c r="H287" s="139"/>
      <c r="I287" s="141"/>
      <c r="J287" s="142"/>
      <c r="K287" s="139"/>
      <c r="L287" s="147"/>
      <c r="M287" s="148"/>
      <c r="N287" s="139"/>
      <c r="O287" s="589"/>
      <c r="P287" s="229" t="str">
        <f t="shared" si="141"/>
        <v/>
      </c>
      <c r="Q287" s="229" t="str">
        <f t="shared" si="142"/>
        <v/>
      </c>
      <c r="R287" s="230" t="str">
        <f t="shared" si="143"/>
        <v/>
      </c>
      <c r="S287" s="230" t="str">
        <f t="shared" si="144"/>
        <v/>
      </c>
      <c r="T287" s="351"/>
      <c r="U287" s="43"/>
      <c r="V287" s="42" t="str">
        <f t="shared" si="120"/>
        <v/>
      </c>
      <c r="W287" s="42" t="e">
        <f>IF(#REF!="","",#REF!)</f>
        <v>#REF!</v>
      </c>
      <c r="X287" s="31" t="str">
        <f t="shared" si="121"/>
        <v/>
      </c>
      <c r="Y287" s="7" t="e">
        <f t="shared" si="122"/>
        <v>#N/A</v>
      </c>
      <c r="Z287" s="7" t="e">
        <f t="shared" si="123"/>
        <v>#N/A</v>
      </c>
      <c r="AA287" s="7" t="e">
        <f t="shared" si="124"/>
        <v>#N/A</v>
      </c>
      <c r="AB287" s="7" t="str">
        <f t="shared" si="125"/>
        <v/>
      </c>
      <c r="AC287" s="11">
        <f t="shared" si="126"/>
        <v>1</v>
      </c>
      <c r="AD287" s="7" t="e">
        <f t="shared" si="127"/>
        <v>#N/A</v>
      </c>
      <c r="AE287" s="7" t="e">
        <f t="shared" si="128"/>
        <v>#N/A</v>
      </c>
      <c r="AF287" s="7" t="e">
        <f t="shared" si="129"/>
        <v>#N/A</v>
      </c>
      <c r="AG287" s="472" t="e">
        <f>VLOOKUP(AI287,'排出係数(2017)'!$A$4:$I$1151,9,FALSE)</f>
        <v>#N/A</v>
      </c>
      <c r="AH287" s="12" t="str">
        <f t="shared" si="130"/>
        <v xml:space="preserve"> </v>
      </c>
      <c r="AI287" s="7" t="e">
        <f t="shared" si="145"/>
        <v>#N/A</v>
      </c>
      <c r="AJ287" s="7" t="e">
        <f t="shared" si="131"/>
        <v>#N/A</v>
      </c>
      <c r="AK287" s="472" t="e">
        <f>VLOOKUP(AI287,'排出係数(2017)'!$A$4:$I$1151,6,FALSE)</f>
        <v>#N/A</v>
      </c>
      <c r="AL287" s="7" t="e">
        <f t="shared" si="132"/>
        <v>#N/A</v>
      </c>
      <c r="AM287" s="7" t="e">
        <f t="shared" si="133"/>
        <v>#N/A</v>
      </c>
      <c r="AN287" s="472" t="e">
        <f>VLOOKUP(AI287,'排出係数(2017)'!$A$4:$I$1151,7,FALSE)</f>
        <v>#N/A</v>
      </c>
      <c r="AO287" s="7" t="e">
        <f t="shared" si="134"/>
        <v>#N/A</v>
      </c>
      <c r="AP287" s="7" t="e">
        <f t="shared" si="135"/>
        <v>#N/A</v>
      </c>
      <c r="AQ287" s="7" t="e">
        <f t="shared" si="146"/>
        <v>#N/A</v>
      </c>
      <c r="AR287" s="7">
        <f t="shared" si="136"/>
        <v>0</v>
      </c>
      <c r="AS287" s="7" t="e">
        <f t="shared" si="147"/>
        <v>#N/A</v>
      </c>
      <c r="AT287" s="7" t="str">
        <f t="shared" si="137"/>
        <v/>
      </c>
      <c r="AU287" s="7" t="str">
        <f t="shared" si="138"/>
        <v/>
      </c>
      <c r="AV287" s="7" t="str">
        <f t="shared" si="139"/>
        <v/>
      </c>
      <c r="AW287" s="7" t="str">
        <f t="shared" si="140"/>
        <v/>
      </c>
      <c r="AX287" s="97"/>
      <c r="BD287" s="473" t="s">
        <v>1061</v>
      </c>
      <c r="CG287"/>
      <c r="CH287"/>
      <c r="CK287" s="592" t="str">
        <f t="shared" si="148"/>
        <v/>
      </c>
      <c r="CL287" s="421" t="str">
        <f t="shared" si="149"/>
        <v/>
      </c>
      <c r="CM287" s="594"/>
      <c r="CN287" s="594"/>
      <c r="CO287" s="594"/>
      <c r="CP287" s="594"/>
      <c r="CQ287" s="594"/>
      <c r="CR287" s="594"/>
    </row>
    <row r="288" spans="1:96" s="13" customFormat="1" ht="13.75" customHeight="1">
      <c r="A288" s="137">
        <v>273</v>
      </c>
      <c r="B288" s="138"/>
      <c r="C288" s="139"/>
      <c r="D288" s="140"/>
      <c r="E288" s="139"/>
      <c r="F288" s="139"/>
      <c r="G288" s="191"/>
      <c r="H288" s="139"/>
      <c r="I288" s="141"/>
      <c r="J288" s="142"/>
      <c r="K288" s="139"/>
      <c r="L288" s="147"/>
      <c r="M288" s="148"/>
      <c r="N288" s="139"/>
      <c r="O288" s="589"/>
      <c r="P288" s="229" t="str">
        <f t="shared" si="141"/>
        <v/>
      </c>
      <c r="Q288" s="229" t="str">
        <f t="shared" si="142"/>
        <v/>
      </c>
      <c r="R288" s="230" t="str">
        <f t="shared" si="143"/>
        <v/>
      </c>
      <c r="S288" s="230" t="str">
        <f t="shared" si="144"/>
        <v/>
      </c>
      <c r="T288" s="351"/>
      <c r="U288" s="43"/>
      <c r="V288" s="42" t="str">
        <f t="shared" si="120"/>
        <v/>
      </c>
      <c r="W288" s="42" t="e">
        <f>IF(#REF!="","",#REF!)</f>
        <v>#REF!</v>
      </c>
      <c r="X288" s="31" t="str">
        <f t="shared" si="121"/>
        <v/>
      </c>
      <c r="Y288" s="7" t="e">
        <f t="shared" si="122"/>
        <v>#N/A</v>
      </c>
      <c r="Z288" s="7" t="e">
        <f t="shared" si="123"/>
        <v>#N/A</v>
      </c>
      <c r="AA288" s="7" t="e">
        <f t="shared" si="124"/>
        <v>#N/A</v>
      </c>
      <c r="AB288" s="7" t="str">
        <f t="shared" si="125"/>
        <v/>
      </c>
      <c r="AC288" s="11">
        <f t="shared" si="126"/>
        <v>1</v>
      </c>
      <c r="AD288" s="7" t="e">
        <f t="shared" si="127"/>
        <v>#N/A</v>
      </c>
      <c r="AE288" s="7" t="e">
        <f t="shared" si="128"/>
        <v>#N/A</v>
      </c>
      <c r="AF288" s="7" t="e">
        <f t="shared" si="129"/>
        <v>#N/A</v>
      </c>
      <c r="AG288" s="472" t="e">
        <f>VLOOKUP(AI288,'排出係数(2017)'!$A$4:$I$1151,9,FALSE)</f>
        <v>#N/A</v>
      </c>
      <c r="AH288" s="12" t="str">
        <f t="shared" si="130"/>
        <v xml:space="preserve"> </v>
      </c>
      <c r="AI288" s="7" t="e">
        <f t="shared" si="145"/>
        <v>#N/A</v>
      </c>
      <c r="AJ288" s="7" t="e">
        <f t="shared" si="131"/>
        <v>#N/A</v>
      </c>
      <c r="AK288" s="472" t="e">
        <f>VLOOKUP(AI288,'排出係数(2017)'!$A$4:$I$1151,6,FALSE)</f>
        <v>#N/A</v>
      </c>
      <c r="AL288" s="7" t="e">
        <f t="shared" si="132"/>
        <v>#N/A</v>
      </c>
      <c r="AM288" s="7" t="e">
        <f t="shared" si="133"/>
        <v>#N/A</v>
      </c>
      <c r="AN288" s="472" t="e">
        <f>VLOOKUP(AI288,'排出係数(2017)'!$A$4:$I$1151,7,FALSE)</f>
        <v>#N/A</v>
      </c>
      <c r="AO288" s="7" t="e">
        <f t="shared" si="134"/>
        <v>#N/A</v>
      </c>
      <c r="AP288" s="7" t="e">
        <f t="shared" si="135"/>
        <v>#N/A</v>
      </c>
      <c r="AQ288" s="7" t="e">
        <f t="shared" si="146"/>
        <v>#N/A</v>
      </c>
      <c r="AR288" s="7">
        <f t="shared" si="136"/>
        <v>0</v>
      </c>
      <c r="AS288" s="7" t="e">
        <f t="shared" si="147"/>
        <v>#N/A</v>
      </c>
      <c r="AT288" s="7" t="str">
        <f t="shared" si="137"/>
        <v/>
      </c>
      <c r="AU288" s="7" t="str">
        <f t="shared" si="138"/>
        <v/>
      </c>
      <c r="AV288" s="7" t="str">
        <f t="shared" si="139"/>
        <v/>
      </c>
      <c r="AW288" s="7" t="str">
        <f t="shared" si="140"/>
        <v/>
      </c>
      <c r="AX288" s="97"/>
      <c r="BD288" s="453" t="s">
        <v>1217</v>
      </c>
      <c r="CG288"/>
      <c r="CH288"/>
      <c r="CK288" s="592" t="str">
        <f t="shared" si="148"/>
        <v/>
      </c>
      <c r="CL288" s="421" t="str">
        <f t="shared" si="149"/>
        <v/>
      </c>
      <c r="CM288" s="594"/>
      <c r="CN288" s="594"/>
      <c r="CO288" s="594"/>
      <c r="CP288" s="594"/>
      <c r="CQ288" s="594"/>
      <c r="CR288" s="594"/>
    </row>
    <row r="289" spans="1:96" s="13" customFormat="1" ht="13.75" customHeight="1">
      <c r="A289" s="137">
        <v>274</v>
      </c>
      <c r="B289" s="138"/>
      <c r="C289" s="139"/>
      <c r="D289" s="140"/>
      <c r="E289" s="139"/>
      <c r="F289" s="139"/>
      <c r="G289" s="191"/>
      <c r="H289" s="139"/>
      <c r="I289" s="141"/>
      <c r="J289" s="142"/>
      <c r="K289" s="139"/>
      <c r="L289" s="147"/>
      <c r="M289" s="148"/>
      <c r="N289" s="139"/>
      <c r="O289" s="589"/>
      <c r="P289" s="229" t="str">
        <f t="shared" si="141"/>
        <v/>
      </c>
      <c r="Q289" s="229" t="str">
        <f t="shared" si="142"/>
        <v/>
      </c>
      <c r="R289" s="230" t="str">
        <f t="shared" si="143"/>
        <v/>
      </c>
      <c r="S289" s="230" t="str">
        <f t="shared" si="144"/>
        <v/>
      </c>
      <c r="T289" s="351"/>
      <c r="U289" s="43"/>
      <c r="V289" s="42" t="str">
        <f t="shared" si="120"/>
        <v/>
      </c>
      <c r="W289" s="42" t="e">
        <f>IF(#REF!="","",#REF!)</f>
        <v>#REF!</v>
      </c>
      <c r="X289" s="31" t="str">
        <f t="shared" si="121"/>
        <v/>
      </c>
      <c r="Y289" s="7" t="e">
        <f t="shared" si="122"/>
        <v>#N/A</v>
      </c>
      <c r="Z289" s="7" t="e">
        <f t="shared" si="123"/>
        <v>#N/A</v>
      </c>
      <c r="AA289" s="7" t="e">
        <f t="shared" si="124"/>
        <v>#N/A</v>
      </c>
      <c r="AB289" s="7" t="str">
        <f t="shared" si="125"/>
        <v/>
      </c>
      <c r="AC289" s="11">
        <f t="shared" si="126"/>
        <v>1</v>
      </c>
      <c r="AD289" s="7" t="e">
        <f t="shared" si="127"/>
        <v>#N/A</v>
      </c>
      <c r="AE289" s="7" t="e">
        <f t="shared" si="128"/>
        <v>#N/A</v>
      </c>
      <c r="AF289" s="7" t="e">
        <f t="shared" si="129"/>
        <v>#N/A</v>
      </c>
      <c r="AG289" s="472" t="e">
        <f>VLOOKUP(AI289,'排出係数(2017)'!$A$4:$I$1151,9,FALSE)</f>
        <v>#N/A</v>
      </c>
      <c r="AH289" s="12" t="str">
        <f t="shared" si="130"/>
        <v xml:space="preserve"> </v>
      </c>
      <c r="AI289" s="7" t="e">
        <f t="shared" si="145"/>
        <v>#N/A</v>
      </c>
      <c r="AJ289" s="7" t="e">
        <f t="shared" si="131"/>
        <v>#N/A</v>
      </c>
      <c r="AK289" s="472" t="e">
        <f>VLOOKUP(AI289,'排出係数(2017)'!$A$4:$I$1151,6,FALSE)</f>
        <v>#N/A</v>
      </c>
      <c r="AL289" s="7" t="e">
        <f t="shared" si="132"/>
        <v>#N/A</v>
      </c>
      <c r="AM289" s="7" t="e">
        <f t="shared" si="133"/>
        <v>#N/A</v>
      </c>
      <c r="AN289" s="472" t="e">
        <f>VLOOKUP(AI289,'排出係数(2017)'!$A$4:$I$1151,7,FALSE)</f>
        <v>#N/A</v>
      </c>
      <c r="AO289" s="7" t="e">
        <f t="shared" si="134"/>
        <v>#N/A</v>
      </c>
      <c r="AP289" s="7" t="e">
        <f t="shared" si="135"/>
        <v>#N/A</v>
      </c>
      <c r="AQ289" s="7" t="e">
        <f t="shared" si="146"/>
        <v>#N/A</v>
      </c>
      <c r="AR289" s="7">
        <f t="shared" si="136"/>
        <v>0</v>
      </c>
      <c r="AS289" s="7" t="e">
        <f t="shared" si="147"/>
        <v>#N/A</v>
      </c>
      <c r="AT289" s="7" t="str">
        <f t="shared" si="137"/>
        <v/>
      </c>
      <c r="AU289" s="7" t="str">
        <f t="shared" si="138"/>
        <v/>
      </c>
      <c r="AV289" s="7" t="str">
        <f t="shared" si="139"/>
        <v/>
      </c>
      <c r="AW289" s="7" t="str">
        <f t="shared" si="140"/>
        <v/>
      </c>
      <c r="AX289" s="97"/>
      <c r="BD289" s="473" t="s">
        <v>1053</v>
      </c>
      <c r="CG289"/>
      <c r="CH289"/>
      <c r="CK289" s="592" t="str">
        <f t="shared" si="148"/>
        <v/>
      </c>
      <c r="CL289" s="421" t="str">
        <f t="shared" si="149"/>
        <v/>
      </c>
      <c r="CM289" s="594"/>
      <c r="CN289" s="594"/>
      <c r="CO289" s="594"/>
      <c r="CP289" s="594"/>
      <c r="CQ289" s="594"/>
      <c r="CR289" s="594"/>
    </row>
    <row r="290" spans="1:96" s="13" customFormat="1" ht="13.75" customHeight="1">
      <c r="A290" s="137">
        <v>275</v>
      </c>
      <c r="B290" s="138"/>
      <c r="C290" s="139"/>
      <c r="D290" s="140"/>
      <c r="E290" s="139"/>
      <c r="F290" s="139"/>
      <c r="G290" s="191"/>
      <c r="H290" s="139"/>
      <c r="I290" s="141"/>
      <c r="J290" s="142"/>
      <c r="K290" s="139"/>
      <c r="L290" s="147"/>
      <c r="M290" s="148"/>
      <c r="N290" s="139"/>
      <c r="O290" s="589"/>
      <c r="P290" s="229" t="str">
        <f t="shared" si="141"/>
        <v/>
      </c>
      <c r="Q290" s="229" t="str">
        <f t="shared" si="142"/>
        <v/>
      </c>
      <c r="R290" s="230" t="str">
        <f t="shared" si="143"/>
        <v/>
      </c>
      <c r="S290" s="230" t="str">
        <f t="shared" si="144"/>
        <v/>
      </c>
      <c r="T290" s="351"/>
      <c r="U290" s="43"/>
      <c r="V290" s="42" t="str">
        <f t="shared" si="120"/>
        <v/>
      </c>
      <c r="W290" s="42" t="e">
        <f>IF(#REF!="","",#REF!)</f>
        <v>#REF!</v>
      </c>
      <c r="X290" s="31" t="str">
        <f t="shared" si="121"/>
        <v/>
      </c>
      <c r="Y290" s="7" t="e">
        <f t="shared" si="122"/>
        <v>#N/A</v>
      </c>
      <c r="Z290" s="7" t="e">
        <f t="shared" si="123"/>
        <v>#N/A</v>
      </c>
      <c r="AA290" s="7" t="e">
        <f t="shared" si="124"/>
        <v>#N/A</v>
      </c>
      <c r="AB290" s="7" t="str">
        <f t="shared" si="125"/>
        <v/>
      </c>
      <c r="AC290" s="11">
        <f t="shared" si="126"/>
        <v>1</v>
      </c>
      <c r="AD290" s="7" t="e">
        <f t="shared" si="127"/>
        <v>#N/A</v>
      </c>
      <c r="AE290" s="7" t="e">
        <f t="shared" si="128"/>
        <v>#N/A</v>
      </c>
      <c r="AF290" s="7" t="e">
        <f t="shared" si="129"/>
        <v>#N/A</v>
      </c>
      <c r="AG290" s="472" t="e">
        <f>VLOOKUP(AI290,'排出係数(2017)'!$A$4:$I$1151,9,FALSE)</f>
        <v>#N/A</v>
      </c>
      <c r="AH290" s="12" t="str">
        <f t="shared" si="130"/>
        <v xml:space="preserve"> </v>
      </c>
      <c r="AI290" s="7" t="e">
        <f t="shared" si="145"/>
        <v>#N/A</v>
      </c>
      <c r="AJ290" s="7" t="e">
        <f t="shared" si="131"/>
        <v>#N/A</v>
      </c>
      <c r="AK290" s="472" t="e">
        <f>VLOOKUP(AI290,'排出係数(2017)'!$A$4:$I$1151,6,FALSE)</f>
        <v>#N/A</v>
      </c>
      <c r="AL290" s="7" t="e">
        <f t="shared" si="132"/>
        <v>#N/A</v>
      </c>
      <c r="AM290" s="7" t="e">
        <f t="shared" si="133"/>
        <v>#N/A</v>
      </c>
      <c r="AN290" s="472" t="e">
        <f>VLOOKUP(AI290,'排出係数(2017)'!$A$4:$I$1151,7,FALSE)</f>
        <v>#N/A</v>
      </c>
      <c r="AO290" s="7" t="e">
        <f t="shared" si="134"/>
        <v>#N/A</v>
      </c>
      <c r="AP290" s="7" t="e">
        <f t="shared" si="135"/>
        <v>#N/A</v>
      </c>
      <c r="AQ290" s="7" t="e">
        <f t="shared" si="146"/>
        <v>#N/A</v>
      </c>
      <c r="AR290" s="7">
        <f t="shared" si="136"/>
        <v>0</v>
      </c>
      <c r="AS290" s="7" t="e">
        <f t="shared" si="147"/>
        <v>#N/A</v>
      </c>
      <c r="AT290" s="7" t="str">
        <f t="shared" si="137"/>
        <v/>
      </c>
      <c r="AU290" s="7" t="str">
        <f t="shared" si="138"/>
        <v/>
      </c>
      <c r="AV290" s="7" t="str">
        <f t="shared" si="139"/>
        <v/>
      </c>
      <c r="AW290" s="7" t="str">
        <f t="shared" si="140"/>
        <v/>
      </c>
      <c r="AX290" s="97"/>
      <c r="BD290" s="453" t="s">
        <v>2529</v>
      </c>
      <c r="CG290"/>
      <c r="CH290"/>
      <c r="CK290" s="592" t="str">
        <f t="shared" si="148"/>
        <v/>
      </c>
      <c r="CL290" s="421" t="str">
        <f t="shared" si="149"/>
        <v/>
      </c>
      <c r="CM290" s="594"/>
      <c r="CN290" s="594"/>
      <c r="CO290" s="594"/>
      <c r="CP290" s="594"/>
      <c r="CQ290" s="594"/>
      <c r="CR290" s="594"/>
    </row>
    <row r="291" spans="1:96" s="13" customFormat="1" ht="13.75" customHeight="1">
      <c r="A291" s="137">
        <v>276</v>
      </c>
      <c r="B291" s="138"/>
      <c r="C291" s="139"/>
      <c r="D291" s="140"/>
      <c r="E291" s="139"/>
      <c r="F291" s="139"/>
      <c r="G291" s="191"/>
      <c r="H291" s="139"/>
      <c r="I291" s="141"/>
      <c r="J291" s="142"/>
      <c r="K291" s="139"/>
      <c r="L291" s="147"/>
      <c r="M291" s="148"/>
      <c r="N291" s="139"/>
      <c r="O291" s="589"/>
      <c r="P291" s="229" t="str">
        <f t="shared" si="141"/>
        <v/>
      </c>
      <c r="Q291" s="229" t="str">
        <f t="shared" si="142"/>
        <v/>
      </c>
      <c r="R291" s="230" t="str">
        <f t="shared" si="143"/>
        <v/>
      </c>
      <c r="S291" s="230" t="str">
        <f t="shared" si="144"/>
        <v/>
      </c>
      <c r="T291" s="351"/>
      <c r="U291" s="43"/>
      <c r="V291" s="42" t="str">
        <f t="shared" si="120"/>
        <v/>
      </c>
      <c r="W291" s="42" t="e">
        <f>IF(#REF!="","",#REF!)</f>
        <v>#REF!</v>
      </c>
      <c r="X291" s="31" t="str">
        <f t="shared" si="121"/>
        <v/>
      </c>
      <c r="Y291" s="7" t="e">
        <f t="shared" si="122"/>
        <v>#N/A</v>
      </c>
      <c r="Z291" s="7" t="e">
        <f t="shared" si="123"/>
        <v>#N/A</v>
      </c>
      <c r="AA291" s="7" t="e">
        <f t="shared" si="124"/>
        <v>#N/A</v>
      </c>
      <c r="AB291" s="7" t="str">
        <f t="shared" si="125"/>
        <v/>
      </c>
      <c r="AC291" s="11">
        <f t="shared" si="126"/>
        <v>1</v>
      </c>
      <c r="AD291" s="7" t="e">
        <f t="shared" si="127"/>
        <v>#N/A</v>
      </c>
      <c r="AE291" s="7" t="e">
        <f t="shared" si="128"/>
        <v>#N/A</v>
      </c>
      <c r="AF291" s="7" t="e">
        <f t="shared" si="129"/>
        <v>#N/A</v>
      </c>
      <c r="AG291" s="472" t="e">
        <f>VLOOKUP(AI291,'排出係数(2017)'!$A$4:$I$1151,9,FALSE)</f>
        <v>#N/A</v>
      </c>
      <c r="AH291" s="12" t="str">
        <f t="shared" si="130"/>
        <v xml:space="preserve"> </v>
      </c>
      <c r="AI291" s="7" t="e">
        <f t="shared" si="145"/>
        <v>#N/A</v>
      </c>
      <c r="AJ291" s="7" t="e">
        <f t="shared" si="131"/>
        <v>#N/A</v>
      </c>
      <c r="AK291" s="472" t="e">
        <f>VLOOKUP(AI291,'排出係数(2017)'!$A$4:$I$1151,6,FALSE)</f>
        <v>#N/A</v>
      </c>
      <c r="AL291" s="7" t="e">
        <f t="shared" si="132"/>
        <v>#N/A</v>
      </c>
      <c r="AM291" s="7" t="e">
        <f t="shared" si="133"/>
        <v>#N/A</v>
      </c>
      <c r="AN291" s="472" t="e">
        <f>VLOOKUP(AI291,'排出係数(2017)'!$A$4:$I$1151,7,FALSE)</f>
        <v>#N/A</v>
      </c>
      <c r="AO291" s="7" t="e">
        <f t="shared" si="134"/>
        <v>#N/A</v>
      </c>
      <c r="AP291" s="7" t="e">
        <f t="shared" si="135"/>
        <v>#N/A</v>
      </c>
      <c r="AQ291" s="7" t="e">
        <f t="shared" si="146"/>
        <v>#N/A</v>
      </c>
      <c r="AR291" s="7">
        <f t="shared" si="136"/>
        <v>0</v>
      </c>
      <c r="AS291" s="7" t="e">
        <f t="shared" si="147"/>
        <v>#N/A</v>
      </c>
      <c r="AT291" s="7" t="str">
        <f t="shared" si="137"/>
        <v/>
      </c>
      <c r="AU291" s="7" t="str">
        <f t="shared" si="138"/>
        <v/>
      </c>
      <c r="AV291" s="7" t="str">
        <f t="shared" si="139"/>
        <v/>
      </c>
      <c r="AW291" s="7" t="str">
        <f t="shared" si="140"/>
        <v/>
      </c>
      <c r="AX291" s="97"/>
      <c r="BD291" s="473" t="s">
        <v>2530</v>
      </c>
      <c r="CG291"/>
      <c r="CH291"/>
      <c r="CK291" s="592" t="str">
        <f t="shared" si="148"/>
        <v/>
      </c>
      <c r="CL291" s="421" t="str">
        <f t="shared" si="149"/>
        <v/>
      </c>
      <c r="CM291" s="594"/>
      <c r="CN291" s="594"/>
      <c r="CO291" s="594"/>
      <c r="CP291" s="594"/>
      <c r="CQ291" s="594"/>
      <c r="CR291" s="594"/>
    </row>
    <row r="292" spans="1:96" s="13" customFormat="1" ht="13.75" customHeight="1">
      <c r="A292" s="137">
        <v>277</v>
      </c>
      <c r="B292" s="138"/>
      <c r="C292" s="139"/>
      <c r="D292" s="140"/>
      <c r="E292" s="139"/>
      <c r="F292" s="139"/>
      <c r="G292" s="191"/>
      <c r="H292" s="139"/>
      <c r="I292" s="141"/>
      <c r="J292" s="142"/>
      <c r="K292" s="139"/>
      <c r="L292" s="147"/>
      <c r="M292" s="148"/>
      <c r="N292" s="139"/>
      <c r="O292" s="589"/>
      <c r="P292" s="229" t="str">
        <f t="shared" si="141"/>
        <v/>
      </c>
      <c r="Q292" s="229" t="str">
        <f t="shared" si="142"/>
        <v/>
      </c>
      <c r="R292" s="230" t="str">
        <f t="shared" si="143"/>
        <v/>
      </c>
      <c r="S292" s="230" t="str">
        <f t="shared" si="144"/>
        <v/>
      </c>
      <c r="T292" s="351"/>
      <c r="U292" s="43"/>
      <c r="V292" s="42" t="str">
        <f t="shared" si="120"/>
        <v/>
      </c>
      <c r="W292" s="42" t="e">
        <f>IF(#REF!="","",#REF!)</f>
        <v>#REF!</v>
      </c>
      <c r="X292" s="31" t="str">
        <f t="shared" si="121"/>
        <v/>
      </c>
      <c r="Y292" s="7" t="e">
        <f t="shared" si="122"/>
        <v>#N/A</v>
      </c>
      <c r="Z292" s="7" t="e">
        <f t="shared" si="123"/>
        <v>#N/A</v>
      </c>
      <c r="AA292" s="7" t="e">
        <f t="shared" si="124"/>
        <v>#N/A</v>
      </c>
      <c r="AB292" s="7" t="str">
        <f t="shared" si="125"/>
        <v/>
      </c>
      <c r="AC292" s="11">
        <f t="shared" si="126"/>
        <v>1</v>
      </c>
      <c r="AD292" s="7" t="e">
        <f t="shared" si="127"/>
        <v>#N/A</v>
      </c>
      <c r="AE292" s="7" t="e">
        <f t="shared" si="128"/>
        <v>#N/A</v>
      </c>
      <c r="AF292" s="7" t="e">
        <f t="shared" si="129"/>
        <v>#N/A</v>
      </c>
      <c r="AG292" s="472" t="e">
        <f>VLOOKUP(AI292,'排出係数(2017)'!$A$4:$I$1151,9,FALSE)</f>
        <v>#N/A</v>
      </c>
      <c r="AH292" s="12" t="str">
        <f t="shared" si="130"/>
        <v xml:space="preserve"> </v>
      </c>
      <c r="AI292" s="7" t="e">
        <f t="shared" si="145"/>
        <v>#N/A</v>
      </c>
      <c r="AJ292" s="7" t="e">
        <f t="shared" si="131"/>
        <v>#N/A</v>
      </c>
      <c r="AK292" s="472" t="e">
        <f>VLOOKUP(AI292,'排出係数(2017)'!$A$4:$I$1151,6,FALSE)</f>
        <v>#N/A</v>
      </c>
      <c r="AL292" s="7" t="e">
        <f t="shared" si="132"/>
        <v>#N/A</v>
      </c>
      <c r="AM292" s="7" t="e">
        <f t="shared" si="133"/>
        <v>#N/A</v>
      </c>
      <c r="AN292" s="472" t="e">
        <f>VLOOKUP(AI292,'排出係数(2017)'!$A$4:$I$1151,7,FALSE)</f>
        <v>#N/A</v>
      </c>
      <c r="AO292" s="7" t="e">
        <f t="shared" si="134"/>
        <v>#N/A</v>
      </c>
      <c r="AP292" s="7" t="e">
        <f t="shared" si="135"/>
        <v>#N/A</v>
      </c>
      <c r="AQ292" s="7" t="e">
        <f t="shared" si="146"/>
        <v>#N/A</v>
      </c>
      <c r="AR292" s="7">
        <f t="shared" si="136"/>
        <v>0</v>
      </c>
      <c r="AS292" s="7" t="e">
        <f t="shared" si="147"/>
        <v>#N/A</v>
      </c>
      <c r="AT292" s="7" t="str">
        <f t="shared" si="137"/>
        <v/>
      </c>
      <c r="AU292" s="7" t="str">
        <f t="shared" si="138"/>
        <v/>
      </c>
      <c r="AV292" s="7" t="str">
        <f t="shared" si="139"/>
        <v/>
      </c>
      <c r="AW292" s="7" t="str">
        <f t="shared" si="140"/>
        <v/>
      </c>
      <c r="AX292" s="97"/>
      <c r="BD292" s="453" t="s">
        <v>25</v>
      </c>
      <c r="CG292"/>
      <c r="CH292"/>
      <c r="CK292" s="592" t="str">
        <f t="shared" si="148"/>
        <v/>
      </c>
      <c r="CL292" s="421" t="str">
        <f t="shared" si="149"/>
        <v/>
      </c>
      <c r="CM292" s="594"/>
      <c r="CN292" s="594"/>
      <c r="CO292" s="594"/>
      <c r="CP292" s="594"/>
      <c r="CQ292" s="594"/>
      <c r="CR292" s="594"/>
    </row>
    <row r="293" spans="1:96" s="13" customFormat="1" ht="13.75" customHeight="1">
      <c r="A293" s="137">
        <v>278</v>
      </c>
      <c r="B293" s="138"/>
      <c r="C293" s="139"/>
      <c r="D293" s="140"/>
      <c r="E293" s="139"/>
      <c r="F293" s="139"/>
      <c r="G293" s="191"/>
      <c r="H293" s="139"/>
      <c r="I293" s="141"/>
      <c r="J293" s="142"/>
      <c r="K293" s="139"/>
      <c r="L293" s="147"/>
      <c r="M293" s="148"/>
      <c r="N293" s="139"/>
      <c r="O293" s="589"/>
      <c r="P293" s="229" t="str">
        <f t="shared" si="141"/>
        <v/>
      </c>
      <c r="Q293" s="229" t="str">
        <f t="shared" si="142"/>
        <v/>
      </c>
      <c r="R293" s="230" t="str">
        <f t="shared" si="143"/>
        <v/>
      </c>
      <c r="S293" s="230" t="str">
        <f t="shared" si="144"/>
        <v/>
      </c>
      <c r="T293" s="351"/>
      <c r="U293" s="43"/>
      <c r="V293" s="42" t="str">
        <f t="shared" si="120"/>
        <v/>
      </c>
      <c r="W293" s="42" t="e">
        <f>IF(#REF!="","",#REF!)</f>
        <v>#REF!</v>
      </c>
      <c r="X293" s="31" t="str">
        <f t="shared" si="121"/>
        <v/>
      </c>
      <c r="Y293" s="7" t="e">
        <f t="shared" si="122"/>
        <v>#N/A</v>
      </c>
      <c r="Z293" s="7" t="e">
        <f t="shared" si="123"/>
        <v>#N/A</v>
      </c>
      <c r="AA293" s="7" t="e">
        <f t="shared" si="124"/>
        <v>#N/A</v>
      </c>
      <c r="AB293" s="7" t="str">
        <f t="shared" si="125"/>
        <v/>
      </c>
      <c r="AC293" s="11">
        <f t="shared" si="126"/>
        <v>1</v>
      </c>
      <c r="AD293" s="7" t="e">
        <f t="shared" si="127"/>
        <v>#N/A</v>
      </c>
      <c r="AE293" s="7" t="e">
        <f t="shared" si="128"/>
        <v>#N/A</v>
      </c>
      <c r="AF293" s="7" t="e">
        <f t="shared" si="129"/>
        <v>#N/A</v>
      </c>
      <c r="AG293" s="472" t="e">
        <f>VLOOKUP(AI293,'排出係数(2017)'!$A$4:$I$1151,9,FALSE)</f>
        <v>#N/A</v>
      </c>
      <c r="AH293" s="12" t="str">
        <f t="shared" si="130"/>
        <v xml:space="preserve"> </v>
      </c>
      <c r="AI293" s="7" t="e">
        <f t="shared" si="145"/>
        <v>#N/A</v>
      </c>
      <c r="AJ293" s="7" t="e">
        <f t="shared" si="131"/>
        <v>#N/A</v>
      </c>
      <c r="AK293" s="472" t="e">
        <f>VLOOKUP(AI293,'排出係数(2017)'!$A$4:$I$1151,6,FALSE)</f>
        <v>#N/A</v>
      </c>
      <c r="AL293" s="7" t="e">
        <f t="shared" si="132"/>
        <v>#N/A</v>
      </c>
      <c r="AM293" s="7" t="e">
        <f t="shared" si="133"/>
        <v>#N/A</v>
      </c>
      <c r="AN293" s="472" t="e">
        <f>VLOOKUP(AI293,'排出係数(2017)'!$A$4:$I$1151,7,FALSE)</f>
        <v>#N/A</v>
      </c>
      <c r="AO293" s="7" t="e">
        <f t="shared" si="134"/>
        <v>#N/A</v>
      </c>
      <c r="AP293" s="7" t="e">
        <f t="shared" si="135"/>
        <v>#N/A</v>
      </c>
      <c r="AQ293" s="7" t="e">
        <f t="shared" si="146"/>
        <v>#N/A</v>
      </c>
      <c r="AR293" s="7">
        <f t="shared" si="136"/>
        <v>0</v>
      </c>
      <c r="AS293" s="7" t="e">
        <f t="shared" si="147"/>
        <v>#N/A</v>
      </c>
      <c r="AT293" s="7" t="str">
        <f t="shared" si="137"/>
        <v/>
      </c>
      <c r="AU293" s="7" t="str">
        <f t="shared" si="138"/>
        <v/>
      </c>
      <c r="AV293" s="7" t="str">
        <f t="shared" si="139"/>
        <v/>
      </c>
      <c r="AW293" s="7" t="str">
        <f t="shared" si="140"/>
        <v/>
      </c>
      <c r="AX293" s="97"/>
      <c r="BD293" s="453" t="s">
        <v>1424</v>
      </c>
      <c r="CG293"/>
      <c r="CH293"/>
      <c r="CK293" s="592" t="str">
        <f t="shared" si="148"/>
        <v/>
      </c>
      <c r="CL293" s="421" t="str">
        <f t="shared" si="149"/>
        <v/>
      </c>
      <c r="CM293" s="594"/>
      <c r="CN293" s="594"/>
      <c r="CO293" s="594"/>
      <c r="CP293" s="594"/>
      <c r="CQ293" s="594"/>
      <c r="CR293" s="594"/>
    </row>
    <row r="294" spans="1:96" s="13" customFormat="1" ht="13.75" customHeight="1">
      <c r="A294" s="137">
        <v>279</v>
      </c>
      <c r="B294" s="138"/>
      <c r="C294" s="139"/>
      <c r="D294" s="140"/>
      <c r="E294" s="139"/>
      <c r="F294" s="139"/>
      <c r="G294" s="191"/>
      <c r="H294" s="139"/>
      <c r="I294" s="141"/>
      <c r="J294" s="142"/>
      <c r="K294" s="139"/>
      <c r="L294" s="147"/>
      <c r="M294" s="148"/>
      <c r="N294" s="139"/>
      <c r="O294" s="589"/>
      <c r="P294" s="229" t="str">
        <f t="shared" si="141"/>
        <v/>
      </c>
      <c r="Q294" s="229" t="str">
        <f t="shared" si="142"/>
        <v/>
      </c>
      <c r="R294" s="230" t="str">
        <f t="shared" si="143"/>
        <v/>
      </c>
      <c r="S294" s="230" t="str">
        <f t="shared" si="144"/>
        <v/>
      </c>
      <c r="T294" s="351"/>
      <c r="U294" s="43"/>
      <c r="V294" s="42" t="str">
        <f t="shared" si="120"/>
        <v/>
      </c>
      <c r="W294" s="42" t="e">
        <f>IF(#REF!="","",#REF!)</f>
        <v>#REF!</v>
      </c>
      <c r="X294" s="31" t="str">
        <f t="shared" si="121"/>
        <v/>
      </c>
      <c r="Y294" s="7" t="e">
        <f t="shared" si="122"/>
        <v>#N/A</v>
      </c>
      <c r="Z294" s="7" t="e">
        <f t="shared" si="123"/>
        <v>#N/A</v>
      </c>
      <c r="AA294" s="7" t="e">
        <f t="shared" si="124"/>
        <v>#N/A</v>
      </c>
      <c r="AB294" s="7" t="str">
        <f t="shared" si="125"/>
        <v/>
      </c>
      <c r="AC294" s="11">
        <f t="shared" si="126"/>
        <v>1</v>
      </c>
      <c r="AD294" s="7" t="e">
        <f t="shared" si="127"/>
        <v>#N/A</v>
      </c>
      <c r="AE294" s="7" t="e">
        <f t="shared" si="128"/>
        <v>#N/A</v>
      </c>
      <c r="AF294" s="7" t="e">
        <f t="shared" si="129"/>
        <v>#N/A</v>
      </c>
      <c r="AG294" s="472" t="e">
        <f>VLOOKUP(AI294,'排出係数(2017)'!$A$4:$I$1151,9,FALSE)</f>
        <v>#N/A</v>
      </c>
      <c r="AH294" s="12" t="str">
        <f t="shared" si="130"/>
        <v xml:space="preserve"> </v>
      </c>
      <c r="AI294" s="7" t="e">
        <f t="shared" si="145"/>
        <v>#N/A</v>
      </c>
      <c r="AJ294" s="7" t="e">
        <f t="shared" si="131"/>
        <v>#N/A</v>
      </c>
      <c r="AK294" s="472" t="e">
        <f>VLOOKUP(AI294,'排出係数(2017)'!$A$4:$I$1151,6,FALSE)</f>
        <v>#N/A</v>
      </c>
      <c r="AL294" s="7" t="e">
        <f t="shared" si="132"/>
        <v>#N/A</v>
      </c>
      <c r="AM294" s="7" t="e">
        <f t="shared" si="133"/>
        <v>#N/A</v>
      </c>
      <c r="AN294" s="472" t="e">
        <f>VLOOKUP(AI294,'排出係数(2017)'!$A$4:$I$1151,7,FALSE)</f>
        <v>#N/A</v>
      </c>
      <c r="AO294" s="7" t="e">
        <f t="shared" si="134"/>
        <v>#N/A</v>
      </c>
      <c r="AP294" s="7" t="e">
        <f t="shared" si="135"/>
        <v>#N/A</v>
      </c>
      <c r="AQ294" s="7" t="e">
        <f t="shared" si="146"/>
        <v>#N/A</v>
      </c>
      <c r="AR294" s="7">
        <f t="shared" si="136"/>
        <v>0</v>
      </c>
      <c r="AS294" s="7" t="e">
        <f t="shared" si="147"/>
        <v>#N/A</v>
      </c>
      <c r="AT294" s="7" t="str">
        <f t="shared" si="137"/>
        <v/>
      </c>
      <c r="AU294" s="7" t="str">
        <f t="shared" si="138"/>
        <v/>
      </c>
      <c r="AV294" s="7" t="str">
        <f t="shared" si="139"/>
        <v/>
      </c>
      <c r="AW294" s="7" t="str">
        <f t="shared" si="140"/>
        <v/>
      </c>
      <c r="AX294" s="97"/>
      <c r="BD294" s="474" t="s">
        <v>275</v>
      </c>
      <c r="CG294"/>
      <c r="CH294"/>
      <c r="CK294" s="592" t="str">
        <f t="shared" si="148"/>
        <v/>
      </c>
      <c r="CL294" s="421" t="str">
        <f t="shared" si="149"/>
        <v/>
      </c>
      <c r="CM294" s="594"/>
      <c r="CN294" s="594"/>
      <c r="CO294" s="594"/>
      <c r="CP294" s="594"/>
      <c r="CQ294" s="594"/>
      <c r="CR294" s="594"/>
    </row>
    <row r="295" spans="1:96" s="13" customFormat="1" ht="13.75" customHeight="1">
      <c r="A295" s="137">
        <v>280</v>
      </c>
      <c r="B295" s="138"/>
      <c r="C295" s="139"/>
      <c r="D295" s="140"/>
      <c r="E295" s="139"/>
      <c r="F295" s="139"/>
      <c r="G295" s="191"/>
      <c r="H295" s="139"/>
      <c r="I295" s="141"/>
      <c r="J295" s="142"/>
      <c r="K295" s="139"/>
      <c r="L295" s="147"/>
      <c r="M295" s="148"/>
      <c r="N295" s="139"/>
      <c r="O295" s="589"/>
      <c r="P295" s="229" t="str">
        <f t="shared" si="141"/>
        <v/>
      </c>
      <c r="Q295" s="229" t="str">
        <f t="shared" si="142"/>
        <v/>
      </c>
      <c r="R295" s="230" t="str">
        <f t="shared" si="143"/>
        <v/>
      </c>
      <c r="S295" s="230" t="str">
        <f t="shared" si="144"/>
        <v/>
      </c>
      <c r="T295" s="351"/>
      <c r="U295" s="43"/>
      <c r="V295" s="42" t="str">
        <f t="shared" si="120"/>
        <v/>
      </c>
      <c r="W295" s="42" t="e">
        <f>IF(#REF!="","",#REF!)</f>
        <v>#REF!</v>
      </c>
      <c r="X295" s="31" t="str">
        <f t="shared" si="121"/>
        <v/>
      </c>
      <c r="Y295" s="7" t="e">
        <f t="shared" si="122"/>
        <v>#N/A</v>
      </c>
      <c r="Z295" s="7" t="e">
        <f t="shared" si="123"/>
        <v>#N/A</v>
      </c>
      <c r="AA295" s="7" t="e">
        <f t="shared" si="124"/>
        <v>#N/A</v>
      </c>
      <c r="AB295" s="7" t="str">
        <f t="shared" si="125"/>
        <v/>
      </c>
      <c r="AC295" s="11">
        <f t="shared" si="126"/>
        <v>1</v>
      </c>
      <c r="AD295" s="7" t="e">
        <f t="shared" si="127"/>
        <v>#N/A</v>
      </c>
      <c r="AE295" s="7" t="e">
        <f t="shared" si="128"/>
        <v>#N/A</v>
      </c>
      <c r="AF295" s="7" t="e">
        <f t="shared" si="129"/>
        <v>#N/A</v>
      </c>
      <c r="AG295" s="472" t="e">
        <f>VLOOKUP(AI295,'排出係数(2017)'!$A$4:$I$1151,9,FALSE)</f>
        <v>#N/A</v>
      </c>
      <c r="AH295" s="12" t="str">
        <f t="shared" si="130"/>
        <v xml:space="preserve"> </v>
      </c>
      <c r="AI295" s="7" t="e">
        <f t="shared" si="145"/>
        <v>#N/A</v>
      </c>
      <c r="AJ295" s="7" t="e">
        <f t="shared" si="131"/>
        <v>#N/A</v>
      </c>
      <c r="AK295" s="472" t="e">
        <f>VLOOKUP(AI295,'排出係数(2017)'!$A$4:$I$1151,6,FALSE)</f>
        <v>#N/A</v>
      </c>
      <c r="AL295" s="7" t="e">
        <f t="shared" si="132"/>
        <v>#N/A</v>
      </c>
      <c r="AM295" s="7" t="e">
        <f t="shared" si="133"/>
        <v>#N/A</v>
      </c>
      <c r="AN295" s="472" t="e">
        <f>VLOOKUP(AI295,'排出係数(2017)'!$A$4:$I$1151,7,FALSE)</f>
        <v>#N/A</v>
      </c>
      <c r="AO295" s="7" t="e">
        <f t="shared" si="134"/>
        <v>#N/A</v>
      </c>
      <c r="AP295" s="7" t="e">
        <f t="shared" si="135"/>
        <v>#N/A</v>
      </c>
      <c r="AQ295" s="7" t="e">
        <f t="shared" si="146"/>
        <v>#N/A</v>
      </c>
      <c r="AR295" s="7">
        <f t="shared" si="136"/>
        <v>0</v>
      </c>
      <c r="AS295" s="7" t="e">
        <f t="shared" si="147"/>
        <v>#N/A</v>
      </c>
      <c r="AT295" s="7" t="str">
        <f t="shared" si="137"/>
        <v/>
      </c>
      <c r="AU295" s="7" t="str">
        <f t="shared" si="138"/>
        <v/>
      </c>
      <c r="AV295" s="7" t="str">
        <f t="shared" si="139"/>
        <v/>
      </c>
      <c r="AW295" s="7" t="str">
        <f t="shared" si="140"/>
        <v/>
      </c>
      <c r="AX295" s="97"/>
      <c r="BD295" s="453" t="s">
        <v>321</v>
      </c>
      <c r="CG295"/>
      <c r="CH295"/>
      <c r="CK295" s="592" t="str">
        <f t="shared" si="148"/>
        <v/>
      </c>
      <c r="CL295" s="421" t="str">
        <f t="shared" si="149"/>
        <v/>
      </c>
      <c r="CM295" s="594"/>
      <c r="CN295" s="594"/>
      <c r="CO295" s="594"/>
      <c r="CP295" s="594"/>
      <c r="CQ295" s="594"/>
      <c r="CR295" s="594"/>
    </row>
    <row r="296" spans="1:96" s="13" customFormat="1" ht="13.75" customHeight="1">
      <c r="A296" s="137">
        <v>281</v>
      </c>
      <c r="B296" s="138"/>
      <c r="C296" s="139"/>
      <c r="D296" s="140"/>
      <c r="E296" s="139"/>
      <c r="F296" s="139"/>
      <c r="G296" s="191"/>
      <c r="H296" s="139"/>
      <c r="I296" s="141"/>
      <c r="J296" s="142"/>
      <c r="K296" s="139"/>
      <c r="L296" s="147"/>
      <c r="M296" s="148"/>
      <c r="N296" s="139"/>
      <c r="O296" s="589"/>
      <c r="P296" s="229" t="str">
        <f t="shared" si="141"/>
        <v/>
      </c>
      <c r="Q296" s="229" t="str">
        <f t="shared" si="142"/>
        <v/>
      </c>
      <c r="R296" s="230" t="str">
        <f t="shared" si="143"/>
        <v/>
      </c>
      <c r="S296" s="230" t="str">
        <f t="shared" si="144"/>
        <v/>
      </c>
      <c r="T296" s="351"/>
      <c r="U296" s="43"/>
      <c r="V296" s="42" t="str">
        <f t="shared" si="120"/>
        <v/>
      </c>
      <c r="W296" s="42" t="e">
        <f>IF(#REF!="","",#REF!)</f>
        <v>#REF!</v>
      </c>
      <c r="X296" s="31" t="str">
        <f t="shared" si="121"/>
        <v/>
      </c>
      <c r="Y296" s="7" t="e">
        <f t="shared" si="122"/>
        <v>#N/A</v>
      </c>
      <c r="Z296" s="7" t="e">
        <f t="shared" si="123"/>
        <v>#N/A</v>
      </c>
      <c r="AA296" s="7" t="e">
        <f t="shared" si="124"/>
        <v>#N/A</v>
      </c>
      <c r="AB296" s="7" t="str">
        <f t="shared" si="125"/>
        <v/>
      </c>
      <c r="AC296" s="11">
        <f t="shared" si="126"/>
        <v>1</v>
      </c>
      <c r="AD296" s="7" t="e">
        <f t="shared" si="127"/>
        <v>#N/A</v>
      </c>
      <c r="AE296" s="7" t="e">
        <f t="shared" si="128"/>
        <v>#N/A</v>
      </c>
      <c r="AF296" s="7" t="e">
        <f t="shared" si="129"/>
        <v>#N/A</v>
      </c>
      <c r="AG296" s="472" t="e">
        <f>VLOOKUP(AI296,'排出係数(2017)'!$A$4:$I$1151,9,FALSE)</f>
        <v>#N/A</v>
      </c>
      <c r="AH296" s="12" t="str">
        <f t="shared" si="130"/>
        <v xml:space="preserve"> </v>
      </c>
      <c r="AI296" s="7" t="e">
        <f t="shared" si="145"/>
        <v>#N/A</v>
      </c>
      <c r="AJ296" s="7" t="e">
        <f t="shared" si="131"/>
        <v>#N/A</v>
      </c>
      <c r="AK296" s="472" t="e">
        <f>VLOOKUP(AI296,'排出係数(2017)'!$A$4:$I$1151,6,FALSE)</f>
        <v>#N/A</v>
      </c>
      <c r="AL296" s="7" t="e">
        <f t="shared" si="132"/>
        <v>#N/A</v>
      </c>
      <c r="AM296" s="7" t="e">
        <f t="shared" si="133"/>
        <v>#N/A</v>
      </c>
      <c r="AN296" s="472" t="e">
        <f>VLOOKUP(AI296,'排出係数(2017)'!$A$4:$I$1151,7,FALSE)</f>
        <v>#N/A</v>
      </c>
      <c r="AO296" s="7" t="e">
        <f t="shared" si="134"/>
        <v>#N/A</v>
      </c>
      <c r="AP296" s="7" t="e">
        <f t="shared" si="135"/>
        <v>#N/A</v>
      </c>
      <c r="AQ296" s="7" t="e">
        <f t="shared" si="146"/>
        <v>#N/A</v>
      </c>
      <c r="AR296" s="7">
        <f t="shared" si="136"/>
        <v>0</v>
      </c>
      <c r="AS296" s="7" t="e">
        <f t="shared" si="147"/>
        <v>#N/A</v>
      </c>
      <c r="AT296" s="7" t="str">
        <f t="shared" si="137"/>
        <v/>
      </c>
      <c r="AU296" s="7" t="str">
        <f t="shared" si="138"/>
        <v/>
      </c>
      <c r="AV296" s="7" t="str">
        <f t="shared" si="139"/>
        <v/>
      </c>
      <c r="AW296" s="7" t="str">
        <f t="shared" si="140"/>
        <v/>
      </c>
      <c r="AX296" s="97"/>
      <c r="BD296" s="453" t="s">
        <v>401</v>
      </c>
      <c r="CG296"/>
      <c r="CH296"/>
      <c r="CK296" s="592" t="str">
        <f t="shared" si="148"/>
        <v/>
      </c>
      <c r="CL296" s="421" t="str">
        <f t="shared" si="149"/>
        <v/>
      </c>
      <c r="CM296" s="594"/>
      <c r="CN296" s="594"/>
      <c r="CO296" s="594"/>
      <c r="CP296" s="594"/>
      <c r="CQ296" s="594"/>
      <c r="CR296" s="594"/>
    </row>
    <row r="297" spans="1:96" s="13" customFormat="1" ht="13.75" customHeight="1">
      <c r="A297" s="137">
        <v>282</v>
      </c>
      <c r="B297" s="138"/>
      <c r="C297" s="139"/>
      <c r="D297" s="140"/>
      <c r="E297" s="139"/>
      <c r="F297" s="139"/>
      <c r="G297" s="191"/>
      <c r="H297" s="139"/>
      <c r="I297" s="141"/>
      <c r="J297" s="142"/>
      <c r="K297" s="139"/>
      <c r="L297" s="147"/>
      <c r="M297" s="148"/>
      <c r="N297" s="139"/>
      <c r="O297" s="589"/>
      <c r="P297" s="229" t="str">
        <f t="shared" si="141"/>
        <v/>
      </c>
      <c r="Q297" s="229" t="str">
        <f t="shared" si="142"/>
        <v/>
      </c>
      <c r="R297" s="230" t="str">
        <f t="shared" si="143"/>
        <v/>
      </c>
      <c r="S297" s="230" t="str">
        <f t="shared" si="144"/>
        <v/>
      </c>
      <c r="T297" s="351"/>
      <c r="U297" s="43"/>
      <c r="V297" s="42" t="str">
        <f t="shared" si="120"/>
        <v/>
      </c>
      <c r="W297" s="42" t="e">
        <f>IF(#REF!="","",#REF!)</f>
        <v>#REF!</v>
      </c>
      <c r="X297" s="31" t="str">
        <f t="shared" si="121"/>
        <v/>
      </c>
      <c r="Y297" s="7" t="e">
        <f t="shared" si="122"/>
        <v>#N/A</v>
      </c>
      <c r="Z297" s="7" t="e">
        <f t="shared" si="123"/>
        <v>#N/A</v>
      </c>
      <c r="AA297" s="7" t="e">
        <f t="shared" si="124"/>
        <v>#N/A</v>
      </c>
      <c r="AB297" s="7" t="str">
        <f t="shared" si="125"/>
        <v/>
      </c>
      <c r="AC297" s="11">
        <f t="shared" si="126"/>
        <v>1</v>
      </c>
      <c r="AD297" s="7" t="e">
        <f t="shared" si="127"/>
        <v>#N/A</v>
      </c>
      <c r="AE297" s="7" t="e">
        <f t="shared" si="128"/>
        <v>#N/A</v>
      </c>
      <c r="AF297" s="7" t="e">
        <f t="shared" si="129"/>
        <v>#N/A</v>
      </c>
      <c r="AG297" s="472" t="e">
        <f>VLOOKUP(AI297,'排出係数(2017)'!$A$4:$I$1151,9,FALSE)</f>
        <v>#N/A</v>
      </c>
      <c r="AH297" s="12" t="str">
        <f t="shared" si="130"/>
        <v xml:space="preserve"> </v>
      </c>
      <c r="AI297" s="7" t="e">
        <f t="shared" si="145"/>
        <v>#N/A</v>
      </c>
      <c r="AJ297" s="7" t="e">
        <f t="shared" si="131"/>
        <v>#N/A</v>
      </c>
      <c r="AK297" s="472" t="e">
        <f>VLOOKUP(AI297,'排出係数(2017)'!$A$4:$I$1151,6,FALSE)</f>
        <v>#N/A</v>
      </c>
      <c r="AL297" s="7" t="e">
        <f t="shared" si="132"/>
        <v>#N/A</v>
      </c>
      <c r="AM297" s="7" t="e">
        <f t="shared" si="133"/>
        <v>#N/A</v>
      </c>
      <c r="AN297" s="472" t="e">
        <f>VLOOKUP(AI297,'排出係数(2017)'!$A$4:$I$1151,7,FALSE)</f>
        <v>#N/A</v>
      </c>
      <c r="AO297" s="7" t="e">
        <f t="shared" si="134"/>
        <v>#N/A</v>
      </c>
      <c r="AP297" s="7" t="e">
        <f t="shared" si="135"/>
        <v>#N/A</v>
      </c>
      <c r="AQ297" s="7" t="e">
        <f t="shared" si="146"/>
        <v>#N/A</v>
      </c>
      <c r="AR297" s="7">
        <f t="shared" si="136"/>
        <v>0</v>
      </c>
      <c r="AS297" s="7" t="e">
        <f t="shared" si="147"/>
        <v>#N/A</v>
      </c>
      <c r="AT297" s="7" t="str">
        <f t="shared" si="137"/>
        <v/>
      </c>
      <c r="AU297" s="7" t="str">
        <f t="shared" si="138"/>
        <v/>
      </c>
      <c r="AV297" s="7" t="str">
        <f t="shared" si="139"/>
        <v/>
      </c>
      <c r="AW297" s="7" t="str">
        <f t="shared" si="140"/>
        <v/>
      </c>
      <c r="AX297" s="97"/>
      <c r="BD297" s="453" t="s">
        <v>1422</v>
      </c>
      <c r="CG297"/>
      <c r="CH297"/>
      <c r="CK297" s="592" t="str">
        <f t="shared" si="148"/>
        <v/>
      </c>
      <c r="CL297" s="421" t="str">
        <f t="shared" si="149"/>
        <v/>
      </c>
      <c r="CM297" s="594"/>
      <c r="CN297" s="594"/>
      <c r="CO297" s="594"/>
      <c r="CP297" s="594"/>
      <c r="CQ297" s="594"/>
      <c r="CR297" s="594"/>
    </row>
    <row r="298" spans="1:96" s="13" customFormat="1" ht="13.75" customHeight="1">
      <c r="A298" s="137">
        <v>283</v>
      </c>
      <c r="B298" s="138"/>
      <c r="C298" s="139"/>
      <c r="D298" s="140"/>
      <c r="E298" s="139"/>
      <c r="F298" s="139"/>
      <c r="G298" s="191"/>
      <c r="H298" s="139"/>
      <c r="I298" s="141"/>
      <c r="J298" s="142"/>
      <c r="K298" s="139"/>
      <c r="L298" s="147"/>
      <c r="M298" s="148"/>
      <c r="N298" s="139"/>
      <c r="O298" s="589"/>
      <c r="P298" s="229" t="str">
        <f t="shared" si="141"/>
        <v/>
      </c>
      <c r="Q298" s="229" t="str">
        <f t="shared" si="142"/>
        <v/>
      </c>
      <c r="R298" s="230" t="str">
        <f t="shared" si="143"/>
        <v/>
      </c>
      <c r="S298" s="230" t="str">
        <f t="shared" si="144"/>
        <v/>
      </c>
      <c r="T298" s="351"/>
      <c r="U298" s="43"/>
      <c r="V298" s="42" t="str">
        <f t="shared" si="120"/>
        <v/>
      </c>
      <c r="W298" s="42" t="e">
        <f>IF(#REF!="","",#REF!)</f>
        <v>#REF!</v>
      </c>
      <c r="X298" s="31" t="str">
        <f t="shared" si="121"/>
        <v/>
      </c>
      <c r="Y298" s="7" t="e">
        <f t="shared" si="122"/>
        <v>#N/A</v>
      </c>
      <c r="Z298" s="7" t="e">
        <f t="shared" si="123"/>
        <v>#N/A</v>
      </c>
      <c r="AA298" s="7" t="e">
        <f t="shared" si="124"/>
        <v>#N/A</v>
      </c>
      <c r="AB298" s="7" t="str">
        <f t="shared" si="125"/>
        <v/>
      </c>
      <c r="AC298" s="11">
        <f t="shared" si="126"/>
        <v>1</v>
      </c>
      <c r="AD298" s="7" t="e">
        <f t="shared" si="127"/>
        <v>#N/A</v>
      </c>
      <c r="AE298" s="7" t="e">
        <f t="shared" si="128"/>
        <v>#N/A</v>
      </c>
      <c r="AF298" s="7" t="e">
        <f t="shared" si="129"/>
        <v>#N/A</v>
      </c>
      <c r="AG298" s="472" t="e">
        <f>VLOOKUP(AI298,'排出係数(2017)'!$A$4:$I$1151,9,FALSE)</f>
        <v>#N/A</v>
      </c>
      <c r="AH298" s="12" t="str">
        <f t="shared" si="130"/>
        <v xml:space="preserve"> </v>
      </c>
      <c r="AI298" s="7" t="e">
        <f t="shared" si="145"/>
        <v>#N/A</v>
      </c>
      <c r="AJ298" s="7" t="e">
        <f t="shared" si="131"/>
        <v>#N/A</v>
      </c>
      <c r="AK298" s="472" t="e">
        <f>VLOOKUP(AI298,'排出係数(2017)'!$A$4:$I$1151,6,FALSE)</f>
        <v>#N/A</v>
      </c>
      <c r="AL298" s="7" t="e">
        <f t="shared" si="132"/>
        <v>#N/A</v>
      </c>
      <c r="AM298" s="7" t="e">
        <f t="shared" si="133"/>
        <v>#N/A</v>
      </c>
      <c r="AN298" s="472" t="e">
        <f>VLOOKUP(AI298,'排出係数(2017)'!$A$4:$I$1151,7,FALSE)</f>
        <v>#N/A</v>
      </c>
      <c r="AO298" s="7" t="e">
        <f t="shared" si="134"/>
        <v>#N/A</v>
      </c>
      <c r="AP298" s="7" t="e">
        <f t="shared" si="135"/>
        <v>#N/A</v>
      </c>
      <c r="AQ298" s="7" t="e">
        <f t="shared" si="146"/>
        <v>#N/A</v>
      </c>
      <c r="AR298" s="7">
        <f t="shared" si="136"/>
        <v>0</v>
      </c>
      <c r="AS298" s="7" t="e">
        <f t="shared" si="147"/>
        <v>#N/A</v>
      </c>
      <c r="AT298" s="7" t="str">
        <f t="shared" si="137"/>
        <v/>
      </c>
      <c r="AU298" s="7" t="str">
        <f t="shared" si="138"/>
        <v/>
      </c>
      <c r="AV298" s="7" t="str">
        <f t="shared" si="139"/>
        <v/>
      </c>
      <c r="AW298" s="7" t="str">
        <f t="shared" si="140"/>
        <v/>
      </c>
      <c r="AX298" s="97"/>
      <c r="BD298" s="474" t="s">
        <v>273</v>
      </c>
      <c r="CG298"/>
      <c r="CH298"/>
      <c r="CK298" s="592" t="str">
        <f t="shared" si="148"/>
        <v/>
      </c>
      <c r="CL298" s="421" t="str">
        <f t="shared" si="149"/>
        <v/>
      </c>
      <c r="CM298" s="594"/>
      <c r="CN298" s="594"/>
      <c r="CO298" s="594"/>
      <c r="CP298" s="594"/>
      <c r="CQ298" s="594"/>
      <c r="CR298" s="594"/>
    </row>
    <row r="299" spans="1:96" s="13" customFormat="1" ht="13.75" customHeight="1">
      <c r="A299" s="137">
        <v>284</v>
      </c>
      <c r="B299" s="138"/>
      <c r="C299" s="139"/>
      <c r="D299" s="140"/>
      <c r="E299" s="139"/>
      <c r="F299" s="139"/>
      <c r="G299" s="191"/>
      <c r="H299" s="139"/>
      <c r="I299" s="141"/>
      <c r="J299" s="142"/>
      <c r="K299" s="139"/>
      <c r="L299" s="147"/>
      <c r="M299" s="148"/>
      <c r="N299" s="139"/>
      <c r="O299" s="589"/>
      <c r="P299" s="229" t="str">
        <f t="shared" si="141"/>
        <v/>
      </c>
      <c r="Q299" s="229" t="str">
        <f t="shared" si="142"/>
        <v/>
      </c>
      <c r="R299" s="230" t="str">
        <f t="shared" si="143"/>
        <v/>
      </c>
      <c r="S299" s="230" t="str">
        <f t="shared" si="144"/>
        <v/>
      </c>
      <c r="T299" s="351"/>
      <c r="U299" s="43"/>
      <c r="V299" s="42" t="str">
        <f t="shared" si="120"/>
        <v/>
      </c>
      <c r="W299" s="42" t="e">
        <f>IF(#REF!="","",#REF!)</f>
        <v>#REF!</v>
      </c>
      <c r="X299" s="31" t="str">
        <f t="shared" si="121"/>
        <v/>
      </c>
      <c r="Y299" s="7" t="e">
        <f t="shared" si="122"/>
        <v>#N/A</v>
      </c>
      <c r="Z299" s="7" t="e">
        <f t="shared" si="123"/>
        <v>#N/A</v>
      </c>
      <c r="AA299" s="7" t="e">
        <f t="shared" si="124"/>
        <v>#N/A</v>
      </c>
      <c r="AB299" s="7" t="str">
        <f t="shared" si="125"/>
        <v/>
      </c>
      <c r="AC299" s="11">
        <f t="shared" si="126"/>
        <v>1</v>
      </c>
      <c r="AD299" s="7" t="e">
        <f t="shared" si="127"/>
        <v>#N/A</v>
      </c>
      <c r="AE299" s="7" t="e">
        <f t="shared" si="128"/>
        <v>#N/A</v>
      </c>
      <c r="AF299" s="7" t="e">
        <f t="shared" si="129"/>
        <v>#N/A</v>
      </c>
      <c r="AG299" s="472" t="e">
        <f>VLOOKUP(AI299,'排出係数(2017)'!$A$4:$I$1151,9,FALSE)</f>
        <v>#N/A</v>
      </c>
      <c r="AH299" s="12" t="str">
        <f t="shared" si="130"/>
        <v xml:space="preserve"> </v>
      </c>
      <c r="AI299" s="7" t="e">
        <f t="shared" si="145"/>
        <v>#N/A</v>
      </c>
      <c r="AJ299" s="7" t="e">
        <f t="shared" si="131"/>
        <v>#N/A</v>
      </c>
      <c r="AK299" s="472" t="e">
        <f>VLOOKUP(AI299,'排出係数(2017)'!$A$4:$I$1151,6,FALSE)</f>
        <v>#N/A</v>
      </c>
      <c r="AL299" s="7" t="e">
        <f t="shared" si="132"/>
        <v>#N/A</v>
      </c>
      <c r="AM299" s="7" t="e">
        <f t="shared" si="133"/>
        <v>#N/A</v>
      </c>
      <c r="AN299" s="472" t="e">
        <f>VLOOKUP(AI299,'排出係数(2017)'!$A$4:$I$1151,7,FALSE)</f>
        <v>#N/A</v>
      </c>
      <c r="AO299" s="7" t="e">
        <f t="shared" si="134"/>
        <v>#N/A</v>
      </c>
      <c r="AP299" s="7" t="e">
        <f t="shared" si="135"/>
        <v>#N/A</v>
      </c>
      <c r="AQ299" s="7" t="e">
        <f t="shared" si="146"/>
        <v>#N/A</v>
      </c>
      <c r="AR299" s="7">
        <f t="shared" si="136"/>
        <v>0</v>
      </c>
      <c r="AS299" s="7" t="e">
        <f t="shared" si="147"/>
        <v>#N/A</v>
      </c>
      <c r="AT299" s="7" t="str">
        <f t="shared" si="137"/>
        <v/>
      </c>
      <c r="AU299" s="7" t="str">
        <f t="shared" si="138"/>
        <v/>
      </c>
      <c r="AV299" s="7" t="str">
        <f t="shared" si="139"/>
        <v/>
      </c>
      <c r="AW299" s="7" t="str">
        <f t="shared" si="140"/>
        <v/>
      </c>
      <c r="AX299" s="97"/>
      <c r="BD299" s="453" t="s">
        <v>319</v>
      </c>
      <c r="CG299"/>
      <c r="CH299"/>
      <c r="CK299" s="592" t="str">
        <f t="shared" si="148"/>
        <v/>
      </c>
      <c r="CL299" s="421" t="str">
        <f t="shared" si="149"/>
        <v/>
      </c>
      <c r="CM299" s="594"/>
      <c r="CN299" s="594"/>
      <c r="CO299" s="594"/>
      <c r="CP299" s="594"/>
      <c r="CQ299" s="594"/>
      <c r="CR299" s="594"/>
    </row>
    <row r="300" spans="1:96" s="13" customFormat="1" ht="13.75" customHeight="1">
      <c r="A300" s="137">
        <v>285</v>
      </c>
      <c r="B300" s="138"/>
      <c r="C300" s="139"/>
      <c r="D300" s="140"/>
      <c r="E300" s="139"/>
      <c r="F300" s="139"/>
      <c r="G300" s="191"/>
      <c r="H300" s="139"/>
      <c r="I300" s="141"/>
      <c r="J300" s="142"/>
      <c r="K300" s="139"/>
      <c r="L300" s="147"/>
      <c r="M300" s="148"/>
      <c r="N300" s="139"/>
      <c r="O300" s="589"/>
      <c r="P300" s="229" t="str">
        <f t="shared" si="141"/>
        <v/>
      </c>
      <c r="Q300" s="229" t="str">
        <f t="shared" si="142"/>
        <v/>
      </c>
      <c r="R300" s="230" t="str">
        <f t="shared" si="143"/>
        <v/>
      </c>
      <c r="S300" s="230" t="str">
        <f t="shared" si="144"/>
        <v/>
      </c>
      <c r="T300" s="351"/>
      <c r="U300" s="43"/>
      <c r="V300" s="42" t="str">
        <f t="shared" si="120"/>
        <v/>
      </c>
      <c r="W300" s="42" t="e">
        <f>IF(#REF!="","",#REF!)</f>
        <v>#REF!</v>
      </c>
      <c r="X300" s="31" t="str">
        <f t="shared" si="121"/>
        <v/>
      </c>
      <c r="Y300" s="7" t="e">
        <f t="shared" si="122"/>
        <v>#N/A</v>
      </c>
      <c r="Z300" s="7" t="e">
        <f t="shared" si="123"/>
        <v>#N/A</v>
      </c>
      <c r="AA300" s="7" t="e">
        <f t="shared" si="124"/>
        <v>#N/A</v>
      </c>
      <c r="AB300" s="7" t="str">
        <f t="shared" si="125"/>
        <v/>
      </c>
      <c r="AC300" s="11">
        <f t="shared" si="126"/>
        <v>1</v>
      </c>
      <c r="AD300" s="7" t="e">
        <f t="shared" si="127"/>
        <v>#N/A</v>
      </c>
      <c r="AE300" s="7" t="e">
        <f t="shared" si="128"/>
        <v>#N/A</v>
      </c>
      <c r="AF300" s="7" t="e">
        <f t="shared" si="129"/>
        <v>#N/A</v>
      </c>
      <c r="AG300" s="472" t="e">
        <f>VLOOKUP(AI300,'排出係数(2017)'!$A$4:$I$1151,9,FALSE)</f>
        <v>#N/A</v>
      </c>
      <c r="AH300" s="12" t="str">
        <f t="shared" si="130"/>
        <v xml:space="preserve"> </v>
      </c>
      <c r="AI300" s="7" t="e">
        <f t="shared" si="145"/>
        <v>#N/A</v>
      </c>
      <c r="AJ300" s="7" t="e">
        <f t="shared" si="131"/>
        <v>#N/A</v>
      </c>
      <c r="AK300" s="472" t="e">
        <f>VLOOKUP(AI300,'排出係数(2017)'!$A$4:$I$1151,6,FALSE)</f>
        <v>#N/A</v>
      </c>
      <c r="AL300" s="7" t="e">
        <f t="shared" si="132"/>
        <v>#N/A</v>
      </c>
      <c r="AM300" s="7" t="e">
        <f t="shared" si="133"/>
        <v>#N/A</v>
      </c>
      <c r="AN300" s="472" t="e">
        <f>VLOOKUP(AI300,'排出係数(2017)'!$A$4:$I$1151,7,FALSE)</f>
        <v>#N/A</v>
      </c>
      <c r="AO300" s="7" t="e">
        <f t="shared" si="134"/>
        <v>#N/A</v>
      </c>
      <c r="AP300" s="7" t="e">
        <f t="shared" si="135"/>
        <v>#N/A</v>
      </c>
      <c r="AQ300" s="7" t="e">
        <f t="shared" si="146"/>
        <v>#N/A</v>
      </c>
      <c r="AR300" s="7">
        <f t="shared" si="136"/>
        <v>0</v>
      </c>
      <c r="AS300" s="7" t="e">
        <f t="shared" si="147"/>
        <v>#N/A</v>
      </c>
      <c r="AT300" s="7" t="str">
        <f t="shared" si="137"/>
        <v/>
      </c>
      <c r="AU300" s="7" t="str">
        <f t="shared" si="138"/>
        <v/>
      </c>
      <c r="AV300" s="7" t="str">
        <f t="shared" si="139"/>
        <v/>
      </c>
      <c r="AW300" s="7" t="str">
        <f t="shared" si="140"/>
        <v/>
      </c>
      <c r="AX300" s="97"/>
      <c r="BD300" s="453" t="s">
        <v>399</v>
      </c>
      <c r="CG300"/>
      <c r="CH300"/>
      <c r="CK300" s="592" t="str">
        <f t="shared" si="148"/>
        <v/>
      </c>
      <c r="CL300" s="421" t="str">
        <f t="shared" si="149"/>
        <v/>
      </c>
      <c r="CM300" s="594"/>
      <c r="CN300" s="594"/>
      <c r="CO300" s="594"/>
      <c r="CP300" s="594"/>
      <c r="CQ300" s="594"/>
      <c r="CR300" s="594"/>
    </row>
    <row r="301" spans="1:96" s="13" customFormat="1" ht="13.75" customHeight="1">
      <c r="A301" s="137">
        <v>286</v>
      </c>
      <c r="B301" s="138"/>
      <c r="C301" s="139"/>
      <c r="D301" s="140"/>
      <c r="E301" s="139"/>
      <c r="F301" s="139"/>
      <c r="G301" s="191"/>
      <c r="H301" s="139"/>
      <c r="I301" s="141"/>
      <c r="J301" s="142"/>
      <c r="K301" s="139"/>
      <c r="L301" s="147"/>
      <c r="M301" s="148"/>
      <c r="N301" s="139"/>
      <c r="O301" s="589"/>
      <c r="P301" s="229" t="str">
        <f t="shared" si="141"/>
        <v/>
      </c>
      <c r="Q301" s="229" t="str">
        <f t="shared" si="142"/>
        <v/>
      </c>
      <c r="R301" s="230" t="str">
        <f t="shared" si="143"/>
        <v/>
      </c>
      <c r="S301" s="230" t="str">
        <f t="shared" si="144"/>
        <v/>
      </c>
      <c r="T301" s="351"/>
      <c r="U301" s="43"/>
      <c r="V301" s="42" t="str">
        <f t="shared" si="120"/>
        <v/>
      </c>
      <c r="W301" s="42" t="e">
        <f>IF(#REF!="","",#REF!)</f>
        <v>#REF!</v>
      </c>
      <c r="X301" s="31" t="str">
        <f t="shared" si="121"/>
        <v/>
      </c>
      <c r="Y301" s="7" t="e">
        <f t="shared" si="122"/>
        <v>#N/A</v>
      </c>
      <c r="Z301" s="7" t="e">
        <f t="shared" si="123"/>
        <v>#N/A</v>
      </c>
      <c r="AA301" s="7" t="e">
        <f t="shared" si="124"/>
        <v>#N/A</v>
      </c>
      <c r="AB301" s="7" t="str">
        <f t="shared" si="125"/>
        <v/>
      </c>
      <c r="AC301" s="11">
        <f t="shared" si="126"/>
        <v>1</v>
      </c>
      <c r="AD301" s="7" t="e">
        <f t="shared" si="127"/>
        <v>#N/A</v>
      </c>
      <c r="AE301" s="7" t="e">
        <f t="shared" si="128"/>
        <v>#N/A</v>
      </c>
      <c r="AF301" s="7" t="e">
        <f t="shared" si="129"/>
        <v>#N/A</v>
      </c>
      <c r="AG301" s="472" t="e">
        <f>VLOOKUP(AI301,'排出係数(2017)'!$A$4:$I$1151,9,FALSE)</f>
        <v>#N/A</v>
      </c>
      <c r="AH301" s="12" t="str">
        <f t="shared" si="130"/>
        <v xml:space="preserve"> </v>
      </c>
      <c r="AI301" s="7" t="e">
        <f t="shared" si="145"/>
        <v>#N/A</v>
      </c>
      <c r="AJ301" s="7" t="e">
        <f t="shared" si="131"/>
        <v>#N/A</v>
      </c>
      <c r="AK301" s="472" t="e">
        <f>VLOOKUP(AI301,'排出係数(2017)'!$A$4:$I$1151,6,FALSE)</f>
        <v>#N/A</v>
      </c>
      <c r="AL301" s="7" t="e">
        <f t="shared" si="132"/>
        <v>#N/A</v>
      </c>
      <c r="AM301" s="7" t="e">
        <f t="shared" si="133"/>
        <v>#N/A</v>
      </c>
      <c r="AN301" s="472" t="e">
        <f>VLOOKUP(AI301,'排出係数(2017)'!$A$4:$I$1151,7,FALSE)</f>
        <v>#N/A</v>
      </c>
      <c r="AO301" s="7" t="e">
        <f t="shared" si="134"/>
        <v>#N/A</v>
      </c>
      <c r="AP301" s="7" t="e">
        <f t="shared" si="135"/>
        <v>#N/A</v>
      </c>
      <c r="AQ301" s="7" t="e">
        <f t="shared" si="146"/>
        <v>#N/A</v>
      </c>
      <c r="AR301" s="7">
        <f t="shared" si="136"/>
        <v>0</v>
      </c>
      <c r="AS301" s="7" t="e">
        <f t="shared" si="147"/>
        <v>#N/A</v>
      </c>
      <c r="AT301" s="7" t="str">
        <f t="shared" si="137"/>
        <v/>
      </c>
      <c r="AU301" s="7" t="str">
        <f t="shared" si="138"/>
        <v/>
      </c>
      <c r="AV301" s="7" t="str">
        <f t="shared" si="139"/>
        <v/>
      </c>
      <c r="AW301" s="7" t="str">
        <f t="shared" si="140"/>
        <v/>
      </c>
      <c r="AX301" s="97"/>
      <c r="BD301" s="453" t="s">
        <v>1612</v>
      </c>
      <c r="CG301"/>
      <c r="CH301"/>
      <c r="CK301" s="592" t="str">
        <f t="shared" si="148"/>
        <v/>
      </c>
      <c r="CL301" s="421" t="str">
        <f t="shared" si="149"/>
        <v/>
      </c>
      <c r="CM301" s="594"/>
      <c r="CN301" s="594"/>
      <c r="CO301" s="594"/>
      <c r="CP301" s="594"/>
      <c r="CQ301" s="594"/>
      <c r="CR301" s="594"/>
    </row>
    <row r="302" spans="1:96" s="13" customFormat="1" ht="13.75" customHeight="1">
      <c r="A302" s="137">
        <v>287</v>
      </c>
      <c r="B302" s="138"/>
      <c r="C302" s="139"/>
      <c r="D302" s="140"/>
      <c r="E302" s="139"/>
      <c r="F302" s="139"/>
      <c r="G302" s="191"/>
      <c r="H302" s="139"/>
      <c r="I302" s="141"/>
      <c r="J302" s="142"/>
      <c r="K302" s="139"/>
      <c r="L302" s="147"/>
      <c r="M302" s="148"/>
      <c r="N302" s="139"/>
      <c r="O302" s="589"/>
      <c r="P302" s="229" t="str">
        <f t="shared" si="141"/>
        <v/>
      </c>
      <c r="Q302" s="229" t="str">
        <f t="shared" si="142"/>
        <v/>
      </c>
      <c r="R302" s="230" t="str">
        <f t="shared" si="143"/>
        <v/>
      </c>
      <c r="S302" s="230" t="str">
        <f t="shared" si="144"/>
        <v/>
      </c>
      <c r="T302" s="351"/>
      <c r="U302" s="43"/>
      <c r="V302" s="42" t="str">
        <f t="shared" si="120"/>
        <v/>
      </c>
      <c r="W302" s="42" t="e">
        <f>IF(#REF!="","",#REF!)</f>
        <v>#REF!</v>
      </c>
      <c r="X302" s="31" t="str">
        <f t="shared" si="121"/>
        <v/>
      </c>
      <c r="Y302" s="7" t="e">
        <f t="shared" si="122"/>
        <v>#N/A</v>
      </c>
      <c r="Z302" s="7" t="e">
        <f t="shared" si="123"/>
        <v>#N/A</v>
      </c>
      <c r="AA302" s="7" t="e">
        <f t="shared" si="124"/>
        <v>#N/A</v>
      </c>
      <c r="AB302" s="7" t="str">
        <f t="shared" si="125"/>
        <v/>
      </c>
      <c r="AC302" s="11">
        <f t="shared" si="126"/>
        <v>1</v>
      </c>
      <c r="AD302" s="7" t="e">
        <f t="shared" si="127"/>
        <v>#N/A</v>
      </c>
      <c r="AE302" s="7" t="e">
        <f t="shared" si="128"/>
        <v>#N/A</v>
      </c>
      <c r="AF302" s="7" t="e">
        <f t="shared" si="129"/>
        <v>#N/A</v>
      </c>
      <c r="AG302" s="472" t="e">
        <f>VLOOKUP(AI302,'排出係数(2017)'!$A$4:$I$1151,9,FALSE)</f>
        <v>#N/A</v>
      </c>
      <c r="AH302" s="12" t="str">
        <f t="shared" si="130"/>
        <v xml:space="preserve"> </v>
      </c>
      <c r="AI302" s="7" t="e">
        <f t="shared" si="145"/>
        <v>#N/A</v>
      </c>
      <c r="AJ302" s="7" t="e">
        <f t="shared" si="131"/>
        <v>#N/A</v>
      </c>
      <c r="AK302" s="472" t="e">
        <f>VLOOKUP(AI302,'排出係数(2017)'!$A$4:$I$1151,6,FALSE)</f>
        <v>#N/A</v>
      </c>
      <c r="AL302" s="7" t="e">
        <f t="shared" si="132"/>
        <v>#N/A</v>
      </c>
      <c r="AM302" s="7" t="e">
        <f t="shared" si="133"/>
        <v>#N/A</v>
      </c>
      <c r="AN302" s="472" t="e">
        <f>VLOOKUP(AI302,'排出係数(2017)'!$A$4:$I$1151,7,FALSE)</f>
        <v>#N/A</v>
      </c>
      <c r="AO302" s="7" t="e">
        <f t="shared" si="134"/>
        <v>#N/A</v>
      </c>
      <c r="AP302" s="7" t="e">
        <f t="shared" si="135"/>
        <v>#N/A</v>
      </c>
      <c r="AQ302" s="7" t="e">
        <f t="shared" si="146"/>
        <v>#N/A</v>
      </c>
      <c r="AR302" s="7">
        <f t="shared" si="136"/>
        <v>0</v>
      </c>
      <c r="AS302" s="7" t="e">
        <f t="shared" si="147"/>
        <v>#N/A</v>
      </c>
      <c r="AT302" s="7" t="str">
        <f t="shared" si="137"/>
        <v/>
      </c>
      <c r="AU302" s="7" t="str">
        <f t="shared" si="138"/>
        <v/>
      </c>
      <c r="AV302" s="7" t="str">
        <f t="shared" si="139"/>
        <v/>
      </c>
      <c r="AW302" s="7" t="str">
        <f t="shared" si="140"/>
        <v/>
      </c>
      <c r="AX302" s="97"/>
      <c r="BD302" s="467" t="s">
        <v>631</v>
      </c>
      <c r="CG302"/>
      <c r="CH302"/>
      <c r="CK302" s="592" t="str">
        <f t="shared" si="148"/>
        <v/>
      </c>
      <c r="CL302" s="421" t="str">
        <f t="shared" si="149"/>
        <v/>
      </c>
      <c r="CM302" s="594"/>
      <c r="CN302" s="594"/>
      <c r="CO302" s="594"/>
      <c r="CP302" s="594"/>
      <c r="CQ302" s="594"/>
      <c r="CR302" s="594"/>
    </row>
    <row r="303" spans="1:96" s="13" customFormat="1" ht="13.75" customHeight="1">
      <c r="A303" s="137">
        <v>288</v>
      </c>
      <c r="B303" s="138"/>
      <c r="C303" s="139"/>
      <c r="D303" s="140"/>
      <c r="E303" s="139"/>
      <c r="F303" s="139"/>
      <c r="G303" s="191"/>
      <c r="H303" s="139"/>
      <c r="I303" s="141"/>
      <c r="J303" s="142"/>
      <c r="K303" s="139"/>
      <c r="L303" s="147"/>
      <c r="M303" s="148"/>
      <c r="N303" s="139"/>
      <c r="O303" s="589"/>
      <c r="P303" s="229" t="str">
        <f t="shared" si="141"/>
        <v/>
      </c>
      <c r="Q303" s="229" t="str">
        <f t="shared" si="142"/>
        <v/>
      </c>
      <c r="R303" s="230" t="str">
        <f t="shared" si="143"/>
        <v/>
      </c>
      <c r="S303" s="230" t="str">
        <f t="shared" si="144"/>
        <v/>
      </c>
      <c r="T303" s="351"/>
      <c r="U303" s="43"/>
      <c r="V303" s="42" t="str">
        <f t="shared" si="120"/>
        <v/>
      </c>
      <c r="W303" s="42" t="e">
        <f>IF(#REF!="","",#REF!)</f>
        <v>#REF!</v>
      </c>
      <c r="X303" s="31" t="str">
        <f t="shared" si="121"/>
        <v/>
      </c>
      <c r="Y303" s="7" t="e">
        <f t="shared" si="122"/>
        <v>#N/A</v>
      </c>
      <c r="Z303" s="7" t="e">
        <f t="shared" si="123"/>
        <v>#N/A</v>
      </c>
      <c r="AA303" s="7" t="e">
        <f t="shared" si="124"/>
        <v>#N/A</v>
      </c>
      <c r="AB303" s="7" t="str">
        <f t="shared" si="125"/>
        <v/>
      </c>
      <c r="AC303" s="11">
        <f t="shared" si="126"/>
        <v>1</v>
      </c>
      <c r="AD303" s="7" t="e">
        <f t="shared" si="127"/>
        <v>#N/A</v>
      </c>
      <c r="AE303" s="7" t="e">
        <f t="shared" si="128"/>
        <v>#N/A</v>
      </c>
      <c r="AF303" s="7" t="e">
        <f t="shared" si="129"/>
        <v>#N/A</v>
      </c>
      <c r="AG303" s="472" t="e">
        <f>VLOOKUP(AI303,'排出係数(2017)'!$A$4:$I$1151,9,FALSE)</f>
        <v>#N/A</v>
      </c>
      <c r="AH303" s="12" t="str">
        <f t="shared" si="130"/>
        <v xml:space="preserve"> </v>
      </c>
      <c r="AI303" s="7" t="e">
        <f t="shared" si="145"/>
        <v>#N/A</v>
      </c>
      <c r="AJ303" s="7" t="e">
        <f t="shared" si="131"/>
        <v>#N/A</v>
      </c>
      <c r="AK303" s="472" t="e">
        <f>VLOOKUP(AI303,'排出係数(2017)'!$A$4:$I$1151,6,FALSE)</f>
        <v>#N/A</v>
      </c>
      <c r="AL303" s="7" t="e">
        <f t="shared" si="132"/>
        <v>#N/A</v>
      </c>
      <c r="AM303" s="7" t="e">
        <f t="shared" si="133"/>
        <v>#N/A</v>
      </c>
      <c r="AN303" s="472" t="e">
        <f>VLOOKUP(AI303,'排出係数(2017)'!$A$4:$I$1151,7,FALSE)</f>
        <v>#N/A</v>
      </c>
      <c r="AO303" s="7" t="e">
        <f t="shared" si="134"/>
        <v>#N/A</v>
      </c>
      <c r="AP303" s="7" t="e">
        <f t="shared" si="135"/>
        <v>#N/A</v>
      </c>
      <c r="AQ303" s="7" t="e">
        <f t="shared" si="146"/>
        <v>#N/A</v>
      </c>
      <c r="AR303" s="7">
        <f t="shared" si="136"/>
        <v>0</v>
      </c>
      <c r="AS303" s="7" t="e">
        <f t="shared" si="147"/>
        <v>#N/A</v>
      </c>
      <c r="AT303" s="7" t="str">
        <f t="shared" si="137"/>
        <v/>
      </c>
      <c r="AU303" s="7" t="str">
        <f t="shared" si="138"/>
        <v/>
      </c>
      <c r="AV303" s="7" t="str">
        <f t="shared" si="139"/>
        <v/>
      </c>
      <c r="AW303" s="7" t="str">
        <f t="shared" si="140"/>
        <v/>
      </c>
      <c r="AX303" s="97"/>
      <c r="BD303" s="467" t="s">
        <v>864</v>
      </c>
      <c r="CG303"/>
      <c r="CH303"/>
      <c r="CK303" s="592" t="str">
        <f t="shared" si="148"/>
        <v/>
      </c>
      <c r="CL303" s="421" t="str">
        <f t="shared" si="149"/>
        <v/>
      </c>
      <c r="CM303" s="594"/>
      <c r="CN303" s="594"/>
      <c r="CO303" s="594"/>
      <c r="CP303" s="594"/>
      <c r="CQ303" s="594"/>
      <c r="CR303" s="594"/>
    </row>
    <row r="304" spans="1:96" s="13" customFormat="1" ht="13.75" customHeight="1">
      <c r="A304" s="137">
        <v>289</v>
      </c>
      <c r="B304" s="138"/>
      <c r="C304" s="139"/>
      <c r="D304" s="140"/>
      <c r="E304" s="139"/>
      <c r="F304" s="139"/>
      <c r="G304" s="191"/>
      <c r="H304" s="139"/>
      <c r="I304" s="141"/>
      <c r="J304" s="142"/>
      <c r="K304" s="139"/>
      <c r="L304" s="147"/>
      <c r="M304" s="148"/>
      <c r="N304" s="139"/>
      <c r="O304" s="589"/>
      <c r="P304" s="229" t="str">
        <f t="shared" si="141"/>
        <v/>
      </c>
      <c r="Q304" s="229" t="str">
        <f t="shared" si="142"/>
        <v/>
      </c>
      <c r="R304" s="230" t="str">
        <f t="shared" si="143"/>
        <v/>
      </c>
      <c r="S304" s="230" t="str">
        <f t="shared" si="144"/>
        <v/>
      </c>
      <c r="T304" s="351"/>
      <c r="U304" s="43"/>
      <c r="V304" s="42" t="str">
        <f t="shared" si="120"/>
        <v/>
      </c>
      <c r="W304" s="42" t="e">
        <f>IF(#REF!="","",#REF!)</f>
        <v>#REF!</v>
      </c>
      <c r="X304" s="31" t="str">
        <f t="shared" si="121"/>
        <v/>
      </c>
      <c r="Y304" s="7" t="e">
        <f t="shared" si="122"/>
        <v>#N/A</v>
      </c>
      <c r="Z304" s="7" t="e">
        <f t="shared" si="123"/>
        <v>#N/A</v>
      </c>
      <c r="AA304" s="7" t="e">
        <f t="shared" si="124"/>
        <v>#N/A</v>
      </c>
      <c r="AB304" s="7" t="str">
        <f t="shared" si="125"/>
        <v/>
      </c>
      <c r="AC304" s="11">
        <f t="shared" si="126"/>
        <v>1</v>
      </c>
      <c r="AD304" s="7" t="e">
        <f t="shared" si="127"/>
        <v>#N/A</v>
      </c>
      <c r="AE304" s="7" t="e">
        <f t="shared" si="128"/>
        <v>#N/A</v>
      </c>
      <c r="AF304" s="7" t="e">
        <f t="shared" si="129"/>
        <v>#N/A</v>
      </c>
      <c r="AG304" s="472" t="e">
        <f>VLOOKUP(AI304,'排出係数(2017)'!$A$4:$I$1151,9,FALSE)</f>
        <v>#N/A</v>
      </c>
      <c r="AH304" s="12" t="str">
        <f t="shared" si="130"/>
        <v xml:space="preserve"> </v>
      </c>
      <c r="AI304" s="7" t="e">
        <f t="shared" si="145"/>
        <v>#N/A</v>
      </c>
      <c r="AJ304" s="7" t="e">
        <f t="shared" si="131"/>
        <v>#N/A</v>
      </c>
      <c r="AK304" s="472" t="e">
        <f>VLOOKUP(AI304,'排出係数(2017)'!$A$4:$I$1151,6,FALSE)</f>
        <v>#N/A</v>
      </c>
      <c r="AL304" s="7" t="e">
        <f t="shared" si="132"/>
        <v>#N/A</v>
      </c>
      <c r="AM304" s="7" t="e">
        <f t="shared" si="133"/>
        <v>#N/A</v>
      </c>
      <c r="AN304" s="472" t="e">
        <f>VLOOKUP(AI304,'排出係数(2017)'!$A$4:$I$1151,7,FALSE)</f>
        <v>#N/A</v>
      </c>
      <c r="AO304" s="7" t="e">
        <f t="shared" si="134"/>
        <v>#N/A</v>
      </c>
      <c r="AP304" s="7" t="e">
        <f t="shared" si="135"/>
        <v>#N/A</v>
      </c>
      <c r="AQ304" s="7" t="e">
        <f t="shared" si="146"/>
        <v>#N/A</v>
      </c>
      <c r="AR304" s="7">
        <f t="shared" si="136"/>
        <v>0</v>
      </c>
      <c r="AS304" s="7" t="e">
        <f t="shared" si="147"/>
        <v>#N/A</v>
      </c>
      <c r="AT304" s="7" t="str">
        <f t="shared" si="137"/>
        <v/>
      </c>
      <c r="AU304" s="7" t="str">
        <f t="shared" si="138"/>
        <v/>
      </c>
      <c r="AV304" s="7" t="str">
        <f t="shared" si="139"/>
        <v/>
      </c>
      <c r="AW304" s="7" t="str">
        <f t="shared" si="140"/>
        <v/>
      </c>
      <c r="AX304" s="97"/>
      <c r="BD304" s="453" t="s">
        <v>1071</v>
      </c>
      <c r="CG304"/>
      <c r="CH304"/>
      <c r="CK304" s="592" t="str">
        <f t="shared" si="148"/>
        <v/>
      </c>
      <c r="CL304" s="421" t="str">
        <f t="shared" si="149"/>
        <v/>
      </c>
      <c r="CM304" s="594"/>
      <c r="CN304" s="594"/>
      <c r="CO304" s="594"/>
      <c r="CP304" s="594"/>
      <c r="CQ304" s="594"/>
      <c r="CR304" s="594"/>
    </row>
    <row r="305" spans="1:96" s="13" customFormat="1" ht="13.75" customHeight="1">
      <c r="A305" s="137">
        <v>290</v>
      </c>
      <c r="B305" s="138"/>
      <c r="C305" s="139"/>
      <c r="D305" s="140"/>
      <c r="E305" s="139"/>
      <c r="F305" s="139"/>
      <c r="G305" s="191"/>
      <c r="H305" s="139"/>
      <c r="I305" s="141"/>
      <c r="J305" s="142"/>
      <c r="K305" s="139"/>
      <c r="L305" s="147"/>
      <c r="M305" s="148"/>
      <c r="N305" s="139"/>
      <c r="O305" s="589"/>
      <c r="P305" s="229" t="str">
        <f t="shared" si="141"/>
        <v/>
      </c>
      <c r="Q305" s="229" t="str">
        <f t="shared" si="142"/>
        <v/>
      </c>
      <c r="R305" s="230" t="str">
        <f t="shared" si="143"/>
        <v/>
      </c>
      <c r="S305" s="230" t="str">
        <f t="shared" si="144"/>
        <v/>
      </c>
      <c r="T305" s="351"/>
      <c r="U305" s="43"/>
      <c r="V305" s="42" t="str">
        <f t="shared" si="120"/>
        <v/>
      </c>
      <c r="W305" s="42" t="e">
        <f>IF(#REF!="","",#REF!)</f>
        <v>#REF!</v>
      </c>
      <c r="X305" s="31" t="str">
        <f t="shared" si="121"/>
        <v/>
      </c>
      <c r="Y305" s="7" t="e">
        <f t="shared" si="122"/>
        <v>#N/A</v>
      </c>
      <c r="Z305" s="7" t="e">
        <f t="shared" si="123"/>
        <v>#N/A</v>
      </c>
      <c r="AA305" s="7" t="e">
        <f t="shared" si="124"/>
        <v>#N/A</v>
      </c>
      <c r="AB305" s="7" t="str">
        <f t="shared" si="125"/>
        <v/>
      </c>
      <c r="AC305" s="11">
        <f t="shared" si="126"/>
        <v>1</v>
      </c>
      <c r="AD305" s="7" t="e">
        <f t="shared" si="127"/>
        <v>#N/A</v>
      </c>
      <c r="AE305" s="7" t="e">
        <f t="shared" si="128"/>
        <v>#N/A</v>
      </c>
      <c r="AF305" s="7" t="e">
        <f t="shared" si="129"/>
        <v>#N/A</v>
      </c>
      <c r="AG305" s="472" t="e">
        <f>VLOOKUP(AI305,'排出係数(2017)'!$A$4:$I$1151,9,FALSE)</f>
        <v>#N/A</v>
      </c>
      <c r="AH305" s="12" t="str">
        <f t="shared" si="130"/>
        <v xml:space="preserve"> </v>
      </c>
      <c r="AI305" s="7" t="e">
        <f t="shared" si="145"/>
        <v>#N/A</v>
      </c>
      <c r="AJ305" s="7" t="e">
        <f t="shared" si="131"/>
        <v>#N/A</v>
      </c>
      <c r="AK305" s="472" t="e">
        <f>VLOOKUP(AI305,'排出係数(2017)'!$A$4:$I$1151,6,FALSE)</f>
        <v>#N/A</v>
      </c>
      <c r="AL305" s="7" t="e">
        <f t="shared" si="132"/>
        <v>#N/A</v>
      </c>
      <c r="AM305" s="7" t="e">
        <f t="shared" si="133"/>
        <v>#N/A</v>
      </c>
      <c r="AN305" s="472" t="e">
        <f>VLOOKUP(AI305,'排出係数(2017)'!$A$4:$I$1151,7,FALSE)</f>
        <v>#N/A</v>
      </c>
      <c r="AO305" s="7" t="e">
        <f t="shared" si="134"/>
        <v>#N/A</v>
      </c>
      <c r="AP305" s="7" t="e">
        <f t="shared" si="135"/>
        <v>#N/A</v>
      </c>
      <c r="AQ305" s="7" t="e">
        <f t="shared" si="146"/>
        <v>#N/A</v>
      </c>
      <c r="AR305" s="7">
        <f t="shared" si="136"/>
        <v>0</v>
      </c>
      <c r="AS305" s="7" t="e">
        <f t="shared" si="147"/>
        <v>#N/A</v>
      </c>
      <c r="AT305" s="7" t="str">
        <f t="shared" si="137"/>
        <v/>
      </c>
      <c r="AU305" s="7" t="str">
        <f t="shared" si="138"/>
        <v/>
      </c>
      <c r="AV305" s="7" t="str">
        <f t="shared" si="139"/>
        <v/>
      </c>
      <c r="AW305" s="7" t="str">
        <f t="shared" si="140"/>
        <v/>
      </c>
      <c r="AX305" s="97"/>
      <c r="BD305" s="453" t="s">
        <v>1606</v>
      </c>
      <c r="CG305"/>
      <c r="CH305"/>
      <c r="CK305" s="592" t="str">
        <f t="shared" si="148"/>
        <v/>
      </c>
      <c r="CL305" s="421" t="str">
        <f t="shared" si="149"/>
        <v/>
      </c>
      <c r="CM305" s="594"/>
      <c r="CN305" s="594"/>
      <c r="CO305" s="594"/>
      <c r="CP305" s="594"/>
      <c r="CQ305" s="594"/>
      <c r="CR305" s="594"/>
    </row>
    <row r="306" spans="1:96" s="13" customFormat="1" ht="13.75" customHeight="1">
      <c r="A306" s="137">
        <v>291</v>
      </c>
      <c r="B306" s="138"/>
      <c r="C306" s="139"/>
      <c r="D306" s="140"/>
      <c r="E306" s="139"/>
      <c r="F306" s="139"/>
      <c r="G306" s="191"/>
      <c r="H306" s="139"/>
      <c r="I306" s="141"/>
      <c r="J306" s="142"/>
      <c r="K306" s="139"/>
      <c r="L306" s="147"/>
      <c r="M306" s="148"/>
      <c r="N306" s="139"/>
      <c r="O306" s="589"/>
      <c r="P306" s="229" t="str">
        <f t="shared" si="141"/>
        <v/>
      </c>
      <c r="Q306" s="229" t="str">
        <f t="shared" si="142"/>
        <v/>
      </c>
      <c r="R306" s="230" t="str">
        <f t="shared" si="143"/>
        <v/>
      </c>
      <c r="S306" s="230" t="str">
        <f t="shared" si="144"/>
        <v/>
      </c>
      <c r="T306" s="351"/>
      <c r="U306" s="43"/>
      <c r="V306" s="42" t="str">
        <f t="shared" si="120"/>
        <v/>
      </c>
      <c r="W306" s="42" t="e">
        <f>IF(#REF!="","",#REF!)</f>
        <v>#REF!</v>
      </c>
      <c r="X306" s="31" t="str">
        <f t="shared" si="121"/>
        <v/>
      </c>
      <c r="Y306" s="7" t="e">
        <f t="shared" si="122"/>
        <v>#N/A</v>
      </c>
      <c r="Z306" s="7" t="e">
        <f t="shared" si="123"/>
        <v>#N/A</v>
      </c>
      <c r="AA306" s="7" t="e">
        <f t="shared" si="124"/>
        <v>#N/A</v>
      </c>
      <c r="AB306" s="7" t="str">
        <f t="shared" si="125"/>
        <v/>
      </c>
      <c r="AC306" s="11">
        <f t="shared" si="126"/>
        <v>1</v>
      </c>
      <c r="AD306" s="7" t="e">
        <f t="shared" si="127"/>
        <v>#N/A</v>
      </c>
      <c r="AE306" s="7" t="e">
        <f t="shared" si="128"/>
        <v>#N/A</v>
      </c>
      <c r="AF306" s="7" t="e">
        <f t="shared" si="129"/>
        <v>#N/A</v>
      </c>
      <c r="AG306" s="472" t="e">
        <f>VLOOKUP(AI306,'排出係数(2017)'!$A$4:$I$1151,9,FALSE)</f>
        <v>#N/A</v>
      </c>
      <c r="AH306" s="12" t="str">
        <f t="shared" si="130"/>
        <v xml:space="preserve"> </v>
      </c>
      <c r="AI306" s="7" t="e">
        <f t="shared" si="145"/>
        <v>#N/A</v>
      </c>
      <c r="AJ306" s="7" t="e">
        <f t="shared" si="131"/>
        <v>#N/A</v>
      </c>
      <c r="AK306" s="472" t="e">
        <f>VLOOKUP(AI306,'排出係数(2017)'!$A$4:$I$1151,6,FALSE)</f>
        <v>#N/A</v>
      </c>
      <c r="AL306" s="7" t="e">
        <f t="shared" si="132"/>
        <v>#N/A</v>
      </c>
      <c r="AM306" s="7" t="e">
        <f t="shared" si="133"/>
        <v>#N/A</v>
      </c>
      <c r="AN306" s="472" t="e">
        <f>VLOOKUP(AI306,'排出係数(2017)'!$A$4:$I$1151,7,FALSE)</f>
        <v>#N/A</v>
      </c>
      <c r="AO306" s="7" t="e">
        <f t="shared" si="134"/>
        <v>#N/A</v>
      </c>
      <c r="AP306" s="7" t="e">
        <f t="shared" si="135"/>
        <v>#N/A</v>
      </c>
      <c r="AQ306" s="7" t="e">
        <f t="shared" si="146"/>
        <v>#N/A</v>
      </c>
      <c r="AR306" s="7">
        <f t="shared" si="136"/>
        <v>0</v>
      </c>
      <c r="AS306" s="7" t="e">
        <f t="shared" si="147"/>
        <v>#N/A</v>
      </c>
      <c r="AT306" s="7" t="str">
        <f t="shared" si="137"/>
        <v/>
      </c>
      <c r="AU306" s="7" t="str">
        <f t="shared" si="138"/>
        <v/>
      </c>
      <c r="AV306" s="7" t="str">
        <f t="shared" si="139"/>
        <v/>
      </c>
      <c r="AW306" s="7" t="str">
        <f t="shared" si="140"/>
        <v/>
      </c>
      <c r="AX306" s="97"/>
      <c r="BD306" s="453" t="s">
        <v>623</v>
      </c>
      <c r="CG306"/>
      <c r="CH306"/>
      <c r="CK306" s="592" t="str">
        <f t="shared" si="148"/>
        <v/>
      </c>
      <c r="CL306" s="421" t="str">
        <f t="shared" si="149"/>
        <v/>
      </c>
      <c r="CM306" s="594"/>
      <c r="CN306" s="594"/>
      <c r="CO306" s="594"/>
      <c r="CP306" s="594"/>
      <c r="CQ306" s="594"/>
      <c r="CR306" s="594"/>
    </row>
    <row r="307" spans="1:96" s="13" customFormat="1" ht="13.75" customHeight="1">
      <c r="A307" s="137">
        <v>292</v>
      </c>
      <c r="B307" s="138"/>
      <c r="C307" s="139"/>
      <c r="D307" s="140"/>
      <c r="E307" s="139"/>
      <c r="F307" s="139"/>
      <c r="G307" s="191"/>
      <c r="H307" s="139"/>
      <c r="I307" s="141"/>
      <c r="J307" s="142"/>
      <c r="K307" s="139"/>
      <c r="L307" s="147"/>
      <c r="M307" s="148"/>
      <c r="N307" s="139"/>
      <c r="O307" s="589"/>
      <c r="P307" s="229" t="str">
        <f t="shared" si="141"/>
        <v/>
      </c>
      <c r="Q307" s="229" t="str">
        <f t="shared" si="142"/>
        <v/>
      </c>
      <c r="R307" s="230" t="str">
        <f t="shared" si="143"/>
        <v/>
      </c>
      <c r="S307" s="230" t="str">
        <f t="shared" si="144"/>
        <v/>
      </c>
      <c r="T307" s="351"/>
      <c r="U307" s="43"/>
      <c r="V307" s="42" t="str">
        <f t="shared" si="120"/>
        <v/>
      </c>
      <c r="W307" s="42" t="e">
        <f>IF(#REF!="","",#REF!)</f>
        <v>#REF!</v>
      </c>
      <c r="X307" s="31" t="str">
        <f t="shared" si="121"/>
        <v/>
      </c>
      <c r="Y307" s="7" t="e">
        <f t="shared" si="122"/>
        <v>#N/A</v>
      </c>
      <c r="Z307" s="7" t="e">
        <f t="shared" si="123"/>
        <v>#N/A</v>
      </c>
      <c r="AA307" s="7" t="e">
        <f t="shared" si="124"/>
        <v>#N/A</v>
      </c>
      <c r="AB307" s="7" t="str">
        <f t="shared" si="125"/>
        <v/>
      </c>
      <c r="AC307" s="11">
        <f t="shared" si="126"/>
        <v>1</v>
      </c>
      <c r="AD307" s="7" t="e">
        <f t="shared" si="127"/>
        <v>#N/A</v>
      </c>
      <c r="AE307" s="7" t="e">
        <f t="shared" si="128"/>
        <v>#N/A</v>
      </c>
      <c r="AF307" s="7" t="e">
        <f t="shared" si="129"/>
        <v>#N/A</v>
      </c>
      <c r="AG307" s="472" t="e">
        <f>VLOOKUP(AI307,'排出係数(2017)'!$A$4:$I$1151,9,FALSE)</f>
        <v>#N/A</v>
      </c>
      <c r="AH307" s="12" t="str">
        <f t="shared" si="130"/>
        <v xml:space="preserve"> </v>
      </c>
      <c r="AI307" s="7" t="e">
        <f t="shared" si="145"/>
        <v>#N/A</v>
      </c>
      <c r="AJ307" s="7" t="e">
        <f t="shared" si="131"/>
        <v>#N/A</v>
      </c>
      <c r="AK307" s="472" t="e">
        <f>VLOOKUP(AI307,'排出係数(2017)'!$A$4:$I$1151,6,FALSE)</f>
        <v>#N/A</v>
      </c>
      <c r="AL307" s="7" t="e">
        <f t="shared" si="132"/>
        <v>#N/A</v>
      </c>
      <c r="AM307" s="7" t="e">
        <f t="shared" si="133"/>
        <v>#N/A</v>
      </c>
      <c r="AN307" s="472" t="e">
        <f>VLOOKUP(AI307,'排出係数(2017)'!$A$4:$I$1151,7,FALSE)</f>
        <v>#N/A</v>
      </c>
      <c r="AO307" s="7" t="e">
        <f t="shared" si="134"/>
        <v>#N/A</v>
      </c>
      <c r="AP307" s="7" t="e">
        <f t="shared" si="135"/>
        <v>#N/A</v>
      </c>
      <c r="AQ307" s="7" t="e">
        <f t="shared" si="146"/>
        <v>#N/A</v>
      </c>
      <c r="AR307" s="7">
        <f t="shared" si="136"/>
        <v>0</v>
      </c>
      <c r="AS307" s="7" t="e">
        <f t="shared" si="147"/>
        <v>#N/A</v>
      </c>
      <c r="AT307" s="7" t="str">
        <f t="shared" si="137"/>
        <v/>
      </c>
      <c r="AU307" s="7" t="str">
        <f t="shared" si="138"/>
        <v/>
      </c>
      <c r="AV307" s="7" t="str">
        <f t="shared" si="139"/>
        <v/>
      </c>
      <c r="AW307" s="7" t="str">
        <f t="shared" si="140"/>
        <v/>
      </c>
      <c r="AX307" s="97"/>
      <c r="BD307" s="453" t="s">
        <v>856</v>
      </c>
      <c r="CG307"/>
      <c r="CH307"/>
      <c r="CK307" s="592" t="str">
        <f t="shared" si="148"/>
        <v/>
      </c>
      <c r="CL307" s="421" t="str">
        <f t="shared" si="149"/>
        <v/>
      </c>
      <c r="CM307" s="594"/>
      <c r="CN307" s="594"/>
      <c r="CO307" s="594"/>
      <c r="CP307" s="594"/>
      <c r="CQ307" s="594"/>
      <c r="CR307" s="594"/>
    </row>
    <row r="308" spans="1:96" s="13" customFormat="1" ht="13.75" customHeight="1">
      <c r="A308" s="137">
        <v>293</v>
      </c>
      <c r="B308" s="138"/>
      <c r="C308" s="139"/>
      <c r="D308" s="140"/>
      <c r="E308" s="139"/>
      <c r="F308" s="139"/>
      <c r="G308" s="191"/>
      <c r="H308" s="139"/>
      <c r="I308" s="141"/>
      <c r="J308" s="142"/>
      <c r="K308" s="139"/>
      <c r="L308" s="147"/>
      <c r="M308" s="148"/>
      <c r="N308" s="139"/>
      <c r="O308" s="589"/>
      <c r="P308" s="229" t="str">
        <f t="shared" si="141"/>
        <v/>
      </c>
      <c r="Q308" s="229" t="str">
        <f t="shared" si="142"/>
        <v/>
      </c>
      <c r="R308" s="230" t="str">
        <f t="shared" si="143"/>
        <v/>
      </c>
      <c r="S308" s="230" t="str">
        <f t="shared" si="144"/>
        <v/>
      </c>
      <c r="T308" s="351"/>
      <c r="U308" s="43"/>
      <c r="V308" s="42" t="str">
        <f t="shared" si="120"/>
        <v/>
      </c>
      <c r="W308" s="42" t="e">
        <f>IF(#REF!="","",#REF!)</f>
        <v>#REF!</v>
      </c>
      <c r="X308" s="31" t="str">
        <f t="shared" si="121"/>
        <v/>
      </c>
      <c r="Y308" s="7" t="e">
        <f t="shared" si="122"/>
        <v>#N/A</v>
      </c>
      <c r="Z308" s="7" t="e">
        <f t="shared" si="123"/>
        <v>#N/A</v>
      </c>
      <c r="AA308" s="7" t="e">
        <f t="shared" si="124"/>
        <v>#N/A</v>
      </c>
      <c r="AB308" s="7" t="str">
        <f t="shared" si="125"/>
        <v/>
      </c>
      <c r="AC308" s="11">
        <f t="shared" si="126"/>
        <v>1</v>
      </c>
      <c r="AD308" s="7" t="e">
        <f t="shared" si="127"/>
        <v>#N/A</v>
      </c>
      <c r="AE308" s="7" t="e">
        <f t="shared" si="128"/>
        <v>#N/A</v>
      </c>
      <c r="AF308" s="7" t="e">
        <f t="shared" si="129"/>
        <v>#N/A</v>
      </c>
      <c r="AG308" s="472" t="e">
        <f>VLOOKUP(AI308,'排出係数(2017)'!$A$4:$I$1151,9,FALSE)</f>
        <v>#N/A</v>
      </c>
      <c r="AH308" s="12" t="str">
        <f t="shared" si="130"/>
        <v xml:space="preserve"> </v>
      </c>
      <c r="AI308" s="7" t="e">
        <f t="shared" si="145"/>
        <v>#N/A</v>
      </c>
      <c r="AJ308" s="7" t="e">
        <f t="shared" si="131"/>
        <v>#N/A</v>
      </c>
      <c r="AK308" s="472" t="e">
        <f>VLOOKUP(AI308,'排出係数(2017)'!$A$4:$I$1151,6,FALSE)</f>
        <v>#N/A</v>
      </c>
      <c r="AL308" s="7" t="e">
        <f t="shared" si="132"/>
        <v>#N/A</v>
      </c>
      <c r="AM308" s="7" t="e">
        <f t="shared" si="133"/>
        <v>#N/A</v>
      </c>
      <c r="AN308" s="472" t="e">
        <f>VLOOKUP(AI308,'排出係数(2017)'!$A$4:$I$1151,7,FALSE)</f>
        <v>#N/A</v>
      </c>
      <c r="AO308" s="7" t="e">
        <f t="shared" si="134"/>
        <v>#N/A</v>
      </c>
      <c r="AP308" s="7" t="e">
        <f t="shared" si="135"/>
        <v>#N/A</v>
      </c>
      <c r="AQ308" s="7" t="e">
        <f t="shared" si="146"/>
        <v>#N/A</v>
      </c>
      <c r="AR308" s="7">
        <f t="shared" si="136"/>
        <v>0</v>
      </c>
      <c r="AS308" s="7" t="e">
        <f t="shared" si="147"/>
        <v>#N/A</v>
      </c>
      <c r="AT308" s="7" t="str">
        <f t="shared" si="137"/>
        <v/>
      </c>
      <c r="AU308" s="7" t="str">
        <f t="shared" si="138"/>
        <v/>
      </c>
      <c r="AV308" s="7" t="str">
        <f t="shared" si="139"/>
        <v/>
      </c>
      <c r="AW308" s="7" t="str">
        <f t="shared" si="140"/>
        <v/>
      </c>
      <c r="AX308" s="97"/>
      <c r="BD308" s="453" t="s">
        <v>1063</v>
      </c>
      <c r="CG308"/>
      <c r="CH308"/>
      <c r="CK308" s="592" t="str">
        <f t="shared" si="148"/>
        <v/>
      </c>
      <c r="CL308" s="421" t="str">
        <f t="shared" si="149"/>
        <v/>
      </c>
      <c r="CM308" s="594"/>
      <c r="CN308" s="594"/>
      <c r="CO308" s="594"/>
      <c r="CP308" s="594"/>
      <c r="CQ308" s="594"/>
      <c r="CR308" s="594"/>
    </row>
    <row r="309" spans="1:96" s="13" customFormat="1" ht="13.75" customHeight="1">
      <c r="A309" s="137">
        <v>294</v>
      </c>
      <c r="B309" s="138"/>
      <c r="C309" s="139"/>
      <c r="D309" s="140"/>
      <c r="E309" s="139"/>
      <c r="F309" s="139"/>
      <c r="G309" s="191"/>
      <c r="H309" s="139"/>
      <c r="I309" s="141"/>
      <c r="J309" s="142"/>
      <c r="K309" s="139"/>
      <c r="L309" s="147"/>
      <c r="M309" s="148"/>
      <c r="N309" s="139"/>
      <c r="O309" s="589"/>
      <c r="P309" s="229" t="str">
        <f t="shared" si="141"/>
        <v/>
      </c>
      <c r="Q309" s="229" t="str">
        <f t="shared" si="142"/>
        <v/>
      </c>
      <c r="R309" s="230" t="str">
        <f t="shared" si="143"/>
        <v/>
      </c>
      <c r="S309" s="230" t="str">
        <f t="shared" si="144"/>
        <v/>
      </c>
      <c r="T309" s="351"/>
      <c r="U309" s="43"/>
      <c r="V309" s="42" t="str">
        <f t="shared" si="120"/>
        <v/>
      </c>
      <c r="W309" s="42" t="e">
        <f>IF(#REF!="","",#REF!)</f>
        <v>#REF!</v>
      </c>
      <c r="X309" s="31" t="str">
        <f t="shared" si="121"/>
        <v/>
      </c>
      <c r="Y309" s="7" t="e">
        <f t="shared" si="122"/>
        <v>#N/A</v>
      </c>
      <c r="Z309" s="7" t="e">
        <f t="shared" si="123"/>
        <v>#N/A</v>
      </c>
      <c r="AA309" s="7" t="e">
        <f t="shared" si="124"/>
        <v>#N/A</v>
      </c>
      <c r="AB309" s="7" t="str">
        <f t="shared" si="125"/>
        <v/>
      </c>
      <c r="AC309" s="11">
        <f t="shared" si="126"/>
        <v>1</v>
      </c>
      <c r="AD309" s="7" t="e">
        <f t="shared" si="127"/>
        <v>#N/A</v>
      </c>
      <c r="AE309" s="7" t="e">
        <f t="shared" si="128"/>
        <v>#N/A</v>
      </c>
      <c r="AF309" s="7" t="e">
        <f t="shared" si="129"/>
        <v>#N/A</v>
      </c>
      <c r="AG309" s="472" t="e">
        <f>VLOOKUP(AI309,'排出係数(2017)'!$A$4:$I$1151,9,FALSE)</f>
        <v>#N/A</v>
      </c>
      <c r="AH309" s="12" t="str">
        <f t="shared" si="130"/>
        <v xml:space="preserve"> </v>
      </c>
      <c r="AI309" s="7" t="e">
        <f t="shared" si="145"/>
        <v>#N/A</v>
      </c>
      <c r="AJ309" s="7" t="e">
        <f t="shared" si="131"/>
        <v>#N/A</v>
      </c>
      <c r="AK309" s="472" t="e">
        <f>VLOOKUP(AI309,'排出係数(2017)'!$A$4:$I$1151,6,FALSE)</f>
        <v>#N/A</v>
      </c>
      <c r="AL309" s="7" t="e">
        <f t="shared" si="132"/>
        <v>#N/A</v>
      </c>
      <c r="AM309" s="7" t="e">
        <f t="shared" si="133"/>
        <v>#N/A</v>
      </c>
      <c r="AN309" s="472" t="e">
        <f>VLOOKUP(AI309,'排出係数(2017)'!$A$4:$I$1151,7,FALSE)</f>
        <v>#N/A</v>
      </c>
      <c r="AO309" s="7" t="e">
        <f t="shared" si="134"/>
        <v>#N/A</v>
      </c>
      <c r="AP309" s="7" t="e">
        <f t="shared" si="135"/>
        <v>#N/A</v>
      </c>
      <c r="AQ309" s="7" t="e">
        <f t="shared" si="146"/>
        <v>#N/A</v>
      </c>
      <c r="AR309" s="7">
        <f t="shared" si="136"/>
        <v>0</v>
      </c>
      <c r="AS309" s="7" t="e">
        <f t="shared" si="147"/>
        <v>#N/A</v>
      </c>
      <c r="AT309" s="7" t="str">
        <f t="shared" si="137"/>
        <v/>
      </c>
      <c r="AU309" s="7" t="str">
        <f t="shared" si="138"/>
        <v/>
      </c>
      <c r="AV309" s="7" t="str">
        <f t="shared" si="139"/>
        <v/>
      </c>
      <c r="AW309" s="7" t="str">
        <f t="shared" si="140"/>
        <v/>
      </c>
      <c r="AX309" s="97"/>
      <c r="BD309" s="453" t="s">
        <v>1682</v>
      </c>
      <c r="CG309"/>
      <c r="CH309"/>
      <c r="CK309" s="592" t="str">
        <f t="shared" si="148"/>
        <v/>
      </c>
      <c r="CL309" s="421" t="str">
        <f t="shared" si="149"/>
        <v/>
      </c>
      <c r="CM309" s="594"/>
      <c r="CN309" s="594"/>
      <c r="CO309" s="594"/>
      <c r="CP309" s="594"/>
      <c r="CQ309" s="594"/>
      <c r="CR309" s="594"/>
    </row>
    <row r="310" spans="1:96" s="13" customFormat="1" ht="13.75" customHeight="1">
      <c r="A310" s="137">
        <v>295</v>
      </c>
      <c r="B310" s="138"/>
      <c r="C310" s="139"/>
      <c r="D310" s="140"/>
      <c r="E310" s="139"/>
      <c r="F310" s="139"/>
      <c r="G310" s="191"/>
      <c r="H310" s="139"/>
      <c r="I310" s="141"/>
      <c r="J310" s="142"/>
      <c r="K310" s="139"/>
      <c r="L310" s="147"/>
      <c r="M310" s="148"/>
      <c r="N310" s="139"/>
      <c r="O310" s="589"/>
      <c r="P310" s="229" t="str">
        <f t="shared" si="141"/>
        <v/>
      </c>
      <c r="Q310" s="229" t="str">
        <f t="shared" si="142"/>
        <v/>
      </c>
      <c r="R310" s="230" t="str">
        <f t="shared" si="143"/>
        <v/>
      </c>
      <c r="S310" s="230" t="str">
        <f t="shared" si="144"/>
        <v/>
      </c>
      <c r="T310" s="351"/>
      <c r="U310" s="43"/>
      <c r="V310" s="42" t="str">
        <f t="shared" si="120"/>
        <v/>
      </c>
      <c r="W310" s="42" t="e">
        <f>IF(#REF!="","",#REF!)</f>
        <v>#REF!</v>
      </c>
      <c r="X310" s="31" t="str">
        <f t="shared" si="121"/>
        <v/>
      </c>
      <c r="Y310" s="7" t="e">
        <f t="shared" si="122"/>
        <v>#N/A</v>
      </c>
      <c r="Z310" s="7" t="e">
        <f t="shared" si="123"/>
        <v>#N/A</v>
      </c>
      <c r="AA310" s="7" t="e">
        <f t="shared" si="124"/>
        <v>#N/A</v>
      </c>
      <c r="AB310" s="7" t="str">
        <f t="shared" si="125"/>
        <v/>
      </c>
      <c r="AC310" s="11">
        <f t="shared" si="126"/>
        <v>1</v>
      </c>
      <c r="AD310" s="7" t="e">
        <f t="shared" si="127"/>
        <v>#N/A</v>
      </c>
      <c r="AE310" s="7" t="e">
        <f t="shared" si="128"/>
        <v>#N/A</v>
      </c>
      <c r="AF310" s="7" t="e">
        <f t="shared" si="129"/>
        <v>#N/A</v>
      </c>
      <c r="AG310" s="472" t="e">
        <f>VLOOKUP(AI310,'排出係数(2017)'!$A$4:$I$1151,9,FALSE)</f>
        <v>#N/A</v>
      </c>
      <c r="AH310" s="12" t="str">
        <f t="shared" si="130"/>
        <v xml:space="preserve"> </v>
      </c>
      <c r="AI310" s="7" t="e">
        <f t="shared" si="145"/>
        <v>#N/A</v>
      </c>
      <c r="AJ310" s="7" t="e">
        <f t="shared" si="131"/>
        <v>#N/A</v>
      </c>
      <c r="AK310" s="472" t="e">
        <f>VLOOKUP(AI310,'排出係数(2017)'!$A$4:$I$1151,6,FALSE)</f>
        <v>#N/A</v>
      </c>
      <c r="AL310" s="7" t="e">
        <f t="shared" si="132"/>
        <v>#N/A</v>
      </c>
      <c r="AM310" s="7" t="e">
        <f t="shared" si="133"/>
        <v>#N/A</v>
      </c>
      <c r="AN310" s="472" t="e">
        <f>VLOOKUP(AI310,'排出係数(2017)'!$A$4:$I$1151,7,FALSE)</f>
        <v>#N/A</v>
      </c>
      <c r="AO310" s="7" t="e">
        <f t="shared" si="134"/>
        <v>#N/A</v>
      </c>
      <c r="AP310" s="7" t="e">
        <f t="shared" si="135"/>
        <v>#N/A</v>
      </c>
      <c r="AQ310" s="7" t="e">
        <f t="shared" si="146"/>
        <v>#N/A</v>
      </c>
      <c r="AR310" s="7">
        <f t="shared" si="136"/>
        <v>0</v>
      </c>
      <c r="AS310" s="7" t="e">
        <f t="shared" si="147"/>
        <v>#N/A</v>
      </c>
      <c r="AT310" s="7" t="str">
        <f t="shared" si="137"/>
        <v/>
      </c>
      <c r="AU310" s="7" t="str">
        <f t="shared" si="138"/>
        <v/>
      </c>
      <c r="AV310" s="7" t="str">
        <f t="shared" si="139"/>
        <v/>
      </c>
      <c r="AW310" s="7" t="str">
        <f t="shared" si="140"/>
        <v/>
      </c>
      <c r="AX310" s="97"/>
      <c r="BD310" s="453" t="s">
        <v>1151</v>
      </c>
      <c r="CG310"/>
      <c r="CH310"/>
      <c r="CK310" s="592" t="str">
        <f t="shared" si="148"/>
        <v/>
      </c>
      <c r="CL310" s="421" t="str">
        <f t="shared" si="149"/>
        <v/>
      </c>
      <c r="CM310" s="594"/>
      <c r="CN310" s="594"/>
      <c r="CO310" s="594"/>
      <c r="CP310" s="594"/>
      <c r="CQ310" s="594"/>
      <c r="CR310" s="594"/>
    </row>
    <row r="311" spans="1:96" s="13" customFormat="1" ht="13.75" customHeight="1">
      <c r="A311" s="137">
        <v>296</v>
      </c>
      <c r="B311" s="138"/>
      <c r="C311" s="139"/>
      <c r="D311" s="140"/>
      <c r="E311" s="139"/>
      <c r="F311" s="139"/>
      <c r="G311" s="191"/>
      <c r="H311" s="139"/>
      <c r="I311" s="141"/>
      <c r="J311" s="142"/>
      <c r="K311" s="139"/>
      <c r="L311" s="147"/>
      <c r="M311" s="148"/>
      <c r="N311" s="139"/>
      <c r="O311" s="589"/>
      <c r="P311" s="229" t="str">
        <f t="shared" si="141"/>
        <v/>
      </c>
      <c r="Q311" s="229" t="str">
        <f t="shared" si="142"/>
        <v/>
      </c>
      <c r="R311" s="230" t="str">
        <f t="shared" si="143"/>
        <v/>
      </c>
      <c r="S311" s="230" t="str">
        <f t="shared" si="144"/>
        <v/>
      </c>
      <c r="T311" s="351"/>
      <c r="U311" s="43"/>
      <c r="V311" s="42" t="str">
        <f t="shared" si="120"/>
        <v/>
      </c>
      <c r="W311" s="42" t="e">
        <f>IF(#REF!="","",#REF!)</f>
        <v>#REF!</v>
      </c>
      <c r="X311" s="31" t="str">
        <f t="shared" si="121"/>
        <v/>
      </c>
      <c r="Y311" s="7" t="e">
        <f t="shared" si="122"/>
        <v>#N/A</v>
      </c>
      <c r="Z311" s="7" t="e">
        <f t="shared" si="123"/>
        <v>#N/A</v>
      </c>
      <c r="AA311" s="7" t="e">
        <f t="shared" si="124"/>
        <v>#N/A</v>
      </c>
      <c r="AB311" s="7" t="str">
        <f t="shared" si="125"/>
        <v/>
      </c>
      <c r="AC311" s="11">
        <f t="shared" si="126"/>
        <v>1</v>
      </c>
      <c r="AD311" s="7" t="e">
        <f t="shared" si="127"/>
        <v>#N/A</v>
      </c>
      <c r="AE311" s="7" t="e">
        <f t="shared" si="128"/>
        <v>#N/A</v>
      </c>
      <c r="AF311" s="7" t="e">
        <f t="shared" si="129"/>
        <v>#N/A</v>
      </c>
      <c r="AG311" s="472" t="e">
        <f>VLOOKUP(AI311,'排出係数(2017)'!$A$4:$I$1151,9,FALSE)</f>
        <v>#N/A</v>
      </c>
      <c r="AH311" s="12" t="str">
        <f t="shared" si="130"/>
        <v xml:space="preserve"> </v>
      </c>
      <c r="AI311" s="7" t="e">
        <f t="shared" si="145"/>
        <v>#N/A</v>
      </c>
      <c r="AJ311" s="7" t="e">
        <f t="shared" si="131"/>
        <v>#N/A</v>
      </c>
      <c r="AK311" s="472" t="e">
        <f>VLOOKUP(AI311,'排出係数(2017)'!$A$4:$I$1151,6,FALSE)</f>
        <v>#N/A</v>
      </c>
      <c r="AL311" s="7" t="e">
        <f t="shared" si="132"/>
        <v>#N/A</v>
      </c>
      <c r="AM311" s="7" t="e">
        <f t="shared" si="133"/>
        <v>#N/A</v>
      </c>
      <c r="AN311" s="472" t="e">
        <f>VLOOKUP(AI311,'排出係数(2017)'!$A$4:$I$1151,7,FALSE)</f>
        <v>#N/A</v>
      </c>
      <c r="AO311" s="7" t="e">
        <f t="shared" si="134"/>
        <v>#N/A</v>
      </c>
      <c r="AP311" s="7" t="e">
        <f t="shared" si="135"/>
        <v>#N/A</v>
      </c>
      <c r="AQ311" s="7" t="e">
        <f t="shared" si="146"/>
        <v>#N/A</v>
      </c>
      <c r="AR311" s="7">
        <f t="shared" si="136"/>
        <v>0</v>
      </c>
      <c r="AS311" s="7" t="e">
        <f t="shared" si="147"/>
        <v>#N/A</v>
      </c>
      <c r="AT311" s="7" t="str">
        <f t="shared" si="137"/>
        <v/>
      </c>
      <c r="AU311" s="7" t="str">
        <f t="shared" si="138"/>
        <v/>
      </c>
      <c r="AV311" s="7" t="str">
        <f t="shared" si="139"/>
        <v/>
      </c>
      <c r="AW311" s="7" t="str">
        <f t="shared" si="140"/>
        <v/>
      </c>
      <c r="AX311" s="97"/>
      <c r="BD311" s="453" t="s">
        <v>1184</v>
      </c>
      <c r="CG311"/>
      <c r="CH311"/>
      <c r="CK311" s="592" t="str">
        <f t="shared" si="148"/>
        <v/>
      </c>
      <c r="CL311" s="421" t="str">
        <f t="shared" si="149"/>
        <v/>
      </c>
      <c r="CM311" s="594"/>
      <c r="CN311" s="594"/>
      <c r="CO311" s="594"/>
      <c r="CP311" s="594"/>
      <c r="CQ311" s="594"/>
      <c r="CR311" s="594"/>
    </row>
    <row r="312" spans="1:96" s="13" customFormat="1" ht="13.75" customHeight="1">
      <c r="A312" s="137">
        <v>297</v>
      </c>
      <c r="B312" s="138"/>
      <c r="C312" s="139"/>
      <c r="D312" s="140"/>
      <c r="E312" s="139"/>
      <c r="F312" s="139"/>
      <c r="G312" s="191"/>
      <c r="H312" s="139"/>
      <c r="I312" s="141"/>
      <c r="J312" s="142"/>
      <c r="K312" s="139"/>
      <c r="L312" s="147"/>
      <c r="M312" s="148"/>
      <c r="N312" s="139"/>
      <c r="O312" s="589"/>
      <c r="P312" s="229" t="str">
        <f t="shared" si="141"/>
        <v/>
      </c>
      <c r="Q312" s="229" t="str">
        <f t="shared" si="142"/>
        <v/>
      </c>
      <c r="R312" s="230" t="str">
        <f t="shared" si="143"/>
        <v/>
      </c>
      <c r="S312" s="230" t="str">
        <f t="shared" si="144"/>
        <v/>
      </c>
      <c r="T312" s="351"/>
      <c r="U312" s="43"/>
      <c r="V312" s="42" t="str">
        <f t="shared" si="120"/>
        <v/>
      </c>
      <c r="W312" s="42" t="e">
        <f>IF(#REF!="","",#REF!)</f>
        <v>#REF!</v>
      </c>
      <c r="X312" s="31" t="str">
        <f t="shared" si="121"/>
        <v/>
      </c>
      <c r="Y312" s="7" t="e">
        <f t="shared" si="122"/>
        <v>#N/A</v>
      </c>
      <c r="Z312" s="7" t="e">
        <f t="shared" si="123"/>
        <v>#N/A</v>
      </c>
      <c r="AA312" s="7" t="e">
        <f t="shared" si="124"/>
        <v>#N/A</v>
      </c>
      <c r="AB312" s="7" t="str">
        <f t="shared" si="125"/>
        <v/>
      </c>
      <c r="AC312" s="11">
        <f t="shared" si="126"/>
        <v>1</v>
      </c>
      <c r="AD312" s="7" t="e">
        <f t="shared" si="127"/>
        <v>#N/A</v>
      </c>
      <c r="AE312" s="7" t="e">
        <f t="shared" si="128"/>
        <v>#N/A</v>
      </c>
      <c r="AF312" s="7" t="e">
        <f t="shared" si="129"/>
        <v>#N/A</v>
      </c>
      <c r="AG312" s="472" t="e">
        <f>VLOOKUP(AI312,'排出係数(2017)'!$A$4:$I$1151,9,FALSE)</f>
        <v>#N/A</v>
      </c>
      <c r="AH312" s="12" t="str">
        <f t="shared" si="130"/>
        <v xml:space="preserve"> </v>
      </c>
      <c r="AI312" s="7" t="e">
        <f t="shared" si="145"/>
        <v>#N/A</v>
      </c>
      <c r="AJ312" s="7" t="e">
        <f t="shared" si="131"/>
        <v>#N/A</v>
      </c>
      <c r="AK312" s="472" t="e">
        <f>VLOOKUP(AI312,'排出係数(2017)'!$A$4:$I$1151,6,FALSE)</f>
        <v>#N/A</v>
      </c>
      <c r="AL312" s="7" t="e">
        <f t="shared" si="132"/>
        <v>#N/A</v>
      </c>
      <c r="AM312" s="7" t="e">
        <f t="shared" si="133"/>
        <v>#N/A</v>
      </c>
      <c r="AN312" s="472" t="e">
        <f>VLOOKUP(AI312,'排出係数(2017)'!$A$4:$I$1151,7,FALSE)</f>
        <v>#N/A</v>
      </c>
      <c r="AO312" s="7" t="e">
        <f t="shared" si="134"/>
        <v>#N/A</v>
      </c>
      <c r="AP312" s="7" t="e">
        <f t="shared" si="135"/>
        <v>#N/A</v>
      </c>
      <c r="AQ312" s="7" t="e">
        <f t="shared" si="146"/>
        <v>#N/A</v>
      </c>
      <c r="AR312" s="7">
        <f t="shared" si="136"/>
        <v>0</v>
      </c>
      <c r="AS312" s="7" t="e">
        <f t="shared" si="147"/>
        <v>#N/A</v>
      </c>
      <c r="AT312" s="7" t="str">
        <f t="shared" si="137"/>
        <v/>
      </c>
      <c r="AU312" s="7" t="str">
        <f t="shared" si="138"/>
        <v/>
      </c>
      <c r="AV312" s="7" t="str">
        <f t="shared" si="139"/>
        <v/>
      </c>
      <c r="AW312" s="7" t="str">
        <f t="shared" si="140"/>
        <v/>
      </c>
      <c r="AX312" s="97"/>
      <c r="BD312" s="453" t="s">
        <v>1245</v>
      </c>
      <c r="CG312"/>
      <c r="CH312"/>
      <c r="CK312" s="592" t="str">
        <f t="shared" si="148"/>
        <v/>
      </c>
      <c r="CL312" s="421" t="str">
        <f t="shared" si="149"/>
        <v/>
      </c>
      <c r="CM312" s="594"/>
      <c r="CN312" s="594"/>
      <c r="CO312" s="594"/>
      <c r="CP312" s="594"/>
      <c r="CQ312" s="594"/>
      <c r="CR312" s="594"/>
    </row>
    <row r="313" spans="1:96" s="13" customFormat="1" ht="13.75" customHeight="1">
      <c r="A313" s="137">
        <v>298</v>
      </c>
      <c r="B313" s="138"/>
      <c r="C313" s="139"/>
      <c r="D313" s="140"/>
      <c r="E313" s="139"/>
      <c r="F313" s="139"/>
      <c r="G313" s="191"/>
      <c r="H313" s="139"/>
      <c r="I313" s="141"/>
      <c r="J313" s="142"/>
      <c r="K313" s="139"/>
      <c r="L313" s="147"/>
      <c r="M313" s="148"/>
      <c r="N313" s="139"/>
      <c r="O313" s="589"/>
      <c r="P313" s="229" t="str">
        <f t="shared" si="141"/>
        <v/>
      </c>
      <c r="Q313" s="229" t="str">
        <f t="shared" si="142"/>
        <v/>
      </c>
      <c r="R313" s="230" t="str">
        <f t="shared" si="143"/>
        <v/>
      </c>
      <c r="S313" s="230" t="str">
        <f t="shared" si="144"/>
        <v/>
      </c>
      <c r="T313" s="351"/>
      <c r="U313" s="43"/>
      <c r="V313" s="42" t="str">
        <f t="shared" si="120"/>
        <v/>
      </c>
      <c r="W313" s="42" t="e">
        <f>IF(#REF!="","",#REF!)</f>
        <v>#REF!</v>
      </c>
      <c r="X313" s="31" t="str">
        <f t="shared" si="121"/>
        <v/>
      </c>
      <c r="Y313" s="7" t="e">
        <f t="shared" si="122"/>
        <v>#N/A</v>
      </c>
      <c r="Z313" s="7" t="e">
        <f t="shared" si="123"/>
        <v>#N/A</v>
      </c>
      <c r="AA313" s="7" t="e">
        <f t="shared" si="124"/>
        <v>#N/A</v>
      </c>
      <c r="AB313" s="7" t="str">
        <f t="shared" si="125"/>
        <v/>
      </c>
      <c r="AC313" s="11">
        <f t="shared" si="126"/>
        <v>1</v>
      </c>
      <c r="AD313" s="7" t="e">
        <f t="shared" si="127"/>
        <v>#N/A</v>
      </c>
      <c r="AE313" s="7" t="e">
        <f t="shared" si="128"/>
        <v>#N/A</v>
      </c>
      <c r="AF313" s="7" t="e">
        <f t="shared" si="129"/>
        <v>#N/A</v>
      </c>
      <c r="AG313" s="472" t="e">
        <f>VLOOKUP(AI313,'排出係数(2017)'!$A$4:$I$1151,9,FALSE)</f>
        <v>#N/A</v>
      </c>
      <c r="AH313" s="12" t="str">
        <f t="shared" si="130"/>
        <v xml:space="preserve"> </v>
      </c>
      <c r="AI313" s="7" t="e">
        <f t="shared" si="145"/>
        <v>#N/A</v>
      </c>
      <c r="AJ313" s="7" t="e">
        <f t="shared" si="131"/>
        <v>#N/A</v>
      </c>
      <c r="AK313" s="472" t="e">
        <f>VLOOKUP(AI313,'排出係数(2017)'!$A$4:$I$1151,6,FALSE)</f>
        <v>#N/A</v>
      </c>
      <c r="AL313" s="7" t="e">
        <f t="shared" si="132"/>
        <v>#N/A</v>
      </c>
      <c r="AM313" s="7" t="e">
        <f t="shared" si="133"/>
        <v>#N/A</v>
      </c>
      <c r="AN313" s="472" t="e">
        <f>VLOOKUP(AI313,'排出係数(2017)'!$A$4:$I$1151,7,FALSE)</f>
        <v>#N/A</v>
      </c>
      <c r="AO313" s="7" t="e">
        <f t="shared" si="134"/>
        <v>#N/A</v>
      </c>
      <c r="AP313" s="7" t="e">
        <f t="shared" si="135"/>
        <v>#N/A</v>
      </c>
      <c r="AQ313" s="7" t="e">
        <f t="shared" si="146"/>
        <v>#N/A</v>
      </c>
      <c r="AR313" s="7">
        <f t="shared" si="136"/>
        <v>0</v>
      </c>
      <c r="AS313" s="7" t="e">
        <f t="shared" si="147"/>
        <v>#N/A</v>
      </c>
      <c r="AT313" s="7" t="str">
        <f t="shared" si="137"/>
        <v/>
      </c>
      <c r="AU313" s="7" t="str">
        <f t="shared" si="138"/>
        <v/>
      </c>
      <c r="AV313" s="7" t="str">
        <f t="shared" si="139"/>
        <v/>
      </c>
      <c r="AW313" s="7" t="str">
        <f t="shared" si="140"/>
        <v/>
      </c>
      <c r="AX313" s="97"/>
      <c r="BD313" s="453" t="s">
        <v>1680</v>
      </c>
      <c r="CG313"/>
      <c r="CH313"/>
      <c r="CK313" s="592" t="str">
        <f t="shared" si="148"/>
        <v/>
      </c>
      <c r="CL313" s="421" t="str">
        <f t="shared" si="149"/>
        <v/>
      </c>
      <c r="CM313" s="594"/>
      <c r="CN313" s="594"/>
      <c r="CO313" s="594"/>
      <c r="CP313" s="594"/>
      <c r="CQ313" s="594"/>
      <c r="CR313" s="594"/>
    </row>
    <row r="314" spans="1:96" s="13" customFormat="1" ht="13.75" customHeight="1">
      <c r="A314" s="137">
        <v>299</v>
      </c>
      <c r="B314" s="138"/>
      <c r="C314" s="139"/>
      <c r="D314" s="140"/>
      <c r="E314" s="139"/>
      <c r="F314" s="139"/>
      <c r="G314" s="191"/>
      <c r="H314" s="139"/>
      <c r="I314" s="141"/>
      <c r="J314" s="142"/>
      <c r="K314" s="139"/>
      <c r="L314" s="147"/>
      <c r="M314" s="148"/>
      <c r="N314" s="139"/>
      <c r="O314" s="589"/>
      <c r="P314" s="229" t="str">
        <f t="shared" si="141"/>
        <v/>
      </c>
      <c r="Q314" s="229" t="str">
        <f t="shared" si="142"/>
        <v/>
      </c>
      <c r="R314" s="230" t="str">
        <f t="shared" si="143"/>
        <v/>
      </c>
      <c r="S314" s="230" t="str">
        <f t="shared" si="144"/>
        <v/>
      </c>
      <c r="T314" s="351"/>
      <c r="U314" s="43"/>
      <c r="V314" s="42" t="str">
        <f t="shared" si="120"/>
        <v/>
      </c>
      <c r="W314" s="42" t="e">
        <f>IF(#REF!="","",#REF!)</f>
        <v>#REF!</v>
      </c>
      <c r="X314" s="31" t="str">
        <f t="shared" si="121"/>
        <v/>
      </c>
      <c r="Y314" s="7" t="e">
        <f t="shared" si="122"/>
        <v>#N/A</v>
      </c>
      <c r="Z314" s="7" t="e">
        <f t="shared" si="123"/>
        <v>#N/A</v>
      </c>
      <c r="AA314" s="7" t="e">
        <f t="shared" si="124"/>
        <v>#N/A</v>
      </c>
      <c r="AB314" s="7" t="str">
        <f t="shared" si="125"/>
        <v/>
      </c>
      <c r="AC314" s="11">
        <f t="shared" si="126"/>
        <v>1</v>
      </c>
      <c r="AD314" s="7" t="e">
        <f t="shared" si="127"/>
        <v>#N/A</v>
      </c>
      <c r="AE314" s="7" t="e">
        <f t="shared" si="128"/>
        <v>#N/A</v>
      </c>
      <c r="AF314" s="7" t="e">
        <f t="shared" si="129"/>
        <v>#N/A</v>
      </c>
      <c r="AG314" s="472" t="e">
        <f>VLOOKUP(AI314,'排出係数(2017)'!$A$4:$I$1151,9,FALSE)</f>
        <v>#N/A</v>
      </c>
      <c r="AH314" s="12" t="str">
        <f t="shared" si="130"/>
        <v xml:space="preserve"> </v>
      </c>
      <c r="AI314" s="7" t="e">
        <f t="shared" si="145"/>
        <v>#N/A</v>
      </c>
      <c r="AJ314" s="7" t="e">
        <f t="shared" si="131"/>
        <v>#N/A</v>
      </c>
      <c r="AK314" s="472" t="e">
        <f>VLOOKUP(AI314,'排出係数(2017)'!$A$4:$I$1151,6,FALSE)</f>
        <v>#N/A</v>
      </c>
      <c r="AL314" s="7" t="e">
        <f t="shared" si="132"/>
        <v>#N/A</v>
      </c>
      <c r="AM314" s="7" t="e">
        <f t="shared" si="133"/>
        <v>#N/A</v>
      </c>
      <c r="AN314" s="472" t="e">
        <f>VLOOKUP(AI314,'排出係数(2017)'!$A$4:$I$1151,7,FALSE)</f>
        <v>#N/A</v>
      </c>
      <c r="AO314" s="7" t="e">
        <f t="shared" si="134"/>
        <v>#N/A</v>
      </c>
      <c r="AP314" s="7" t="e">
        <f t="shared" si="135"/>
        <v>#N/A</v>
      </c>
      <c r="AQ314" s="7" t="e">
        <f t="shared" si="146"/>
        <v>#N/A</v>
      </c>
      <c r="AR314" s="7">
        <f t="shared" si="136"/>
        <v>0</v>
      </c>
      <c r="AS314" s="7" t="e">
        <f t="shared" si="147"/>
        <v>#N/A</v>
      </c>
      <c r="AT314" s="7" t="str">
        <f t="shared" si="137"/>
        <v/>
      </c>
      <c r="AU314" s="7" t="str">
        <f t="shared" si="138"/>
        <v/>
      </c>
      <c r="AV314" s="7" t="str">
        <f t="shared" si="139"/>
        <v/>
      </c>
      <c r="AW314" s="7" t="str">
        <f t="shared" si="140"/>
        <v/>
      </c>
      <c r="AX314" s="97"/>
      <c r="BD314" s="453" t="s">
        <v>1149</v>
      </c>
      <c r="CG314"/>
      <c r="CH314"/>
      <c r="CK314" s="592" t="str">
        <f t="shared" si="148"/>
        <v/>
      </c>
      <c r="CL314" s="421" t="str">
        <f t="shared" si="149"/>
        <v/>
      </c>
      <c r="CM314" s="594"/>
      <c r="CN314" s="594"/>
      <c r="CO314" s="594"/>
      <c r="CP314" s="594"/>
      <c r="CQ314" s="594"/>
      <c r="CR314" s="594"/>
    </row>
    <row r="315" spans="1:96" s="13" customFormat="1" ht="13.75" customHeight="1">
      <c r="A315" s="137">
        <v>300</v>
      </c>
      <c r="B315" s="138"/>
      <c r="C315" s="139"/>
      <c r="D315" s="140"/>
      <c r="E315" s="139"/>
      <c r="F315" s="139"/>
      <c r="G315" s="191"/>
      <c r="H315" s="139"/>
      <c r="I315" s="141"/>
      <c r="J315" s="142"/>
      <c r="K315" s="139"/>
      <c r="L315" s="147"/>
      <c r="M315" s="148"/>
      <c r="N315" s="139"/>
      <c r="O315" s="589"/>
      <c r="P315" s="229" t="str">
        <f t="shared" si="141"/>
        <v/>
      </c>
      <c r="Q315" s="229" t="str">
        <f t="shared" si="142"/>
        <v/>
      </c>
      <c r="R315" s="230" t="str">
        <f t="shared" si="143"/>
        <v/>
      </c>
      <c r="S315" s="230" t="str">
        <f t="shared" si="144"/>
        <v/>
      </c>
      <c r="T315" s="351"/>
      <c r="U315" s="43"/>
      <c r="V315" s="42" t="str">
        <f t="shared" si="120"/>
        <v/>
      </c>
      <c r="W315" s="42" t="e">
        <f>IF(#REF!="","",#REF!)</f>
        <v>#REF!</v>
      </c>
      <c r="X315" s="31" t="str">
        <f t="shared" si="121"/>
        <v/>
      </c>
      <c r="Y315" s="7" t="e">
        <f t="shared" si="122"/>
        <v>#N/A</v>
      </c>
      <c r="Z315" s="7" t="e">
        <f t="shared" si="123"/>
        <v>#N/A</v>
      </c>
      <c r="AA315" s="7" t="e">
        <f t="shared" si="124"/>
        <v>#N/A</v>
      </c>
      <c r="AB315" s="7" t="str">
        <f t="shared" si="125"/>
        <v/>
      </c>
      <c r="AC315" s="11">
        <f t="shared" si="126"/>
        <v>1</v>
      </c>
      <c r="AD315" s="7" t="e">
        <f t="shared" si="127"/>
        <v>#N/A</v>
      </c>
      <c r="AE315" s="7" t="e">
        <f t="shared" si="128"/>
        <v>#N/A</v>
      </c>
      <c r="AF315" s="7" t="e">
        <f t="shared" si="129"/>
        <v>#N/A</v>
      </c>
      <c r="AG315" s="472" t="e">
        <f>VLOOKUP(AI315,'排出係数(2017)'!$A$4:$I$1151,9,FALSE)</f>
        <v>#N/A</v>
      </c>
      <c r="AH315" s="12" t="str">
        <f t="shared" si="130"/>
        <v xml:space="preserve"> </v>
      </c>
      <c r="AI315" s="7" t="e">
        <f t="shared" si="145"/>
        <v>#N/A</v>
      </c>
      <c r="AJ315" s="7" t="e">
        <f t="shared" si="131"/>
        <v>#N/A</v>
      </c>
      <c r="AK315" s="472" t="e">
        <f>VLOOKUP(AI315,'排出係数(2017)'!$A$4:$I$1151,6,FALSE)</f>
        <v>#N/A</v>
      </c>
      <c r="AL315" s="7" t="e">
        <f t="shared" si="132"/>
        <v>#N/A</v>
      </c>
      <c r="AM315" s="7" t="e">
        <f t="shared" si="133"/>
        <v>#N/A</v>
      </c>
      <c r="AN315" s="472" t="e">
        <f>VLOOKUP(AI315,'排出係数(2017)'!$A$4:$I$1151,7,FALSE)</f>
        <v>#N/A</v>
      </c>
      <c r="AO315" s="7" t="e">
        <f t="shared" si="134"/>
        <v>#N/A</v>
      </c>
      <c r="AP315" s="7" t="e">
        <f t="shared" si="135"/>
        <v>#N/A</v>
      </c>
      <c r="AQ315" s="7" t="e">
        <f t="shared" si="146"/>
        <v>#N/A</v>
      </c>
      <c r="AR315" s="7">
        <f t="shared" si="136"/>
        <v>0</v>
      </c>
      <c r="AS315" s="7" t="e">
        <f t="shared" si="147"/>
        <v>#N/A</v>
      </c>
      <c r="AT315" s="7" t="str">
        <f t="shared" si="137"/>
        <v/>
      </c>
      <c r="AU315" s="7" t="str">
        <f t="shared" si="138"/>
        <v/>
      </c>
      <c r="AV315" s="7" t="str">
        <f t="shared" si="139"/>
        <v/>
      </c>
      <c r="AW315" s="7" t="str">
        <f t="shared" si="140"/>
        <v/>
      </c>
      <c r="AX315" s="97"/>
      <c r="BD315" s="453" t="s">
        <v>1182</v>
      </c>
      <c r="CG315"/>
      <c r="CH315"/>
      <c r="CK315" s="592" t="str">
        <f t="shared" si="148"/>
        <v/>
      </c>
      <c r="CL315" s="421" t="str">
        <f t="shared" si="149"/>
        <v/>
      </c>
      <c r="CM315" s="594"/>
      <c r="CN315" s="594"/>
      <c r="CO315" s="594"/>
      <c r="CP315" s="594"/>
      <c r="CQ315" s="594"/>
      <c r="CR315" s="594"/>
    </row>
    <row r="316" spans="1:96" s="13" customFormat="1" ht="13.75" customHeight="1">
      <c r="A316" s="137">
        <v>301</v>
      </c>
      <c r="B316" s="138"/>
      <c r="C316" s="139"/>
      <c r="D316" s="140"/>
      <c r="E316" s="139"/>
      <c r="F316" s="139"/>
      <c r="G316" s="191"/>
      <c r="H316" s="139"/>
      <c r="I316" s="141"/>
      <c r="J316" s="142"/>
      <c r="K316" s="139"/>
      <c r="L316" s="147"/>
      <c r="M316" s="148"/>
      <c r="N316" s="139"/>
      <c r="O316" s="589"/>
      <c r="P316" s="229" t="str">
        <f t="shared" si="141"/>
        <v/>
      </c>
      <c r="Q316" s="229" t="str">
        <f t="shared" si="142"/>
        <v/>
      </c>
      <c r="R316" s="230" t="str">
        <f t="shared" si="143"/>
        <v/>
      </c>
      <c r="S316" s="230" t="str">
        <f t="shared" si="144"/>
        <v/>
      </c>
      <c r="T316" s="351"/>
      <c r="U316" s="43"/>
      <c r="V316" s="42" t="str">
        <f t="shared" si="120"/>
        <v/>
      </c>
      <c r="W316" s="42" t="e">
        <f>IF(#REF!="","",#REF!)</f>
        <v>#REF!</v>
      </c>
      <c r="X316" s="31" t="str">
        <f t="shared" si="121"/>
        <v/>
      </c>
      <c r="Y316" s="7" t="e">
        <f t="shared" si="122"/>
        <v>#N/A</v>
      </c>
      <c r="Z316" s="7" t="e">
        <f t="shared" si="123"/>
        <v>#N/A</v>
      </c>
      <c r="AA316" s="7" t="e">
        <f t="shared" si="124"/>
        <v>#N/A</v>
      </c>
      <c r="AB316" s="7" t="str">
        <f t="shared" si="125"/>
        <v/>
      </c>
      <c r="AC316" s="11">
        <f t="shared" si="126"/>
        <v>1</v>
      </c>
      <c r="AD316" s="7" t="e">
        <f t="shared" si="127"/>
        <v>#N/A</v>
      </c>
      <c r="AE316" s="7" t="e">
        <f t="shared" si="128"/>
        <v>#N/A</v>
      </c>
      <c r="AF316" s="7" t="e">
        <f t="shared" si="129"/>
        <v>#N/A</v>
      </c>
      <c r="AG316" s="472" t="e">
        <f>VLOOKUP(AI316,'排出係数(2017)'!$A$4:$I$1151,9,FALSE)</f>
        <v>#N/A</v>
      </c>
      <c r="AH316" s="12" t="str">
        <f t="shared" si="130"/>
        <v xml:space="preserve"> </v>
      </c>
      <c r="AI316" s="7" t="e">
        <f t="shared" si="145"/>
        <v>#N/A</v>
      </c>
      <c r="AJ316" s="7" t="e">
        <f t="shared" si="131"/>
        <v>#N/A</v>
      </c>
      <c r="AK316" s="472" t="e">
        <f>VLOOKUP(AI316,'排出係数(2017)'!$A$4:$I$1151,6,FALSE)</f>
        <v>#N/A</v>
      </c>
      <c r="AL316" s="7" t="e">
        <f t="shared" si="132"/>
        <v>#N/A</v>
      </c>
      <c r="AM316" s="7" t="e">
        <f t="shared" si="133"/>
        <v>#N/A</v>
      </c>
      <c r="AN316" s="472" t="e">
        <f>VLOOKUP(AI316,'排出係数(2017)'!$A$4:$I$1151,7,FALSE)</f>
        <v>#N/A</v>
      </c>
      <c r="AO316" s="7" t="e">
        <f t="shared" si="134"/>
        <v>#N/A</v>
      </c>
      <c r="AP316" s="7" t="e">
        <f t="shared" si="135"/>
        <v>#N/A</v>
      </c>
      <c r="AQ316" s="7" t="e">
        <f t="shared" si="146"/>
        <v>#N/A</v>
      </c>
      <c r="AR316" s="7">
        <f t="shared" si="136"/>
        <v>0</v>
      </c>
      <c r="AS316" s="7" t="e">
        <f t="shared" si="147"/>
        <v>#N/A</v>
      </c>
      <c r="AT316" s="7" t="str">
        <f t="shared" si="137"/>
        <v/>
      </c>
      <c r="AU316" s="7" t="str">
        <f t="shared" si="138"/>
        <v/>
      </c>
      <c r="AV316" s="7" t="str">
        <f t="shared" si="139"/>
        <v/>
      </c>
      <c r="AW316" s="7" t="str">
        <f t="shared" si="140"/>
        <v/>
      </c>
      <c r="AX316" s="97"/>
      <c r="BD316" s="453" t="s">
        <v>1243</v>
      </c>
      <c r="CG316"/>
      <c r="CH316"/>
      <c r="CK316" s="592" t="str">
        <f t="shared" si="148"/>
        <v/>
      </c>
      <c r="CL316" s="421" t="str">
        <f t="shared" si="149"/>
        <v/>
      </c>
      <c r="CM316" s="594"/>
      <c r="CN316" s="594"/>
      <c r="CO316" s="594"/>
      <c r="CP316" s="594"/>
      <c r="CQ316" s="594"/>
      <c r="CR316" s="594"/>
    </row>
    <row r="317" spans="1:96" s="13" customFormat="1" ht="13.75" customHeight="1">
      <c r="A317" s="137">
        <v>302</v>
      </c>
      <c r="B317" s="138"/>
      <c r="C317" s="139"/>
      <c r="D317" s="140"/>
      <c r="E317" s="139"/>
      <c r="F317" s="139"/>
      <c r="G317" s="191"/>
      <c r="H317" s="139"/>
      <c r="I317" s="141"/>
      <c r="J317" s="142"/>
      <c r="K317" s="139"/>
      <c r="L317" s="147"/>
      <c r="M317" s="148"/>
      <c r="N317" s="139"/>
      <c r="O317" s="589"/>
      <c r="P317" s="229" t="str">
        <f t="shared" si="141"/>
        <v/>
      </c>
      <c r="Q317" s="229" t="str">
        <f t="shared" si="142"/>
        <v/>
      </c>
      <c r="R317" s="230" t="str">
        <f t="shared" si="143"/>
        <v/>
      </c>
      <c r="S317" s="230" t="str">
        <f t="shared" si="144"/>
        <v/>
      </c>
      <c r="T317" s="351"/>
      <c r="U317" s="43"/>
      <c r="V317" s="42" t="str">
        <f t="shared" si="120"/>
        <v/>
      </c>
      <c r="W317" s="42" t="e">
        <f>IF(#REF!="","",#REF!)</f>
        <v>#REF!</v>
      </c>
      <c r="X317" s="31" t="str">
        <f t="shared" si="121"/>
        <v/>
      </c>
      <c r="Y317" s="7" t="e">
        <f t="shared" si="122"/>
        <v>#N/A</v>
      </c>
      <c r="Z317" s="7" t="e">
        <f t="shared" si="123"/>
        <v>#N/A</v>
      </c>
      <c r="AA317" s="7" t="e">
        <f t="shared" si="124"/>
        <v>#N/A</v>
      </c>
      <c r="AB317" s="7" t="str">
        <f t="shared" si="125"/>
        <v/>
      </c>
      <c r="AC317" s="11">
        <f t="shared" si="126"/>
        <v>1</v>
      </c>
      <c r="AD317" s="7" t="e">
        <f t="shared" si="127"/>
        <v>#N/A</v>
      </c>
      <c r="AE317" s="7" t="e">
        <f t="shared" si="128"/>
        <v>#N/A</v>
      </c>
      <c r="AF317" s="7" t="e">
        <f t="shared" si="129"/>
        <v>#N/A</v>
      </c>
      <c r="AG317" s="472" t="e">
        <f>VLOOKUP(AI317,'排出係数(2017)'!$A$4:$I$1151,9,FALSE)</f>
        <v>#N/A</v>
      </c>
      <c r="AH317" s="12" t="str">
        <f t="shared" si="130"/>
        <v xml:space="preserve"> </v>
      </c>
      <c r="AI317" s="7" t="e">
        <f t="shared" si="145"/>
        <v>#N/A</v>
      </c>
      <c r="AJ317" s="7" t="e">
        <f t="shared" si="131"/>
        <v>#N/A</v>
      </c>
      <c r="AK317" s="472" t="e">
        <f>VLOOKUP(AI317,'排出係数(2017)'!$A$4:$I$1151,6,FALSE)</f>
        <v>#N/A</v>
      </c>
      <c r="AL317" s="7" t="e">
        <f t="shared" si="132"/>
        <v>#N/A</v>
      </c>
      <c r="AM317" s="7" t="e">
        <f t="shared" si="133"/>
        <v>#N/A</v>
      </c>
      <c r="AN317" s="472" t="e">
        <f>VLOOKUP(AI317,'排出係数(2017)'!$A$4:$I$1151,7,FALSE)</f>
        <v>#N/A</v>
      </c>
      <c r="AO317" s="7" t="e">
        <f t="shared" si="134"/>
        <v>#N/A</v>
      </c>
      <c r="AP317" s="7" t="e">
        <f t="shared" si="135"/>
        <v>#N/A</v>
      </c>
      <c r="AQ317" s="7" t="e">
        <f t="shared" si="146"/>
        <v>#N/A</v>
      </c>
      <c r="AR317" s="7">
        <f t="shared" si="136"/>
        <v>0</v>
      </c>
      <c r="AS317" s="7" t="e">
        <f t="shared" si="147"/>
        <v>#N/A</v>
      </c>
      <c r="AT317" s="7" t="str">
        <f t="shared" si="137"/>
        <v/>
      </c>
      <c r="AU317" s="7" t="str">
        <f t="shared" si="138"/>
        <v/>
      </c>
      <c r="AV317" s="7" t="str">
        <f t="shared" si="139"/>
        <v/>
      </c>
      <c r="AW317" s="7" t="str">
        <f t="shared" si="140"/>
        <v/>
      </c>
      <c r="AX317" s="97"/>
      <c r="BD317" s="453" t="s">
        <v>1710</v>
      </c>
      <c r="CG317"/>
      <c r="CH317"/>
      <c r="CK317" s="592" t="str">
        <f t="shared" si="148"/>
        <v/>
      </c>
      <c r="CL317" s="421" t="str">
        <f t="shared" si="149"/>
        <v/>
      </c>
      <c r="CM317" s="594"/>
      <c r="CN317" s="594"/>
      <c r="CO317" s="594"/>
      <c r="CP317" s="594"/>
      <c r="CQ317" s="594"/>
      <c r="CR317" s="594"/>
    </row>
    <row r="318" spans="1:96" s="13" customFormat="1" ht="13.75" customHeight="1">
      <c r="A318" s="137">
        <v>303</v>
      </c>
      <c r="B318" s="138"/>
      <c r="C318" s="139"/>
      <c r="D318" s="140"/>
      <c r="E318" s="139"/>
      <c r="F318" s="139"/>
      <c r="G318" s="191"/>
      <c r="H318" s="139"/>
      <c r="I318" s="141"/>
      <c r="J318" s="142"/>
      <c r="K318" s="139"/>
      <c r="L318" s="147"/>
      <c r="M318" s="148"/>
      <c r="N318" s="139"/>
      <c r="O318" s="589"/>
      <c r="P318" s="229" t="str">
        <f t="shared" si="141"/>
        <v/>
      </c>
      <c r="Q318" s="229" t="str">
        <f t="shared" si="142"/>
        <v/>
      </c>
      <c r="R318" s="230" t="str">
        <f t="shared" si="143"/>
        <v/>
      </c>
      <c r="S318" s="230" t="str">
        <f t="shared" si="144"/>
        <v/>
      </c>
      <c r="T318" s="351"/>
      <c r="U318" s="43"/>
      <c r="V318" s="42" t="str">
        <f t="shared" si="120"/>
        <v/>
      </c>
      <c r="W318" s="42" t="e">
        <f>IF(#REF!="","",#REF!)</f>
        <v>#REF!</v>
      </c>
      <c r="X318" s="31" t="str">
        <f t="shared" si="121"/>
        <v/>
      </c>
      <c r="Y318" s="7" t="e">
        <f t="shared" si="122"/>
        <v>#N/A</v>
      </c>
      <c r="Z318" s="7" t="e">
        <f t="shared" si="123"/>
        <v>#N/A</v>
      </c>
      <c r="AA318" s="7" t="e">
        <f t="shared" si="124"/>
        <v>#N/A</v>
      </c>
      <c r="AB318" s="7" t="str">
        <f t="shared" si="125"/>
        <v/>
      </c>
      <c r="AC318" s="11">
        <f t="shared" si="126"/>
        <v>1</v>
      </c>
      <c r="AD318" s="7" t="e">
        <f t="shared" si="127"/>
        <v>#N/A</v>
      </c>
      <c r="AE318" s="7" t="e">
        <f t="shared" si="128"/>
        <v>#N/A</v>
      </c>
      <c r="AF318" s="7" t="e">
        <f t="shared" si="129"/>
        <v>#N/A</v>
      </c>
      <c r="AG318" s="472" t="e">
        <f>VLOOKUP(AI318,'排出係数(2017)'!$A$4:$I$1151,9,FALSE)</f>
        <v>#N/A</v>
      </c>
      <c r="AH318" s="12" t="str">
        <f t="shared" si="130"/>
        <v xml:space="preserve"> </v>
      </c>
      <c r="AI318" s="7" t="e">
        <f t="shared" si="145"/>
        <v>#N/A</v>
      </c>
      <c r="AJ318" s="7" t="e">
        <f t="shared" si="131"/>
        <v>#N/A</v>
      </c>
      <c r="AK318" s="472" t="e">
        <f>VLOOKUP(AI318,'排出係数(2017)'!$A$4:$I$1151,6,FALSE)</f>
        <v>#N/A</v>
      </c>
      <c r="AL318" s="7" t="e">
        <f t="shared" si="132"/>
        <v>#N/A</v>
      </c>
      <c r="AM318" s="7" t="e">
        <f t="shared" si="133"/>
        <v>#N/A</v>
      </c>
      <c r="AN318" s="472" t="e">
        <f>VLOOKUP(AI318,'排出係数(2017)'!$A$4:$I$1151,7,FALSE)</f>
        <v>#N/A</v>
      </c>
      <c r="AO318" s="7" t="e">
        <f t="shared" si="134"/>
        <v>#N/A</v>
      </c>
      <c r="AP318" s="7" t="e">
        <f t="shared" si="135"/>
        <v>#N/A</v>
      </c>
      <c r="AQ318" s="7" t="e">
        <f t="shared" si="146"/>
        <v>#N/A</v>
      </c>
      <c r="AR318" s="7">
        <f t="shared" si="136"/>
        <v>0</v>
      </c>
      <c r="AS318" s="7" t="e">
        <f t="shared" si="147"/>
        <v>#N/A</v>
      </c>
      <c r="AT318" s="7" t="str">
        <f t="shared" si="137"/>
        <v/>
      </c>
      <c r="AU318" s="7" t="str">
        <f t="shared" si="138"/>
        <v/>
      </c>
      <c r="AV318" s="7" t="str">
        <f t="shared" si="139"/>
        <v/>
      </c>
      <c r="AW318" s="7" t="str">
        <f t="shared" si="140"/>
        <v/>
      </c>
      <c r="AX318" s="97"/>
      <c r="BD318" s="467" t="s">
        <v>1286</v>
      </c>
      <c r="CG318"/>
      <c r="CH318"/>
      <c r="CK318" s="592" t="str">
        <f t="shared" si="148"/>
        <v/>
      </c>
      <c r="CL318" s="421" t="str">
        <f t="shared" si="149"/>
        <v/>
      </c>
      <c r="CM318" s="594"/>
      <c r="CN318" s="594"/>
      <c r="CO318" s="594"/>
      <c r="CP318" s="594"/>
      <c r="CQ318" s="594"/>
      <c r="CR318" s="594"/>
    </row>
    <row r="319" spans="1:96" s="13" customFormat="1" ht="13.75" customHeight="1">
      <c r="A319" s="137">
        <v>304</v>
      </c>
      <c r="B319" s="138"/>
      <c r="C319" s="139"/>
      <c r="D319" s="140"/>
      <c r="E319" s="139"/>
      <c r="F319" s="139"/>
      <c r="G319" s="191"/>
      <c r="H319" s="139"/>
      <c r="I319" s="141"/>
      <c r="J319" s="142"/>
      <c r="K319" s="139"/>
      <c r="L319" s="147"/>
      <c r="M319" s="148"/>
      <c r="N319" s="139"/>
      <c r="O319" s="589"/>
      <c r="P319" s="229" t="str">
        <f t="shared" si="141"/>
        <v/>
      </c>
      <c r="Q319" s="229" t="str">
        <f t="shared" si="142"/>
        <v/>
      </c>
      <c r="R319" s="230" t="str">
        <f t="shared" si="143"/>
        <v/>
      </c>
      <c r="S319" s="230" t="str">
        <f t="shared" si="144"/>
        <v/>
      </c>
      <c r="T319" s="351"/>
      <c r="U319" s="43"/>
      <c r="V319" s="42" t="str">
        <f t="shared" si="120"/>
        <v/>
      </c>
      <c r="W319" s="42" t="e">
        <f>IF(#REF!="","",#REF!)</f>
        <v>#REF!</v>
      </c>
      <c r="X319" s="31" t="str">
        <f t="shared" si="121"/>
        <v/>
      </c>
      <c r="Y319" s="7" t="e">
        <f t="shared" si="122"/>
        <v>#N/A</v>
      </c>
      <c r="Z319" s="7" t="e">
        <f t="shared" si="123"/>
        <v>#N/A</v>
      </c>
      <c r="AA319" s="7" t="e">
        <f t="shared" si="124"/>
        <v>#N/A</v>
      </c>
      <c r="AB319" s="7" t="str">
        <f t="shared" si="125"/>
        <v/>
      </c>
      <c r="AC319" s="11">
        <f t="shared" si="126"/>
        <v>1</v>
      </c>
      <c r="AD319" s="7" t="e">
        <f t="shared" si="127"/>
        <v>#N/A</v>
      </c>
      <c r="AE319" s="7" t="e">
        <f t="shared" si="128"/>
        <v>#N/A</v>
      </c>
      <c r="AF319" s="7" t="e">
        <f t="shared" si="129"/>
        <v>#N/A</v>
      </c>
      <c r="AG319" s="472" t="e">
        <f>VLOOKUP(AI319,'排出係数(2017)'!$A$4:$I$1151,9,FALSE)</f>
        <v>#N/A</v>
      </c>
      <c r="AH319" s="12" t="str">
        <f t="shared" si="130"/>
        <v xml:space="preserve"> </v>
      </c>
      <c r="AI319" s="7" t="e">
        <f t="shared" si="145"/>
        <v>#N/A</v>
      </c>
      <c r="AJ319" s="7" t="e">
        <f t="shared" si="131"/>
        <v>#N/A</v>
      </c>
      <c r="AK319" s="472" t="e">
        <f>VLOOKUP(AI319,'排出係数(2017)'!$A$4:$I$1151,6,FALSE)</f>
        <v>#N/A</v>
      </c>
      <c r="AL319" s="7" t="e">
        <f t="shared" si="132"/>
        <v>#N/A</v>
      </c>
      <c r="AM319" s="7" t="e">
        <f t="shared" si="133"/>
        <v>#N/A</v>
      </c>
      <c r="AN319" s="472" t="e">
        <f>VLOOKUP(AI319,'排出係数(2017)'!$A$4:$I$1151,7,FALSE)</f>
        <v>#N/A</v>
      </c>
      <c r="AO319" s="7" t="e">
        <f t="shared" si="134"/>
        <v>#N/A</v>
      </c>
      <c r="AP319" s="7" t="e">
        <f t="shared" si="135"/>
        <v>#N/A</v>
      </c>
      <c r="AQ319" s="7" t="e">
        <f t="shared" si="146"/>
        <v>#N/A</v>
      </c>
      <c r="AR319" s="7">
        <f t="shared" si="136"/>
        <v>0</v>
      </c>
      <c r="AS319" s="7" t="e">
        <f t="shared" si="147"/>
        <v>#N/A</v>
      </c>
      <c r="AT319" s="7" t="str">
        <f t="shared" si="137"/>
        <v/>
      </c>
      <c r="AU319" s="7" t="str">
        <f t="shared" si="138"/>
        <v/>
      </c>
      <c r="AV319" s="7" t="str">
        <f t="shared" si="139"/>
        <v/>
      </c>
      <c r="AW319" s="7" t="str">
        <f t="shared" si="140"/>
        <v/>
      </c>
      <c r="AX319" s="97"/>
      <c r="BD319" s="467" t="s">
        <v>1317</v>
      </c>
      <c r="CG319"/>
      <c r="CH319"/>
      <c r="CK319" s="592" t="str">
        <f t="shared" si="148"/>
        <v/>
      </c>
      <c r="CL319" s="421" t="str">
        <f t="shared" si="149"/>
        <v/>
      </c>
      <c r="CM319" s="594"/>
      <c r="CN319" s="594"/>
      <c r="CO319" s="594"/>
      <c r="CP319" s="594"/>
      <c r="CQ319" s="594"/>
      <c r="CR319" s="594"/>
    </row>
    <row r="320" spans="1:96" s="13" customFormat="1" ht="13.75" customHeight="1">
      <c r="A320" s="137">
        <v>305</v>
      </c>
      <c r="B320" s="138"/>
      <c r="C320" s="139"/>
      <c r="D320" s="140"/>
      <c r="E320" s="139"/>
      <c r="F320" s="139"/>
      <c r="G320" s="191"/>
      <c r="H320" s="139"/>
      <c r="I320" s="141"/>
      <c r="J320" s="142"/>
      <c r="K320" s="139"/>
      <c r="L320" s="147"/>
      <c r="M320" s="148"/>
      <c r="N320" s="139"/>
      <c r="O320" s="589"/>
      <c r="P320" s="229" t="str">
        <f t="shared" si="141"/>
        <v/>
      </c>
      <c r="Q320" s="229" t="str">
        <f t="shared" si="142"/>
        <v/>
      </c>
      <c r="R320" s="230" t="str">
        <f t="shared" si="143"/>
        <v/>
      </c>
      <c r="S320" s="230" t="str">
        <f t="shared" si="144"/>
        <v/>
      </c>
      <c r="T320" s="351"/>
      <c r="U320" s="43"/>
      <c r="V320" s="42" t="str">
        <f t="shared" si="120"/>
        <v/>
      </c>
      <c r="W320" s="42" t="e">
        <f>IF(#REF!="","",#REF!)</f>
        <v>#REF!</v>
      </c>
      <c r="X320" s="31" t="str">
        <f t="shared" si="121"/>
        <v/>
      </c>
      <c r="Y320" s="7" t="e">
        <f t="shared" si="122"/>
        <v>#N/A</v>
      </c>
      <c r="Z320" s="7" t="e">
        <f t="shared" si="123"/>
        <v>#N/A</v>
      </c>
      <c r="AA320" s="7" t="e">
        <f t="shared" si="124"/>
        <v>#N/A</v>
      </c>
      <c r="AB320" s="7" t="str">
        <f t="shared" si="125"/>
        <v/>
      </c>
      <c r="AC320" s="11">
        <f t="shared" si="126"/>
        <v>1</v>
      </c>
      <c r="AD320" s="7" t="e">
        <f t="shared" si="127"/>
        <v>#N/A</v>
      </c>
      <c r="AE320" s="7" t="e">
        <f t="shared" si="128"/>
        <v>#N/A</v>
      </c>
      <c r="AF320" s="7" t="e">
        <f t="shared" si="129"/>
        <v>#N/A</v>
      </c>
      <c r="AG320" s="472" t="e">
        <f>VLOOKUP(AI320,'排出係数(2017)'!$A$4:$I$1151,9,FALSE)</f>
        <v>#N/A</v>
      </c>
      <c r="AH320" s="12" t="str">
        <f t="shared" si="130"/>
        <v xml:space="preserve"> </v>
      </c>
      <c r="AI320" s="7" t="e">
        <f t="shared" si="145"/>
        <v>#N/A</v>
      </c>
      <c r="AJ320" s="7" t="e">
        <f t="shared" si="131"/>
        <v>#N/A</v>
      </c>
      <c r="AK320" s="472" t="e">
        <f>VLOOKUP(AI320,'排出係数(2017)'!$A$4:$I$1151,6,FALSE)</f>
        <v>#N/A</v>
      </c>
      <c r="AL320" s="7" t="e">
        <f t="shared" si="132"/>
        <v>#N/A</v>
      </c>
      <c r="AM320" s="7" t="e">
        <f t="shared" si="133"/>
        <v>#N/A</v>
      </c>
      <c r="AN320" s="472" t="e">
        <f>VLOOKUP(AI320,'排出係数(2017)'!$A$4:$I$1151,7,FALSE)</f>
        <v>#N/A</v>
      </c>
      <c r="AO320" s="7" t="e">
        <f t="shared" si="134"/>
        <v>#N/A</v>
      </c>
      <c r="AP320" s="7" t="e">
        <f t="shared" si="135"/>
        <v>#N/A</v>
      </c>
      <c r="AQ320" s="7" t="e">
        <f t="shared" si="146"/>
        <v>#N/A</v>
      </c>
      <c r="AR320" s="7">
        <f t="shared" si="136"/>
        <v>0</v>
      </c>
      <c r="AS320" s="7" t="e">
        <f t="shared" si="147"/>
        <v>#N/A</v>
      </c>
      <c r="AT320" s="7" t="str">
        <f t="shared" si="137"/>
        <v/>
      </c>
      <c r="AU320" s="7" t="str">
        <f t="shared" si="138"/>
        <v/>
      </c>
      <c r="AV320" s="7" t="str">
        <f t="shared" si="139"/>
        <v/>
      </c>
      <c r="AW320" s="7" t="str">
        <f t="shared" si="140"/>
        <v/>
      </c>
      <c r="AX320" s="97"/>
      <c r="BD320" s="453" t="s">
        <v>1367</v>
      </c>
      <c r="CG320"/>
      <c r="CH320"/>
      <c r="CK320" s="592" t="str">
        <f t="shared" si="148"/>
        <v/>
      </c>
      <c r="CL320" s="421" t="str">
        <f t="shared" si="149"/>
        <v/>
      </c>
      <c r="CM320" s="594"/>
      <c r="CN320" s="594"/>
      <c r="CO320" s="594"/>
      <c r="CP320" s="594"/>
      <c r="CQ320" s="594"/>
      <c r="CR320" s="594"/>
    </row>
    <row r="321" spans="1:96" s="13" customFormat="1" ht="13.75" customHeight="1">
      <c r="A321" s="137">
        <v>306</v>
      </c>
      <c r="B321" s="138"/>
      <c r="C321" s="139"/>
      <c r="D321" s="140"/>
      <c r="E321" s="139"/>
      <c r="F321" s="139"/>
      <c r="G321" s="191"/>
      <c r="H321" s="139"/>
      <c r="I321" s="141"/>
      <c r="J321" s="142"/>
      <c r="K321" s="139"/>
      <c r="L321" s="147"/>
      <c r="M321" s="148"/>
      <c r="N321" s="139"/>
      <c r="O321" s="589"/>
      <c r="P321" s="229" t="str">
        <f t="shared" si="141"/>
        <v/>
      </c>
      <c r="Q321" s="229" t="str">
        <f t="shared" si="142"/>
        <v/>
      </c>
      <c r="R321" s="230" t="str">
        <f t="shared" si="143"/>
        <v/>
      </c>
      <c r="S321" s="230" t="str">
        <f t="shared" si="144"/>
        <v/>
      </c>
      <c r="T321" s="351"/>
      <c r="U321" s="43"/>
      <c r="V321" s="42" t="str">
        <f t="shared" si="120"/>
        <v/>
      </c>
      <c r="W321" s="42" t="e">
        <f>IF(#REF!="","",#REF!)</f>
        <v>#REF!</v>
      </c>
      <c r="X321" s="31" t="str">
        <f t="shared" si="121"/>
        <v/>
      </c>
      <c r="Y321" s="7" t="e">
        <f t="shared" si="122"/>
        <v>#N/A</v>
      </c>
      <c r="Z321" s="7" t="e">
        <f t="shared" si="123"/>
        <v>#N/A</v>
      </c>
      <c r="AA321" s="7" t="e">
        <f t="shared" si="124"/>
        <v>#N/A</v>
      </c>
      <c r="AB321" s="7" t="str">
        <f t="shared" si="125"/>
        <v/>
      </c>
      <c r="AC321" s="11">
        <f t="shared" si="126"/>
        <v>1</v>
      </c>
      <c r="AD321" s="7" t="e">
        <f t="shared" si="127"/>
        <v>#N/A</v>
      </c>
      <c r="AE321" s="7" t="e">
        <f t="shared" si="128"/>
        <v>#N/A</v>
      </c>
      <c r="AF321" s="7" t="e">
        <f t="shared" si="129"/>
        <v>#N/A</v>
      </c>
      <c r="AG321" s="472" t="e">
        <f>VLOOKUP(AI321,'排出係数(2017)'!$A$4:$I$1151,9,FALSE)</f>
        <v>#N/A</v>
      </c>
      <c r="AH321" s="12" t="str">
        <f t="shared" si="130"/>
        <v xml:space="preserve"> </v>
      </c>
      <c r="AI321" s="7" t="e">
        <f t="shared" si="145"/>
        <v>#N/A</v>
      </c>
      <c r="AJ321" s="7" t="e">
        <f t="shared" si="131"/>
        <v>#N/A</v>
      </c>
      <c r="AK321" s="472" t="e">
        <f>VLOOKUP(AI321,'排出係数(2017)'!$A$4:$I$1151,6,FALSE)</f>
        <v>#N/A</v>
      </c>
      <c r="AL321" s="7" t="e">
        <f t="shared" si="132"/>
        <v>#N/A</v>
      </c>
      <c r="AM321" s="7" t="e">
        <f t="shared" si="133"/>
        <v>#N/A</v>
      </c>
      <c r="AN321" s="472" t="e">
        <f>VLOOKUP(AI321,'排出係数(2017)'!$A$4:$I$1151,7,FALSE)</f>
        <v>#N/A</v>
      </c>
      <c r="AO321" s="7" t="e">
        <f t="shared" si="134"/>
        <v>#N/A</v>
      </c>
      <c r="AP321" s="7" t="e">
        <f t="shared" si="135"/>
        <v>#N/A</v>
      </c>
      <c r="AQ321" s="7" t="e">
        <f t="shared" si="146"/>
        <v>#N/A</v>
      </c>
      <c r="AR321" s="7">
        <f t="shared" si="136"/>
        <v>0</v>
      </c>
      <c r="AS321" s="7" t="e">
        <f t="shared" si="147"/>
        <v>#N/A</v>
      </c>
      <c r="AT321" s="7" t="str">
        <f t="shared" si="137"/>
        <v/>
      </c>
      <c r="AU321" s="7" t="str">
        <f t="shared" si="138"/>
        <v/>
      </c>
      <c r="AV321" s="7" t="str">
        <f t="shared" si="139"/>
        <v/>
      </c>
      <c r="AW321" s="7" t="str">
        <f t="shared" si="140"/>
        <v/>
      </c>
      <c r="AX321" s="97"/>
      <c r="BD321" s="453" t="s">
        <v>1708</v>
      </c>
      <c r="CG321"/>
      <c r="CH321"/>
      <c r="CK321" s="592" t="str">
        <f t="shared" si="148"/>
        <v/>
      </c>
      <c r="CL321" s="421" t="str">
        <f t="shared" si="149"/>
        <v/>
      </c>
      <c r="CM321" s="594"/>
      <c r="CN321" s="594"/>
      <c r="CO321" s="594"/>
      <c r="CP321" s="594"/>
      <c r="CQ321" s="594"/>
      <c r="CR321" s="594"/>
    </row>
    <row r="322" spans="1:96" s="13" customFormat="1" ht="13.75" customHeight="1">
      <c r="A322" s="137">
        <v>307</v>
      </c>
      <c r="B322" s="138"/>
      <c r="C322" s="139"/>
      <c r="D322" s="140"/>
      <c r="E322" s="139"/>
      <c r="F322" s="139"/>
      <c r="G322" s="191"/>
      <c r="H322" s="139"/>
      <c r="I322" s="141"/>
      <c r="J322" s="142"/>
      <c r="K322" s="139"/>
      <c r="L322" s="147"/>
      <c r="M322" s="148"/>
      <c r="N322" s="139"/>
      <c r="O322" s="589"/>
      <c r="P322" s="229" t="str">
        <f t="shared" si="141"/>
        <v/>
      </c>
      <c r="Q322" s="229" t="str">
        <f t="shared" si="142"/>
        <v/>
      </c>
      <c r="R322" s="230" t="str">
        <f t="shared" si="143"/>
        <v/>
      </c>
      <c r="S322" s="230" t="str">
        <f t="shared" si="144"/>
        <v/>
      </c>
      <c r="T322" s="351"/>
      <c r="U322" s="43"/>
      <c r="V322" s="42" t="str">
        <f t="shared" si="120"/>
        <v/>
      </c>
      <c r="W322" s="42" t="e">
        <f>IF(#REF!="","",#REF!)</f>
        <v>#REF!</v>
      </c>
      <c r="X322" s="31" t="str">
        <f t="shared" si="121"/>
        <v/>
      </c>
      <c r="Y322" s="7" t="e">
        <f t="shared" si="122"/>
        <v>#N/A</v>
      </c>
      <c r="Z322" s="7" t="e">
        <f t="shared" si="123"/>
        <v>#N/A</v>
      </c>
      <c r="AA322" s="7" t="e">
        <f t="shared" si="124"/>
        <v>#N/A</v>
      </c>
      <c r="AB322" s="7" t="str">
        <f t="shared" si="125"/>
        <v/>
      </c>
      <c r="AC322" s="11">
        <f t="shared" si="126"/>
        <v>1</v>
      </c>
      <c r="AD322" s="7" t="e">
        <f t="shared" si="127"/>
        <v>#N/A</v>
      </c>
      <c r="AE322" s="7" t="e">
        <f t="shared" si="128"/>
        <v>#N/A</v>
      </c>
      <c r="AF322" s="7" t="e">
        <f t="shared" si="129"/>
        <v>#N/A</v>
      </c>
      <c r="AG322" s="472" t="e">
        <f>VLOOKUP(AI322,'排出係数(2017)'!$A$4:$I$1151,9,FALSE)</f>
        <v>#N/A</v>
      </c>
      <c r="AH322" s="12" t="str">
        <f t="shared" si="130"/>
        <v xml:space="preserve"> </v>
      </c>
      <c r="AI322" s="7" t="e">
        <f t="shared" si="145"/>
        <v>#N/A</v>
      </c>
      <c r="AJ322" s="7" t="e">
        <f t="shared" si="131"/>
        <v>#N/A</v>
      </c>
      <c r="AK322" s="472" t="e">
        <f>VLOOKUP(AI322,'排出係数(2017)'!$A$4:$I$1151,6,FALSE)</f>
        <v>#N/A</v>
      </c>
      <c r="AL322" s="7" t="e">
        <f t="shared" si="132"/>
        <v>#N/A</v>
      </c>
      <c r="AM322" s="7" t="e">
        <f t="shared" si="133"/>
        <v>#N/A</v>
      </c>
      <c r="AN322" s="472" t="e">
        <f>VLOOKUP(AI322,'排出係数(2017)'!$A$4:$I$1151,7,FALSE)</f>
        <v>#N/A</v>
      </c>
      <c r="AO322" s="7" t="e">
        <f t="shared" si="134"/>
        <v>#N/A</v>
      </c>
      <c r="AP322" s="7" t="e">
        <f t="shared" si="135"/>
        <v>#N/A</v>
      </c>
      <c r="AQ322" s="7" t="e">
        <f t="shared" si="146"/>
        <v>#N/A</v>
      </c>
      <c r="AR322" s="7">
        <f t="shared" si="136"/>
        <v>0</v>
      </c>
      <c r="AS322" s="7" t="e">
        <f t="shared" si="147"/>
        <v>#N/A</v>
      </c>
      <c r="AT322" s="7" t="str">
        <f t="shared" si="137"/>
        <v/>
      </c>
      <c r="AU322" s="7" t="str">
        <f t="shared" si="138"/>
        <v/>
      </c>
      <c r="AV322" s="7" t="str">
        <f t="shared" si="139"/>
        <v/>
      </c>
      <c r="AW322" s="7" t="str">
        <f t="shared" si="140"/>
        <v/>
      </c>
      <c r="AX322" s="97"/>
      <c r="BD322" s="467" t="s">
        <v>1284</v>
      </c>
      <c r="CG322"/>
      <c r="CH322"/>
      <c r="CK322" s="592" t="str">
        <f t="shared" si="148"/>
        <v/>
      </c>
      <c r="CL322" s="421" t="str">
        <f t="shared" si="149"/>
        <v/>
      </c>
      <c r="CM322" s="594"/>
      <c r="CN322" s="594"/>
      <c r="CO322" s="594"/>
      <c r="CP322" s="594"/>
      <c r="CQ322" s="594"/>
      <c r="CR322" s="594"/>
    </row>
    <row r="323" spans="1:96" s="13" customFormat="1" ht="13.75" customHeight="1">
      <c r="A323" s="137">
        <v>308</v>
      </c>
      <c r="B323" s="138"/>
      <c r="C323" s="139"/>
      <c r="D323" s="140"/>
      <c r="E323" s="139"/>
      <c r="F323" s="139"/>
      <c r="G323" s="191"/>
      <c r="H323" s="139"/>
      <c r="I323" s="141"/>
      <c r="J323" s="142"/>
      <c r="K323" s="139"/>
      <c r="L323" s="147"/>
      <c r="M323" s="148"/>
      <c r="N323" s="139"/>
      <c r="O323" s="589"/>
      <c r="P323" s="229" t="str">
        <f t="shared" si="141"/>
        <v/>
      </c>
      <c r="Q323" s="229" t="str">
        <f t="shared" si="142"/>
        <v/>
      </c>
      <c r="R323" s="230" t="str">
        <f t="shared" si="143"/>
        <v/>
      </c>
      <c r="S323" s="230" t="str">
        <f t="shared" si="144"/>
        <v/>
      </c>
      <c r="T323" s="351"/>
      <c r="U323" s="43"/>
      <c r="V323" s="42" t="str">
        <f t="shared" si="120"/>
        <v/>
      </c>
      <c r="W323" s="42" t="e">
        <f>IF(#REF!="","",#REF!)</f>
        <v>#REF!</v>
      </c>
      <c r="X323" s="31" t="str">
        <f t="shared" si="121"/>
        <v/>
      </c>
      <c r="Y323" s="7" t="e">
        <f t="shared" si="122"/>
        <v>#N/A</v>
      </c>
      <c r="Z323" s="7" t="e">
        <f t="shared" si="123"/>
        <v>#N/A</v>
      </c>
      <c r="AA323" s="7" t="e">
        <f t="shared" si="124"/>
        <v>#N/A</v>
      </c>
      <c r="AB323" s="7" t="str">
        <f t="shared" si="125"/>
        <v/>
      </c>
      <c r="AC323" s="11">
        <f t="shared" si="126"/>
        <v>1</v>
      </c>
      <c r="AD323" s="7" t="e">
        <f t="shared" si="127"/>
        <v>#N/A</v>
      </c>
      <c r="AE323" s="7" t="e">
        <f t="shared" si="128"/>
        <v>#N/A</v>
      </c>
      <c r="AF323" s="7" t="e">
        <f t="shared" si="129"/>
        <v>#N/A</v>
      </c>
      <c r="AG323" s="472" t="e">
        <f>VLOOKUP(AI323,'排出係数(2017)'!$A$4:$I$1151,9,FALSE)</f>
        <v>#N/A</v>
      </c>
      <c r="AH323" s="12" t="str">
        <f t="shared" si="130"/>
        <v xml:space="preserve"> </v>
      </c>
      <c r="AI323" s="7" t="e">
        <f t="shared" si="145"/>
        <v>#N/A</v>
      </c>
      <c r="AJ323" s="7" t="e">
        <f t="shared" si="131"/>
        <v>#N/A</v>
      </c>
      <c r="AK323" s="472" t="e">
        <f>VLOOKUP(AI323,'排出係数(2017)'!$A$4:$I$1151,6,FALSE)</f>
        <v>#N/A</v>
      </c>
      <c r="AL323" s="7" t="e">
        <f t="shared" si="132"/>
        <v>#N/A</v>
      </c>
      <c r="AM323" s="7" t="e">
        <f t="shared" si="133"/>
        <v>#N/A</v>
      </c>
      <c r="AN323" s="472" t="e">
        <f>VLOOKUP(AI323,'排出係数(2017)'!$A$4:$I$1151,7,FALSE)</f>
        <v>#N/A</v>
      </c>
      <c r="AO323" s="7" t="e">
        <f t="shared" si="134"/>
        <v>#N/A</v>
      </c>
      <c r="AP323" s="7" t="e">
        <f t="shared" si="135"/>
        <v>#N/A</v>
      </c>
      <c r="AQ323" s="7" t="e">
        <f t="shared" si="146"/>
        <v>#N/A</v>
      </c>
      <c r="AR323" s="7">
        <f t="shared" si="136"/>
        <v>0</v>
      </c>
      <c r="AS323" s="7" t="e">
        <f t="shared" si="147"/>
        <v>#N/A</v>
      </c>
      <c r="AT323" s="7" t="str">
        <f t="shared" si="137"/>
        <v/>
      </c>
      <c r="AU323" s="7" t="str">
        <f t="shared" si="138"/>
        <v/>
      </c>
      <c r="AV323" s="7" t="str">
        <f t="shared" si="139"/>
        <v/>
      </c>
      <c r="AW323" s="7" t="str">
        <f t="shared" si="140"/>
        <v/>
      </c>
      <c r="AX323" s="97"/>
      <c r="BD323" s="453" t="s">
        <v>1315</v>
      </c>
      <c r="CG323"/>
      <c r="CH323"/>
      <c r="CK323" s="592" t="str">
        <f t="shared" si="148"/>
        <v/>
      </c>
      <c r="CL323" s="421" t="str">
        <f t="shared" si="149"/>
        <v/>
      </c>
      <c r="CM323" s="594"/>
      <c r="CN323" s="594"/>
      <c r="CO323" s="594"/>
      <c r="CP323" s="594"/>
      <c r="CQ323" s="594"/>
      <c r="CR323" s="594"/>
    </row>
    <row r="324" spans="1:96" s="13" customFormat="1" ht="13.75" customHeight="1">
      <c r="A324" s="137">
        <v>309</v>
      </c>
      <c r="B324" s="138"/>
      <c r="C324" s="139"/>
      <c r="D324" s="140"/>
      <c r="E324" s="139"/>
      <c r="F324" s="139"/>
      <c r="G324" s="191"/>
      <c r="H324" s="139"/>
      <c r="I324" s="141"/>
      <c r="J324" s="142"/>
      <c r="K324" s="139"/>
      <c r="L324" s="147"/>
      <c r="M324" s="148"/>
      <c r="N324" s="139"/>
      <c r="O324" s="589"/>
      <c r="P324" s="229" t="str">
        <f t="shared" si="141"/>
        <v/>
      </c>
      <c r="Q324" s="229" t="str">
        <f t="shared" si="142"/>
        <v/>
      </c>
      <c r="R324" s="230" t="str">
        <f t="shared" si="143"/>
        <v/>
      </c>
      <c r="S324" s="230" t="str">
        <f t="shared" si="144"/>
        <v/>
      </c>
      <c r="T324" s="351"/>
      <c r="U324" s="43"/>
      <c r="V324" s="42" t="str">
        <f t="shared" si="120"/>
        <v/>
      </c>
      <c r="W324" s="42" t="e">
        <f>IF(#REF!="","",#REF!)</f>
        <v>#REF!</v>
      </c>
      <c r="X324" s="31" t="str">
        <f t="shared" si="121"/>
        <v/>
      </c>
      <c r="Y324" s="7" t="e">
        <f t="shared" si="122"/>
        <v>#N/A</v>
      </c>
      <c r="Z324" s="7" t="e">
        <f t="shared" si="123"/>
        <v>#N/A</v>
      </c>
      <c r="AA324" s="7" t="e">
        <f t="shared" si="124"/>
        <v>#N/A</v>
      </c>
      <c r="AB324" s="7" t="str">
        <f t="shared" si="125"/>
        <v/>
      </c>
      <c r="AC324" s="11">
        <f t="shared" si="126"/>
        <v>1</v>
      </c>
      <c r="AD324" s="7" t="e">
        <f t="shared" si="127"/>
        <v>#N/A</v>
      </c>
      <c r="AE324" s="7" t="e">
        <f t="shared" si="128"/>
        <v>#N/A</v>
      </c>
      <c r="AF324" s="7" t="e">
        <f t="shared" si="129"/>
        <v>#N/A</v>
      </c>
      <c r="AG324" s="472" t="e">
        <f>VLOOKUP(AI324,'排出係数(2017)'!$A$4:$I$1151,9,FALSE)</f>
        <v>#N/A</v>
      </c>
      <c r="AH324" s="12" t="str">
        <f t="shared" si="130"/>
        <v xml:space="preserve"> </v>
      </c>
      <c r="AI324" s="7" t="e">
        <f t="shared" si="145"/>
        <v>#N/A</v>
      </c>
      <c r="AJ324" s="7" t="e">
        <f t="shared" si="131"/>
        <v>#N/A</v>
      </c>
      <c r="AK324" s="472" t="e">
        <f>VLOOKUP(AI324,'排出係数(2017)'!$A$4:$I$1151,6,FALSE)</f>
        <v>#N/A</v>
      </c>
      <c r="AL324" s="7" t="e">
        <f t="shared" si="132"/>
        <v>#N/A</v>
      </c>
      <c r="AM324" s="7" t="e">
        <f t="shared" si="133"/>
        <v>#N/A</v>
      </c>
      <c r="AN324" s="472" t="e">
        <f>VLOOKUP(AI324,'排出係数(2017)'!$A$4:$I$1151,7,FALSE)</f>
        <v>#N/A</v>
      </c>
      <c r="AO324" s="7" t="e">
        <f t="shared" si="134"/>
        <v>#N/A</v>
      </c>
      <c r="AP324" s="7" t="e">
        <f t="shared" si="135"/>
        <v>#N/A</v>
      </c>
      <c r="AQ324" s="7" t="e">
        <f t="shared" si="146"/>
        <v>#N/A</v>
      </c>
      <c r="AR324" s="7">
        <f t="shared" si="136"/>
        <v>0</v>
      </c>
      <c r="AS324" s="7" t="e">
        <f t="shared" si="147"/>
        <v>#N/A</v>
      </c>
      <c r="AT324" s="7" t="str">
        <f t="shared" si="137"/>
        <v/>
      </c>
      <c r="AU324" s="7" t="str">
        <f t="shared" si="138"/>
        <v/>
      </c>
      <c r="AV324" s="7" t="str">
        <f t="shared" si="139"/>
        <v/>
      </c>
      <c r="AW324" s="7" t="str">
        <f t="shared" si="140"/>
        <v/>
      </c>
      <c r="AX324" s="97"/>
      <c r="BD324" s="453" t="s">
        <v>1365</v>
      </c>
      <c r="CG324"/>
      <c r="CH324"/>
      <c r="CK324" s="592" t="str">
        <f t="shared" si="148"/>
        <v/>
      </c>
      <c r="CL324" s="421" t="str">
        <f t="shared" si="149"/>
        <v/>
      </c>
      <c r="CM324" s="594"/>
      <c r="CN324" s="594"/>
      <c r="CO324" s="594"/>
      <c r="CP324" s="594"/>
      <c r="CQ324" s="594"/>
      <c r="CR324" s="594"/>
    </row>
    <row r="325" spans="1:96" s="13" customFormat="1" ht="13.75" customHeight="1">
      <c r="A325" s="137">
        <v>310</v>
      </c>
      <c r="B325" s="138"/>
      <c r="C325" s="139"/>
      <c r="D325" s="140"/>
      <c r="E325" s="139"/>
      <c r="F325" s="139"/>
      <c r="G325" s="191"/>
      <c r="H325" s="139"/>
      <c r="I325" s="141"/>
      <c r="J325" s="142"/>
      <c r="K325" s="139"/>
      <c r="L325" s="147"/>
      <c r="M325" s="148"/>
      <c r="N325" s="139"/>
      <c r="O325" s="589"/>
      <c r="P325" s="229" t="str">
        <f t="shared" si="141"/>
        <v/>
      </c>
      <c r="Q325" s="229" t="str">
        <f t="shared" si="142"/>
        <v/>
      </c>
      <c r="R325" s="230" t="str">
        <f t="shared" si="143"/>
        <v/>
      </c>
      <c r="S325" s="230" t="str">
        <f t="shared" si="144"/>
        <v/>
      </c>
      <c r="T325" s="351"/>
      <c r="U325" s="43"/>
      <c r="V325" s="42" t="str">
        <f t="shared" si="120"/>
        <v/>
      </c>
      <c r="W325" s="42" t="e">
        <f>IF(#REF!="","",#REF!)</f>
        <v>#REF!</v>
      </c>
      <c r="X325" s="31" t="str">
        <f t="shared" si="121"/>
        <v/>
      </c>
      <c r="Y325" s="7" t="e">
        <f t="shared" si="122"/>
        <v>#N/A</v>
      </c>
      <c r="Z325" s="7" t="e">
        <f t="shared" si="123"/>
        <v>#N/A</v>
      </c>
      <c r="AA325" s="7" t="e">
        <f t="shared" si="124"/>
        <v>#N/A</v>
      </c>
      <c r="AB325" s="7" t="str">
        <f t="shared" si="125"/>
        <v/>
      </c>
      <c r="AC325" s="11">
        <f t="shared" si="126"/>
        <v>1</v>
      </c>
      <c r="AD325" s="7" t="e">
        <f t="shared" si="127"/>
        <v>#N/A</v>
      </c>
      <c r="AE325" s="7" t="e">
        <f t="shared" si="128"/>
        <v>#N/A</v>
      </c>
      <c r="AF325" s="7" t="e">
        <f t="shared" si="129"/>
        <v>#N/A</v>
      </c>
      <c r="AG325" s="472" t="e">
        <f>VLOOKUP(AI325,'排出係数(2017)'!$A$4:$I$1151,9,FALSE)</f>
        <v>#N/A</v>
      </c>
      <c r="AH325" s="12" t="str">
        <f t="shared" si="130"/>
        <v xml:space="preserve"> </v>
      </c>
      <c r="AI325" s="7" t="e">
        <f t="shared" si="145"/>
        <v>#N/A</v>
      </c>
      <c r="AJ325" s="7" t="e">
        <f t="shared" si="131"/>
        <v>#N/A</v>
      </c>
      <c r="AK325" s="472" t="e">
        <f>VLOOKUP(AI325,'排出係数(2017)'!$A$4:$I$1151,6,FALSE)</f>
        <v>#N/A</v>
      </c>
      <c r="AL325" s="7" t="e">
        <f t="shared" si="132"/>
        <v>#N/A</v>
      </c>
      <c r="AM325" s="7" t="e">
        <f t="shared" si="133"/>
        <v>#N/A</v>
      </c>
      <c r="AN325" s="472" t="e">
        <f>VLOOKUP(AI325,'排出係数(2017)'!$A$4:$I$1151,7,FALSE)</f>
        <v>#N/A</v>
      </c>
      <c r="AO325" s="7" t="e">
        <f t="shared" si="134"/>
        <v>#N/A</v>
      </c>
      <c r="AP325" s="7" t="e">
        <f t="shared" si="135"/>
        <v>#N/A</v>
      </c>
      <c r="AQ325" s="7" t="e">
        <f t="shared" si="146"/>
        <v>#N/A</v>
      </c>
      <c r="AR325" s="7">
        <f t="shared" si="136"/>
        <v>0</v>
      </c>
      <c r="AS325" s="7" t="e">
        <f t="shared" si="147"/>
        <v>#N/A</v>
      </c>
      <c r="AT325" s="7" t="str">
        <f t="shared" si="137"/>
        <v/>
      </c>
      <c r="AU325" s="7" t="str">
        <f t="shared" si="138"/>
        <v/>
      </c>
      <c r="AV325" s="7" t="str">
        <f t="shared" si="139"/>
        <v/>
      </c>
      <c r="AW325" s="7" t="str">
        <f t="shared" si="140"/>
        <v/>
      </c>
      <c r="AX325" s="97"/>
      <c r="BD325" s="453" t="s">
        <v>1073</v>
      </c>
      <c r="CG325"/>
      <c r="CH325"/>
      <c r="CK325" s="592" t="str">
        <f t="shared" si="148"/>
        <v/>
      </c>
      <c r="CL325" s="421" t="str">
        <f t="shared" si="149"/>
        <v/>
      </c>
      <c r="CM325" s="594"/>
      <c r="CN325" s="594"/>
      <c r="CO325" s="594"/>
      <c r="CP325" s="594"/>
      <c r="CQ325" s="594"/>
      <c r="CR325" s="594"/>
    </row>
    <row r="326" spans="1:96" s="13" customFormat="1" ht="13.75" customHeight="1">
      <c r="A326" s="137">
        <v>311</v>
      </c>
      <c r="B326" s="138"/>
      <c r="C326" s="139"/>
      <c r="D326" s="140"/>
      <c r="E326" s="139"/>
      <c r="F326" s="139"/>
      <c r="G326" s="191"/>
      <c r="H326" s="139"/>
      <c r="I326" s="141"/>
      <c r="J326" s="142"/>
      <c r="K326" s="139"/>
      <c r="L326" s="147"/>
      <c r="M326" s="148"/>
      <c r="N326" s="139"/>
      <c r="O326" s="589"/>
      <c r="P326" s="229" t="str">
        <f t="shared" si="141"/>
        <v/>
      </c>
      <c r="Q326" s="229" t="str">
        <f t="shared" si="142"/>
        <v/>
      </c>
      <c r="R326" s="230" t="str">
        <f t="shared" si="143"/>
        <v/>
      </c>
      <c r="S326" s="230" t="str">
        <f t="shared" si="144"/>
        <v/>
      </c>
      <c r="T326" s="351"/>
      <c r="U326" s="43"/>
      <c r="V326" s="42" t="str">
        <f t="shared" si="120"/>
        <v/>
      </c>
      <c r="W326" s="42" t="e">
        <f>IF(#REF!="","",#REF!)</f>
        <v>#REF!</v>
      </c>
      <c r="X326" s="31" t="str">
        <f t="shared" si="121"/>
        <v/>
      </c>
      <c r="Y326" s="7" t="e">
        <f t="shared" si="122"/>
        <v>#N/A</v>
      </c>
      <c r="Z326" s="7" t="e">
        <f t="shared" si="123"/>
        <v>#N/A</v>
      </c>
      <c r="AA326" s="7" t="e">
        <f t="shared" si="124"/>
        <v>#N/A</v>
      </c>
      <c r="AB326" s="7" t="str">
        <f t="shared" si="125"/>
        <v/>
      </c>
      <c r="AC326" s="11">
        <f t="shared" si="126"/>
        <v>1</v>
      </c>
      <c r="AD326" s="7" t="e">
        <f t="shared" si="127"/>
        <v>#N/A</v>
      </c>
      <c r="AE326" s="7" t="e">
        <f t="shared" si="128"/>
        <v>#N/A</v>
      </c>
      <c r="AF326" s="7" t="e">
        <f t="shared" si="129"/>
        <v>#N/A</v>
      </c>
      <c r="AG326" s="472" t="e">
        <f>VLOOKUP(AI326,'排出係数(2017)'!$A$4:$I$1151,9,FALSE)</f>
        <v>#N/A</v>
      </c>
      <c r="AH326" s="12" t="str">
        <f t="shared" si="130"/>
        <v xml:space="preserve"> </v>
      </c>
      <c r="AI326" s="7" t="e">
        <f t="shared" si="145"/>
        <v>#N/A</v>
      </c>
      <c r="AJ326" s="7" t="e">
        <f t="shared" si="131"/>
        <v>#N/A</v>
      </c>
      <c r="AK326" s="472" t="e">
        <f>VLOOKUP(AI326,'排出係数(2017)'!$A$4:$I$1151,6,FALSE)</f>
        <v>#N/A</v>
      </c>
      <c r="AL326" s="7" t="e">
        <f t="shared" si="132"/>
        <v>#N/A</v>
      </c>
      <c r="AM326" s="7" t="e">
        <f t="shared" si="133"/>
        <v>#N/A</v>
      </c>
      <c r="AN326" s="472" t="e">
        <f>VLOOKUP(AI326,'排出係数(2017)'!$A$4:$I$1151,7,FALSE)</f>
        <v>#N/A</v>
      </c>
      <c r="AO326" s="7" t="e">
        <f t="shared" si="134"/>
        <v>#N/A</v>
      </c>
      <c r="AP326" s="7" t="e">
        <f t="shared" si="135"/>
        <v>#N/A</v>
      </c>
      <c r="AQ326" s="7" t="e">
        <f t="shared" si="146"/>
        <v>#N/A</v>
      </c>
      <c r="AR326" s="7">
        <f t="shared" si="136"/>
        <v>0</v>
      </c>
      <c r="AS326" s="7" t="e">
        <f t="shared" si="147"/>
        <v>#N/A</v>
      </c>
      <c r="AT326" s="7" t="str">
        <f t="shared" si="137"/>
        <v/>
      </c>
      <c r="AU326" s="7" t="str">
        <f t="shared" si="138"/>
        <v/>
      </c>
      <c r="AV326" s="7" t="str">
        <f t="shared" si="139"/>
        <v/>
      </c>
      <c r="AW326" s="7" t="str">
        <f t="shared" si="140"/>
        <v/>
      </c>
      <c r="AX326" s="97"/>
      <c r="BD326" s="453" t="s">
        <v>1065</v>
      </c>
      <c r="CG326"/>
      <c r="CH326"/>
      <c r="CK326" s="592" t="str">
        <f t="shared" si="148"/>
        <v/>
      </c>
      <c r="CL326" s="421" t="str">
        <f t="shared" si="149"/>
        <v/>
      </c>
      <c r="CM326" s="594"/>
      <c r="CN326" s="594"/>
      <c r="CO326" s="594"/>
      <c r="CP326" s="594"/>
      <c r="CQ326" s="594"/>
      <c r="CR326" s="594"/>
    </row>
    <row r="327" spans="1:96" s="13" customFormat="1" ht="13.75" customHeight="1">
      <c r="A327" s="137">
        <v>312</v>
      </c>
      <c r="B327" s="138"/>
      <c r="C327" s="139"/>
      <c r="D327" s="140"/>
      <c r="E327" s="139"/>
      <c r="F327" s="139"/>
      <c r="G327" s="191"/>
      <c r="H327" s="139"/>
      <c r="I327" s="141"/>
      <c r="J327" s="142"/>
      <c r="K327" s="139"/>
      <c r="L327" s="147"/>
      <c r="M327" s="148"/>
      <c r="N327" s="139"/>
      <c r="O327" s="589"/>
      <c r="P327" s="229" t="str">
        <f t="shared" si="141"/>
        <v/>
      </c>
      <c r="Q327" s="229" t="str">
        <f t="shared" si="142"/>
        <v/>
      </c>
      <c r="R327" s="230" t="str">
        <f t="shared" si="143"/>
        <v/>
      </c>
      <c r="S327" s="230" t="str">
        <f t="shared" si="144"/>
        <v/>
      </c>
      <c r="T327" s="351"/>
      <c r="U327" s="43"/>
      <c r="V327" s="42" t="str">
        <f t="shared" si="120"/>
        <v/>
      </c>
      <c r="W327" s="42" t="e">
        <f>IF(#REF!="","",#REF!)</f>
        <v>#REF!</v>
      </c>
      <c r="X327" s="31" t="str">
        <f t="shared" si="121"/>
        <v/>
      </c>
      <c r="Y327" s="7" t="e">
        <f t="shared" si="122"/>
        <v>#N/A</v>
      </c>
      <c r="Z327" s="7" t="e">
        <f t="shared" si="123"/>
        <v>#N/A</v>
      </c>
      <c r="AA327" s="7" t="e">
        <f t="shared" si="124"/>
        <v>#N/A</v>
      </c>
      <c r="AB327" s="7" t="str">
        <f t="shared" si="125"/>
        <v/>
      </c>
      <c r="AC327" s="11">
        <f t="shared" si="126"/>
        <v>1</v>
      </c>
      <c r="AD327" s="7" t="e">
        <f t="shared" si="127"/>
        <v>#N/A</v>
      </c>
      <c r="AE327" s="7" t="e">
        <f t="shared" si="128"/>
        <v>#N/A</v>
      </c>
      <c r="AF327" s="7" t="e">
        <f t="shared" si="129"/>
        <v>#N/A</v>
      </c>
      <c r="AG327" s="472" t="e">
        <f>VLOOKUP(AI327,'排出係数(2017)'!$A$4:$I$1151,9,FALSE)</f>
        <v>#N/A</v>
      </c>
      <c r="AH327" s="12" t="str">
        <f t="shared" si="130"/>
        <v xml:space="preserve"> </v>
      </c>
      <c r="AI327" s="7" t="e">
        <f t="shared" si="145"/>
        <v>#N/A</v>
      </c>
      <c r="AJ327" s="7" t="e">
        <f t="shared" si="131"/>
        <v>#N/A</v>
      </c>
      <c r="AK327" s="472" t="e">
        <f>VLOOKUP(AI327,'排出係数(2017)'!$A$4:$I$1151,6,FALSE)</f>
        <v>#N/A</v>
      </c>
      <c r="AL327" s="7" t="e">
        <f t="shared" si="132"/>
        <v>#N/A</v>
      </c>
      <c r="AM327" s="7" t="e">
        <f t="shared" si="133"/>
        <v>#N/A</v>
      </c>
      <c r="AN327" s="472" t="e">
        <f>VLOOKUP(AI327,'排出係数(2017)'!$A$4:$I$1151,7,FALSE)</f>
        <v>#N/A</v>
      </c>
      <c r="AO327" s="7" t="e">
        <f t="shared" si="134"/>
        <v>#N/A</v>
      </c>
      <c r="AP327" s="7" t="e">
        <f t="shared" si="135"/>
        <v>#N/A</v>
      </c>
      <c r="AQ327" s="7" t="e">
        <f t="shared" si="146"/>
        <v>#N/A</v>
      </c>
      <c r="AR327" s="7">
        <f t="shared" si="136"/>
        <v>0</v>
      </c>
      <c r="AS327" s="7" t="e">
        <f t="shared" si="147"/>
        <v>#N/A</v>
      </c>
      <c r="AT327" s="7" t="str">
        <f t="shared" si="137"/>
        <v/>
      </c>
      <c r="AU327" s="7" t="str">
        <f t="shared" si="138"/>
        <v/>
      </c>
      <c r="AV327" s="7" t="str">
        <f t="shared" si="139"/>
        <v/>
      </c>
      <c r="AW327" s="7" t="str">
        <f t="shared" si="140"/>
        <v/>
      </c>
      <c r="AX327" s="97"/>
      <c r="BD327" s="453" t="s">
        <v>1426</v>
      </c>
      <c r="CG327"/>
      <c r="CH327"/>
      <c r="CK327" s="592" t="str">
        <f t="shared" si="148"/>
        <v/>
      </c>
      <c r="CL327" s="421" t="str">
        <f t="shared" si="149"/>
        <v/>
      </c>
      <c r="CM327" s="594"/>
      <c r="CN327" s="594"/>
      <c r="CO327" s="594"/>
      <c r="CP327" s="594"/>
      <c r="CQ327" s="594"/>
      <c r="CR327" s="594"/>
    </row>
    <row r="328" spans="1:96" s="13" customFormat="1" ht="13.75" customHeight="1">
      <c r="A328" s="137">
        <v>313</v>
      </c>
      <c r="B328" s="138"/>
      <c r="C328" s="139"/>
      <c r="D328" s="140"/>
      <c r="E328" s="139"/>
      <c r="F328" s="139"/>
      <c r="G328" s="191"/>
      <c r="H328" s="139"/>
      <c r="I328" s="141"/>
      <c r="J328" s="142"/>
      <c r="K328" s="139"/>
      <c r="L328" s="147"/>
      <c r="M328" s="148"/>
      <c r="N328" s="139"/>
      <c r="O328" s="589"/>
      <c r="P328" s="229" t="str">
        <f t="shared" si="141"/>
        <v/>
      </c>
      <c r="Q328" s="229" t="str">
        <f t="shared" si="142"/>
        <v/>
      </c>
      <c r="R328" s="230" t="str">
        <f t="shared" si="143"/>
        <v/>
      </c>
      <c r="S328" s="230" t="str">
        <f t="shared" si="144"/>
        <v/>
      </c>
      <c r="T328" s="351"/>
      <c r="U328" s="43"/>
      <c r="V328" s="42" t="str">
        <f t="shared" si="120"/>
        <v/>
      </c>
      <c r="W328" s="42" t="e">
        <f>IF(#REF!="","",#REF!)</f>
        <v>#REF!</v>
      </c>
      <c r="X328" s="31" t="str">
        <f t="shared" si="121"/>
        <v/>
      </c>
      <c r="Y328" s="7" t="e">
        <f t="shared" si="122"/>
        <v>#N/A</v>
      </c>
      <c r="Z328" s="7" t="e">
        <f t="shared" si="123"/>
        <v>#N/A</v>
      </c>
      <c r="AA328" s="7" t="e">
        <f t="shared" si="124"/>
        <v>#N/A</v>
      </c>
      <c r="AB328" s="7" t="str">
        <f t="shared" si="125"/>
        <v/>
      </c>
      <c r="AC328" s="11">
        <f t="shared" si="126"/>
        <v>1</v>
      </c>
      <c r="AD328" s="7" t="e">
        <f t="shared" si="127"/>
        <v>#N/A</v>
      </c>
      <c r="AE328" s="7" t="e">
        <f t="shared" si="128"/>
        <v>#N/A</v>
      </c>
      <c r="AF328" s="7" t="e">
        <f t="shared" si="129"/>
        <v>#N/A</v>
      </c>
      <c r="AG328" s="472" t="e">
        <f>VLOOKUP(AI328,'排出係数(2017)'!$A$4:$I$1151,9,FALSE)</f>
        <v>#N/A</v>
      </c>
      <c r="AH328" s="12" t="str">
        <f t="shared" si="130"/>
        <v xml:space="preserve"> </v>
      </c>
      <c r="AI328" s="7" t="e">
        <f t="shared" si="145"/>
        <v>#N/A</v>
      </c>
      <c r="AJ328" s="7" t="e">
        <f t="shared" si="131"/>
        <v>#N/A</v>
      </c>
      <c r="AK328" s="472" t="e">
        <f>VLOOKUP(AI328,'排出係数(2017)'!$A$4:$I$1151,6,FALSE)</f>
        <v>#N/A</v>
      </c>
      <c r="AL328" s="7" t="e">
        <f t="shared" si="132"/>
        <v>#N/A</v>
      </c>
      <c r="AM328" s="7" t="e">
        <f t="shared" si="133"/>
        <v>#N/A</v>
      </c>
      <c r="AN328" s="472" t="e">
        <f>VLOOKUP(AI328,'排出係数(2017)'!$A$4:$I$1151,7,FALSE)</f>
        <v>#N/A</v>
      </c>
      <c r="AO328" s="7" t="e">
        <f t="shared" si="134"/>
        <v>#N/A</v>
      </c>
      <c r="AP328" s="7" t="e">
        <f t="shared" si="135"/>
        <v>#N/A</v>
      </c>
      <c r="AQ328" s="7" t="e">
        <f t="shared" si="146"/>
        <v>#N/A</v>
      </c>
      <c r="AR328" s="7">
        <f t="shared" si="136"/>
        <v>0</v>
      </c>
      <c r="AS328" s="7" t="e">
        <f t="shared" si="147"/>
        <v>#N/A</v>
      </c>
      <c r="AT328" s="7" t="str">
        <f t="shared" si="137"/>
        <v/>
      </c>
      <c r="AU328" s="7" t="str">
        <f t="shared" si="138"/>
        <v/>
      </c>
      <c r="AV328" s="7" t="str">
        <f t="shared" si="139"/>
        <v/>
      </c>
      <c r="AW328" s="7" t="str">
        <f t="shared" si="140"/>
        <v/>
      </c>
      <c r="AX328" s="97"/>
      <c r="BD328" s="474" t="s">
        <v>2531</v>
      </c>
      <c r="CG328"/>
      <c r="CH328"/>
      <c r="CK328" s="592" t="str">
        <f t="shared" si="148"/>
        <v/>
      </c>
      <c r="CL328" s="421" t="str">
        <f t="shared" si="149"/>
        <v/>
      </c>
      <c r="CM328" s="594"/>
      <c r="CN328" s="594"/>
      <c r="CO328" s="594"/>
      <c r="CP328" s="594"/>
      <c r="CQ328" s="594"/>
      <c r="CR328" s="594"/>
    </row>
    <row r="329" spans="1:96" s="13" customFormat="1" ht="13.75" customHeight="1">
      <c r="A329" s="137">
        <v>314</v>
      </c>
      <c r="B329" s="138"/>
      <c r="C329" s="139"/>
      <c r="D329" s="140"/>
      <c r="E329" s="139"/>
      <c r="F329" s="139"/>
      <c r="G329" s="191"/>
      <c r="H329" s="139"/>
      <c r="I329" s="141"/>
      <c r="J329" s="142"/>
      <c r="K329" s="139"/>
      <c r="L329" s="147"/>
      <c r="M329" s="148"/>
      <c r="N329" s="139"/>
      <c r="O329" s="589"/>
      <c r="P329" s="229" t="str">
        <f t="shared" si="141"/>
        <v/>
      </c>
      <c r="Q329" s="229" t="str">
        <f t="shared" si="142"/>
        <v/>
      </c>
      <c r="R329" s="230" t="str">
        <f t="shared" si="143"/>
        <v/>
      </c>
      <c r="S329" s="230" t="str">
        <f t="shared" si="144"/>
        <v/>
      </c>
      <c r="T329" s="351"/>
      <c r="U329" s="43"/>
      <c r="V329" s="42" t="str">
        <f t="shared" si="120"/>
        <v/>
      </c>
      <c r="W329" s="42" t="e">
        <f>IF(#REF!="","",#REF!)</f>
        <v>#REF!</v>
      </c>
      <c r="X329" s="31" t="str">
        <f t="shared" si="121"/>
        <v/>
      </c>
      <c r="Y329" s="7" t="e">
        <f t="shared" si="122"/>
        <v>#N/A</v>
      </c>
      <c r="Z329" s="7" t="e">
        <f t="shared" si="123"/>
        <v>#N/A</v>
      </c>
      <c r="AA329" s="7" t="e">
        <f t="shared" si="124"/>
        <v>#N/A</v>
      </c>
      <c r="AB329" s="7" t="str">
        <f t="shared" si="125"/>
        <v/>
      </c>
      <c r="AC329" s="11">
        <f t="shared" si="126"/>
        <v>1</v>
      </c>
      <c r="AD329" s="7" t="e">
        <f t="shared" si="127"/>
        <v>#N/A</v>
      </c>
      <c r="AE329" s="7" t="e">
        <f t="shared" si="128"/>
        <v>#N/A</v>
      </c>
      <c r="AF329" s="7" t="e">
        <f t="shared" si="129"/>
        <v>#N/A</v>
      </c>
      <c r="AG329" s="472" t="e">
        <f>VLOOKUP(AI329,'排出係数(2017)'!$A$4:$I$1151,9,FALSE)</f>
        <v>#N/A</v>
      </c>
      <c r="AH329" s="12" t="str">
        <f t="shared" si="130"/>
        <v xml:space="preserve"> </v>
      </c>
      <c r="AI329" s="7" t="e">
        <f t="shared" si="145"/>
        <v>#N/A</v>
      </c>
      <c r="AJ329" s="7" t="e">
        <f t="shared" si="131"/>
        <v>#N/A</v>
      </c>
      <c r="AK329" s="472" t="e">
        <f>VLOOKUP(AI329,'排出係数(2017)'!$A$4:$I$1151,6,FALSE)</f>
        <v>#N/A</v>
      </c>
      <c r="AL329" s="7" t="e">
        <f t="shared" si="132"/>
        <v>#N/A</v>
      </c>
      <c r="AM329" s="7" t="e">
        <f t="shared" si="133"/>
        <v>#N/A</v>
      </c>
      <c r="AN329" s="472" t="e">
        <f>VLOOKUP(AI329,'排出係数(2017)'!$A$4:$I$1151,7,FALSE)</f>
        <v>#N/A</v>
      </c>
      <c r="AO329" s="7" t="e">
        <f t="shared" si="134"/>
        <v>#N/A</v>
      </c>
      <c r="AP329" s="7" t="e">
        <f t="shared" si="135"/>
        <v>#N/A</v>
      </c>
      <c r="AQ329" s="7" t="e">
        <f t="shared" si="146"/>
        <v>#N/A</v>
      </c>
      <c r="AR329" s="7">
        <f t="shared" si="136"/>
        <v>0</v>
      </c>
      <c r="AS329" s="7" t="e">
        <f t="shared" si="147"/>
        <v>#N/A</v>
      </c>
      <c r="AT329" s="7" t="str">
        <f t="shared" si="137"/>
        <v/>
      </c>
      <c r="AU329" s="7" t="str">
        <f t="shared" si="138"/>
        <v/>
      </c>
      <c r="AV329" s="7" t="str">
        <f t="shared" si="139"/>
        <v/>
      </c>
      <c r="AW329" s="7" t="str">
        <f t="shared" si="140"/>
        <v/>
      </c>
      <c r="AX329" s="97"/>
      <c r="BD329" s="453" t="s">
        <v>2532</v>
      </c>
      <c r="CG329"/>
      <c r="CH329"/>
      <c r="CK329" s="592" t="str">
        <f t="shared" si="148"/>
        <v/>
      </c>
      <c r="CL329" s="421" t="str">
        <f t="shared" si="149"/>
        <v/>
      </c>
      <c r="CM329" s="594"/>
      <c r="CN329" s="594"/>
      <c r="CO329" s="594"/>
      <c r="CP329" s="594"/>
      <c r="CQ329" s="594"/>
      <c r="CR329" s="594"/>
    </row>
    <row r="330" spans="1:96" s="13" customFormat="1" ht="13.75" customHeight="1">
      <c r="A330" s="137">
        <v>315</v>
      </c>
      <c r="B330" s="138"/>
      <c r="C330" s="139"/>
      <c r="D330" s="140"/>
      <c r="E330" s="139"/>
      <c r="F330" s="139"/>
      <c r="G330" s="191"/>
      <c r="H330" s="139"/>
      <c r="I330" s="141"/>
      <c r="J330" s="142"/>
      <c r="K330" s="139"/>
      <c r="L330" s="147"/>
      <c r="M330" s="148"/>
      <c r="N330" s="139"/>
      <c r="O330" s="589"/>
      <c r="P330" s="229" t="str">
        <f t="shared" si="141"/>
        <v/>
      </c>
      <c r="Q330" s="229" t="str">
        <f t="shared" si="142"/>
        <v/>
      </c>
      <c r="R330" s="230" t="str">
        <f t="shared" si="143"/>
        <v/>
      </c>
      <c r="S330" s="230" t="str">
        <f t="shared" si="144"/>
        <v/>
      </c>
      <c r="T330" s="351"/>
      <c r="U330" s="43"/>
      <c r="V330" s="42" t="str">
        <f t="shared" si="120"/>
        <v/>
      </c>
      <c r="W330" s="42" t="e">
        <f>IF(#REF!="","",#REF!)</f>
        <v>#REF!</v>
      </c>
      <c r="X330" s="31" t="str">
        <f t="shared" si="121"/>
        <v/>
      </c>
      <c r="Y330" s="7" t="e">
        <f t="shared" si="122"/>
        <v>#N/A</v>
      </c>
      <c r="Z330" s="7" t="e">
        <f t="shared" si="123"/>
        <v>#N/A</v>
      </c>
      <c r="AA330" s="7" t="e">
        <f t="shared" si="124"/>
        <v>#N/A</v>
      </c>
      <c r="AB330" s="7" t="str">
        <f t="shared" si="125"/>
        <v/>
      </c>
      <c r="AC330" s="11">
        <f t="shared" si="126"/>
        <v>1</v>
      </c>
      <c r="AD330" s="7" t="e">
        <f t="shared" si="127"/>
        <v>#N/A</v>
      </c>
      <c r="AE330" s="7" t="e">
        <f t="shared" si="128"/>
        <v>#N/A</v>
      </c>
      <c r="AF330" s="7" t="e">
        <f t="shared" si="129"/>
        <v>#N/A</v>
      </c>
      <c r="AG330" s="472" t="e">
        <f>VLOOKUP(AI330,'排出係数(2017)'!$A$4:$I$1151,9,FALSE)</f>
        <v>#N/A</v>
      </c>
      <c r="AH330" s="12" t="str">
        <f t="shared" si="130"/>
        <v xml:space="preserve"> </v>
      </c>
      <c r="AI330" s="7" t="e">
        <f t="shared" si="145"/>
        <v>#N/A</v>
      </c>
      <c r="AJ330" s="7" t="e">
        <f t="shared" si="131"/>
        <v>#N/A</v>
      </c>
      <c r="AK330" s="472" t="e">
        <f>VLOOKUP(AI330,'排出係数(2017)'!$A$4:$I$1151,6,FALSE)</f>
        <v>#N/A</v>
      </c>
      <c r="AL330" s="7" t="e">
        <f t="shared" si="132"/>
        <v>#N/A</v>
      </c>
      <c r="AM330" s="7" t="e">
        <f t="shared" si="133"/>
        <v>#N/A</v>
      </c>
      <c r="AN330" s="472" t="e">
        <f>VLOOKUP(AI330,'排出係数(2017)'!$A$4:$I$1151,7,FALSE)</f>
        <v>#N/A</v>
      </c>
      <c r="AO330" s="7" t="e">
        <f t="shared" si="134"/>
        <v>#N/A</v>
      </c>
      <c r="AP330" s="7" t="e">
        <f t="shared" si="135"/>
        <v>#N/A</v>
      </c>
      <c r="AQ330" s="7" t="e">
        <f t="shared" si="146"/>
        <v>#N/A</v>
      </c>
      <c r="AR330" s="7">
        <f t="shared" si="136"/>
        <v>0</v>
      </c>
      <c r="AS330" s="7" t="e">
        <f t="shared" si="147"/>
        <v>#N/A</v>
      </c>
      <c r="AT330" s="7" t="str">
        <f t="shared" si="137"/>
        <v/>
      </c>
      <c r="AU330" s="7" t="str">
        <f t="shared" si="138"/>
        <v/>
      </c>
      <c r="AV330" s="7" t="str">
        <f t="shared" si="139"/>
        <v/>
      </c>
      <c r="AW330" s="7" t="str">
        <f t="shared" si="140"/>
        <v/>
      </c>
      <c r="AX330" s="97"/>
      <c r="BD330" s="453" t="s">
        <v>2533</v>
      </c>
      <c r="CG330"/>
      <c r="CH330"/>
      <c r="CK330" s="592" t="str">
        <f t="shared" si="148"/>
        <v/>
      </c>
      <c r="CL330" s="421" t="str">
        <f t="shared" si="149"/>
        <v/>
      </c>
      <c r="CM330" s="594"/>
      <c r="CN330" s="594"/>
      <c r="CO330" s="594"/>
      <c r="CP330" s="594"/>
      <c r="CQ330" s="594"/>
      <c r="CR330" s="594"/>
    </row>
    <row r="331" spans="1:96" s="13" customFormat="1" ht="13.75" customHeight="1">
      <c r="A331" s="137">
        <v>316</v>
      </c>
      <c r="B331" s="138"/>
      <c r="C331" s="139"/>
      <c r="D331" s="140"/>
      <c r="E331" s="139"/>
      <c r="F331" s="139"/>
      <c r="G331" s="191"/>
      <c r="H331" s="139"/>
      <c r="I331" s="141"/>
      <c r="J331" s="142"/>
      <c r="K331" s="139"/>
      <c r="L331" s="147"/>
      <c r="M331" s="148"/>
      <c r="N331" s="139"/>
      <c r="O331" s="589"/>
      <c r="P331" s="229" t="str">
        <f t="shared" si="141"/>
        <v/>
      </c>
      <c r="Q331" s="229" t="str">
        <f t="shared" si="142"/>
        <v/>
      </c>
      <c r="R331" s="230" t="str">
        <f t="shared" si="143"/>
        <v/>
      </c>
      <c r="S331" s="230" t="str">
        <f t="shared" si="144"/>
        <v/>
      </c>
      <c r="T331" s="351"/>
      <c r="U331" s="43"/>
      <c r="V331" s="42" t="str">
        <f t="shared" si="120"/>
        <v/>
      </c>
      <c r="W331" s="42" t="e">
        <f>IF(#REF!="","",#REF!)</f>
        <v>#REF!</v>
      </c>
      <c r="X331" s="31" t="str">
        <f t="shared" si="121"/>
        <v/>
      </c>
      <c r="Y331" s="7" t="e">
        <f t="shared" si="122"/>
        <v>#N/A</v>
      </c>
      <c r="Z331" s="7" t="e">
        <f t="shared" si="123"/>
        <v>#N/A</v>
      </c>
      <c r="AA331" s="7" t="e">
        <f t="shared" si="124"/>
        <v>#N/A</v>
      </c>
      <c r="AB331" s="7" t="str">
        <f t="shared" si="125"/>
        <v/>
      </c>
      <c r="AC331" s="11">
        <f t="shared" si="126"/>
        <v>1</v>
      </c>
      <c r="AD331" s="7" t="e">
        <f t="shared" si="127"/>
        <v>#N/A</v>
      </c>
      <c r="AE331" s="7" t="e">
        <f t="shared" si="128"/>
        <v>#N/A</v>
      </c>
      <c r="AF331" s="7" t="e">
        <f t="shared" si="129"/>
        <v>#N/A</v>
      </c>
      <c r="AG331" s="472" t="e">
        <f>VLOOKUP(AI331,'排出係数(2017)'!$A$4:$I$1151,9,FALSE)</f>
        <v>#N/A</v>
      </c>
      <c r="AH331" s="12" t="str">
        <f t="shared" si="130"/>
        <v xml:space="preserve"> </v>
      </c>
      <c r="AI331" s="7" t="e">
        <f t="shared" si="145"/>
        <v>#N/A</v>
      </c>
      <c r="AJ331" s="7" t="e">
        <f t="shared" si="131"/>
        <v>#N/A</v>
      </c>
      <c r="AK331" s="472" t="e">
        <f>VLOOKUP(AI331,'排出係数(2017)'!$A$4:$I$1151,6,FALSE)</f>
        <v>#N/A</v>
      </c>
      <c r="AL331" s="7" t="e">
        <f t="shared" si="132"/>
        <v>#N/A</v>
      </c>
      <c r="AM331" s="7" t="e">
        <f t="shared" si="133"/>
        <v>#N/A</v>
      </c>
      <c r="AN331" s="472" t="e">
        <f>VLOOKUP(AI331,'排出係数(2017)'!$A$4:$I$1151,7,FALSE)</f>
        <v>#N/A</v>
      </c>
      <c r="AO331" s="7" t="e">
        <f t="shared" si="134"/>
        <v>#N/A</v>
      </c>
      <c r="AP331" s="7" t="e">
        <f t="shared" si="135"/>
        <v>#N/A</v>
      </c>
      <c r="AQ331" s="7" t="e">
        <f t="shared" si="146"/>
        <v>#N/A</v>
      </c>
      <c r="AR331" s="7">
        <f t="shared" si="136"/>
        <v>0</v>
      </c>
      <c r="AS331" s="7" t="e">
        <f t="shared" si="147"/>
        <v>#N/A</v>
      </c>
      <c r="AT331" s="7" t="str">
        <f t="shared" si="137"/>
        <v/>
      </c>
      <c r="AU331" s="7" t="str">
        <f t="shared" si="138"/>
        <v/>
      </c>
      <c r="AV331" s="7" t="str">
        <f t="shared" si="139"/>
        <v/>
      </c>
      <c r="AW331" s="7" t="str">
        <f t="shared" si="140"/>
        <v/>
      </c>
      <c r="AX331" s="97"/>
      <c r="BD331" s="453" t="s">
        <v>1618</v>
      </c>
      <c r="CG331"/>
      <c r="CH331"/>
      <c r="CK331" s="592" t="str">
        <f t="shared" si="148"/>
        <v/>
      </c>
      <c r="CL331" s="421" t="str">
        <f t="shared" si="149"/>
        <v/>
      </c>
      <c r="CM331" s="594"/>
      <c r="CN331" s="594"/>
      <c r="CO331" s="594"/>
      <c r="CP331" s="594"/>
      <c r="CQ331" s="594"/>
      <c r="CR331" s="594"/>
    </row>
    <row r="332" spans="1:96" s="13" customFormat="1" ht="13.75" customHeight="1">
      <c r="A332" s="137">
        <v>317</v>
      </c>
      <c r="B332" s="138"/>
      <c r="C332" s="139"/>
      <c r="D332" s="140"/>
      <c r="E332" s="139"/>
      <c r="F332" s="139"/>
      <c r="G332" s="191"/>
      <c r="H332" s="139"/>
      <c r="I332" s="141"/>
      <c r="J332" s="142"/>
      <c r="K332" s="139"/>
      <c r="L332" s="147"/>
      <c r="M332" s="148"/>
      <c r="N332" s="139"/>
      <c r="O332" s="589"/>
      <c r="P332" s="229" t="str">
        <f t="shared" si="141"/>
        <v/>
      </c>
      <c r="Q332" s="229" t="str">
        <f t="shared" si="142"/>
        <v/>
      </c>
      <c r="R332" s="230" t="str">
        <f t="shared" si="143"/>
        <v/>
      </c>
      <c r="S332" s="230" t="str">
        <f t="shared" si="144"/>
        <v/>
      </c>
      <c r="T332" s="351"/>
      <c r="U332" s="43"/>
      <c r="V332" s="42" t="str">
        <f t="shared" si="120"/>
        <v/>
      </c>
      <c r="W332" s="42" t="e">
        <f>IF(#REF!="","",#REF!)</f>
        <v>#REF!</v>
      </c>
      <c r="X332" s="31" t="str">
        <f t="shared" si="121"/>
        <v/>
      </c>
      <c r="Y332" s="7" t="e">
        <f t="shared" si="122"/>
        <v>#N/A</v>
      </c>
      <c r="Z332" s="7" t="e">
        <f t="shared" si="123"/>
        <v>#N/A</v>
      </c>
      <c r="AA332" s="7" t="e">
        <f t="shared" si="124"/>
        <v>#N/A</v>
      </c>
      <c r="AB332" s="7" t="str">
        <f t="shared" si="125"/>
        <v/>
      </c>
      <c r="AC332" s="11">
        <f t="shared" si="126"/>
        <v>1</v>
      </c>
      <c r="AD332" s="7" t="e">
        <f t="shared" si="127"/>
        <v>#N/A</v>
      </c>
      <c r="AE332" s="7" t="e">
        <f t="shared" si="128"/>
        <v>#N/A</v>
      </c>
      <c r="AF332" s="7" t="e">
        <f t="shared" si="129"/>
        <v>#N/A</v>
      </c>
      <c r="AG332" s="472" t="e">
        <f>VLOOKUP(AI332,'排出係数(2017)'!$A$4:$I$1151,9,FALSE)</f>
        <v>#N/A</v>
      </c>
      <c r="AH332" s="12" t="str">
        <f t="shared" si="130"/>
        <v xml:space="preserve"> </v>
      </c>
      <c r="AI332" s="7" t="e">
        <f t="shared" si="145"/>
        <v>#N/A</v>
      </c>
      <c r="AJ332" s="7" t="e">
        <f t="shared" si="131"/>
        <v>#N/A</v>
      </c>
      <c r="AK332" s="472" t="e">
        <f>VLOOKUP(AI332,'排出係数(2017)'!$A$4:$I$1151,6,FALSE)</f>
        <v>#N/A</v>
      </c>
      <c r="AL332" s="7" t="e">
        <f t="shared" si="132"/>
        <v>#N/A</v>
      </c>
      <c r="AM332" s="7" t="e">
        <f t="shared" si="133"/>
        <v>#N/A</v>
      </c>
      <c r="AN332" s="472" t="e">
        <f>VLOOKUP(AI332,'排出係数(2017)'!$A$4:$I$1151,7,FALSE)</f>
        <v>#N/A</v>
      </c>
      <c r="AO332" s="7" t="e">
        <f t="shared" si="134"/>
        <v>#N/A</v>
      </c>
      <c r="AP332" s="7" t="e">
        <f t="shared" si="135"/>
        <v>#N/A</v>
      </c>
      <c r="AQ332" s="7" t="e">
        <f t="shared" si="146"/>
        <v>#N/A</v>
      </c>
      <c r="AR332" s="7">
        <f t="shared" si="136"/>
        <v>0</v>
      </c>
      <c r="AS332" s="7" t="e">
        <f t="shared" si="147"/>
        <v>#N/A</v>
      </c>
      <c r="AT332" s="7" t="str">
        <f t="shared" si="137"/>
        <v/>
      </c>
      <c r="AU332" s="7" t="str">
        <f t="shared" si="138"/>
        <v/>
      </c>
      <c r="AV332" s="7" t="str">
        <f t="shared" si="139"/>
        <v/>
      </c>
      <c r="AW332" s="7" t="str">
        <f t="shared" si="140"/>
        <v/>
      </c>
      <c r="AX332" s="97"/>
      <c r="BD332" s="453" t="s">
        <v>2534</v>
      </c>
      <c r="CG332"/>
      <c r="CH332"/>
      <c r="CK332" s="592" t="str">
        <f t="shared" si="148"/>
        <v/>
      </c>
      <c r="CL332" s="421" t="str">
        <f t="shared" si="149"/>
        <v/>
      </c>
      <c r="CM332" s="594"/>
      <c r="CN332" s="594"/>
      <c r="CO332" s="594"/>
      <c r="CP332" s="594"/>
      <c r="CQ332" s="594"/>
      <c r="CR332" s="594"/>
    </row>
    <row r="333" spans="1:96" s="13" customFormat="1" ht="13.75" customHeight="1">
      <c r="A333" s="137">
        <v>318</v>
      </c>
      <c r="B333" s="138"/>
      <c r="C333" s="139"/>
      <c r="D333" s="140"/>
      <c r="E333" s="139"/>
      <c r="F333" s="139"/>
      <c r="G333" s="191"/>
      <c r="H333" s="139"/>
      <c r="I333" s="141"/>
      <c r="J333" s="142"/>
      <c r="K333" s="139"/>
      <c r="L333" s="147"/>
      <c r="M333" s="148"/>
      <c r="N333" s="139"/>
      <c r="O333" s="589"/>
      <c r="P333" s="229" t="str">
        <f t="shared" si="141"/>
        <v/>
      </c>
      <c r="Q333" s="229" t="str">
        <f t="shared" si="142"/>
        <v/>
      </c>
      <c r="R333" s="230" t="str">
        <f t="shared" si="143"/>
        <v/>
      </c>
      <c r="S333" s="230" t="str">
        <f t="shared" si="144"/>
        <v/>
      </c>
      <c r="T333" s="351"/>
      <c r="U333" s="43"/>
      <c r="V333" s="42" t="str">
        <f t="shared" si="120"/>
        <v/>
      </c>
      <c r="W333" s="42" t="e">
        <f>IF(#REF!="","",#REF!)</f>
        <v>#REF!</v>
      </c>
      <c r="X333" s="31" t="str">
        <f t="shared" si="121"/>
        <v/>
      </c>
      <c r="Y333" s="7" t="e">
        <f t="shared" si="122"/>
        <v>#N/A</v>
      </c>
      <c r="Z333" s="7" t="e">
        <f t="shared" si="123"/>
        <v>#N/A</v>
      </c>
      <c r="AA333" s="7" t="e">
        <f t="shared" si="124"/>
        <v>#N/A</v>
      </c>
      <c r="AB333" s="7" t="str">
        <f t="shared" si="125"/>
        <v/>
      </c>
      <c r="AC333" s="11">
        <f t="shared" si="126"/>
        <v>1</v>
      </c>
      <c r="AD333" s="7" t="e">
        <f t="shared" si="127"/>
        <v>#N/A</v>
      </c>
      <c r="AE333" s="7" t="e">
        <f t="shared" si="128"/>
        <v>#N/A</v>
      </c>
      <c r="AF333" s="7" t="e">
        <f t="shared" si="129"/>
        <v>#N/A</v>
      </c>
      <c r="AG333" s="472" t="e">
        <f>VLOOKUP(AI333,'排出係数(2017)'!$A$4:$I$1151,9,FALSE)</f>
        <v>#N/A</v>
      </c>
      <c r="AH333" s="12" t="str">
        <f t="shared" si="130"/>
        <v xml:space="preserve"> </v>
      </c>
      <c r="AI333" s="7" t="e">
        <f t="shared" si="145"/>
        <v>#N/A</v>
      </c>
      <c r="AJ333" s="7" t="e">
        <f t="shared" si="131"/>
        <v>#N/A</v>
      </c>
      <c r="AK333" s="472" t="e">
        <f>VLOOKUP(AI333,'排出係数(2017)'!$A$4:$I$1151,6,FALSE)</f>
        <v>#N/A</v>
      </c>
      <c r="AL333" s="7" t="e">
        <f t="shared" si="132"/>
        <v>#N/A</v>
      </c>
      <c r="AM333" s="7" t="e">
        <f t="shared" si="133"/>
        <v>#N/A</v>
      </c>
      <c r="AN333" s="472" t="e">
        <f>VLOOKUP(AI333,'排出係数(2017)'!$A$4:$I$1151,7,FALSE)</f>
        <v>#N/A</v>
      </c>
      <c r="AO333" s="7" t="e">
        <f t="shared" si="134"/>
        <v>#N/A</v>
      </c>
      <c r="AP333" s="7" t="e">
        <f t="shared" si="135"/>
        <v>#N/A</v>
      </c>
      <c r="AQ333" s="7" t="e">
        <f t="shared" si="146"/>
        <v>#N/A</v>
      </c>
      <c r="AR333" s="7">
        <f t="shared" si="136"/>
        <v>0</v>
      </c>
      <c r="AS333" s="7" t="e">
        <f t="shared" si="147"/>
        <v>#N/A</v>
      </c>
      <c r="AT333" s="7" t="str">
        <f t="shared" si="137"/>
        <v/>
      </c>
      <c r="AU333" s="7" t="str">
        <f t="shared" si="138"/>
        <v/>
      </c>
      <c r="AV333" s="7" t="str">
        <f t="shared" si="139"/>
        <v/>
      </c>
      <c r="AW333" s="7" t="str">
        <f t="shared" si="140"/>
        <v/>
      </c>
      <c r="AX333" s="97"/>
      <c r="BD333" s="467" t="s">
        <v>2535</v>
      </c>
      <c r="CG333"/>
      <c r="CH333"/>
      <c r="CK333" s="592" t="str">
        <f t="shared" si="148"/>
        <v/>
      </c>
      <c r="CL333" s="421" t="str">
        <f t="shared" si="149"/>
        <v/>
      </c>
      <c r="CM333" s="594"/>
      <c r="CN333" s="594"/>
      <c r="CO333" s="594"/>
      <c r="CP333" s="594"/>
      <c r="CQ333" s="594"/>
      <c r="CR333" s="594"/>
    </row>
    <row r="334" spans="1:96" s="13" customFormat="1" ht="13.75" customHeight="1">
      <c r="A334" s="137">
        <v>319</v>
      </c>
      <c r="B334" s="138"/>
      <c r="C334" s="139"/>
      <c r="D334" s="140"/>
      <c r="E334" s="139"/>
      <c r="F334" s="139"/>
      <c r="G334" s="191"/>
      <c r="H334" s="139"/>
      <c r="I334" s="141"/>
      <c r="J334" s="142"/>
      <c r="K334" s="139"/>
      <c r="L334" s="147"/>
      <c r="M334" s="148"/>
      <c r="N334" s="139"/>
      <c r="O334" s="589"/>
      <c r="P334" s="229" t="str">
        <f t="shared" si="141"/>
        <v/>
      </c>
      <c r="Q334" s="229" t="str">
        <f t="shared" si="142"/>
        <v/>
      </c>
      <c r="R334" s="230" t="str">
        <f t="shared" si="143"/>
        <v/>
      </c>
      <c r="S334" s="230" t="str">
        <f t="shared" si="144"/>
        <v/>
      </c>
      <c r="T334" s="351"/>
      <c r="U334" s="43"/>
      <c r="V334" s="42" t="str">
        <f t="shared" si="120"/>
        <v/>
      </c>
      <c r="W334" s="42" t="e">
        <f>IF(#REF!="","",#REF!)</f>
        <v>#REF!</v>
      </c>
      <c r="X334" s="31" t="str">
        <f t="shared" si="121"/>
        <v/>
      </c>
      <c r="Y334" s="7" t="e">
        <f t="shared" si="122"/>
        <v>#N/A</v>
      </c>
      <c r="Z334" s="7" t="e">
        <f t="shared" si="123"/>
        <v>#N/A</v>
      </c>
      <c r="AA334" s="7" t="e">
        <f t="shared" si="124"/>
        <v>#N/A</v>
      </c>
      <c r="AB334" s="7" t="str">
        <f t="shared" si="125"/>
        <v/>
      </c>
      <c r="AC334" s="11">
        <f t="shared" si="126"/>
        <v>1</v>
      </c>
      <c r="AD334" s="7" t="e">
        <f t="shared" si="127"/>
        <v>#N/A</v>
      </c>
      <c r="AE334" s="7" t="e">
        <f t="shared" si="128"/>
        <v>#N/A</v>
      </c>
      <c r="AF334" s="7" t="e">
        <f t="shared" si="129"/>
        <v>#N/A</v>
      </c>
      <c r="AG334" s="472" t="e">
        <f>VLOOKUP(AI334,'排出係数(2017)'!$A$4:$I$1151,9,FALSE)</f>
        <v>#N/A</v>
      </c>
      <c r="AH334" s="12" t="str">
        <f t="shared" si="130"/>
        <v xml:space="preserve"> </v>
      </c>
      <c r="AI334" s="7" t="e">
        <f t="shared" si="145"/>
        <v>#N/A</v>
      </c>
      <c r="AJ334" s="7" t="e">
        <f t="shared" si="131"/>
        <v>#N/A</v>
      </c>
      <c r="AK334" s="472" t="e">
        <f>VLOOKUP(AI334,'排出係数(2017)'!$A$4:$I$1151,6,FALSE)</f>
        <v>#N/A</v>
      </c>
      <c r="AL334" s="7" t="e">
        <f t="shared" si="132"/>
        <v>#N/A</v>
      </c>
      <c r="AM334" s="7" t="e">
        <f t="shared" si="133"/>
        <v>#N/A</v>
      </c>
      <c r="AN334" s="472" t="e">
        <f>VLOOKUP(AI334,'排出係数(2017)'!$A$4:$I$1151,7,FALSE)</f>
        <v>#N/A</v>
      </c>
      <c r="AO334" s="7" t="e">
        <f t="shared" si="134"/>
        <v>#N/A</v>
      </c>
      <c r="AP334" s="7" t="e">
        <f t="shared" si="135"/>
        <v>#N/A</v>
      </c>
      <c r="AQ334" s="7" t="e">
        <f t="shared" si="146"/>
        <v>#N/A</v>
      </c>
      <c r="AR334" s="7">
        <f t="shared" si="136"/>
        <v>0</v>
      </c>
      <c r="AS334" s="7" t="e">
        <f t="shared" si="147"/>
        <v>#N/A</v>
      </c>
      <c r="AT334" s="7" t="str">
        <f t="shared" si="137"/>
        <v/>
      </c>
      <c r="AU334" s="7" t="str">
        <f t="shared" si="138"/>
        <v/>
      </c>
      <c r="AV334" s="7" t="str">
        <f t="shared" si="139"/>
        <v/>
      </c>
      <c r="AW334" s="7" t="str">
        <f t="shared" si="140"/>
        <v/>
      </c>
      <c r="AX334" s="97"/>
      <c r="BD334" s="453" t="s">
        <v>2536</v>
      </c>
      <c r="CG334"/>
      <c r="CH334"/>
      <c r="CK334" s="592" t="str">
        <f t="shared" si="148"/>
        <v/>
      </c>
      <c r="CL334" s="421" t="str">
        <f t="shared" si="149"/>
        <v/>
      </c>
      <c r="CM334" s="594"/>
      <c r="CN334" s="594"/>
      <c r="CO334" s="594"/>
      <c r="CP334" s="594"/>
      <c r="CQ334" s="594"/>
      <c r="CR334" s="594"/>
    </row>
    <row r="335" spans="1:96" s="13" customFormat="1" ht="13.75" customHeight="1">
      <c r="A335" s="137">
        <v>320</v>
      </c>
      <c r="B335" s="138"/>
      <c r="C335" s="139"/>
      <c r="D335" s="140"/>
      <c r="E335" s="139"/>
      <c r="F335" s="139"/>
      <c r="G335" s="191"/>
      <c r="H335" s="139"/>
      <c r="I335" s="141"/>
      <c r="J335" s="142"/>
      <c r="K335" s="139"/>
      <c r="L335" s="147"/>
      <c r="M335" s="148"/>
      <c r="N335" s="139"/>
      <c r="O335" s="589"/>
      <c r="P335" s="229" t="str">
        <f t="shared" si="141"/>
        <v/>
      </c>
      <c r="Q335" s="229" t="str">
        <f t="shared" si="142"/>
        <v/>
      </c>
      <c r="R335" s="230" t="str">
        <f t="shared" si="143"/>
        <v/>
      </c>
      <c r="S335" s="230" t="str">
        <f t="shared" si="144"/>
        <v/>
      </c>
      <c r="T335" s="351"/>
      <c r="U335" s="43"/>
      <c r="V335" s="42" t="str">
        <f t="shared" si="120"/>
        <v/>
      </c>
      <c r="W335" s="42" t="e">
        <f>IF(#REF!="","",#REF!)</f>
        <v>#REF!</v>
      </c>
      <c r="X335" s="31" t="str">
        <f t="shared" si="121"/>
        <v/>
      </c>
      <c r="Y335" s="7" t="e">
        <f t="shared" si="122"/>
        <v>#N/A</v>
      </c>
      <c r="Z335" s="7" t="e">
        <f t="shared" si="123"/>
        <v>#N/A</v>
      </c>
      <c r="AA335" s="7" t="e">
        <f t="shared" si="124"/>
        <v>#N/A</v>
      </c>
      <c r="AB335" s="7" t="str">
        <f t="shared" si="125"/>
        <v/>
      </c>
      <c r="AC335" s="11">
        <f t="shared" si="126"/>
        <v>1</v>
      </c>
      <c r="AD335" s="7" t="e">
        <f t="shared" si="127"/>
        <v>#N/A</v>
      </c>
      <c r="AE335" s="7" t="e">
        <f t="shared" si="128"/>
        <v>#N/A</v>
      </c>
      <c r="AF335" s="7" t="e">
        <f t="shared" si="129"/>
        <v>#N/A</v>
      </c>
      <c r="AG335" s="472" t="e">
        <f>VLOOKUP(AI335,'排出係数(2017)'!$A$4:$I$1151,9,FALSE)</f>
        <v>#N/A</v>
      </c>
      <c r="AH335" s="12" t="str">
        <f t="shared" si="130"/>
        <v xml:space="preserve"> </v>
      </c>
      <c r="AI335" s="7" t="e">
        <f t="shared" si="145"/>
        <v>#N/A</v>
      </c>
      <c r="AJ335" s="7" t="e">
        <f t="shared" si="131"/>
        <v>#N/A</v>
      </c>
      <c r="AK335" s="472" t="e">
        <f>VLOOKUP(AI335,'排出係数(2017)'!$A$4:$I$1151,6,FALSE)</f>
        <v>#N/A</v>
      </c>
      <c r="AL335" s="7" t="e">
        <f t="shared" si="132"/>
        <v>#N/A</v>
      </c>
      <c r="AM335" s="7" t="e">
        <f t="shared" si="133"/>
        <v>#N/A</v>
      </c>
      <c r="AN335" s="472" t="e">
        <f>VLOOKUP(AI335,'排出係数(2017)'!$A$4:$I$1151,7,FALSE)</f>
        <v>#N/A</v>
      </c>
      <c r="AO335" s="7" t="e">
        <f t="shared" si="134"/>
        <v>#N/A</v>
      </c>
      <c r="AP335" s="7" t="e">
        <f t="shared" si="135"/>
        <v>#N/A</v>
      </c>
      <c r="AQ335" s="7" t="e">
        <f t="shared" si="146"/>
        <v>#N/A</v>
      </c>
      <c r="AR335" s="7">
        <f t="shared" si="136"/>
        <v>0</v>
      </c>
      <c r="AS335" s="7" t="e">
        <f t="shared" si="147"/>
        <v>#N/A</v>
      </c>
      <c r="AT335" s="7" t="str">
        <f t="shared" si="137"/>
        <v/>
      </c>
      <c r="AU335" s="7" t="str">
        <f t="shared" si="138"/>
        <v/>
      </c>
      <c r="AV335" s="7" t="str">
        <f t="shared" si="139"/>
        <v/>
      </c>
      <c r="AW335" s="7" t="str">
        <f t="shared" si="140"/>
        <v/>
      </c>
      <c r="AX335" s="97"/>
      <c r="BD335" s="453" t="s">
        <v>1075</v>
      </c>
      <c r="CG335"/>
      <c r="CH335"/>
      <c r="CK335" s="592" t="str">
        <f t="shared" si="148"/>
        <v/>
      </c>
      <c r="CL335" s="421" t="str">
        <f t="shared" si="149"/>
        <v/>
      </c>
      <c r="CM335" s="594"/>
      <c r="CN335" s="594"/>
      <c r="CO335" s="594"/>
      <c r="CP335" s="594"/>
      <c r="CQ335" s="594"/>
      <c r="CR335" s="594"/>
    </row>
    <row r="336" spans="1:96" s="13" customFormat="1" ht="13.75" customHeight="1">
      <c r="A336" s="137">
        <v>321</v>
      </c>
      <c r="B336" s="138"/>
      <c r="C336" s="139"/>
      <c r="D336" s="140"/>
      <c r="E336" s="139"/>
      <c r="F336" s="139"/>
      <c r="G336" s="191"/>
      <c r="H336" s="139"/>
      <c r="I336" s="141"/>
      <c r="J336" s="142"/>
      <c r="K336" s="139"/>
      <c r="L336" s="147"/>
      <c r="M336" s="148"/>
      <c r="N336" s="139"/>
      <c r="O336" s="589"/>
      <c r="P336" s="229" t="str">
        <f t="shared" si="141"/>
        <v/>
      </c>
      <c r="Q336" s="229" t="str">
        <f t="shared" si="142"/>
        <v/>
      </c>
      <c r="R336" s="230" t="str">
        <f t="shared" si="143"/>
        <v/>
      </c>
      <c r="S336" s="230" t="str">
        <f t="shared" si="144"/>
        <v/>
      </c>
      <c r="T336" s="351"/>
      <c r="U336" s="43"/>
      <c r="V336" s="42" t="str">
        <f t="shared" ref="V336:V399" si="150">IF(O336="","",O336)</f>
        <v/>
      </c>
      <c r="W336" s="42" t="e">
        <f>IF(#REF!="","",#REF!)</f>
        <v>#REF!</v>
      </c>
      <c r="X336" s="31" t="str">
        <f t="shared" ref="X336:X399" si="151">IF(ISBLANK(H336)=TRUE,"",IF(OR(ISBLANK(B336)=TRUE),1,""))</f>
        <v/>
      </c>
      <c r="Y336" s="7" t="e">
        <f t="shared" ref="Y336:Y399" si="152">VLOOKUP(H336,$AY$17:$BB$23,2,FALSE)</f>
        <v>#N/A</v>
      </c>
      <c r="Z336" s="7" t="e">
        <f t="shared" ref="Z336:Z399" si="153">VLOOKUP(H336,$AY$17:$BB$23,3,FALSE)</f>
        <v>#N/A</v>
      </c>
      <c r="AA336" s="7" t="e">
        <f t="shared" ref="AA336:AA399" si="154">VLOOKUP(H336,$AY$17:$BB$23,4,FALSE)</f>
        <v>#N/A</v>
      </c>
      <c r="AB336" s="7" t="str">
        <f t="shared" ref="AB336:AB399" si="155">IF(ISERROR(SEARCH("-",I336,1))=TRUE,ASC(UPPER(I336)),ASC(UPPER(LEFT(I336,SEARCH("-",I336,1)-1))))</f>
        <v/>
      </c>
      <c r="AC336" s="11">
        <f t="shared" ref="AC336:AC399" si="156">IF(J336&gt;3500,J336/1000,1)</f>
        <v>1</v>
      </c>
      <c r="AD336" s="7" t="e">
        <f t="shared" ref="AD336:AD399" si="157">IF(AA336=9,0,IF(J336&lt;=1700,1,IF(J336&lt;=2500,2,IF(J336&lt;=3500,3,4))))</f>
        <v>#N/A</v>
      </c>
      <c r="AE336" s="7" t="e">
        <f t="shared" ref="AE336:AE399" si="158">IF(AA336=5,0,IF(AA336=9,0,IF(J336&lt;=1700,1,IF(J336&lt;=2500,2,IF(J336&lt;=3500,3,4)))))</f>
        <v>#N/A</v>
      </c>
      <c r="AF336" s="7" t="e">
        <f t="shared" ref="AF336:AF399" si="159">VLOOKUP(K336,$BG$17:$BH$25,2,FALSE)</f>
        <v>#N/A</v>
      </c>
      <c r="AG336" s="472" t="e">
        <f>VLOOKUP(AI336,'排出係数(2017)'!$A$4:$I$1151,9,FALSE)</f>
        <v>#N/A</v>
      </c>
      <c r="AH336" s="12" t="str">
        <f t="shared" ref="AH336:AH399" si="160">IF(OR(ISBLANK(K336)=TRUE,ISBLANK(B336)=TRUE)," ",CONCATENATE(B336,AA336,AD336))</f>
        <v xml:space="preserve"> </v>
      </c>
      <c r="AI336" s="7" t="e">
        <f t="shared" si="145"/>
        <v>#N/A</v>
      </c>
      <c r="AJ336" s="7" t="e">
        <f t="shared" ref="AJ336:AJ399" si="161">IF(AND(L336="あり",AF336="軽"),AL336,AK336)</f>
        <v>#N/A</v>
      </c>
      <c r="AK336" s="472" t="e">
        <f>VLOOKUP(AI336,'排出係数(2017)'!$A$4:$I$1151,6,FALSE)</f>
        <v>#N/A</v>
      </c>
      <c r="AL336" s="7" t="e">
        <f t="shared" ref="AL336:AL399" si="162">VLOOKUP(AE336,$BU$17:$BY$21,2,FALSE)</f>
        <v>#N/A</v>
      </c>
      <c r="AM336" s="7" t="e">
        <f t="shared" ref="AM336:AM399" si="163">IF(AND(L336="あり",M336="なし",AF336="軽"),AO336,IF(AND(L336="あり",M336="あり(H17なし)",AF336="軽"),AO336,IF(AND(L336="あり",M336="",AF336="軽"),AO336,IF(AND(L336="なし",M336="あり(H17なし)",AF336="軽"),AP336,IF(AND(L336="",M336="あり(H17なし)",AF336="軽"),AP336,IF(AND(M336="あり(H17あり)",AF336="軽"),AQ336,AN336))))))</f>
        <v>#N/A</v>
      </c>
      <c r="AN336" s="472" t="e">
        <f>VLOOKUP(AI336,'排出係数(2017)'!$A$4:$I$1151,7,FALSE)</f>
        <v>#N/A</v>
      </c>
      <c r="AO336" s="7" t="e">
        <f t="shared" ref="AO336:AO399" si="164">VLOOKUP(AE336,$BU$17:$BY$21,3,FALSE)</f>
        <v>#N/A</v>
      </c>
      <c r="AP336" s="7" t="e">
        <f t="shared" ref="AP336:AP399" si="165">VLOOKUP(AE336,$BU$17:$BY$21,4,FALSE)</f>
        <v>#N/A</v>
      </c>
      <c r="AQ336" s="7" t="e">
        <f t="shared" si="146"/>
        <v>#N/A</v>
      </c>
      <c r="AR336" s="7">
        <f t="shared" ref="AR336:AR399" si="166">IF(AND(L336="なし",M336="なし"),0,IF(AND(L336="",M336=""),0,IF(AND(L336="",M336="なし"),0,IF(AND(L336="なし",M336=""),0,1))))</f>
        <v>0</v>
      </c>
      <c r="AS336" s="7" t="e">
        <f t="shared" si="147"/>
        <v>#N/A</v>
      </c>
      <c r="AT336" s="7" t="str">
        <f t="shared" ref="AT336:AT399" si="167">IF(H336="","",VLOOKUP(H336,$AY$17:$BC$25,5,FALSE))</f>
        <v/>
      </c>
      <c r="AU336" s="7" t="str">
        <f t="shared" ref="AU336:AU399" si="168">IF(D336="","",VLOOKUP(CONCATENATE("A",LEFT(D336)),$BR$17:$BS$26,2,FALSE))</f>
        <v/>
      </c>
      <c r="AV336" s="7" t="str">
        <f t="shared" ref="AV336:AV399" si="169">IF(AT336=AU336,"",1)</f>
        <v/>
      </c>
      <c r="AW336" s="7" t="str">
        <f t="shared" ref="AW336:AW399" si="170">CONCATENATE(C336,D336,E336,F336)</f>
        <v/>
      </c>
      <c r="AX336" s="97"/>
      <c r="BD336" s="453" t="s">
        <v>1067</v>
      </c>
      <c r="CG336"/>
      <c r="CH336"/>
      <c r="CK336" s="592" t="str">
        <f t="shared" si="148"/>
        <v/>
      </c>
      <c r="CL336" s="421" t="str">
        <f t="shared" si="149"/>
        <v/>
      </c>
      <c r="CM336" s="594"/>
      <c r="CN336" s="594"/>
      <c r="CO336" s="594"/>
      <c r="CP336" s="594"/>
      <c r="CQ336" s="594"/>
      <c r="CR336" s="594"/>
    </row>
    <row r="337" spans="1:96" s="13" customFormat="1" ht="13.75" customHeight="1">
      <c r="A337" s="137">
        <v>322</v>
      </c>
      <c r="B337" s="138"/>
      <c r="C337" s="139"/>
      <c r="D337" s="140"/>
      <c r="E337" s="139"/>
      <c r="F337" s="139"/>
      <c r="G337" s="191"/>
      <c r="H337" s="139"/>
      <c r="I337" s="141"/>
      <c r="J337" s="142"/>
      <c r="K337" s="139"/>
      <c r="L337" s="147"/>
      <c r="M337" s="148"/>
      <c r="N337" s="139"/>
      <c r="O337" s="589"/>
      <c r="P337" s="229" t="str">
        <f t="shared" ref="P337:P400" si="171">IF(ISBLANK(K337)=TRUE,"",IF(ISNUMBER(AJ337)=TRUE,AJ337,"0"))</f>
        <v/>
      </c>
      <c r="Q337" s="229" t="str">
        <f t="shared" ref="Q337:Q400" si="172">IF(ISBLANK(K337)=TRUE,"",IF(ISNUMBER(AM337)=TRUE,AM337,"0"))</f>
        <v/>
      </c>
      <c r="R337" s="230" t="str">
        <f t="shared" ref="R337:R400" si="173">IF(P337="","",IF(ISERROR(P337*V337*AC337),"0",IF(ISBLANK(V337)=TRUE,"0",IF(ISBLANK(P337)=TRUE,"0",IF(AV337=1,"0",P337*AC337*V337/1000)))))</f>
        <v/>
      </c>
      <c r="S337" s="230" t="str">
        <f t="shared" ref="S337:S400" si="174">IF(Q337="","",IF(ISERROR(Q337*V337*AC337),"0",IF(ISBLANK(V337)=TRUE,"0",IF(ISBLANK(Q337)=TRUE,"0",IF(AV337=1,"0",Q337*AC337*V337/1000)))))</f>
        <v/>
      </c>
      <c r="T337" s="351"/>
      <c r="U337" s="43"/>
      <c r="V337" s="42" t="str">
        <f t="shared" si="150"/>
        <v/>
      </c>
      <c r="W337" s="42" t="e">
        <f>IF(#REF!="","",#REF!)</f>
        <v>#REF!</v>
      </c>
      <c r="X337" s="31" t="str">
        <f t="shared" si="151"/>
        <v/>
      </c>
      <c r="Y337" s="7" t="e">
        <f t="shared" si="152"/>
        <v>#N/A</v>
      </c>
      <c r="Z337" s="7" t="e">
        <f t="shared" si="153"/>
        <v>#N/A</v>
      </c>
      <c r="AA337" s="7" t="e">
        <f t="shared" si="154"/>
        <v>#N/A</v>
      </c>
      <c r="AB337" s="7" t="str">
        <f t="shared" si="155"/>
        <v/>
      </c>
      <c r="AC337" s="11">
        <f t="shared" si="156"/>
        <v>1</v>
      </c>
      <c r="AD337" s="7" t="e">
        <f t="shared" si="157"/>
        <v>#N/A</v>
      </c>
      <c r="AE337" s="7" t="e">
        <f t="shared" si="158"/>
        <v>#N/A</v>
      </c>
      <c r="AF337" s="7" t="e">
        <f t="shared" si="159"/>
        <v>#N/A</v>
      </c>
      <c r="AG337" s="472" t="e">
        <f>VLOOKUP(AI337,'排出係数(2017)'!$A$4:$I$1151,9,FALSE)</f>
        <v>#N/A</v>
      </c>
      <c r="AH337" s="12" t="str">
        <f t="shared" si="160"/>
        <v xml:space="preserve"> </v>
      </c>
      <c r="AI337" s="7" t="e">
        <f t="shared" ref="AI337:AI400" si="175">CONCATENATE(Y337,AE337,AF337,AB337)</f>
        <v>#N/A</v>
      </c>
      <c r="AJ337" s="7" t="e">
        <f t="shared" si="161"/>
        <v>#N/A</v>
      </c>
      <c r="AK337" s="472" t="e">
        <f>VLOOKUP(AI337,'排出係数(2017)'!$A$4:$I$1151,6,FALSE)</f>
        <v>#N/A</v>
      </c>
      <c r="AL337" s="7" t="e">
        <f t="shared" si="162"/>
        <v>#N/A</v>
      </c>
      <c r="AM337" s="7" t="e">
        <f t="shared" si="163"/>
        <v>#N/A</v>
      </c>
      <c r="AN337" s="472" t="e">
        <f>VLOOKUP(AI337,'排出係数(2017)'!$A$4:$I$1151,7,FALSE)</f>
        <v>#N/A</v>
      </c>
      <c r="AO337" s="7" t="e">
        <f t="shared" si="164"/>
        <v>#N/A</v>
      </c>
      <c r="AP337" s="7" t="e">
        <f t="shared" si="165"/>
        <v>#N/A</v>
      </c>
      <c r="AQ337" s="7" t="e">
        <f t="shared" ref="AQ337:AQ400" si="176">VLOOKUP(AE337,$BU$17:$BY$21,5,FALSE)</f>
        <v>#N/A</v>
      </c>
      <c r="AR337" s="7">
        <f t="shared" si="166"/>
        <v>0</v>
      </c>
      <c r="AS337" s="7" t="e">
        <f t="shared" ref="AS337:AS400" si="177">VLOOKUP(AI337,排出係数表,8,FALSE)</f>
        <v>#N/A</v>
      </c>
      <c r="AT337" s="7" t="str">
        <f t="shared" si="167"/>
        <v/>
      </c>
      <c r="AU337" s="7" t="str">
        <f t="shared" si="168"/>
        <v/>
      </c>
      <c r="AV337" s="7" t="str">
        <f t="shared" si="169"/>
        <v/>
      </c>
      <c r="AW337" s="7" t="str">
        <f t="shared" si="170"/>
        <v/>
      </c>
      <c r="AX337" s="97"/>
      <c r="BD337" s="453" t="s">
        <v>1077</v>
      </c>
      <c r="CG337"/>
      <c r="CH337"/>
      <c r="CK337" s="592" t="str">
        <f t="shared" ref="CK337:CK400" si="178">IF(COUNTA(B337:F337,H337:K337)&gt;0,IF(OR(ISNUMBER(AK337)=FALSE,ISNUMBER(AN337)=FALSE,COUNTA(B337:F337,H337:K337)&lt;9),"×","〇"),"")</f>
        <v/>
      </c>
      <c r="CL337" s="421" t="str">
        <f t="shared" ref="CL337:CL400" si="179">IF(T337="廃止","※前年度に「廃止」報告をした自動車はその行を空白にしてください。",IF(T337="新規かつ廃止","※「新規」と「廃止」の両方に該当する自動車かご確認ください。",""))</f>
        <v/>
      </c>
      <c r="CM337" s="594"/>
      <c r="CN337" s="594"/>
      <c r="CO337" s="594"/>
      <c r="CP337" s="594"/>
      <c r="CQ337" s="594"/>
      <c r="CR337" s="594"/>
    </row>
    <row r="338" spans="1:96" s="13" customFormat="1" ht="13.75" customHeight="1">
      <c r="A338" s="137">
        <v>323</v>
      </c>
      <c r="B338" s="138"/>
      <c r="C338" s="139"/>
      <c r="D338" s="140"/>
      <c r="E338" s="139"/>
      <c r="F338" s="139"/>
      <c r="G338" s="191"/>
      <c r="H338" s="139"/>
      <c r="I338" s="141"/>
      <c r="J338" s="142"/>
      <c r="K338" s="139"/>
      <c r="L338" s="147"/>
      <c r="M338" s="148"/>
      <c r="N338" s="139"/>
      <c r="O338" s="589"/>
      <c r="P338" s="229" t="str">
        <f t="shared" si="171"/>
        <v/>
      </c>
      <c r="Q338" s="229" t="str">
        <f t="shared" si="172"/>
        <v/>
      </c>
      <c r="R338" s="230" t="str">
        <f t="shared" si="173"/>
        <v/>
      </c>
      <c r="S338" s="230" t="str">
        <f t="shared" si="174"/>
        <v/>
      </c>
      <c r="T338" s="351"/>
      <c r="U338" s="43"/>
      <c r="V338" s="42" t="str">
        <f t="shared" si="150"/>
        <v/>
      </c>
      <c r="W338" s="42" t="e">
        <f>IF(#REF!="","",#REF!)</f>
        <v>#REF!</v>
      </c>
      <c r="X338" s="31" t="str">
        <f t="shared" si="151"/>
        <v/>
      </c>
      <c r="Y338" s="7" t="e">
        <f t="shared" si="152"/>
        <v>#N/A</v>
      </c>
      <c r="Z338" s="7" t="e">
        <f t="shared" si="153"/>
        <v>#N/A</v>
      </c>
      <c r="AA338" s="7" t="e">
        <f t="shared" si="154"/>
        <v>#N/A</v>
      </c>
      <c r="AB338" s="7" t="str">
        <f t="shared" si="155"/>
        <v/>
      </c>
      <c r="AC338" s="11">
        <f t="shared" si="156"/>
        <v>1</v>
      </c>
      <c r="AD338" s="7" t="e">
        <f t="shared" si="157"/>
        <v>#N/A</v>
      </c>
      <c r="AE338" s="7" t="e">
        <f t="shared" si="158"/>
        <v>#N/A</v>
      </c>
      <c r="AF338" s="7" t="e">
        <f t="shared" si="159"/>
        <v>#N/A</v>
      </c>
      <c r="AG338" s="472" t="e">
        <f>VLOOKUP(AI338,'排出係数(2017)'!$A$4:$I$1151,9,FALSE)</f>
        <v>#N/A</v>
      </c>
      <c r="AH338" s="12" t="str">
        <f t="shared" si="160"/>
        <v xml:space="preserve"> </v>
      </c>
      <c r="AI338" s="7" t="e">
        <f t="shared" si="175"/>
        <v>#N/A</v>
      </c>
      <c r="AJ338" s="7" t="e">
        <f t="shared" si="161"/>
        <v>#N/A</v>
      </c>
      <c r="AK338" s="472" t="e">
        <f>VLOOKUP(AI338,'排出係数(2017)'!$A$4:$I$1151,6,FALSE)</f>
        <v>#N/A</v>
      </c>
      <c r="AL338" s="7" t="e">
        <f t="shared" si="162"/>
        <v>#N/A</v>
      </c>
      <c r="AM338" s="7" t="e">
        <f t="shared" si="163"/>
        <v>#N/A</v>
      </c>
      <c r="AN338" s="472" t="e">
        <f>VLOOKUP(AI338,'排出係数(2017)'!$A$4:$I$1151,7,FALSE)</f>
        <v>#N/A</v>
      </c>
      <c r="AO338" s="7" t="e">
        <f t="shared" si="164"/>
        <v>#N/A</v>
      </c>
      <c r="AP338" s="7" t="e">
        <f t="shared" si="165"/>
        <v>#N/A</v>
      </c>
      <c r="AQ338" s="7" t="e">
        <f t="shared" si="176"/>
        <v>#N/A</v>
      </c>
      <c r="AR338" s="7">
        <f t="shared" si="166"/>
        <v>0</v>
      </c>
      <c r="AS338" s="7" t="e">
        <f t="shared" si="177"/>
        <v>#N/A</v>
      </c>
      <c r="AT338" s="7" t="str">
        <f t="shared" si="167"/>
        <v/>
      </c>
      <c r="AU338" s="7" t="str">
        <f t="shared" si="168"/>
        <v/>
      </c>
      <c r="AV338" s="7" t="str">
        <f t="shared" si="169"/>
        <v/>
      </c>
      <c r="AW338" s="7" t="str">
        <f t="shared" si="170"/>
        <v/>
      </c>
      <c r="AX338" s="97"/>
      <c r="BD338" s="453" t="s">
        <v>1069</v>
      </c>
      <c r="CG338"/>
      <c r="CH338"/>
      <c r="CK338" s="592" t="str">
        <f t="shared" si="178"/>
        <v/>
      </c>
      <c r="CL338" s="421" t="str">
        <f t="shared" si="179"/>
        <v/>
      </c>
      <c r="CM338" s="594"/>
      <c r="CN338" s="594"/>
      <c r="CO338" s="594"/>
      <c r="CP338" s="594"/>
      <c r="CQ338" s="594"/>
      <c r="CR338" s="594"/>
    </row>
    <row r="339" spans="1:96" s="13" customFormat="1" ht="13.75" customHeight="1">
      <c r="A339" s="137">
        <v>324</v>
      </c>
      <c r="B339" s="138"/>
      <c r="C339" s="139"/>
      <c r="D339" s="140"/>
      <c r="E339" s="139"/>
      <c r="F339" s="139"/>
      <c r="G339" s="191"/>
      <c r="H339" s="139"/>
      <c r="I339" s="141"/>
      <c r="J339" s="142"/>
      <c r="K339" s="139"/>
      <c r="L339" s="147"/>
      <c r="M339" s="148"/>
      <c r="N339" s="139"/>
      <c r="O339" s="589"/>
      <c r="P339" s="229" t="str">
        <f t="shared" si="171"/>
        <v/>
      </c>
      <c r="Q339" s="229" t="str">
        <f t="shared" si="172"/>
        <v/>
      </c>
      <c r="R339" s="230" t="str">
        <f t="shared" si="173"/>
        <v/>
      </c>
      <c r="S339" s="230" t="str">
        <f t="shared" si="174"/>
        <v/>
      </c>
      <c r="T339" s="351"/>
      <c r="U339" s="43"/>
      <c r="V339" s="42" t="str">
        <f t="shared" si="150"/>
        <v/>
      </c>
      <c r="W339" s="42" t="e">
        <f>IF(#REF!="","",#REF!)</f>
        <v>#REF!</v>
      </c>
      <c r="X339" s="31" t="str">
        <f t="shared" si="151"/>
        <v/>
      </c>
      <c r="Y339" s="7" t="e">
        <f t="shared" si="152"/>
        <v>#N/A</v>
      </c>
      <c r="Z339" s="7" t="e">
        <f t="shared" si="153"/>
        <v>#N/A</v>
      </c>
      <c r="AA339" s="7" t="e">
        <f t="shared" si="154"/>
        <v>#N/A</v>
      </c>
      <c r="AB339" s="7" t="str">
        <f t="shared" si="155"/>
        <v/>
      </c>
      <c r="AC339" s="11">
        <f t="shared" si="156"/>
        <v>1</v>
      </c>
      <c r="AD339" s="7" t="e">
        <f t="shared" si="157"/>
        <v>#N/A</v>
      </c>
      <c r="AE339" s="7" t="e">
        <f t="shared" si="158"/>
        <v>#N/A</v>
      </c>
      <c r="AF339" s="7" t="e">
        <f t="shared" si="159"/>
        <v>#N/A</v>
      </c>
      <c r="AG339" s="472" t="e">
        <f>VLOOKUP(AI339,'排出係数(2017)'!$A$4:$I$1151,9,FALSE)</f>
        <v>#N/A</v>
      </c>
      <c r="AH339" s="12" t="str">
        <f t="shared" si="160"/>
        <v xml:space="preserve"> </v>
      </c>
      <c r="AI339" s="7" t="e">
        <f t="shared" si="175"/>
        <v>#N/A</v>
      </c>
      <c r="AJ339" s="7" t="e">
        <f t="shared" si="161"/>
        <v>#N/A</v>
      </c>
      <c r="AK339" s="472" t="e">
        <f>VLOOKUP(AI339,'排出係数(2017)'!$A$4:$I$1151,6,FALSE)</f>
        <v>#N/A</v>
      </c>
      <c r="AL339" s="7" t="e">
        <f t="shared" si="162"/>
        <v>#N/A</v>
      </c>
      <c r="AM339" s="7" t="e">
        <f t="shared" si="163"/>
        <v>#N/A</v>
      </c>
      <c r="AN339" s="472" t="e">
        <f>VLOOKUP(AI339,'排出係数(2017)'!$A$4:$I$1151,7,FALSE)</f>
        <v>#N/A</v>
      </c>
      <c r="AO339" s="7" t="e">
        <f t="shared" si="164"/>
        <v>#N/A</v>
      </c>
      <c r="AP339" s="7" t="e">
        <f t="shared" si="165"/>
        <v>#N/A</v>
      </c>
      <c r="AQ339" s="7" t="e">
        <f t="shared" si="176"/>
        <v>#N/A</v>
      </c>
      <c r="AR339" s="7">
        <f t="shared" si="166"/>
        <v>0</v>
      </c>
      <c r="AS339" s="7" t="e">
        <f t="shared" si="177"/>
        <v>#N/A</v>
      </c>
      <c r="AT339" s="7" t="str">
        <f t="shared" si="167"/>
        <v/>
      </c>
      <c r="AU339" s="7" t="str">
        <f t="shared" si="168"/>
        <v/>
      </c>
      <c r="AV339" s="7" t="str">
        <f t="shared" si="169"/>
        <v/>
      </c>
      <c r="AW339" s="7" t="str">
        <f t="shared" si="170"/>
        <v/>
      </c>
      <c r="AX339" s="97"/>
      <c r="BD339" s="453" t="s">
        <v>136</v>
      </c>
      <c r="CG339"/>
      <c r="CH339"/>
      <c r="CK339" s="592" t="str">
        <f t="shared" si="178"/>
        <v/>
      </c>
      <c r="CL339" s="421" t="str">
        <f t="shared" si="179"/>
        <v/>
      </c>
      <c r="CM339" s="594"/>
      <c r="CN339" s="594"/>
      <c r="CO339" s="594"/>
      <c r="CP339" s="594"/>
      <c r="CQ339" s="594"/>
      <c r="CR339" s="594"/>
    </row>
    <row r="340" spans="1:96" s="13" customFormat="1" ht="13.75" customHeight="1">
      <c r="A340" s="137">
        <v>325</v>
      </c>
      <c r="B340" s="138"/>
      <c r="C340" s="139"/>
      <c r="D340" s="140"/>
      <c r="E340" s="139"/>
      <c r="F340" s="139"/>
      <c r="G340" s="191"/>
      <c r="H340" s="139"/>
      <c r="I340" s="141"/>
      <c r="J340" s="142"/>
      <c r="K340" s="139"/>
      <c r="L340" s="147"/>
      <c r="M340" s="148"/>
      <c r="N340" s="139"/>
      <c r="O340" s="589"/>
      <c r="P340" s="229" t="str">
        <f t="shared" si="171"/>
        <v/>
      </c>
      <c r="Q340" s="229" t="str">
        <f t="shared" si="172"/>
        <v/>
      </c>
      <c r="R340" s="230" t="str">
        <f t="shared" si="173"/>
        <v/>
      </c>
      <c r="S340" s="230" t="str">
        <f t="shared" si="174"/>
        <v/>
      </c>
      <c r="T340" s="351"/>
      <c r="U340" s="43"/>
      <c r="V340" s="42" t="str">
        <f t="shared" si="150"/>
        <v/>
      </c>
      <c r="W340" s="42" t="e">
        <f>IF(#REF!="","",#REF!)</f>
        <v>#REF!</v>
      </c>
      <c r="X340" s="31" t="str">
        <f t="shared" si="151"/>
        <v/>
      </c>
      <c r="Y340" s="7" t="e">
        <f t="shared" si="152"/>
        <v>#N/A</v>
      </c>
      <c r="Z340" s="7" t="e">
        <f t="shared" si="153"/>
        <v>#N/A</v>
      </c>
      <c r="AA340" s="7" t="e">
        <f t="shared" si="154"/>
        <v>#N/A</v>
      </c>
      <c r="AB340" s="7" t="str">
        <f t="shared" si="155"/>
        <v/>
      </c>
      <c r="AC340" s="11">
        <f t="shared" si="156"/>
        <v>1</v>
      </c>
      <c r="AD340" s="7" t="e">
        <f t="shared" si="157"/>
        <v>#N/A</v>
      </c>
      <c r="AE340" s="7" t="e">
        <f t="shared" si="158"/>
        <v>#N/A</v>
      </c>
      <c r="AF340" s="7" t="e">
        <f t="shared" si="159"/>
        <v>#N/A</v>
      </c>
      <c r="AG340" s="472" t="e">
        <f>VLOOKUP(AI340,'排出係数(2017)'!$A$4:$I$1151,9,FALSE)</f>
        <v>#N/A</v>
      </c>
      <c r="AH340" s="12" t="str">
        <f t="shared" si="160"/>
        <v xml:space="preserve"> </v>
      </c>
      <c r="AI340" s="7" t="e">
        <f t="shared" si="175"/>
        <v>#N/A</v>
      </c>
      <c r="AJ340" s="7" t="e">
        <f t="shared" si="161"/>
        <v>#N/A</v>
      </c>
      <c r="AK340" s="472" t="e">
        <f>VLOOKUP(AI340,'排出係数(2017)'!$A$4:$I$1151,6,FALSE)</f>
        <v>#N/A</v>
      </c>
      <c r="AL340" s="7" t="e">
        <f t="shared" si="162"/>
        <v>#N/A</v>
      </c>
      <c r="AM340" s="7" t="e">
        <f t="shared" si="163"/>
        <v>#N/A</v>
      </c>
      <c r="AN340" s="472" t="e">
        <f>VLOOKUP(AI340,'排出係数(2017)'!$A$4:$I$1151,7,FALSE)</f>
        <v>#N/A</v>
      </c>
      <c r="AO340" s="7" t="e">
        <f t="shared" si="164"/>
        <v>#N/A</v>
      </c>
      <c r="AP340" s="7" t="e">
        <f t="shared" si="165"/>
        <v>#N/A</v>
      </c>
      <c r="AQ340" s="7" t="e">
        <f t="shared" si="176"/>
        <v>#N/A</v>
      </c>
      <c r="AR340" s="7">
        <f t="shared" si="166"/>
        <v>0</v>
      </c>
      <c r="AS340" s="7" t="e">
        <f t="shared" si="177"/>
        <v>#N/A</v>
      </c>
      <c r="AT340" s="7" t="str">
        <f t="shared" si="167"/>
        <v/>
      </c>
      <c r="AU340" s="7" t="str">
        <f t="shared" si="168"/>
        <v/>
      </c>
      <c r="AV340" s="7" t="str">
        <f t="shared" si="169"/>
        <v/>
      </c>
      <c r="AW340" s="7" t="str">
        <f t="shared" si="170"/>
        <v/>
      </c>
      <c r="AX340" s="97"/>
      <c r="BD340" s="453" t="s">
        <v>391</v>
      </c>
      <c r="CG340"/>
      <c r="CH340"/>
      <c r="CK340" s="592" t="str">
        <f t="shared" si="178"/>
        <v/>
      </c>
      <c r="CL340" s="421" t="str">
        <f t="shared" si="179"/>
        <v/>
      </c>
      <c r="CM340" s="594"/>
      <c r="CN340" s="594"/>
      <c r="CO340" s="594"/>
      <c r="CP340" s="594"/>
      <c r="CQ340" s="594"/>
      <c r="CR340" s="594"/>
    </row>
    <row r="341" spans="1:96" s="13" customFormat="1" ht="13.75" customHeight="1">
      <c r="A341" s="137">
        <v>326</v>
      </c>
      <c r="B341" s="138"/>
      <c r="C341" s="139"/>
      <c r="D341" s="140"/>
      <c r="E341" s="139"/>
      <c r="F341" s="139"/>
      <c r="G341" s="191"/>
      <c r="H341" s="139"/>
      <c r="I341" s="141"/>
      <c r="J341" s="142"/>
      <c r="K341" s="139"/>
      <c r="L341" s="147"/>
      <c r="M341" s="148"/>
      <c r="N341" s="139"/>
      <c r="O341" s="589"/>
      <c r="P341" s="229" t="str">
        <f t="shared" si="171"/>
        <v/>
      </c>
      <c r="Q341" s="229" t="str">
        <f t="shared" si="172"/>
        <v/>
      </c>
      <c r="R341" s="230" t="str">
        <f t="shared" si="173"/>
        <v/>
      </c>
      <c r="S341" s="230" t="str">
        <f t="shared" si="174"/>
        <v/>
      </c>
      <c r="T341" s="351"/>
      <c r="U341" s="43"/>
      <c r="V341" s="42" t="str">
        <f t="shared" si="150"/>
        <v/>
      </c>
      <c r="W341" s="42" t="e">
        <f>IF(#REF!="","",#REF!)</f>
        <v>#REF!</v>
      </c>
      <c r="X341" s="31" t="str">
        <f t="shared" si="151"/>
        <v/>
      </c>
      <c r="Y341" s="7" t="e">
        <f t="shared" si="152"/>
        <v>#N/A</v>
      </c>
      <c r="Z341" s="7" t="e">
        <f t="shared" si="153"/>
        <v>#N/A</v>
      </c>
      <c r="AA341" s="7" t="e">
        <f t="shared" si="154"/>
        <v>#N/A</v>
      </c>
      <c r="AB341" s="7" t="str">
        <f t="shared" si="155"/>
        <v/>
      </c>
      <c r="AC341" s="11">
        <f t="shared" si="156"/>
        <v>1</v>
      </c>
      <c r="AD341" s="7" t="e">
        <f t="shared" si="157"/>
        <v>#N/A</v>
      </c>
      <c r="AE341" s="7" t="e">
        <f t="shared" si="158"/>
        <v>#N/A</v>
      </c>
      <c r="AF341" s="7" t="e">
        <f t="shared" si="159"/>
        <v>#N/A</v>
      </c>
      <c r="AG341" s="472" t="e">
        <f>VLOOKUP(AI341,'排出係数(2017)'!$A$4:$I$1151,9,FALSE)</f>
        <v>#N/A</v>
      </c>
      <c r="AH341" s="12" t="str">
        <f t="shared" si="160"/>
        <v xml:space="preserve"> </v>
      </c>
      <c r="AI341" s="7" t="e">
        <f t="shared" si="175"/>
        <v>#N/A</v>
      </c>
      <c r="AJ341" s="7" t="e">
        <f t="shared" si="161"/>
        <v>#N/A</v>
      </c>
      <c r="AK341" s="472" t="e">
        <f>VLOOKUP(AI341,'排出係数(2017)'!$A$4:$I$1151,6,FALSE)</f>
        <v>#N/A</v>
      </c>
      <c r="AL341" s="7" t="e">
        <f t="shared" si="162"/>
        <v>#N/A</v>
      </c>
      <c r="AM341" s="7" t="e">
        <f t="shared" si="163"/>
        <v>#N/A</v>
      </c>
      <c r="AN341" s="472" t="e">
        <f>VLOOKUP(AI341,'排出係数(2017)'!$A$4:$I$1151,7,FALSE)</f>
        <v>#N/A</v>
      </c>
      <c r="AO341" s="7" t="e">
        <f t="shared" si="164"/>
        <v>#N/A</v>
      </c>
      <c r="AP341" s="7" t="e">
        <f t="shared" si="165"/>
        <v>#N/A</v>
      </c>
      <c r="AQ341" s="7" t="e">
        <f t="shared" si="176"/>
        <v>#N/A</v>
      </c>
      <c r="AR341" s="7">
        <f t="shared" si="166"/>
        <v>0</v>
      </c>
      <c r="AS341" s="7" t="e">
        <f t="shared" si="177"/>
        <v>#N/A</v>
      </c>
      <c r="AT341" s="7" t="str">
        <f t="shared" si="167"/>
        <v/>
      </c>
      <c r="AU341" s="7" t="str">
        <f t="shared" si="168"/>
        <v/>
      </c>
      <c r="AV341" s="7" t="str">
        <f t="shared" si="169"/>
        <v/>
      </c>
      <c r="AW341" s="7" t="str">
        <f t="shared" si="170"/>
        <v/>
      </c>
      <c r="AX341" s="97"/>
      <c r="BD341" s="453" t="s">
        <v>393</v>
      </c>
      <c r="CG341"/>
      <c r="CH341"/>
      <c r="CK341" s="592" t="str">
        <f t="shared" si="178"/>
        <v/>
      </c>
      <c r="CL341" s="421" t="str">
        <f t="shared" si="179"/>
        <v/>
      </c>
      <c r="CM341" s="594"/>
      <c r="CN341" s="594"/>
      <c r="CO341" s="594"/>
      <c r="CP341" s="594"/>
      <c r="CQ341" s="594"/>
      <c r="CR341" s="594"/>
    </row>
    <row r="342" spans="1:96" s="13" customFormat="1" ht="13.75" customHeight="1">
      <c r="A342" s="137">
        <v>327</v>
      </c>
      <c r="B342" s="138"/>
      <c r="C342" s="139"/>
      <c r="D342" s="140"/>
      <c r="E342" s="139"/>
      <c r="F342" s="139"/>
      <c r="G342" s="191"/>
      <c r="H342" s="139"/>
      <c r="I342" s="141"/>
      <c r="J342" s="142"/>
      <c r="K342" s="139"/>
      <c r="L342" s="147"/>
      <c r="M342" s="148"/>
      <c r="N342" s="139"/>
      <c r="O342" s="589"/>
      <c r="P342" s="229" t="str">
        <f t="shared" si="171"/>
        <v/>
      </c>
      <c r="Q342" s="229" t="str">
        <f t="shared" si="172"/>
        <v/>
      </c>
      <c r="R342" s="230" t="str">
        <f t="shared" si="173"/>
        <v/>
      </c>
      <c r="S342" s="230" t="str">
        <f t="shared" si="174"/>
        <v/>
      </c>
      <c r="T342" s="351"/>
      <c r="U342" s="43"/>
      <c r="V342" s="42" t="str">
        <f t="shared" si="150"/>
        <v/>
      </c>
      <c r="W342" s="42" t="e">
        <f>IF(#REF!="","",#REF!)</f>
        <v>#REF!</v>
      </c>
      <c r="X342" s="31" t="str">
        <f t="shared" si="151"/>
        <v/>
      </c>
      <c r="Y342" s="7" t="e">
        <f t="shared" si="152"/>
        <v>#N/A</v>
      </c>
      <c r="Z342" s="7" t="e">
        <f t="shared" si="153"/>
        <v>#N/A</v>
      </c>
      <c r="AA342" s="7" t="e">
        <f t="shared" si="154"/>
        <v>#N/A</v>
      </c>
      <c r="AB342" s="7" t="str">
        <f t="shared" si="155"/>
        <v/>
      </c>
      <c r="AC342" s="11">
        <f t="shared" si="156"/>
        <v>1</v>
      </c>
      <c r="AD342" s="7" t="e">
        <f t="shared" si="157"/>
        <v>#N/A</v>
      </c>
      <c r="AE342" s="7" t="e">
        <f t="shared" si="158"/>
        <v>#N/A</v>
      </c>
      <c r="AF342" s="7" t="e">
        <f t="shared" si="159"/>
        <v>#N/A</v>
      </c>
      <c r="AG342" s="472" t="e">
        <f>VLOOKUP(AI342,'排出係数(2017)'!$A$4:$I$1151,9,FALSE)</f>
        <v>#N/A</v>
      </c>
      <c r="AH342" s="12" t="str">
        <f t="shared" si="160"/>
        <v xml:space="preserve"> </v>
      </c>
      <c r="AI342" s="7" t="e">
        <f t="shared" si="175"/>
        <v>#N/A</v>
      </c>
      <c r="AJ342" s="7" t="e">
        <f t="shared" si="161"/>
        <v>#N/A</v>
      </c>
      <c r="AK342" s="472" t="e">
        <f>VLOOKUP(AI342,'排出係数(2017)'!$A$4:$I$1151,6,FALSE)</f>
        <v>#N/A</v>
      </c>
      <c r="AL342" s="7" t="e">
        <f t="shared" si="162"/>
        <v>#N/A</v>
      </c>
      <c r="AM342" s="7" t="e">
        <f t="shared" si="163"/>
        <v>#N/A</v>
      </c>
      <c r="AN342" s="472" t="e">
        <f>VLOOKUP(AI342,'排出係数(2017)'!$A$4:$I$1151,7,FALSE)</f>
        <v>#N/A</v>
      </c>
      <c r="AO342" s="7" t="e">
        <f t="shared" si="164"/>
        <v>#N/A</v>
      </c>
      <c r="AP342" s="7" t="e">
        <f t="shared" si="165"/>
        <v>#N/A</v>
      </c>
      <c r="AQ342" s="7" t="e">
        <f t="shared" si="176"/>
        <v>#N/A</v>
      </c>
      <c r="AR342" s="7">
        <f t="shared" si="166"/>
        <v>0</v>
      </c>
      <c r="AS342" s="7" t="e">
        <f t="shared" si="177"/>
        <v>#N/A</v>
      </c>
      <c r="AT342" s="7" t="str">
        <f t="shared" si="167"/>
        <v/>
      </c>
      <c r="AU342" s="7" t="str">
        <f t="shared" si="168"/>
        <v/>
      </c>
      <c r="AV342" s="7" t="str">
        <f t="shared" si="169"/>
        <v/>
      </c>
      <c r="AW342" s="7" t="str">
        <f t="shared" si="170"/>
        <v/>
      </c>
      <c r="AX342" s="97"/>
      <c r="BD342" s="473" t="s">
        <v>1031</v>
      </c>
      <c r="CG342"/>
      <c r="CH342"/>
      <c r="CK342" s="592" t="str">
        <f t="shared" si="178"/>
        <v/>
      </c>
      <c r="CL342" s="421" t="str">
        <f t="shared" si="179"/>
        <v/>
      </c>
      <c r="CM342" s="594"/>
      <c r="CN342" s="594"/>
      <c r="CO342" s="594"/>
      <c r="CP342" s="594"/>
      <c r="CQ342" s="594"/>
      <c r="CR342" s="594"/>
    </row>
    <row r="343" spans="1:96" s="13" customFormat="1" ht="13.75" customHeight="1">
      <c r="A343" s="137">
        <v>328</v>
      </c>
      <c r="B343" s="138"/>
      <c r="C343" s="139"/>
      <c r="D343" s="140"/>
      <c r="E343" s="139"/>
      <c r="F343" s="139"/>
      <c r="G343" s="191"/>
      <c r="H343" s="139"/>
      <c r="I343" s="141"/>
      <c r="J343" s="142"/>
      <c r="K343" s="139"/>
      <c r="L343" s="147"/>
      <c r="M343" s="148"/>
      <c r="N343" s="139"/>
      <c r="O343" s="589"/>
      <c r="P343" s="229" t="str">
        <f t="shared" si="171"/>
        <v/>
      </c>
      <c r="Q343" s="229" t="str">
        <f t="shared" si="172"/>
        <v/>
      </c>
      <c r="R343" s="230" t="str">
        <f t="shared" si="173"/>
        <v/>
      </c>
      <c r="S343" s="230" t="str">
        <f t="shared" si="174"/>
        <v/>
      </c>
      <c r="T343" s="351"/>
      <c r="U343" s="43"/>
      <c r="V343" s="42" t="str">
        <f t="shared" si="150"/>
        <v/>
      </c>
      <c r="W343" s="42" t="e">
        <f>IF(#REF!="","",#REF!)</f>
        <v>#REF!</v>
      </c>
      <c r="X343" s="31" t="str">
        <f t="shared" si="151"/>
        <v/>
      </c>
      <c r="Y343" s="7" t="e">
        <f t="shared" si="152"/>
        <v>#N/A</v>
      </c>
      <c r="Z343" s="7" t="e">
        <f t="shared" si="153"/>
        <v>#N/A</v>
      </c>
      <c r="AA343" s="7" t="e">
        <f t="shared" si="154"/>
        <v>#N/A</v>
      </c>
      <c r="AB343" s="7" t="str">
        <f t="shared" si="155"/>
        <v/>
      </c>
      <c r="AC343" s="11">
        <f t="shared" si="156"/>
        <v>1</v>
      </c>
      <c r="AD343" s="7" t="e">
        <f t="shared" si="157"/>
        <v>#N/A</v>
      </c>
      <c r="AE343" s="7" t="e">
        <f t="shared" si="158"/>
        <v>#N/A</v>
      </c>
      <c r="AF343" s="7" t="e">
        <f t="shared" si="159"/>
        <v>#N/A</v>
      </c>
      <c r="AG343" s="472" t="e">
        <f>VLOOKUP(AI343,'排出係数(2017)'!$A$4:$I$1151,9,FALSE)</f>
        <v>#N/A</v>
      </c>
      <c r="AH343" s="12" t="str">
        <f t="shared" si="160"/>
        <v xml:space="preserve"> </v>
      </c>
      <c r="AI343" s="7" t="e">
        <f t="shared" si="175"/>
        <v>#N/A</v>
      </c>
      <c r="AJ343" s="7" t="e">
        <f t="shared" si="161"/>
        <v>#N/A</v>
      </c>
      <c r="AK343" s="472" t="e">
        <f>VLOOKUP(AI343,'排出係数(2017)'!$A$4:$I$1151,6,FALSE)</f>
        <v>#N/A</v>
      </c>
      <c r="AL343" s="7" t="e">
        <f t="shared" si="162"/>
        <v>#N/A</v>
      </c>
      <c r="AM343" s="7" t="e">
        <f t="shared" si="163"/>
        <v>#N/A</v>
      </c>
      <c r="AN343" s="472" t="e">
        <f>VLOOKUP(AI343,'排出係数(2017)'!$A$4:$I$1151,7,FALSE)</f>
        <v>#N/A</v>
      </c>
      <c r="AO343" s="7" t="e">
        <f t="shared" si="164"/>
        <v>#N/A</v>
      </c>
      <c r="AP343" s="7" t="e">
        <f t="shared" si="165"/>
        <v>#N/A</v>
      </c>
      <c r="AQ343" s="7" t="e">
        <f t="shared" si="176"/>
        <v>#N/A</v>
      </c>
      <c r="AR343" s="7">
        <f t="shared" si="166"/>
        <v>0</v>
      </c>
      <c r="AS343" s="7" t="e">
        <f t="shared" si="177"/>
        <v>#N/A</v>
      </c>
      <c r="AT343" s="7" t="str">
        <f t="shared" si="167"/>
        <v/>
      </c>
      <c r="AU343" s="7" t="str">
        <f t="shared" si="168"/>
        <v/>
      </c>
      <c r="AV343" s="7" t="str">
        <f t="shared" si="169"/>
        <v/>
      </c>
      <c r="AW343" s="7" t="str">
        <f t="shared" si="170"/>
        <v/>
      </c>
      <c r="AX343" s="97"/>
      <c r="BD343" s="453" t="s">
        <v>1035</v>
      </c>
      <c r="CG343"/>
      <c r="CH343"/>
      <c r="CK343" s="592" t="str">
        <f t="shared" si="178"/>
        <v/>
      </c>
      <c r="CL343" s="421" t="str">
        <f t="shared" si="179"/>
        <v/>
      </c>
      <c r="CM343" s="594"/>
      <c r="CN343" s="594"/>
      <c r="CO343" s="594"/>
      <c r="CP343" s="594"/>
      <c r="CQ343" s="594"/>
      <c r="CR343" s="594"/>
    </row>
    <row r="344" spans="1:96" s="13" customFormat="1" ht="13.75" customHeight="1">
      <c r="A344" s="137">
        <v>329</v>
      </c>
      <c r="B344" s="138"/>
      <c r="C344" s="139"/>
      <c r="D344" s="140"/>
      <c r="E344" s="139"/>
      <c r="F344" s="139"/>
      <c r="G344" s="191"/>
      <c r="H344" s="139"/>
      <c r="I344" s="141"/>
      <c r="J344" s="142"/>
      <c r="K344" s="139"/>
      <c r="L344" s="147"/>
      <c r="M344" s="148"/>
      <c r="N344" s="139"/>
      <c r="O344" s="589"/>
      <c r="P344" s="229" t="str">
        <f t="shared" si="171"/>
        <v/>
      </c>
      <c r="Q344" s="229" t="str">
        <f t="shared" si="172"/>
        <v/>
      </c>
      <c r="R344" s="230" t="str">
        <f t="shared" si="173"/>
        <v/>
      </c>
      <c r="S344" s="230" t="str">
        <f t="shared" si="174"/>
        <v/>
      </c>
      <c r="T344" s="351"/>
      <c r="U344" s="43"/>
      <c r="V344" s="42" t="str">
        <f t="shared" si="150"/>
        <v/>
      </c>
      <c r="W344" s="42" t="e">
        <f>IF(#REF!="","",#REF!)</f>
        <v>#REF!</v>
      </c>
      <c r="X344" s="31" t="str">
        <f t="shared" si="151"/>
        <v/>
      </c>
      <c r="Y344" s="7" t="e">
        <f t="shared" si="152"/>
        <v>#N/A</v>
      </c>
      <c r="Z344" s="7" t="e">
        <f t="shared" si="153"/>
        <v>#N/A</v>
      </c>
      <c r="AA344" s="7" t="e">
        <f t="shared" si="154"/>
        <v>#N/A</v>
      </c>
      <c r="AB344" s="7" t="str">
        <f t="shared" si="155"/>
        <v/>
      </c>
      <c r="AC344" s="11">
        <f t="shared" si="156"/>
        <v>1</v>
      </c>
      <c r="AD344" s="7" t="e">
        <f t="shared" si="157"/>
        <v>#N/A</v>
      </c>
      <c r="AE344" s="7" t="e">
        <f t="shared" si="158"/>
        <v>#N/A</v>
      </c>
      <c r="AF344" s="7" t="e">
        <f t="shared" si="159"/>
        <v>#N/A</v>
      </c>
      <c r="AG344" s="472" t="e">
        <f>VLOOKUP(AI344,'排出係数(2017)'!$A$4:$I$1151,9,FALSE)</f>
        <v>#N/A</v>
      </c>
      <c r="AH344" s="12" t="str">
        <f t="shared" si="160"/>
        <v xml:space="preserve"> </v>
      </c>
      <c r="AI344" s="7" t="e">
        <f t="shared" si="175"/>
        <v>#N/A</v>
      </c>
      <c r="AJ344" s="7" t="e">
        <f t="shared" si="161"/>
        <v>#N/A</v>
      </c>
      <c r="AK344" s="472" t="e">
        <f>VLOOKUP(AI344,'排出係数(2017)'!$A$4:$I$1151,6,FALSE)</f>
        <v>#N/A</v>
      </c>
      <c r="AL344" s="7" t="e">
        <f t="shared" si="162"/>
        <v>#N/A</v>
      </c>
      <c r="AM344" s="7" t="e">
        <f t="shared" si="163"/>
        <v>#N/A</v>
      </c>
      <c r="AN344" s="472" t="e">
        <f>VLOOKUP(AI344,'排出係数(2017)'!$A$4:$I$1151,7,FALSE)</f>
        <v>#N/A</v>
      </c>
      <c r="AO344" s="7" t="e">
        <f t="shared" si="164"/>
        <v>#N/A</v>
      </c>
      <c r="AP344" s="7" t="e">
        <f t="shared" si="165"/>
        <v>#N/A</v>
      </c>
      <c r="AQ344" s="7" t="e">
        <f t="shared" si="176"/>
        <v>#N/A</v>
      </c>
      <c r="AR344" s="7">
        <f t="shared" si="166"/>
        <v>0</v>
      </c>
      <c r="AS344" s="7" t="e">
        <f t="shared" si="177"/>
        <v>#N/A</v>
      </c>
      <c r="AT344" s="7" t="str">
        <f t="shared" si="167"/>
        <v/>
      </c>
      <c r="AU344" s="7" t="str">
        <f t="shared" si="168"/>
        <v/>
      </c>
      <c r="AV344" s="7" t="str">
        <f t="shared" si="169"/>
        <v/>
      </c>
      <c r="AW344" s="7" t="str">
        <f t="shared" si="170"/>
        <v/>
      </c>
      <c r="AX344" s="97"/>
      <c r="BD344" s="453" t="s">
        <v>1231</v>
      </c>
      <c r="CG344"/>
      <c r="CH344"/>
      <c r="CK344" s="592" t="str">
        <f t="shared" si="178"/>
        <v/>
      </c>
      <c r="CL344" s="421" t="str">
        <f t="shared" si="179"/>
        <v/>
      </c>
      <c r="CM344" s="594"/>
      <c r="CN344" s="594"/>
      <c r="CO344" s="594"/>
      <c r="CP344" s="594"/>
      <c r="CQ344" s="594"/>
      <c r="CR344" s="594"/>
    </row>
    <row r="345" spans="1:96" s="13" customFormat="1" ht="13.75" customHeight="1">
      <c r="A345" s="137">
        <v>330</v>
      </c>
      <c r="B345" s="138"/>
      <c r="C345" s="139"/>
      <c r="D345" s="140"/>
      <c r="E345" s="139"/>
      <c r="F345" s="139"/>
      <c r="G345" s="191"/>
      <c r="H345" s="139"/>
      <c r="I345" s="141"/>
      <c r="J345" s="142"/>
      <c r="K345" s="139"/>
      <c r="L345" s="147"/>
      <c r="M345" s="148"/>
      <c r="N345" s="139"/>
      <c r="O345" s="589"/>
      <c r="P345" s="229" t="str">
        <f t="shared" si="171"/>
        <v/>
      </c>
      <c r="Q345" s="229" t="str">
        <f t="shared" si="172"/>
        <v/>
      </c>
      <c r="R345" s="230" t="str">
        <f t="shared" si="173"/>
        <v/>
      </c>
      <c r="S345" s="230" t="str">
        <f t="shared" si="174"/>
        <v/>
      </c>
      <c r="T345" s="351"/>
      <c r="U345" s="43"/>
      <c r="V345" s="42" t="str">
        <f t="shared" si="150"/>
        <v/>
      </c>
      <c r="W345" s="42" t="e">
        <f>IF(#REF!="","",#REF!)</f>
        <v>#REF!</v>
      </c>
      <c r="X345" s="31" t="str">
        <f t="shared" si="151"/>
        <v/>
      </c>
      <c r="Y345" s="7" t="e">
        <f t="shared" si="152"/>
        <v>#N/A</v>
      </c>
      <c r="Z345" s="7" t="e">
        <f t="shared" si="153"/>
        <v>#N/A</v>
      </c>
      <c r="AA345" s="7" t="e">
        <f t="shared" si="154"/>
        <v>#N/A</v>
      </c>
      <c r="AB345" s="7" t="str">
        <f t="shared" si="155"/>
        <v/>
      </c>
      <c r="AC345" s="11">
        <f t="shared" si="156"/>
        <v>1</v>
      </c>
      <c r="AD345" s="7" t="e">
        <f t="shared" si="157"/>
        <v>#N/A</v>
      </c>
      <c r="AE345" s="7" t="e">
        <f t="shared" si="158"/>
        <v>#N/A</v>
      </c>
      <c r="AF345" s="7" t="e">
        <f t="shared" si="159"/>
        <v>#N/A</v>
      </c>
      <c r="AG345" s="472" t="e">
        <f>VLOOKUP(AI345,'排出係数(2017)'!$A$4:$I$1151,9,FALSE)</f>
        <v>#N/A</v>
      </c>
      <c r="AH345" s="12" t="str">
        <f t="shared" si="160"/>
        <v xml:space="preserve"> </v>
      </c>
      <c r="AI345" s="7" t="e">
        <f t="shared" si="175"/>
        <v>#N/A</v>
      </c>
      <c r="AJ345" s="7" t="e">
        <f t="shared" si="161"/>
        <v>#N/A</v>
      </c>
      <c r="AK345" s="472" t="e">
        <f>VLOOKUP(AI345,'排出係数(2017)'!$A$4:$I$1151,6,FALSE)</f>
        <v>#N/A</v>
      </c>
      <c r="AL345" s="7" t="e">
        <f t="shared" si="162"/>
        <v>#N/A</v>
      </c>
      <c r="AM345" s="7" t="e">
        <f t="shared" si="163"/>
        <v>#N/A</v>
      </c>
      <c r="AN345" s="472" t="e">
        <f>VLOOKUP(AI345,'排出係数(2017)'!$A$4:$I$1151,7,FALSE)</f>
        <v>#N/A</v>
      </c>
      <c r="AO345" s="7" t="e">
        <f t="shared" si="164"/>
        <v>#N/A</v>
      </c>
      <c r="AP345" s="7" t="e">
        <f t="shared" si="165"/>
        <v>#N/A</v>
      </c>
      <c r="AQ345" s="7" t="e">
        <f t="shared" si="176"/>
        <v>#N/A</v>
      </c>
      <c r="AR345" s="7">
        <f t="shared" si="166"/>
        <v>0</v>
      </c>
      <c r="AS345" s="7" t="e">
        <f t="shared" si="177"/>
        <v>#N/A</v>
      </c>
      <c r="AT345" s="7" t="str">
        <f t="shared" si="167"/>
        <v/>
      </c>
      <c r="AU345" s="7" t="str">
        <f t="shared" si="168"/>
        <v/>
      </c>
      <c r="AV345" s="7" t="str">
        <f t="shared" si="169"/>
        <v/>
      </c>
      <c r="AW345" s="7" t="str">
        <f t="shared" si="170"/>
        <v/>
      </c>
      <c r="AX345" s="97"/>
      <c r="BD345" s="453" t="s">
        <v>1233</v>
      </c>
      <c r="CG345"/>
      <c r="CH345"/>
      <c r="CK345" s="592" t="str">
        <f t="shared" si="178"/>
        <v/>
      </c>
      <c r="CL345" s="421" t="str">
        <f t="shared" si="179"/>
        <v/>
      </c>
      <c r="CM345" s="594"/>
      <c r="CN345" s="594"/>
      <c r="CO345" s="594"/>
      <c r="CP345" s="594"/>
      <c r="CQ345" s="594"/>
      <c r="CR345" s="594"/>
    </row>
    <row r="346" spans="1:96" s="13" customFormat="1" ht="13.75" customHeight="1">
      <c r="A346" s="137">
        <v>331</v>
      </c>
      <c r="B346" s="138"/>
      <c r="C346" s="139"/>
      <c r="D346" s="140"/>
      <c r="E346" s="139"/>
      <c r="F346" s="139"/>
      <c r="G346" s="191"/>
      <c r="H346" s="139"/>
      <c r="I346" s="141"/>
      <c r="J346" s="142"/>
      <c r="K346" s="139"/>
      <c r="L346" s="147"/>
      <c r="M346" s="148"/>
      <c r="N346" s="139"/>
      <c r="O346" s="589"/>
      <c r="P346" s="229" t="str">
        <f t="shared" si="171"/>
        <v/>
      </c>
      <c r="Q346" s="229" t="str">
        <f t="shared" si="172"/>
        <v/>
      </c>
      <c r="R346" s="230" t="str">
        <f t="shared" si="173"/>
        <v/>
      </c>
      <c r="S346" s="230" t="str">
        <f t="shared" si="174"/>
        <v/>
      </c>
      <c r="T346" s="351"/>
      <c r="U346" s="43"/>
      <c r="V346" s="42" t="str">
        <f t="shared" si="150"/>
        <v/>
      </c>
      <c r="W346" s="42" t="e">
        <f>IF(#REF!="","",#REF!)</f>
        <v>#REF!</v>
      </c>
      <c r="X346" s="31" t="str">
        <f t="shared" si="151"/>
        <v/>
      </c>
      <c r="Y346" s="7" t="e">
        <f t="shared" si="152"/>
        <v>#N/A</v>
      </c>
      <c r="Z346" s="7" t="e">
        <f t="shared" si="153"/>
        <v>#N/A</v>
      </c>
      <c r="AA346" s="7" t="e">
        <f t="shared" si="154"/>
        <v>#N/A</v>
      </c>
      <c r="AB346" s="7" t="str">
        <f t="shared" si="155"/>
        <v/>
      </c>
      <c r="AC346" s="11">
        <f t="shared" si="156"/>
        <v>1</v>
      </c>
      <c r="AD346" s="7" t="e">
        <f t="shared" si="157"/>
        <v>#N/A</v>
      </c>
      <c r="AE346" s="7" t="e">
        <f t="shared" si="158"/>
        <v>#N/A</v>
      </c>
      <c r="AF346" s="7" t="e">
        <f t="shared" si="159"/>
        <v>#N/A</v>
      </c>
      <c r="AG346" s="472" t="e">
        <f>VLOOKUP(AI346,'排出係数(2017)'!$A$4:$I$1151,9,FALSE)</f>
        <v>#N/A</v>
      </c>
      <c r="AH346" s="12" t="str">
        <f t="shared" si="160"/>
        <v xml:space="preserve"> </v>
      </c>
      <c r="AI346" s="7" t="e">
        <f t="shared" si="175"/>
        <v>#N/A</v>
      </c>
      <c r="AJ346" s="7" t="e">
        <f t="shared" si="161"/>
        <v>#N/A</v>
      </c>
      <c r="AK346" s="472" t="e">
        <f>VLOOKUP(AI346,'排出係数(2017)'!$A$4:$I$1151,6,FALSE)</f>
        <v>#N/A</v>
      </c>
      <c r="AL346" s="7" t="e">
        <f t="shared" si="162"/>
        <v>#N/A</v>
      </c>
      <c r="AM346" s="7" t="e">
        <f t="shared" si="163"/>
        <v>#N/A</v>
      </c>
      <c r="AN346" s="472" t="e">
        <f>VLOOKUP(AI346,'排出係数(2017)'!$A$4:$I$1151,7,FALSE)</f>
        <v>#N/A</v>
      </c>
      <c r="AO346" s="7" t="e">
        <f t="shared" si="164"/>
        <v>#N/A</v>
      </c>
      <c r="AP346" s="7" t="e">
        <f t="shared" si="165"/>
        <v>#N/A</v>
      </c>
      <c r="AQ346" s="7" t="e">
        <f t="shared" si="176"/>
        <v>#N/A</v>
      </c>
      <c r="AR346" s="7">
        <f t="shared" si="166"/>
        <v>0</v>
      </c>
      <c r="AS346" s="7" t="e">
        <f t="shared" si="177"/>
        <v>#N/A</v>
      </c>
      <c r="AT346" s="7" t="str">
        <f t="shared" si="167"/>
        <v/>
      </c>
      <c r="AU346" s="7" t="str">
        <f t="shared" si="168"/>
        <v/>
      </c>
      <c r="AV346" s="7" t="str">
        <f t="shared" si="169"/>
        <v/>
      </c>
      <c r="AW346" s="7" t="str">
        <f t="shared" si="170"/>
        <v/>
      </c>
      <c r="AX346" s="97"/>
      <c r="BD346" s="473" t="s">
        <v>1033</v>
      </c>
      <c r="CG346"/>
      <c r="CH346"/>
      <c r="CK346" s="592" t="str">
        <f t="shared" si="178"/>
        <v/>
      </c>
      <c r="CL346" s="421" t="str">
        <f t="shared" si="179"/>
        <v/>
      </c>
      <c r="CM346" s="594"/>
      <c r="CN346" s="594"/>
      <c r="CO346" s="594"/>
      <c r="CP346" s="594"/>
      <c r="CQ346" s="594"/>
      <c r="CR346" s="594"/>
    </row>
    <row r="347" spans="1:96" s="13" customFormat="1" ht="13.75" customHeight="1">
      <c r="A347" s="137">
        <v>332</v>
      </c>
      <c r="B347" s="138"/>
      <c r="C347" s="139"/>
      <c r="D347" s="140"/>
      <c r="E347" s="139"/>
      <c r="F347" s="139"/>
      <c r="G347" s="191"/>
      <c r="H347" s="139"/>
      <c r="I347" s="141"/>
      <c r="J347" s="142"/>
      <c r="K347" s="139"/>
      <c r="L347" s="147"/>
      <c r="M347" s="148"/>
      <c r="N347" s="139"/>
      <c r="O347" s="589"/>
      <c r="P347" s="229" t="str">
        <f t="shared" si="171"/>
        <v/>
      </c>
      <c r="Q347" s="229" t="str">
        <f t="shared" si="172"/>
        <v/>
      </c>
      <c r="R347" s="230" t="str">
        <f t="shared" si="173"/>
        <v/>
      </c>
      <c r="S347" s="230" t="str">
        <f t="shared" si="174"/>
        <v/>
      </c>
      <c r="T347" s="351"/>
      <c r="U347" s="43"/>
      <c r="V347" s="42" t="str">
        <f t="shared" si="150"/>
        <v/>
      </c>
      <c r="W347" s="42" t="e">
        <f>IF(#REF!="","",#REF!)</f>
        <v>#REF!</v>
      </c>
      <c r="X347" s="31" t="str">
        <f t="shared" si="151"/>
        <v/>
      </c>
      <c r="Y347" s="7" t="e">
        <f t="shared" si="152"/>
        <v>#N/A</v>
      </c>
      <c r="Z347" s="7" t="e">
        <f t="shared" si="153"/>
        <v>#N/A</v>
      </c>
      <c r="AA347" s="7" t="e">
        <f t="shared" si="154"/>
        <v>#N/A</v>
      </c>
      <c r="AB347" s="7" t="str">
        <f t="shared" si="155"/>
        <v/>
      </c>
      <c r="AC347" s="11">
        <f t="shared" si="156"/>
        <v>1</v>
      </c>
      <c r="AD347" s="7" t="e">
        <f t="shared" si="157"/>
        <v>#N/A</v>
      </c>
      <c r="AE347" s="7" t="e">
        <f t="shared" si="158"/>
        <v>#N/A</v>
      </c>
      <c r="AF347" s="7" t="e">
        <f t="shared" si="159"/>
        <v>#N/A</v>
      </c>
      <c r="AG347" s="472" t="e">
        <f>VLOOKUP(AI347,'排出係数(2017)'!$A$4:$I$1151,9,FALSE)</f>
        <v>#N/A</v>
      </c>
      <c r="AH347" s="12" t="str">
        <f t="shared" si="160"/>
        <v xml:space="preserve"> </v>
      </c>
      <c r="AI347" s="7" t="e">
        <f t="shared" si="175"/>
        <v>#N/A</v>
      </c>
      <c r="AJ347" s="7" t="e">
        <f t="shared" si="161"/>
        <v>#N/A</v>
      </c>
      <c r="AK347" s="472" t="e">
        <f>VLOOKUP(AI347,'排出係数(2017)'!$A$4:$I$1151,6,FALSE)</f>
        <v>#N/A</v>
      </c>
      <c r="AL347" s="7" t="e">
        <f t="shared" si="162"/>
        <v>#N/A</v>
      </c>
      <c r="AM347" s="7" t="e">
        <f t="shared" si="163"/>
        <v>#N/A</v>
      </c>
      <c r="AN347" s="472" t="e">
        <f>VLOOKUP(AI347,'排出係数(2017)'!$A$4:$I$1151,7,FALSE)</f>
        <v>#N/A</v>
      </c>
      <c r="AO347" s="7" t="e">
        <f t="shared" si="164"/>
        <v>#N/A</v>
      </c>
      <c r="AP347" s="7" t="e">
        <f t="shared" si="165"/>
        <v>#N/A</v>
      </c>
      <c r="AQ347" s="7" t="e">
        <f t="shared" si="176"/>
        <v>#N/A</v>
      </c>
      <c r="AR347" s="7">
        <f t="shared" si="166"/>
        <v>0</v>
      </c>
      <c r="AS347" s="7" t="e">
        <f t="shared" si="177"/>
        <v>#N/A</v>
      </c>
      <c r="AT347" s="7" t="str">
        <f t="shared" si="167"/>
        <v/>
      </c>
      <c r="AU347" s="7" t="str">
        <f t="shared" si="168"/>
        <v/>
      </c>
      <c r="AV347" s="7" t="str">
        <f t="shared" si="169"/>
        <v/>
      </c>
      <c r="AW347" s="7" t="str">
        <f t="shared" si="170"/>
        <v/>
      </c>
      <c r="AX347" s="97"/>
      <c r="BD347" s="453" t="s">
        <v>1037</v>
      </c>
      <c r="CG347"/>
      <c r="CH347"/>
      <c r="CK347" s="592" t="str">
        <f t="shared" si="178"/>
        <v/>
      </c>
      <c r="CL347" s="421" t="str">
        <f t="shared" si="179"/>
        <v/>
      </c>
      <c r="CM347" s="594"/>
      <c r="CN347" s="594"/>
      <c r="CO347" s="594"/>
      <c r="CP347" s="594"/>
      <c r="CQ347" s="594"/>
      <c r="CR347" s="594"/>
    </row>
    <row r="348" spans="1:96" s="13" customFormat="1" ht="13.75" customHeight="1">
      <c r="A348" s="137">
        <v>333</v>
      </c>
      <c r="B348" s="138"/>
      <c r="C348" s="139"/>
      <c r="D348" s="140"/>
      <c r="E348" s="139"/>
      <c r="F348" s="139"/>
      <c r="G348" s="191"/>
      <c r="H348" s="139"/>
      <c r="I348" s="141"/>
      <c r="J348" s="142"/>
      <c r="K348" s="139"/>
      <c r="L348" s="147"/>
      <c r="M348" s="148"/>
      <c r="N348" s="139"/>
      <c r="O348" s="589"/>
      <c r="P348" s="229" t="str">
        <f t="shared" si="171"/>
        <v/>
      </c>
      <c r="Q348" s="229" t="str">
        <f t="shared" si="172"/>
        <v/>
      </c>
      <c r="R348" s="230" t="str">
        <f t="shared" si="173"/>
        <v/>
      </c>
      <c r="S348" s="230" t="str">
        <f t="shared" si="174"/>
        <v/>
      </c>
      <c r="T348" s="351"/>
      <c r="U348" s="43"/>
      <c r="V348" s="42" t="str">
        <f t="shared" si="150"/>
        <v/>
      </c>
      <c r="W348" s="42" t="e">
        <f>IF(#REF!="","",#REF!)</f>
        <v>#REF!</v>
      </c>
      <c r="X348" s="31" t="str">
        <f t="shared" si="151"/>
        <v/>
      </c>
      <c r="Y348" s="7" t="e">
        <f t="shared" si="152"/>
        <v>#N/A</v>
      </c>
      <c r="Z348" s="7" t="e">
        <f t="shared" si="153"/>
        <v>#N/A</v>
      </c>
      <c r="AA348" s="7" t="e">
        <f t="shared" si="154"/>
        <v>#N/A</v>
      </c>
      <c r="AB348" s="7" t="str">
        <f t="shared" si="155"/>
        <v/>
      </c>
      <c r="AC348" s="11">
        <f t="shared" si="156"/>
        <v>1</v>
      </c>
      <c r="AD348" s="7" t="e">
        <f t="shared" si="157"/>
        <v>#N/A</v>
      </c>
      <c r="AE348" s="7" t="e">
        <f t="shared" si="158"/>
        <v>#N/A</v>
      </c>
      <c r="AF348" s="7" t="e">
        <f t="shared" si="159"/>
        <v>#N/A</v>
      </c>
      <c r="AG348" s="472" t="e">
        <f>VLOOKUP(AI348,'排出係数(2017)'!$A$4:$I$1151,9,FALSE)</f>
        <v>#N/A</v>
      </c>
      <c r="AH348" s="12" t="str">
        <f t="shared" si="160"/>
        <v xml:space="preserve"> </v>
      </c>
      <c r="AI348" s="7" t="e">
        <f t="shared" si="175"/>
        <v>#N/A</v>
      </c>
      <c r="AJ348" s="7" t="e">
        <f t="shared" si="161"/>
        <v>#N/A</v>
      </c>
      <c r="AK348" s="472" t="e">
        <f>VLOOKUP(AI348,'排出係数(2017)'!$A$4:$I$1151,6,FALSE)</f>
        <v>#N/A</v>
      </c>
      <c r="AL348" s="7" t="e">
        <f t="shared" si="162"/>
        <v>#N/A</v>
      </c>
      <c r="AM348" s="7" t="e">
        <f t="shared" si="163"/>
        <v>#N/A</v>
      </c>
      <c r="AN348" s="472" t="e">
        <f>VLOOKUP(AI348,'排出係数(2017)'!$A$4:$I$1151,7,FALSE)</f>
        <v>#N/A</v>
      </c>
      <c r="AO348" s="7" t="e">
        <f t="shared" si="164"/>
        <v>#N/A</v>
      </c>
      <c r="AP348" s="7" t="e">
        <f t="shared" si="165"/>
        <v>#N/A</v>
      </c>
      <c r="AQ348" s="7" t="e">
        <f t="shared" si="176"/>
        <v>#N/A</v>
      </c>
      <c r="AR348" s="7">
        <f t="shared" si="166"/>
        <v>0</v>
      </c>
      <c r="AS348" s="7" t="e">
        <f t="shared" si="177"/>
        <v>#N/A</v>
      </c>
      <c r="AT348" s="7" t="str">
        <f t="shared" si="167"/>
        <v/>
      </c>
      <c r="AU348" s="7" t="str">
        <f t="shared" si="168"/>
        <v/>
      </c>
      <c r="AV348" s="7" t="str">
        <f t="shared" si="169"/>
        <v/>
      </c>
      <c r="AW348" s="7" t="str">
        <f t="shared" si="170"/>
        <v/>
      </c>
      <c r="AX348" s="97"/>
      <c r="BD348" s="453" t="s">
        <v>2537</v>
      </c>
      <c r="CG348"/>
      <c r="CH348"/>
      <c r="CK348" s="592" t="str">
        <f t="shared" si="178"/>
        <v/>
      </c>
      <c r="CL348" s="421" t="str">
        <f t="shared" si="179"/>
        <v/>
      </c>
      <c r="CM348" s="594"/>
      <c r="CN348" s="594"/>
      <c r="CO348" s="594"/>
      <c r="CP348" s="594"/>
      <c r="CQ348" s="594"/>
      <c r="CR348" s="594"/>
    </row>
    <row r="349" spans="1:96" s="13" customFormat="1" ht="13.75" customHeight="1">
      <c r="A349" s="137">
        <v>334</v>
      </c>
      <c r="B349" s="138"/>
      <c r="C349" s="139"/>
      <c r="D349" s="140"/>
      <c r="E349" s="139"/>
      <c r="F349" s="139"/>
      <c r="G349" s="191"/>
      <c r="H349" s="139"/>
      <c r="I349" s="141"/>
      <c r="J349" s="142"/>
      <c r="K349" s="139"/>
      <c r="L349" s="147"/>
      <c r="M349" s="148"/>
      <c r="N349" s="139"/>
      <c r="O349" s="589"/>
      <c r="P349" s="229" t="str">
        <f t="shared" si="171"/>
        <v/>
      </c>
      <c r="Q349" s="229" t="str">
        <f t="shared" si="172"/>
        <v/>
      </c>
      <c r="R349" s="230" t="str">
        <f t="shared" si="173"/>
        <v/>
      </c>
      <c r="S349" s="230" t="str">
        <f t="shared" si="174"/>
        <v/>
      </c>
      <c r="T349" s="351"/>
      <c r="U349" s="43"/>
      <c r="V349" s="42" t="str">
        <f t="shared" si="150"/>
        <v/>
      </c>
      <c r="W349" s="42" t="e">
        <f>IF(#REF!="","",#REF!)</f>
        <v>#REF!</v>
      </c>
      <c r="X349" s="31" t="str">
        <f t="shared" si="151"/>
        <v/>
      </c>
      <c r="Y349" s="7" t="e">
        <f t="shared" si="152"/>
        <v>#N/A</v>
      </c>
      <c r="Z349" s="7" t="e">
        <f t="shared" si="153"/>
        <v>#N/A</v>
      </c>
      <c r="AA349" s="7" t="e">
        <f t="shared" si="154"/>
        <v>#N/A</v>
      </c>
      <c r="AB349" s="7" t="str">
        <f t="shared" si="155"/>
        <v/>
      </c>
      <c r="AC349" s="11">
        <f t="shared" si="156"/>
        <v>1</v>
      </c>
      <c r="AD349" s="7" t="e">
        <f t="shared" si="157"/>
        <v>#N/A</v>
      </c>
      <c r="AE349" s="7" t="e">
        <f t="shared" si="158"/>
        <v>#N/A</v>
      </c>
      <c r="AF349" s="7" t="e">
        <f t="shared" si="159"/>
        <v>#N/A</v>
      </c>
      <c r="AG349" s="472" t="e">
        <f>VLOOKUP(AI349,'排出係数(2017)'!$A$4:$I$1151,9,FALSE)</f>
        <v>#N/A</v>
      </c>
      <c r="AH349" s="12" t="str">
        <f t="shared" si="160"/>
        <v xml:space="preserve"> </v>
      </c>
      <c r="AI349" s="7" t="e">
        <f t="shared" si="175"/>
        <v>#N/A</v>
      </c>
      <c r="AJ349" s="7" t="e">
        <f t="shared" si="161"/>
        <v>#N/A</v>
      </c>
      <c r="AK349" s="472" t="e">
        <f>VLOOKUP(AI349,'排出係数(2017)'!$A$4:$I$1151,6,FALSE)</f>
        <v>#N/A</v>
      </c>
      <c r="AL349" s="7" t="e">
        <f t="shared" si="162"/>
        <v>#N/A</v>
      </c>
      <c r="AM349" s="7" t="e">
        <f t="shared" si="163"/>
        <v>#N/A</v>
      </c>
      <c r="AN349" s="472" t="e">
        <f>VLOOKUP(AI349,'排出係数(2017)'!$A$4:$I$1151,7,FALSE)</f>
        <v>#N/A</v>
      </c>
      <c r="AO349" s="7" t="e">
        <f t="shared" si="164"/>
        <v>#N/A</v>
      </c>
      <c r="AP349" s="7" t="e">
        <f t="shared" si="165"/>
        <v>#N/A</v>
      </c>
      <c r="AQ349" s="7" t="e">
        <f t="shared" si="176"/>
        <v>#N/A</v>
      </c>
      <c r="AR349" s="7">
        <f t="shared" si="166"/>
        <v>0</v>
      </c>
      <c r="AS349" s="7" t="e">
        <f t="shared" si="177"/>
        <v>#N/A</v>
      </c>
      <c r="AT349" s="7" t="str">
        <f t="shared" si="167"/>
        <v/>
      </c>
      <c r="AU349" s="7" t="str">
        <f t="shared" si="168"/>
        <v/>
      </c>
      <c r="AV349" s="7" t="str">
        <f t="shared" si="169"/>
        <v/>
      </c>
      <c r="AW349" s="7" t="str">
        <f t="shared" si="170"/>
        <v/>
      </c>
      <c r="AX349" s="97"/>
      <c r="BD349" s="453" t="s">
        <v>2538</v>
      </c>
      <c r="CG349"/>
      <c r="CH349"/>
      <c r="CK349" s="592" t="str">
        <f t="shared" si="178"/>
        <v/>
      </c>
      <c r="CL349" s="421" t="str">
        <f t="shared" si="179"/>
        <v/>
      </c>
      <c r="CM349" s="594"/>
      <c r="CN349" s="594"/>
      <c r="CO349" s="594"/>
      <c r="CP349" s="594"/>
      <c r="CQ349" s="594"/>
      <c r="CR349" s="594"/>
    </row>
    <row r="350" spans="1:96" s="13" customFormat="1" ht="13.75" customHeight="1">
      <c r="A350" s="137">
        <v>335</v>
      </c>
      <c r="B350" s="138"/>
      <c r="C350" s="139"/>
      <c r="D350" s="140"/>
      <c r="E350" s="139"/>
      <c r="F350" s="139"/>
      <c r="G350" s="191"/>
      <c r="H350" s="139"/>
      <c r="I350" s="141"/>
      <c r="J350" s="142"/>
      <c r="K350" s="139"/>
      <c r="L350" s="147"/>
      <c r="M350" s="148"/>
      <c r="N350" s="139"/>
      <c r="O350" s="589"/>
      <c r="P350" s="229" t="str">
        <f t="shared" si="171"/>
        <v/>
      </c>
      <c r="Q350" s="229" t="str">
        <f t="shared" si="172"/>
        <v/>
      </c>
      <c r="R350" s="230" t="str">
        <f t="shared" si="173"/>
        <v/>
      </c>
      <c r="S350" s="230" t="str">
        <f t="shared" si="174"/>
        <v/>
      </c>
      <c r="T350" s="351"/>
      <c r="U350" s="43"/>
      <c r="V350" s="42" t="str">
        <f t="shared" si="150"/>
        <v/>
      </c>
      <c r="W350" s="42" t="e">
        <f>IF(#REF!="","",#REF!)</f>
        <v>#REF!</v>
      </c>
      <c r="X350" s="31" t="str">
        <f t="shared" si="151"/>
        <v/>
      </c>
      <c r="Y350" s="7" t="e">
        <f t="shared" si="152"/>
        <v>#N/A</v>
      </c>
      <c r="Z350" s="7" t="e">
        <f t="shared" si="153"/>
        <v>#N/A</v>
      </c>
      <c r="AA350" s="7" t="e">
        <f t="shared" si="154"/>
        <v>#N/A</v>
      </c>
      <c r="AB350" s="7" t="str">
        <f t="shared" si="155"/>
        <v/>
      </c>
      <c r="AC350" s="11">
        <f t="shared" si="156"/>
        <v>1</v>
      </c>
      <c r="AD350" s="7" t="e">
        <f t="shared" si="157"/>
        <v>#N/A</v>
      </c>
      <c r="AE350" s="7" t="e">
        <f t="shared" si="158"/>
        <v>#N/A</v>
      </c>
      <c r="AF350" s="7" t="e">
        <f t="shared" si="159"/>
        <v>#N/A</v>
      </c>
      <c r="AG350" s="472" t="e">
        <f>VLOOKUP(AI350,'排出係数(2017)'!$A$4:$I$1151,9,FALSE)</f>
        <v>#N/A</v>
      </c>
      <c r="AH350" s="12" t="str">
        <f t="shared" si="160"/>
        <v xml:space="preserve"> </v>
      </c>
      <c r="AI350" s="7" t="e">
        <f t="shared" si="175"/>
        <v>#N/A</v>
      </c>
      <c r="AJ350" s="7" t="e">
        <f t="shared" si="161"/>
        <v>#N/A</v>
      </c>
      <c r="AK350" s="472" t="e">
        <f>VLOOKUP(AI350,'排出係数(2017)'!$A$4:$I$1151,6,FALSE)</f>
        <v>#N/A</v>
      </c>
      <c r="AL350" s="7" t="e">
        <f t="shared" si="162"/>
        <v>#N/A</v>
      </c>
      <c r="AM350" s="7" t="e">
        <f t="shared" si="163"/>
        <v>#N/A</v>
      </c>
      <c r="AN350" s="472" t="e">
        <f>VLOOKUP(AI350,'排出係数(2017)'!$A$4:$I$1151,7,FALSE)</f>
        <v>#N/A</v>
      </c>
      <c r="AO350" s="7" t="e">
        <f t="shared" si="164"/>
        <v>#N/A</v>
      </c>
      <c r="AP350" s="7" t="e">
        <f t="shared" si="165"/>
        <v>#N/A</v>
      </c>
      <c r="AQ350" s="7" t="e">
        <f t="shared" si="176"/>
        <v>#N/A</v>
      </c>
      <c r="AR350" s="7">
        <f t="shared" si="166"/>
        <v>0</v>
      </c>
      <c r="AS350" s="7" t="e">
        <f t="shared" si="177"/>
        <v>#N/A</v>
      </c>
      <c r="AT350" s="7" t="str">
        <f t="shared" si="167"/>
        <v/>
      </c>
      <c r="AU350" s="7" t="str">
        <f t="shared" si="168"/>
        <v/>
      </c>
      <c r="AV350" s="7" t="str">
        <f t="shared" si="169"/>
        <v/>
      </c>
      <c r="AW350" s="7" t="str">
        <f t="shared" si="170"/>
        <v/>
      </c>
      <c r="AX350" s="97"/>
      <c r="BD350" s="453" t="s">
        <v>137</v>
      </c>
      <c r="CG350"/>
      <c r="CH350"/>
      <c r="CK350" s="592" t="str">
        <f t="shared" si="178"/>
        <v/>
      </c>
      <c r="CL350" s="421" t="str">
        <f t="shared" si="179"/>
        <v/>
      </c>
      <c r="CM350" s="594"/>
      <c r="CN350" s="594"/>
      <c r="CO350" s="594"/>
      <c r="CP350" s="594"/>
      <c r="CQ350" s="594"/>
      <c r="CR350" s="594"/>
    </row>
    <row r="351" spans="1:96" s="13" customFormat="1" ht="13.75" customHeight="1">
      <c r="A351" s="137">
        <v>336</v>
      </c>
      <c r="B351" s="138"/>
      <c r="C351" s="139"/>
      <c r="D351" s="140"/>
      <c r="E351" s="139"/>
      <c r="F351" s="139"/>
      <c r="G351" s="191"/>
      <c r="H351" s="139"/>
      <c r="I351" s="141"/>
      <c r="J351" s="142"/>
      <c r="K351" s="139"/>
      <c r="L351" s="147"/>
      <c r="M351" s="148"/>
      <c r="N351" s="139"/>
      <c r="O351" s="589"/>
      <c r="P351" s="229" t="str">
        <f t="shared" si="171"/>
        <v/>
      </c>
      <c r="Q351" s="229" t="str">
        <f t="shared" si="172"/>
        <v/>
      </c>
      <c r="R351" s="230" t="str">
        <f t="shared" si="173"/>
        <v/>
      </c>
      <c r="S351" s="230" t="str">
        <f t="shared" si="174"/>
        <v/>
      </c>
      <c r="T351" s="351"/>
      <c r="U351" s="43"/>
      <c r="V351" s="42" t="str">
        <f t="shared" si="150"/>
        <v/>
      </c>
      <c r="W351" s="42" t="e">
        <f>IF(#REF!="","",#REF!)</f>
        <v>#REF!</v>
      </c>
      <c r="X351" s="31" t="str">
        <f t="shared" si="151"/>
        <v/>
      </c>
      <c r="Y351" s="7" t="e">
        <f t="shared" si="152"/>
        <v>#N/A</v>
      </c>
      <c r="Z351" s="7" t="e">
        <f t="shared" si="153"/>
        <v>#N/A</v>
      </c>
      <c r="AA351" s="7" t="e">
        <f t="shared" si="154"/>
        <v>#N/A</v>
      </c>
      <c r="AB351" s="7" t="str">
        <f t="shared" si="155"/>
        <v/>
      </c>
      <c r="AC351" s="11">
        <f t="shared" si="156"/>
        <v>1</v>
      </c>
      <c r="AD351" s="7" t="e">
        <f t="shared" si="157"/>
        <v>#N/A</v>
      </c>
      <c r="AE351" s="7" t="e">
        <f t="shared" si="158"/>
        <v>#N/A</v>
      </c>
      <c r="AF351" s="7" t="e">
        <f t="shared" si="159"/>
        <v>#N/A</v>
      </c>
      <c r="AG351" s="472" t="e">
        <f>VLOOKUP(AI351,'排出係数(2017)'!$A$4:$I$1151,9,FALSE)</f>
        <v>#N/A</v>
      </c>
      <c r="AH351" s="12" t="str">
        <f t="shared" si="160"/>
        <v xml:space="preserve"> </v>
      </c>
      <c r="AI351" s="7" t="e">
        <f t="shared" si="175"/>
        <v>#N/A</v>
      </c>
      <c r="AJ351" s="7" t="e">
        <f t="shared" si="161"/>
        <v>#N/A</v>
      </c>
      <c r="AK351" s="472" t="e">
        <f>VLOOKUP(AI351,'排出係数(2017)'!$A$4:$I$1151,6,FALSE)</f>
        <v>#N/A</v>
      </c>
      <c r="AL351" s="7" t="e">
        <f t="shared" si="162"/>
        <v>#N/A</v>
      </c>
      <c r="AM351" s="7" t="e">
        <f t="shared" si="163"/>
        <v>#N/A</v>
      </c>
      <c r="AN351" s="472" t="e">
        <f>VLOOKUP(AI351,'排出係数(2017)'!$A$4:$I$1151,7,FALSE)</f>
        <v>#N/A</v>
      </c>
      <c r="AO351" s="7" t="e">
        <f t="shared" si="164"/>
        <v>#N/A</v>
      </c>
      <c r="AP351" s="7" t="e">
        <f t="shared" si="165"/>
        <v>#N/A</v>
      </c>
      <c r="AQ351" s="7" t="e">
        <f t="shared" si="176"/>
        <v>#N/A</v>
      </c>
      <c r="AR351" s="7">
        <f t="shared" si="166"/>
        <v>0</v>
      </c>
      <c r="AS351" s="7" t="e">
        <f t="shared" si="177"/>
        <v>#N/A</v>
      </c>
      <c r="AT351" s="7" t="str">
        <f t="shared" si="167"/>
        <v/>
      </c>
      <c r="AU351" s="7" t="str">
        <f t="shared" si="168"/>
        <v/>
      </c>
      <c r="AV351" s="7" t="str">
        <f t="shared" si="169"/>
        <v/>
      </c>
      <c r="AW351" s="7" t="str">
        <f t="shared" si="170"/>
        <v/>
      </c>
      <c r="AX351" s="97"/>
      <c r="BD351" s="467" t="s">
        <v>138</v>
      </c>
      <c r="CG351"/>
      <c r="CH351"/>
      <c r="CK351" s="592" t="str">
        <f t="shared" si="178"/>
        <v/>
      </c>
      <c r="CL351" s="421" t="str">
        <f t="shared" si="179"/>
        <v/>
      </c>
      <c r="CM351" s="594"/>
      <c r="CN351" s="594"/>
      <c r="CO351" s="594"/>
      <c r="CP351" s="594"/>
      <c r="CQ351" s="594"/>
      <c r="CR351" s="594"/>
    </row>
    <row r="352" spans="1:96" s="13" customFormat="1" ht="13.75" customHeight="1">
      <c r="A352" s="137">
        <v>337</v>
      </c>
      <c r="B352" s="138"/>
      <c r="C352" s="139"/>
      <c r="D352" s="140"/>
      <c r="E352" s="139"/>
      <c r="F352" s="139"/>
      <c r="G352" s="191"/>
      <c r="H352" s="139"/>
      <c r="I352" s="141"/>
      <c r="J352" s="142"/>
      <c r="K352" s="139"/>
      <c r="L352" s="147"/>
      <c r="M352" s="148"/>
      <c r="N352" s="139"/>
      <c r="O352" s="589"/>
      <c r="P352" s="229" t="str">
        <f t="shared" si="171"/>
        <v/>
      </c>
      <c r="Q352" s="229" t="str">
        <f t="shared" si="172"/>
        <v/>
      </c>
      <c r="R352" s="230" t="str">
        <f t="shared" si="173"/>
        <v/>
      </c>
      <c r="S352" s="230" t="str">
        <f t="shared" si="174"/>
        <v/>
      </c>
      <c r="T352" s="351"/>
      <c r="U352" s="43"/>
      <c r="V352" s="42" t="str">
        <f t="shared" si="150"/>
        <v/>
      </c>
      <c r="W352" s="42" t="e">
        <f>IF(#REF!="","",#REF!)</f>
        <v>#REF!</v>
      </c>
      <c r="X352" s="31" t="str">
        <f t="shared" si="151"/>
        <v/>
      </c>
      <c r="Y352" s="7" t="e">
        <f t="shared" si="152"/>
        <v>#N/A</v>
      </c>
      <c r="Z352" s="7" t="e">
        <f t="shared" si="153"/>
        <v>#N/A</v>
      </c>
      <c r="AA352" s="7" t="e">
        <f t="shared" si="154"/>
        <v>#N/A</v>
      </c>
      <c r="AB352" s="7" t="str">
        <f t="shared" si="155"/>
        <v/>
      </c>
      <c r="AC352" s="11">
        <f t="shared" si="156"/>
        <v>1</v>
      </c>
      <c r="AD352" s="7" t="e">
        <f t="shared" si="157"/>
        <v>#N/A</v>
      </c>
      <c r="AE352" s="7" t="e">
        <f t="shared" si="158"/>
        <v>#N/A</v>
      </c>
      <c r="AF352" s="7" t="e">
        <f t="shared" si="159"/>
        <v>#N/A</v>
      </c>
      <c r="AG352" s="472" t="e">
        <f>VLOOKUP(AI352,'排出係数(2017)'!$A$4:$I$1151,9,FALSE)</f>
        <v>#N/A</v>
      </c>
      <c r="AH352" s="12" t="str">
        <f t="shared" si="160"/>
        <v xml:space="preserve"> </v>
      </c>
      <c r="AI352" s="7" t="e">
        <f t="shared" si="175"/>
        <v>#N/A</v>
      </c>
      <c r="AJ352" s="7" t="e">
        <f t="shared" si="161"/>
        <v>#N/A</v>
      </c>
      <c r="AK352" s="472" t="e">
        <f>VLOOKUP(AI352,'排出係数(2017)'!$A$4:$I$1151,6,FALSE)</f>
        <v>#N/A</v>
      </c>
      <c r="AL352" s="7" t="e">
        <f t="shared" si="162"/>
        <v>#N/A</v>
      </c>
      <c r="AM352" s="7" t="e">
        <f t="shared" si="163"/>
        <v>#N/A</v>
      </c>
      <c r="AN352" s="472" t="e">
        <f>VLOOKUP(AI352,'排出係数(2017)'!$A$4:$I$1151,7,FALSE)</f>
        <v>#N/A</v>
      </c>
      <c r="AO352" s="7" t="e">
        <f t="shared" si="164"/>
        <v>#N/A</v>
      </c>
      <c r="AP352" s="7" t="e">
        <f t="shared" si="165"/>
        <v>#N/A</v>
      </c>
      <c r="AQ352" s="7" t="e">
        <f t="shared" si="176"/>
        <v>#N/A</v>
      </c>
      <c r="AR352" s="7">
        <f t="shared" si="166"/>
        <v>0</v>
      </c>
      <c r="AS352" s="7" t="e">
        <f t="shared" si="177"/>
        <v>#N/A</v>
      </c>
      <c r="AT352" s="7" t="str">
        <f t="shared" si="167"/>
        <v/>
      </c>
      <c r="AU352" s="7" t="str">
        <f t="shared" si="168"/>
        <v/>
      </c>
      <c r="AV352" s="7" t="str">
        <f t="shared" si="169"/>
        <v/>
      </c>
      <c r="AW352" s="7" t="str">
        <f t="shared" si="170"/>
        <v/>
      </c>
      <c r="AX352" s="97"/>
      <c r="BD352" s="473" t="s">
        <v>139</v>
      </c>
      <c r="CG352"/>
      <c r="CH352"/>
      <c r="CK352" s="592" t="str">
        <f t="shared" si="178"/>
        <v/>
      </c>
      <c r="CL352" s="421" t="str">
        <f t="shared" si="179"/>
        <v/>
      </c>
      <c r="CM352" s="594"/>
      <c r="CN352" s="594"/>
      <c r="CO352" s="594"/>
      <c r="CP352" s="594"/>
      <c r="CQ352" s="594"/>
      <c r="CR352" s="594"/>
    </row>
    <row r="353" spans="1:96" s="13" customFormat="1" ht="13.75" customHeight="1">
      <c r="A353" s="137">
        <v>338</v>
      </c>
      <c r="B353" s="138"/>
      <c r="C353" s="139"/>
      <c r="D353" s="140"/>
      <c r="E353" s="139"/>
      <c r="F353" s="139"/>
      <c r="G353" s="191"/>
      <c r="H353" s="139"/>
      <c r="I353" s="141"/>
      <c r="J353" s="142"/>
      <c r="K353" s="139"/>
      <c r="L353" s="147"/>
      <c r="M353" s="148"/>
      <c r="N353" s="139"/>
      <c r="O353" s="589"/>
      <c r="P353" s="229" t="str">
        <f t="shared" si="171"/>
        <v/>
      </c>
      <c r="Q353" s="229" t="str">
        <f t="shared" si="172"/>
        <v/>
      </c>
      <c r="R353" s="230" t="str">
        <f t="shared" si="173"/>
        <v/>
      </c>
      <c r="S353" s="230" t="str">
        <f t="shared" si="174"/>
        <v/>
      </c>
      <c r="T353" s="351"/>
      <c r="U353" s="43"/>
      <c r="V353" s="42" t="str">
        <f t="shared" si="150"/>
        <v/>
      </c>
      <c r="W353" s="42" t="e">
        <f>IF(#REF!="","",#REF!)</f>
        <v>#REF!</v>
      </c>
      <c r="X353" s="31" t="str">
        <f t="shared" si="151"/>
        <v/>
      </c>
      <c r="Y353" s="7" t="e">
        <f t="shared" si="152"/>
        <v>#N/A</v>
      </c>
      <c r="Z353" s="7" t="e">
        <f t="shared" si="153"/>
        <v>#N/A</v>
      </c>
      <c r="AA353" s="7" t="e">
        <f t="shared" si="154"/>
        <v>#N/A</v>
      </c>
      <c r="AB353" s="7" t="str">
        <f t="shared" si="155"/>
        <v/>
      </c>
      <c r="AC353" s="11">
        <f t="shared" si="156"/>
        <v>1</v>
      </c>
      <c r="AD353" s="7" t="e">
        <f t="shared" si="157"/>
        <v>#N/A</v>
      </c>
      <c r="AE353" s="7" t="e">
        <f t="shared" si="158"/>
        <v>#N/A</v>
      </c>
      <c r="AF353" s="7" t="e">
        <f t="shared" si="159"/>
        <v>#N/A</v>
      </c>
      <c r="AG353" s="472" t="e">
        <f>VLOOKUP(AI353,'排出係数(2017)'!$A$4:$I$1151,9,FALSE)</f>
        <v>#N/A</v>
      </c>
      <c r="AH353" s="12" t="str">
        <f t="shared" si="160"/>
        <v xml:space="preserve"> </v>
      </c>
      <c r="AI353" s="7" t="e">
        <f t="shared" si="175"/>
        <v>#N/A</v>
      </c>
      <c r="AJ353" s="7" t="e">
        <f t="shared" si="161"/>
        <v>#N/A</v>
      </c>
      <c r="AK353" s="472" t="e">
        <f>VLOOKUP(AI353,'排出係数(2017)'!$A$4:$I$1151,6,FALSE)</f>
        <v>#N/A</v>
      </c>
      <c r="AL353" s="7" t="e">
        <f t="shared" si="162"/>
        <v>#N/A</v>
      </c>
      <c r="AM353" s="7" t="e">
        <f t="shared" si="163"/>
        <v>#N/A</v>
      </c>
      <c r="AN353" s="472" t="e">
        <f>VLOOKUP(AI353,'排出係数(2017)'!$A$4:$I$1151,7,FALSE)</f>
        <v>#N/A</v>
      </c>
      <c r="AO353" s="7" t="e">
        <f t="shared" si="164"/>
        <v>#N/A</v>
      </c>
      <c r="AP353" s="7" t="e">
        <f t="shared" si="165"/>
        <v>#N/A</v>
      </c>
      <c r="AQ353" s="7" t="e">
        <f t="shared" si="176"/>
        <v>#N/A</v>
      </c>
      <c r="AR353" s="7">
        <f t="shared" si="166"/>
        <v>0</v>
      </c>
      <c r="AS353" s="7" t="e">
        <f t="shared" si="177"/>
        <v>#N/A</v>
      </c>
      <c r="AT353" s="7" t="str">
        <f t="shared" si="167"/>
        <v/>
      </c>
      <c r="AU353" s="7" t="str">
        <f t="shared" si="168"/>
        <v/>
      </c>
      <c r="AV353" s="7" t="str">
        <f t="shared" si="169"/>
        <v/>
      </c>
      <c r="AW353" s="7" t="str">
        <f t="shared" si="170"/>
        <v/>
      </c>
      <c r="AX353" s="97"/>
      <c r="BD353" s="473" t="s">
        <v>140</v>
      </c>
      <c r="CG353"/>
      <c r="CH353"/>
      <c r="CK353" s="592" t="str">
        <f t="shared" si="178"/>
        <v/>
      </c>
      <c r="CL353" s="421" t="str">
        <f t="shared" si="179"/>
        <v/>
      </c>
      <c r="CM353" s="594"/>
      <c r="CN353" s="594"/>
      <c r="CO353" s="594"/>
      <c r="CP353" s="594"/>
      <c r="CQ353" s="594"/>
      <c r="CR353" s="594"/>
    </row>
    <row r="354" spans="1:96" s="13" customFormat="1" ht="13.75" customHeight="1">
      <c r="A354" s="137">
        <v>339</v>
      </c>
      <c r="B354" s="138"/>
      <c r="C354" s="139"/>
      <c r="D354" s="140"/>
      <c r="E354" s="139"/>
      <c r="F354" s="139"/>
      <c r="G354" s="191"/>
      <c r="H354" s="139"/>
      <c r="I354" s="141"/>
      <c r="J354" s="142"/>
      <c r="K354" s="139"/>
      <c r="L354" s="147"/>
      <c r="M354" s="148"/>
      <c r="N354" s="139"/>
      <c r="O354" s="589"/>
      <c r="P354" s="229" t="str">
        <f t="shared" si="171"/>
        <v/>
      </c>
      <c r="Q354" s="229" t="str">
        <f t="shared" si="172"/>
        <v/>
      </c>
      <c r="R354" s="230" t="str">
        <f t="shared" si="173"/>
        <v/>
      </c>
      <c r="S354" s="230" t="str">
        <f t="shared" si="174"/>
        <v/>
      </c>
      <c r="T354" s="351"/>
      <c r="U354" s="43"/>
      <c r="V354" s="42" t="str">
        <f t="shared" si="150"/>
        <v/>
      </c>
      <c r="W354" s="42" t="e">
        <f>IF(#REF!="","",#REF!)</f>
        <v>#REF!</v>
      </c>
      <c r="X354" s="31" t="str">
        <f t="shared" si="151"/>
        <v/>
      </c>
      <c r="Y354" s="7" t="e">
        <f t="shared" si="152"/>
        <v>#N/A</v>
      </c>
      <c r="Z354" s="7" t="e">
        <f t="shared" si="153"/>
        <v>#N/A</v>
      </c>
      <c r="AA354" s="7" t="e">
        <f t="shared" si="154"/>
        <v>#N/A</v>
      </c>
      <c r="AB354" s="7" t="str">
        <f t="shared" si="155"/>
        <v/>
      </c>
      <c r="AC354" s="11">
        <f t="shared" si="156"/>
        <v>1</v>
      </c>
      <c r="AD354" s="7" t="e">
        <f t="shared" si="157"/>
        <v>#N/A</v>
      </c>
      <c r="AE354" s="7" t="e">
        <f t="shared" si="158"/>
        <v>#N/A</v>
      </c>
      <c r="AF354" s="7" t="e">
        <f t="shared" si="159"/>
        <v>#N/A</v>
      </c>
      <c r="AG354" s="472" t="e">
        <f>VLOOKUP(AI354,'排出係数(2017)'!$A$4:$I$1151,9,FALSE)</f>
        <v>#N/A</v>
      </c>
      <c r="AH354" s="12" t="str">
        <f t="shared" si="160"/>
        <v xml:space="preserve"> </v>
      </c>
      <c r="AI354" s="7" t="e">
        <f t="shared" si="175"/>
        <v>#N/A</v>
      </c>
      <c r="AJ354" s="7" t="e">
        <f t="shared" si="161"/>
        <v>#N/A</v>
      </c>
      <c r="AK354" s="472" t="e">
        <f>VLOOKUP(AI354,'排出係数(2017)'!$A$4:$I$1151,6,FALSE)</f>
        <v>#N/A</v>
      </c>
      <c r="AL354" s="7" t="e">
        <f t="shared" si="162"/>
        <v>#N/A</v>
      </c>
      <c r="AM354" s="7" t="e">
        <f t="shared" si="163"/>
        <v>#N/A</v>
      </c>
      <c r="AN354" s="472" t="e">
        <f>VLOOKUP(AI354,'排出係数(2017)'!$A$4:$I$1151,7,FALSE)</f>
        <v>#N/A</v>
      </c>
      <c r="AO354" s="7" t="e">
        <f t="shared" si="164"/>
        <v>#N/A</v>
      </c>
      <c r="AP354" s="7" t="e">
        <f t="shared" si="165"/>
        <v>#N/A</v>
      </c>
      <c r="AQ354" s="7" t="e">
        <f t="shared" si="176"/>
        <v>#N/A</v>
      </c>
      <c r="AR354" s="7">
        <f t="shared" si="166"/>
        <v>0</v>
      </c>
      <c r="AS354" s="7" t="e">
        <f t="shared" si="177"/>
        <v>#N/A</v>
      </c>
      <c r="AT354" s="7" t="str">
        <f t="shared" si="167"/>
        <v/>
      </c>
      <c r="AU354" s="7" t="str">
        <f t="shared" si="168"/>
        <v/>
      </c>
      <c r="AV354" s="7" t="str">
        <f t="shared" si="169"/>
        <v/>
      </c>
      <c r="AW354" s="7" t="str">
        <f t="shared" si="170"/>
        <v/>
      </c>
      <c r="AX354" s="97"/>
      <c r="BD354" s="453" t="s">
        <v>1039</v>
      </c>
      <c r="CG354"/>
      <c r="CH354"/>
      <c r="CK354" s="592" t="str">
        <f t="shared" si="178"/>
        <v/>
      </c>
      <c r="CL354" s="421" t="str">
        <f t="shared" si="179"/>
        <v/>
      </c>
      <c r="CM354" s="594"/>
      <c r="CN354" s="594"/>
      <c r="CO354" s="594"/>
      <c r="CP354" s="594"/>
      <c r="CQ354" s="594"/>
      <c r="CR354" s="594"/>
    </row>
    <row r="355" spans="1:96" s="13" customFormat="1" ht="13.75" customHeight="1">
      <c r="A355" s="137">
        <v>340</v>
      </c>
      <c r="B355" s="138"/>
      <c r="C355" s="139"/>
      <c r="D355" s="140"/>
      <c r="E355" s="139"/>
      <c r="F355" s="139"/>
      <c r="G355" s="191"/>
      <c r="H355" s="139"/>
      <c r="I355" s="141"/>
      <c r="J355" s="142"/>
      <c r="K355" s="139"/>
      <c r="L355" s="147"/>
      <c r="M355" s="148"/>
      <c r="N355" s="139"/>
      <c r="O355" s="589"/>
      <c r="P355" s="229" t="str">
        <f t="shared" si="171"/>
        <v/>
      </c>
      <c r="Q355" s="229" t="str">
        <f t="shared" si="172"/>
        <v/>
      </c>
      <c r="R355" s="230" t="str">
        <f t="shared" si="173"/>
        <v/>
      </c>
      <c r="S355" s="230" t="str">
        <f t="shared" si="174"/>
        <v/>
      </c>
      <c r="T355" s="351"/>
      <c r="U355" s="43"/>
      <c r="V355" s="42" t="str">
        <f t="shared" si="150"/>
        <v/>
      </c>
      <c r="W355" s="42" t="e">
        <f>IF(#REF!="","",#REF!)</f>
        <v>#REF!</v>
      </c>
      <c r="X355" s="31" t="str">
        <f t="shared" si="151"/>
        <v/>
      </c>
      <c r="Y355" s="7" t="e">
        <f t="shared" si="152"/>
        <v>#N/A</v>
      </c>
      <c r="Z355" s="7" t="e">
        <f t="shared" si="153"/>
        <v>#N/A</v>
      </c>
      <c r="AA355" s="7" t="e">
        <f t="shared" si="154"/>
        <v>#N/A</v>
      </c>
      <c r="AB355" s="7" t="str">
        <f t="shared" si="155"/>
        <v/>
      </c>
      <c r="AC355" s="11">
        <f t="shared" si="156"/>
        <v>1</v>
      </c>
      <c r="AD355" s="7" t="e">
        <f t="shared" si="157"/>
        <v>#N/A</v>
      </c>
      <c r="AE355" s="7" t="e">
        <f t="shared" si="158"/>
        <v>#N/A</v>
      </c>
      <c r="AF355" s="7" t="e">
        <f t="shared" si="159"/>
        <v>#N/A</v>
      </c>
      <c r="AG355" s="472" t="e">
        <f>VLOOKUP(AI355,'排出係数(2017)'!$A$4:$I$1151,9,FALSE)</f>
        <v>#N/A</v>
      </c>
      <c r="AH355" s="12" t="str">
        <f t="shared" si="160"/>
        <v xml:space="preserve"> </v>
      </c>
      <c r="AI355" s="7" t="e">
        <f t="shared" si="175"/>
        <v>#N/A</v>
      </c>
      <c r="AJ355" s="7" t="e">
        <f t="shared" si="161"/>
        <v>#N/A</v>
      </c>
      <c r="AK355" s="472" t="e">
        <f>VLOOKUP(AI355,'排出係数(2017)'!$A$4:$I$1151,6,FALSE)</f>
        <v>#N/A</v>
      </c>
      <c r="AL355" s="7" t="e">
        <f t="shared" si="162"/>
        <v>#N/A</v>
      </c>
      <c r="AM355" s="7" t="e">
        <f t="shared" si="163"/>
        <v>#N/A</v>
      </c>
      <c r="AN355" s="472" t="e">
        <f>VLOOKUP(AI355,'排出係数(2017)'!$A$4:$I$1151,7,FALSE)</f>
        <v>#N/A</v>
      </c>
      <c r="AO355" s="7" t="e">
        <f t="shared" si="164"/>
        <v>#N/A</v>
      </c>
      <c r="AP355" s="7" t="e">
        <f t="shared" si="165"/>
        <v>#N/A</v>
      </c>
      <c r="AQ355" s="7" t="e">
        <f t="shared" si="176"/>
        <v>#N/A</v>
      </c>
      <c r="AR355" s="7">
        <f t="shared" si="166"/>
        <v>0</v>
      </c>
      <c r="AS355" s="7" t="e">
        <f t="shared" si="177"/>
        <v>#N/A</v>
      </c>
      <c r="AT355" s="7" t="str">
        <f t="shared" si="167"/>
        <v/>
      </c>
      <c r="AU355" s="7" t="str">
        <f t="shared" si="168"/>
        <v/>
      </c>
      <c r="AV355" s="7" t="str">
        <f t="shared" si="169"/>
        <v/>
      </c>
      <c r="AW355" s="7" t="str">
        <f t="shared" si="170"/>
        <v/>
      </c>
      <c r="AX355" s="97"/>
      <c r="BD355" s="473" t="s">
        <v>141</v>
      </c>
      <c r="CG355"/>
      <c r="CH355"/>
      <c r="CK355" s="592" t="str">
        <f t="shared" si="178"/>
        <v/>
      </c>
      <c r="CL355" s="421" t="str">
        <f t="shared" si="179"/>
        <v/>
      </c>
      <c r="CM355" s="594"/>
      <c r="CN355" s="594"/>
      <c r="CO355" s="594"/>
      <c r="CP355" s="594"/>
      <c r="CQ355" s="594"/>
      <c r="CR355" s="594"/>
    </row>
    <row r="356" spans="1:96" s="13" customFormat="1" ht="13.75" customHeight="1">
      <c r="A356" s="137">
        <v>341</v>
      </c>
      <c r="B356" s="138"/>
      <c r="C356" s="139"/>
      <c r="D356" s="140"/>
      <c r="E356" s="139"/>
      <c r="F356" s="139"/>
      <c r="G356" s="191"/>
      <c r="H356" s="139"/>
      <c r="I356" s="141"/>
      <c r="J356" s="142"/>
      <c r="K356" s="139"/>
      <c r="L356" s="147"/>
      <c r="M356" s="148"/>
      <c r="N356" s="139"/>
      <c r="O356" s="589"/>
      <c r="P356" s="229" t="str">
        <f t="shared" si="171"/>
        <v/>
      </c>
      <c r="Q356" s="229" t="str">
        <f t="shared" si="172"/>
        <v/>
      </c>
      <c r="R356" s="230" t="str">
        <f t="shared" si="173"/>
        <v/>
      </c>
      <c r="S356" s="230" t="str">
        <f t="shared" si="174"/>
        <v/>
      </c>
      <c r="T356" s="351"/>
      <c r="U356" s="43"/>
      <c r="V356" s="42" t="str">
        <f t="shared" si="150"/>
        <v/>
      </c>
      <c r="W356" s="42" t="e">
        <f>IF(#REF!="","",#REF!)</f>
        <v>#REF!</v>
      </c>
      <c r="X356" s="31" t="str">
        <f t="shared" si="151"/>
        <v/>
      </c>
      <c r="Y356" s="7" t="e">
        <f t="shared" si="152"/>
        <v>#N/A</v>
      </c>
      <c r="Z356" s="7" t="e">
        <f t="shared" si="153"/>
        <v>#N/A</v>
      </c>
      <c r="AA356" s="7" t="e">
        <f t="shared" si="154"/>
        <v>#N/A</v>
      </c>
      <c r="AB356" s="7" t="str">
        <f t="shared" si="155"/>
        <v/>
      </c>
      <c r="AC356" s="11">
        <f t="shared" si="156"/>
        <v>1</v>
      </c>
      <c r="AD356" s="7" t="e">
        <f t="shared" si="157"/>
        <v>#N/A</v>
      </c>
      <c r="AE356" s="7" t="e">
        <f t="shared" si="158"/>
        <v>#N/A</v>
      </c>
      <c r="AF356" s="7" t="e">
        <f t="shared" si="159"/>
        <v>#N/A</v>
      </c>
      <c r="AG356" s="472" t="e">
        <f>VLOOKUP(AI356,'排出係数(2017)'!$A$4:$I$1151,9,FALSE)</f>
        <v>#N/A</v>
      </c>
      <c r="AH356" s="12" t="str">
        <f t="shared" si="160"/>
        <v xml:space="preserve"> </v>
      </c>
      <c r="AI356" s="7" t="e">
        <f t="shared" si="175"/>
        <v>#N/A</v>
      </c>
      <c r="AJ356" s="7" t="e">
        <f t="shared" si="161"/>
        <v>#N/A</v>
      </c>
      <c r="AK356" s="472" t="e">
        <f>VLOOKUP(AI356,'排出係数(2017)'!$A$4:$I$1151,6,FALSE)</f>
        <v>#N/A</v>
      </c>
      <c r="AL356" s="7" t="e">
        <f t="shared" si="162"/>
        <v>#N/A</v>
      </c>
      <c r="AM356" s="7" t="e">
        <f t="shared" si="163"/>
        <v>#N/A</v>
      </c>
      <c r="AN356" s="472" t="e">
        <f>VLOOKUP(AI356,'排出係数(2017)'!$A$4:$I$1151,7,FALSE)</f>
        <v>#N/A</v>
      </c>
      <c r="AO356" s="7" t="e">
        <f t="shared" si="164"/>
        <v>#N/A</v>
      </c>
      <c r="AP356" s="7" t="e">
        <f t="shared" si="165"/>
        <v>#N/A</v>
      </c>
      <c r="AQ356" s="7" t="e">
        <f t="shared" si="176"/>
        <v>#N/A</v>
      </c>
      <c r="AR356" s="7">
        <f t="shared" si="166"/>
        <v>0</v>
      </c>
      <c r="AS356" s="7" t="e">
        <f t="shared" si="177"/>
        <v>#N/A</v>
      </c>
      <c r="AT356" s="7" t="str">
        <f t="shared" si="167"/>
        <v/>
      </c>
      <c r="AU356" s="7" t="str">
        <f t="shared" si="168"/>
        <v/>
      </c>
      <c r="AV356" s="7" t="str">
        <f t="shared" si="169"/>
        <v/>
      </c>
      <c r="AW356" s="7" t="str">
        <f t="shared" si="170"/>
        <v/>
      </c>
      <c r="AX356" s="97"/>
      <c r="BD356" s="453" t="s">
        <v>1043</v>
      </c>
      <c r="CG356"/>
      <c r="CH356"/>
      <c r="CK356" s="592" t="str">
        <f t="shared" si="178"/>
        <v/>
      </c>
      <c r="CL356" s="421" t="str">
        <f t="shared" si="179"/>
        <v/>
      </c>
      <c r="CM356" s="594"/>
      <c r="CN356" s="594"/>
      <c r="CO356" s="594"/>
      <c r="CP356" s="594"/>
      <c r="CQ356" s="594"/>
      <c r="CR356" s="594"/>
    </row>
    <row r="357" spans="1:96" s="13" customFormat="1" ht="13.75" customHeight="1">
      <c r="A357" s="137">
        <v>342</v>
      </c>
      <c r="B357" s="138"/>
      <c r="C357" s="139"/>
      <c r="D357" s="140"/>
      <c r="E357" s="139"/>
      <c r="F357" s="139"/>
      <c r="G357" s="191"/>
      <c r="H357" s="139"/>
      <c r="I357" s="141"/>
      <c r="J357" s="142"/>
      <c r="K357" s="139"/>
      <c r="L357" s="147"/>
      <c r="M357" s="148"/>
      <c r="N357" s="139"/>
      <c r="O357" s="589"/>
      <c r="P357" s="229" t="str">
        <f t="shared" si="171"/>
        <v/>
      </c>
      <c r="Q357" s="229" t="str">
        <f t="shared" si="172"/>
        <v/>
      </c>
      <c r="R357" s="230" t="str">
        <f t="shared" si="173"/>
        <v/>
      </c>
      <c r="S357" s="230" t="str">
        <f t="shared" si="174"/>
        <v/>
      </c>
      <c r="T357" s="351"/>
      <c r="U357" s="43"/>
      <c r="V357" s="42" t="str">
        <f t="shared" si="150"/>
        <v/>
      </c>
      <c r="W357" s="42" t="e">
        <f>IF(#REF!="","",#REF!)</f>
        <v>#REF!</v>
      </c>
      <c r="X357" s="31" t="str">
        <f t="shared" si="151"/>
        <v/>
      </c>
      <c r="Y357" s="7" t="e">
        <f t="shared" si="152"/>
        <v>#N/A</v>
      </c>
      <c r="Z357" s="7" t="e">
        <f t="shared" si="153"/>
        <v>#N/A</v>
      </c>
      <c r="AA357" s="7" t="e">
        <f t="shared" si="154"/>
        <v>#N/A</v>
      </c>
      <c r="AB357" s="7" t="str">
        <f t="shared" si="155"/>
        <v/>
      </c>
      <c r="AC357" s="11">
        <f t="shared" si="156"/>
        <v>1</v>
      </c>
      <c r="AD357" s="7" t="e">
        <f t="shared" si="157"/>
        <v>#N/A</v>
      </c>
      <c r="AE357" s="7" t="e">
        <f t="shared" si="158"/>
        <v>#N/A</v>
      </c>
      <c r="AF357" s="7" t="e">
        <f t="shared" si="159"/>
        <v>#N/A</v>
      </c>
      <c r="AG357" s="472" t="e">
        <f>VLOOKUP(AI357,'排出係数(2017)'!$A$4:$I$1151,9,FALSE)</f>
        <v>#N/A</v>
      </c>
      <c r="AH357" s="12" t="str">
        <f t="shared" si="160"/>
        <v xml:space="preserve"> </v>
      </c>
      <c r="AI357" s="7" t="e">
        <f t="shared" si="175"/>
        <v>#N/A</v>
      </c>
      <c r="AJ357" s="7" t="e">
        <f t="shared" si="161"/>
        <v>#N/A</v>
      </c>
      <c r="AK357" s="472" t="e">
        <f>VLOOKUP(AI357,'排出係数(2017)'!$A$4:$I$1151,6,FALSE)</f>
        <v>#N/A</v>
      </c>
      <c r="AL357" s="7" t="e">
        <f t="shared" si="162"/>
        <v>#N/A</v>
      </c>
      <c r="AM357" s="7" t="e">
        <f t="shared" si="163"/>
        <v>#N/A</v>
      </c>
      <c r="AN357" s="472" t="e">
        <f>VLOOKUP(AI357,'排出係数(2017)'!$A$4:$I$1151,7,FALSE)</f>
        <v>#N/A</v>
      </c>
      <c r="AO357" s="7" t="e">
        <f t="shared" si="164"/>
        <v>#N/A</v>
      </c>
      <c r="AP357" s="7" t="e">
        <f t="shared" si="165"/>
        <v>#N/A</v>
      </c>
      <c r="AQ357" s="7" t="e">
        <f t="shared" si="176"/>
        <v>#N/A</v>
      </c>
      <c r="AR357" s="7">
        <f t="shared" si="166"/>
        <v>0</v>
      </c>
      <c r="AS357" s="7" t="e">
        <f t="shared" si="177"/>
        <v>#N/A</v>
      </c>
      <c r="AT357" s="7" t="str">
        <f t="shared" si="167"/>
        <v/>
      </c>
      <c r="AU357" s="7" t="str">
        <f t="shared" si="168"/>
        <v/>
      </c>
      <c r="AV357" s="7" t="str">
        <f t="shared" si="169"/>
        <v/>
      </c>
      <c r="AW357" s="7" t="str">
        <f t="shared" si="170"/>
        <v/>
      </c>
      <c r="AX357" s="97"/>
      <c r="BD357" s="453" t="s">
        <v>142</v>
      </c>
      <c r="CG357"/>
      <c r="CH357"/>
      <c r="CK357" s="592" t="str">
        <f t="shared" si="178"/>
        <v/>
      </c>
      <c r="CL357" s="421" t="str">
        <f t="shared" si="179"/>
        <v/>
      </c>
      <c r="CM357" s="594"/>
      <c r="CN357" s="594"/>
      <c r="CO357" s="594"/>
      <c r="CP357" s="594"/>
      <c r="CQ357" s="594"/>
      <c r="CR357" s="594"/>
    </row>
    <row r="358" spans="1:96" s="13" customFormat="1" ht="13.75" customHeight="1">
      <c r="A358" s="137">
        <v>343</v>
      </c>
      <c r="B358" s="138"/>
      <c r="C358" s="139"/>
      <c r="D358" s="140"/>
      <c r="E358" s="139"/>
      <c r="F358" s="139"/>
      <c r="G358" s="191"/>
      <c r="H358" s="139"/>
      <c r="I358" s="141"/>
      <c r="J358" s="142"/>
      <c r="K358" s="139"/>
      <c r="L358" s="147"/>
      <c r="M358" s="148"/>
      <c r="N358" s="139"/>
      <c r="O358" s="589"/>
      <c r="P358" s="229" t="str">
        <f t="shared" si="171"/>
        <v/>
      </c>
      <c r="Q358" s="229" t="str">
        <f t="shared" si="172"/>
        <v/>
      </c>
      <c r="R358" s="230" t="str">
        <f t="shared" si="173"/>
        <v/>
      </c>
      <c r="S358" s="230" t="str">
        <f t="shared" si="174"/>
        <v/>
      </c>
      <c r="T358" s="351"/>
      <c r="U358" s="43"/>
      <c r="V358" s="42" t="str">
        <f t="shared" si="150"/>
        <v/>
      </c>
      <c r="W358" s="42" t="e">
        <f>IF(#REF!="","",#REF!)</f>
        <v>#REF!</v>
      </c>
      <c r="X358" s="31" t="str">
        <f t="shared" si="151"/>
        <v/>
      </c>
      <c r="Y358" s="7" t="e">
        <f t="shared" si="152"/>
        <v>#N/A</v>
      </c>
      <c r="Z358" s="7" t="e">
        <f t="shared" si="153"/>
        <v>#N/A</v>
      </c>
      <c r="AA358" s="7" t="e">
        <f t="shared" si="154"/>
        <v>#N/A</v>
      </c>
      <c r="AB358" s="7" t="str">
        <f t="shared" si="155"/>
        <v/>
      </c>
      <c r="AC358" s="11">
        <f t="shared" si="156"/>
        <v>1</v>
      </c>
      <c r="AD358" s="7" t="e">
        <f t="shared" si="157"/>
        <v>#N/A</v>
      </c>
      <c r="AE358" s="7" t="e">
        <f t="shared" si="158"/>
        <v>#N/A</v>
      </c>
      <c r="AF358" s="7" t="e">
        <f t="shared" si="159"/>
        <v>#N/A</v>
      </c>
      <c r="AG358" s="472" t="e">
        <f>VLOOKUP(AI358,'排出係数(2017)'!$A$4:$I$1151,9,FALSE)</f>
        <v>#N/A</v>
      </c>
      <c r="AH358" s="12" t="str">
        <f t="shared" si="160"/>
        <v xml:space="preserve"> </v>
      </c>
      <c r="AI358" s="7" t="e">
        <f t="shared" si="175"/>
        <v>#N/A</v>
      </c>
      <c r="AJ358" s="7" t="e">
        <f t="shared" si="161"/>
        <v>#N/A</v>
      </c>
      <c r="AK358" s="472" t="e">
        <f>VLOOKUP(AI358,'排出係数(2017)'!$A$4:$I$1151,6,FALSE)</f>
        <v>#N/A</v>
      </c>
      <c r="AL358" s="7" t="e">
        <f t="shared" si="162"/>
        <v>#N/A</v>
      </c>
      <c r="AM358" s="7" t="e">
        <f t="shared" si="163"/>
        <v>#N/A</v>
      </c>
      <c r="AN358" s="472" t="e">
        <f>VLOOKUP(AI358,'排出係数(2017)'!$A$4:$I$1151,7,FALSE)</f>
        <v>#N/A</v>
      </c>
      <c r="AO358" s="7" t="e">
        <f t="shared" si="164"/>
        <v>#N/A</v>
      </c>
      <c r="AP358" s="7" t="e">
        <f t="shared" si="165"/>
        <v>#N/A</v>
      </c>
      <c r="AQ358" s="7" t="e">
        <f t="shared" si="176"/>
        <v>#N/A</v>
      </c>
      <c r="AR358" s="7">
        <f t="shared" si="166"/>
        <v>0</v>
      </c>
      <c r="AS358" s="7" t="e">
        <f t="shared" si="177"/>
        <v>#N/A</v>
      </c>
      <c r="AT358" s="7" t="str">
        <f t="shared" si="167"/>
        <v/>
      </c>
      <c r="AU358" s="7" t="str">
        <f t="shared" si="168"/>
        <v/>
      </c>
      <c r="AV358" s="7" t="str">
        <f t="shared" si="169"/>
        <v/>
      </c>
      <c r="AW358" s="7" t="str">
        <f t="shared" si="170"/>
        <v/>
      </c>
      <c r="AX358" s="97"/>
      <c r="BD358" s="453" t="s">
        <v>1235</v>
      </c>
      <c r="CG358"/>
      <c r="CH358"/>
      <c r="CK358" s="592" t="str">
        <f t="shared" si="178"/>
        <v/>
      </c>
      <c r="CL358" s="421" t="str">
        <f t="shared" si="179"/>
        <v/>
      </c>
      <c r="CM358" s="594"/>
      <c r="CN358" s="594"/>
      <c r="CO358" s="594"/>
      <c r="CP358" s="594"/>
      <c r="CQ358" s="594"/>
      <c r="CR358" s="594"/>
    </row>
    <row r="359" spans="1:96" s="13" customFormat="1" ht="13.75" customHeight="1">
      <c r="A359" s="137">
        <v>344</v>
      </c>
      <c r="B359" s="138"/>
      <c r="C359" s="139"/>
      <c r="D359" s="140"/>
      <c r="E359" s="139"/>
      <c r="F359" s="139"/>
      <c r="G359" s="191"/>
      <c r="H359" s="139"/>
      <c r="I359" s="141"/>
      <c r="J359" s="142"/>
      <c r="K359" s="139"/>
      <c r="L359" s="147"/>
      <c r="M359" s="148"/>
      <c r="N359" s="139"/>
      <c r="O359" s="589"/>
      <c r="P359" s="229" t="str">
        <f t="shared" si="171"/>
        <v/>
      </c>
      <c r="Q359" s="229" t="str">
        <f t="shared" si="172"/>
        <v/>
      </c>
      <c r="R359" s="230" t="str">
        <f t="shared" si="173"/>
        <v/>
      </c>
      <c r="S359" s="230" t="str">
        <f t="shared" si="174"/>
        <v/>
      </c>
      <c r="T359" s="351"/>
      <c r="U359" s="43"/>
      <c r="V359" s="42" t="str">
        <f t="shared" si="150"/>
        <v/>
      </c>
      <c r="W359" s="42" t="e">
        <f>IF(#REF!="","",#REF!)</f>
        <v>#REF!</v>
      </c>
      <c r="X359" s="31" t="str">
        <f t="shared" si="151"/>
        <v/>
      </c>
      <c r="Y359" s="7" t="e">
        <f t="shared" si="152"/>
        <v>#N/A</v>
      </c>
      <c r="Z359" s="7" t="e">
        <f t="shared" si="153"/>
        <v>#N/A</v>
      </c>
      <c r="AA359" s="7" t="e">
        <f t="shared" si="154"/>
        <v>#N/A</v>
      </c>
      <c r="AB359" s="7" t="str">
        <f t="shared" si="155"/>
        <v/>
      </c>
      <c r="AC359" s="11">
        <f t="shared" si="156"/>
        <v>1</v>
      </c>
      <c r="AD359" s="7" t="e">
        <f t="shared" si="157"/>
        <v>#N/A</v>
      </c>
      <c r="AE359" s="7" t="e">
        <f t="shared" si="158"/>
        <v>#N/A</v>
      </c>
      <c r="AF359" s="7" t="e">
        <f t="shared" si="159"/>
        <v>#N/A</v>
      </c>
      <c r="AG359" s="472" t="e">
        <f>VLOOKUP(AI359,'排出係数(2017)'!$A$4:$I$1151,9,FALSE)</f>
        <v>#N/A</v>
      </c>
      <c r="AH359" s="12" t="str">
        <f t="shared" si="160"/>
        <v xml:space="preserve"> </v>
      </c>
      <c r="AI359" s="7" t="e">
        <f t="shared" si="175"/>
        <v>#N/A</v>
      </c>
      <c r="AJ359" s="7" t="e">
        <f t="shared" si="161"/>
        <v>#N/A</v>
      </c>
      <c r="AK359" s="472" t="e">
        <f>VLOOKUP(AI359,'排出係数(2017)'!$A$4:$I$1151,6,FALSE)</f>
        <v>#N/A</v>
      </c>
      <c r="AL359" s="7" t="e">
        <f t="shared" si="162"/>
        <v>#N/A</v>
      </c>
      <c r="AM359" s="7" t="e">
        <f t="shared" si="163"/>
        <v>#N/A</v>
      </c>
      <c r="AN359" s="472" t="e">
        <f>VLOOKUP(AI359,'排出係数(2017)'!$A$4:$I$1151,7,FALSE)</f>
        <v>#N/A</v>
      </c>
      <c r="AO359" s="7" t="e">
        <f t="shared" si="164"/>
        <v>#N/A</v>
      </c>
      <c r="AP359" s="7" t="e">
        <f t="shared" si="165"/>
        <v>#N/A</v>
      </c>
      <c r="AQ359" s="7" t="e">
        <f t="shared" si="176"/>
        <v>#N/A</v>
      </c>
      <c r="AR359" s="7">
        <f t="shared" si="166"/>
        <v>0</v>
      </c>
      <c r="AS359" s="7" t="e">
        <f t="shared" si="177"/>
        <v>#N/A</v>
      </c>
      <c r="AT359" s="7" t="str">
        <f t="shared" si="167"/>
        <v/>
      </c>
      <c r="AU359" s="7" t="str">
        <f t="shared" si="168"/>
        <v/>
      </c>
      <c r="AV359" s="7" t="str">
        <f t="shared" si="169"/>
        <v/>
      </c>
      <c r="AW359" s="7" t="str">
        <f t="shared" si="170"/>
        <v/>
      </c>
      <c r="AX359" s="97"/>
      <c r="BD359" s="453" t="s">
        <v>143</v>
      </c>
      <c r="CG359"/>
      <c r="CH359"/>
      <c r="CK359" s="592" t="str">
        <f t="shared" si="178"/>
        <v/>
      </c>
      <c r="CL359" s="421" t="str">
        <f t="shared" si="179"/>
        <v/>
      </c>
      <c r="CM359" s="594"/>
      <c r="CN359" s="594"/>
      <c r="CO359" s="594"/>
      <c r="CP359" s="594"/>
      <c r="CQ359" s="594"/>
      <c r="CR359" s="594"/>
    </row>
    <row r="360" spans="1:96" s="13" customFormat="1" ht="13.75" customHeight="1">
      <c r="A360" s="137">
        <v>345</v>
      </c>
      <c r="B360" s="138"/>
      <c r="C360" s="139"/>
      <c r="D360" s="140"/>
      <c r="E360" s="139"/>
      <c r="F360" s="139"/>
      <c r="G360" s="191"/>
      <c r="H360" s="139"/>
      <c r="I360" s="141"/>
      <c r="J360" s="142"/>
      <c r="K360" s="139"/>
      <c r="L360" s="147"/>
      <c r="M360" s="148"/>
      <c r="N360" s="139"/>
      <c r="O360" s="589"/>
      <c r="P360" s="229" t="str">
        <f t="shared" si="171"/>
        <v/>
      </c>
      <c r="Q360" s="229" t="str">
        <f t="shared" si="172"/>
        <v/>
      </c>
      <c r="R360" s="230" t="str">
        <f t="shared" si="173"/>
        <v/>
      </c>
      <c r="S360" s="230" t="str">
        <f t="shared" si="174"/>
        <v/>
      </c>
      <c r="T360" s="351"/>
      <c r="U360" s="43"/>
      <c r="V360" s="42" t="str">
        <f t="shared" si="150"/>
        <v/>
      </c>
      <c r="W360" s="42" t="e">
        <f>IF(#REF!="","",#REF!)</f>
        <v>#REF!</v>
      </c>
      <c r="X360" s="31" t="str">
        <f t="shared" si="151"/>
        <v/>
      </c>
      <c r="Y360" s="7" t="e">
        <f t="shared" si="152"/>
        <v>#N/A</v>
      </c>
      <c r="Z360" s="7" t="e">
        <f t="shared" si="153"/>
        <v>#N/A</v>
      </c>
      <c r="AA360" s="7" t="e">
        <f t="shared" si="154"/>
        <v>#N/A</v>
      </c>
      <c r="AB360" s="7" t="str">
        <f t="shared" si="155"/>
        <v/>
      </c>
      <c r="AC360" s="11">
        <f t="shared" si="156"/>
        <v>1</v>
      </c>
      <c r="AD360" s="7" t="e">
        <f t="shared" si="157"/>
        <v>#N/A</v>
      </c>
      <c r="AE360" s="7" t="e">
        <f t="shared" si="158"/>
        <v>#N/A</v>
      </c>
      <c r="AF360" s="7" t="e">
        <f t="shared" si="159"/>
        <v>#N/A</v>
      </c>
      <c r="AG360" s="472" t="e">
        <f>VLOOKUP(AI360,'排出係数(2017)'!$A$4:$I$1151,9,FALSE)</f>
        <v>#N/A</v>
      </c>
      <c r="AH360" s="12" t="str">
        <f t="shared" si="160"/>
        <v xml:space="preserve"> </v>
      </c>
      <c r="AI360" s="7" t="e">
        <f t="shared" si="175"/>
        <v>#N/A</v>
      </c>
      <c r="AJ360" s="7" t="e">
        <f t="shared" si="161"/>
        <v>#N/A</v>
      </c>
      <c r="AK360" s="472" t="e">
        <f>VLOOKUP(AI360,'排出係数(2017)'!$A$4:$I$1151,6,FALSE)</f>
        <v>#N/A</v>
      </c>
      <c r="AL360" s="7" t="e">
        <f t="shared" si="162"/>
        <v>#N/A</v>
      </c>
      <c r="AM360" s="7" t="e">
        <f t="shared" si="163"/>
        <v>#N/A</v>
      </c>
      <c r="AN360" s="472" t="e">
        <f>VLOOKUP(AI360,'排出係数(2017)'!$A$4:$I$1151,7,FALSE)</f>
        <v>#N/A</v>
      </c>
      <c r="AO360" s="7" t="e">
        <f t="shared" si="164"/>
        <v>#N/A</v>
      </c>
      <c r="AP360" s="7" t="e">
        <f t="shared" si="165"/>
        <v>#N/A</v>
      </c>
      <c r="AQ360" s="7" t="e">
        <f t="shared" si="176"/>
        <v>#N/A</v>
      </c>
      <c r="AR360" s="7">
        <f t="shared" si="166"/>
        <v>0</v>
      </c>
      <c r="AS360" s="7" t="e">
        <f t="shared" si="177"/>
        <v>#N/A</v>
      </c>
      <c r="AT360" s="7" t="str">
        <f t="shared" si="167"/>
        <v/>
      </c>
      <c r="AU360" s="7" t="str">
        <f t="shared" si="168"/>
        <v/>
      </c>
      <c r="AV360" s="7" t="str">
        <f t="shared" si="169"/>
        <v/>
      </c>
      <c r="AW360" s="7" t="str">
        <f t="shared" si="170"/>
        <v/>
      </c>
      <c r="AX360" s="97"/>
      <c r="BD360" s="453" t="s">
        <v>1237</v>
      </c>
      <c r="CG360"/>
      <c r="CH360"/>
      <c r="CK360" s="592" t="str">
        <f t="shared" si="178"/>
        <v/>
      </c>
      <c r="CL360" s="421" t="str">
        <f t="shared" si="179"/>
        <v/>
      </c>
      <c r="CM360" s="594"/>
      <c r="CN360" s="594"/>
      <c r="CO360" s="594"/>
      <c r="CP360" s="594"/>
      <c r="CQ360" s="594"/>
      <c r="CR360" s="594"/>
    </row>
    <row r="361" spans="1:96" s="13" customFormat="1" ht="13.75" customHeight="1">
      <c r="A361" s="137">
        <v>346</v>
      </c>
      <c r="B361" s="138"/>
      <c r="C361" s="139"/>
      <c r="D361" s="140"/>
      <c r="E361" s="139"/>
      <c r="F361" s="139"/>
      <c r="G361" s="191"/>
      <c r="H361" s="139"/>
      <c r="I361" s="141"/>
      <c r="J361" s="142"/>
      <c r="K361" s="139"/>
      <c r="L361" s="147"/>
      <c r="M361" s="148"/>
      <c r="N361" s="139"/>
      <c r="O361" s="589"/>
      <c r="P361" s="229" t="str">
        <f t="shared" si="171"/>
        <v/>
      </c>
      <c r="Q361" s="229" t="str">
        <f t="shared" si="172"/>
        <v/>
      </c>
      <c r="R361" s="230" t="str">
        <f t="shared" si="173"/>
        <v/>
      </c>
      <c r="S361" s="230" t="str">
        <f t="shared" si="174"/>
        <v/>
      </c>
      <c r="T361" s="351"/>
      <c r="U361" s="43"/>
      <c r="V361" s="42" t="str">
        <f t="shared" si="150"/>
        <v/>
      </c>
      <c r="W361" s="42" t="e">
        <f>IF(#REF!="","",#REF!)</f>
        <v>#REF!</v>
      </c>
      <c r="X361" s="31" t="str">
        <f t="shared" si="151"/>
        <v/>
      </c>
      <c r="Y361" s="7" t="e">
        <f t="shared" si="152"/>
        <v>#N/A</v>
      </c>
      <c r="Z361" s="7" t="e">
        <f t="shared" si="153"/>
        <v>#N/A</v>
      </c>
      <c r="AA361" s="7" t="e">
        <f t="shared" si="154"/>
        <v>#N/A</v>
      </c>
      <c r="AB361" s="7" t="str">
        <f t="shared" si="155"/>
        <v/>
      </c>
      <c r="AC361" s="11">
        <f t="shared" si="156"/>
        <v>1</v>
      </c>
      <c r="AD361" s="7" t="e">
        <f t="shared" si="157"/>
        <v>#N/A</v>
      </c>
      <c r="AE361" s="7" t="e">
        <f t="shared" si="158"/>
        <v>#N/A</v>
      </c>
      <c r="AF361" s="7" t="e">
        <f t="shared" si="159"/>
        <v>#N/A</v>
      </c>
      <c r="AG361" s="472" t="e">
        <f>VLOOKUP(AI361,'排出係数(2017)'!$A$4:$I$1151,9,FALSE)</f>
        <v>#N/A</v>
      </c>
      <c r="AH361" s="12" t="str">
        <f t="shared" si="160"/>
        <v xml:space="preserve"> </v>
      </c>
      <c r="AI361" s="7" t="e">
        <f t="shared" si="175"/>
        <v>#N/A</v>
      </c>
      <c r="AJ361" s="7" t="e">
        <f t="shared" si="161"/>
        <v>#N/A</v>
      </c>
      <c r="AK361" s="472" t="e">
        <f>VLOOKUP(AI361,'排出係数(2017)'!$A$4:$I$1151,6,FALSE)</f>
        <v>#N/A</v>
      </c>
      <c r="AL361" s="7" t="e">
        <f t="shared" si="162"/>
        <v>#N/A</v>
      </c>
      <c r="AM361" s="7" t="e">
        <f t="shared" si="163"/>
        <v>#N/A</v>
      </c>
      <c r="AN361" s="472" t="e">
        <f>VLOOKUP(AI361,'排出係数(2017)'!$A$4:$I$1151,7,FALSE)</f>
        <v>#N/A</v>
      </c>
      <c r="AO361" s="7" t="e">
        <f t="shared" si="164"/>
        <v>#N/A</v>
      </c>
      <c r="AP361" s="7" t="e">
        <f t="shared" si="165"/>
        <v>#N/A</v>
      </c>
      <c r="AQ361" s="7" t="e">
        <f t="shared" si="176"/>
        <v>#N/A</v>
      </c>
      <c r="AR361" s="7">
        <f t="shared" si="166"/>
        <v>0</v>
      </c>
      <c r="AS361" s="7" t="e">
        <f t="shared" si="177"/>
        <v>#N/A</v>
      </c>
      <c r="AT361" s="7" t="str">
        <f t="shared" si="167"/>
        <v/>
      </c>
      <c r="AU361" s="7" t="str">
        <f t="shared" si="168"/>
        <v/>
      </c>
      <c r="AV361" s="7" t="str">
        <f t="shared" si="169"/>
        <v/>
      </c>
      <c r="AW361" s="7" t="str">
        <f t="shared" si="170"/>
        <v/>
      </c>
      <c r="AX361" s="97"/>
      <c r="BD361" s="453" t="s">
        <v>144</v>
      </c>
      <c r="CG361"/>
      <c r="CH361"/>
      <c r="CK361" s="592" t="str">
        <f t="shared" si="178"/>
        <v/>
      </c>
      <c r="CL361" s="421" t="str">
        <f t="shared" si="179"/>
        <v/>
      </c>
      <c r="CM361" s="594"/>
      <c r="CN361" s="594"/>
      <c r="CO361" s="594"/>
      <c r="CP361" s="594"/>
      <c r="CQ361" s="594"/>
      <c r="CR361" s="594"/>
    </row>
    <row r="362" spans="1:96" s="13" customFormat="1" ht="13.75" customHeight="1">
      <c r="A362" s="137">
        <v>347</v>
      </c>
      <c r="B362" s="138"/>
      <c r="C362" s="139"/>
      <c r="D362" s="140"/>
      <c r="E362" s="139"/>
      <c r="F362" s="139"/>
      <c r="G362" s="191"/>
      <c r="H362" s="139"/>
      <c r="I362" s="141"/>
      <c r="J362" s="142"/>
      <c r="K362" s="139"/>
      <c r="L362" s="147"/>
      <c r="M362" s="148"/>
      <c r="N362" s="139"/>
      <c r="O362" s="589"/>
      <c r="P362" s="229" t="str">
        <f t="shared" si="171"/>
        <v/>
      </c>
      <c r="Q362" s="229" t="str">
        <f t="shared" si="172"/>
        <v/>
      </c>
      <c r="R362" s="230" t="str">
        <f t="shared" si="173"/>
        <v/>
      </c>
      <c r="S362" s="230" t="str">
        <f t="shared" si="174"/>
        <v/>
      </c>
      <c r="T362" s="351"/>
      <c r="U362" s="43"/>
      <c r="V362" s="42" t="str">
        <f t="shared" si="150"/>
        <v/>
      </c>
      <c r="W362" s="42" t="e">
        <f>IF(#REF!="","",#REF!)</f>
        <v>#REF!</v>
      </c>
      <c r="X362" s="31" t="str">
        <f t="shared" si="151"/>
        <v/>
      </c>
      <c r="Y362" s="7" t="e">
        <f t="shared" si="152"/>
        <v>#N/A</v>
      </c>
      <c r="Z362" s="7" t="e">
        <f t="shared" si="153"/>
        <v>#N/A</v>
      </c>
      <c r="AA362" s="7" t="e">
        <f t="shared" si="154"/>
        <v>#N/A</v>
      </c>
      <c r="AB362" s="7" t="str">
        <f t="shared" si="155"/>
        <v/>
      </c>
      <c r="AC362" s="11">
        <f t="shared" si="156"/>
        <v>1</v>
      </c>
      <c r="AD362" s="7" t="e">
        <f t="shared" si="157"/>
        <v>#N/A</v>
      </c>
      <c r="AE362" s="7" t="e">
        <f t="shared" si="158"/>
        <v>#N/A</v>
      </c>
      <c r="AF362" s="7" t="e">
        <f t="shared" si="159"/>
        <v>#N/A</v>
      </c>
      <c r="AG362" s="472" t="e">
        <f>VLOOKUP(AI362,'排出係数(2017)'!$A$4:$I$1151,9,FALSE)</f>
        <v>#N/A</v>
      </c>
      <c r="AH362" s="12" t="str">
        <f t="shared" si="160"/>
        <v xml:space="preserve"> </v>
      </c>
      <c r="AI362" s="7" t="e">
        <f t="shared" si="175"/>
        <v>#N/A</v>
      </c>
      <c r="AJ362" s="7" t="e">
        <f t="shared" si="161"/>
        <v>#N/A</v>
      </c>
      <c r="AK362" s="472" t="e">
        <f>VLOOKUP(AI362,'排出係数(2017)'!$A$4:$I$1151,6,FALSE)</f>
        <v>#N/A</v>
      </c>
      <c r="AL362" s="7" t="e">
        <f t="shared" si="162"/>
        <v>#N/A</v>
      </c>
      <c r="AM362" s="7" t="e">
        <f t="shared" si="163"/>
        <v>#N/A</v>
      </c>
      <c r="AN362" s="472" t="e">
        <f>VLOOKUP(AI362,'排出係数(2017)'!$A$4:$I$1151,7,FALSE)</f>
        <v>#N/A</v>
      </c>
      <c r="AO362" s="7" t="e">
        <f t="shared" si="164"/>
        <v>#N/A</v>
      </c>
      <c r="AP362" s="7" t="e">
        <f t="shared" si="165"/>
        <v>#N/A</v>
      </c>
      <c r="AQ362" s="7" t="e">
        <f t="shared" si="176"/>
        <v>#N/A</v>
      </c>
      <c r="AR362" s="7">
        <f t="shared" si="166"/>
        <v>0</v>
      </c>
      <c r="AS362" s="7" t="e">
        <f t="shared" si="177"/>
        <v>#N/A</v>
      </c>
      <c r="AT362" s="7" t="str">
        <f t="shared" si="167"/>
        <v/>
      </c>
      <c r="AU362" s="7" t="str">
        <f t="shared" si="168"/>
        <v/>
      </c>
      <c r="AV362" s="7" t="str">
        <f t="shared" si="169"/>
        <v/>
      </c>
      <c r="AW362" s="7" t="str">
        <f t="shared" si="170"/>
        <v/>
      </c>
      <c r="AX362" s="97"/>
      <c r="BD362" s="453" t="s">
        <v>145</v>
      </c>
      <c r="CG362"/>
      <c r="CH362"/>
      <c r="CK362" s="592" t="str">
        <f t="shared" si="178"/>
        <v/>
      </c>
      <c r="CL362" s="421" t="str">
        <f t="shared" si="179"/>
        <v/>
      </c>
      <c r="CM362" s="594"/>
      <c r="CN362" s="594"/>
      <c r="CO362" s="594"/>
      <c r="CP362" s="594"/>
      <c r="CQ362" s="594"/>
      <c r="CR362" s="594"/>
    </row>
    <row r="363" spans="1:96" s="13" customFormat="1" ht="13.75" customHeight="1">
      <c r="A363" s="137">
        <v>348</v>
      </c>
      <c r="B363" s="138"/>
      <c r="C363" s="139"/>
      <c r="D363" s="140"/>
      <c r="E363" s="139"/>
      <c r="F363" s="139"/>
      <c r="G363" s="191"/>
      <c r="H363" s="139"/>
      <c r="I363" s="141"/>
      <c r="J363" s="142"/>
      <c r="K363" s="139"/>
      <c r="L363" s="147"/>
      <c r="M363" s="148"/>
      <c r="N363" s="139"/>
      <c r="O363" s="589"/>
      <c r="P363" s="229" t="str">
        <f t="shared" si="171"/>
        <v/>
      </c>
      <c r="Q363" s="229" t="str">
        <f t="shared" si="172"/>
        <v/>
      </c>
      <c r="R363" s="230" t="str">
        <f t="shared" si="173"/>
        <v/>
      </c>
      <c r="S363" s="230" t="str">
        <f t="shared" si="174"/>
        <v/>
      </c>
      <c r="T363" s="351"/>
      <c r="U363" s="43"/>
      <c r="V363" s="42" t="str">
        <f t="shared" si="150"/>
        <v/>
      </c>
      <c r="W363" s="42" t="e">
        <f>IF(#REF!="","",#REF!)</f>
        <v>#REF!</v>
      </c>
      <c r="X363" s="31" t="str">
        <f t="shared" si="151"/>
        <v/>
      </c>
      <c r="Y363" s="7" t="e">
        <f t="shared" si="152"/>
        <v>#N/A</v>
      </c>
      <c r="Z363" s="7" t="e">
        <f t="shared" si="153"/>
        <v>#N/A</v>
      </c>
      <c r="AA363" s="7" t="e">
        <f t="shared" si="154"/>
        <v>#N/A</v>
      </c>
      <c r="AB363" s="7" t="str">
        <f t="shared" si="155"/>
        <v/>
      </c>
      <c r="AC363" s="11">
        <f t="shared" si="156"/>
        <v>1</v>
      </c>
      <c r="AD363" s="7" t="e">
        <f t="shared" si="157"/>
        <v>#N/A</v>
      </c>
      <c r="AE363" s="7" t="e">
        <f t="shared" si="158"/>
        <v>#N/A</v>
      </c>
      <c r="AF363" s="7" t="e">
        <f t="shared" si="159"/>
        <v>#N/A</v>
      </c>
      <c r="AG363" s="472" t="e">
        <f>VLOOKUP(AI363,'排出係数(2017)'!$A$4:$I$1151,9,FALSE)</f>
        <v>#N/A</v>
      </c>
      <c r="AH363" s="12" t="str">
        <f t="shared" si="160"/>
        <v xml:space="preserve"> </v>
      </c>
      <c r="AI363" s="7" t="e">
        <f t="shared" si="175"/>
        <v>#N/A</v>
      </c>
      <c r="AJ363" s="7" t="e">
        <f t="shared" si="161"/>
        <v>#N/A</v>
      </c>
      <c r="AK363" s="472" t="e">
        <f>VLOOKUP(AI363,'排出係数(2017)'!$A$4:$I$1151,6,FALSE)</f>
        <v>#N/A</v>
      </c>
      <c r="AL363" s="7" t="e">
        <f t="shared" si="162"/>
        <v>#N/A</v>
      </c>
      <c r="AM363" s="7" t="e">
        <f t="shared" si="163"/>
        <v>#N/A</v>
      </c>
      <c r="AN363" s="472" t="e">
        <f>VLOOKUP(AI363,'排出係数(2017)'!$A$4:$I$1151,7,FALSE)</f>
        <v>#N/A</v>
      </c>
      <c r="AO363" s="7" t="e">
        <f t="shared" si="164"/>
        <v>#N/A</v>
      </c>
      <c r="AP363" s="7" t="e">
        <f t="shared" si="165"/>
        <v>#N/A</v>
      </c>
      <c r="AQ363" s="7" t="e">
        <f t="shared" si="176"/>
        <v>#N/A</v>
      </c>
      <c r="AR363" s="7">
        <f t="shared" si="166"/>
        <v>0</v>
      </c>
      <c r="AS363" s="7" t="e">
        <f t="shared" si="177"/>
        <v>#N/A</v>
      </c>
      <c r="AT363" s="7" t="str">
        <f t="shared" si="167"/>
        <v/>
      </c>
      <c r="AU363" s="7" t="str">
        <f t="shared" si="168"/>
        <v/>
      </c>
      <c r="AV363" s="7" t="str">
        <f t="shared" si="169"/>
        <v/>
      </c>
      <c r="AW363" s="7" t="str">
        <f t="shared" si="170"/>
        <v/>
      </c>
      <c r="AX363" s="97"/>
      <c r="BD363" s="473" t="s">
        <v>146</v>
      </c>
      <c r="CG363"/>
      <c r="CH363"/>
      <c r="CK363" s="592" t="str">
        <f t="shared" si="178"/>
        <v/>
      </c>
      <c r="CL363" s="421" t="str">
        <f t="shared" si="179"/>
        <v/>
      </c>
      <c r="CM363" s="594"/>
      <c r="CN363" s="594"/>
      <c r="CO363" s="594"/>
      <c r="CP363" s="594"/>
      <c r="CQ363" s="594"/>
      <c r="CR363" s="594"/>
    </row>
    <row r="364" spans="1:96" s="13" customFormat="1" ht="13.75" customHeight="1">
      <c r="A364" s="137">
        <v>349</v>
      </c>
      <c r="B364" s="138"/>
      <c r="C364" s="139"/>
      <c r="D364" s="140"/>
      <c r="E364" s="139"/>
      <c r="F364" s="139"/>
      <c r="G364" s="191"/>
      <c r="H364" s="139"/>
      <c r="I364" s="141"/>
      <c r="J364" s="142"/>
      <c r="K364" s="139"/>
      <c r="L364" s="147"/>
      <c r="M364" s="148"/>
      <c r="N364" s="139"/>
      <c r="O364" s="589"/>
      <c r="P364" s="229" t="str">
        <f t="shared" si="171"/>
        <v/>
      </c>
      <c r="Q364" s="229" t="str">
        <f t="shared" si="172"/>
        <v/>
      </c>
      <c r="R364" s="230" t="str">
        <f t="shared" si="173"/>
        <v/>
      </c>
      <c r="S364" s="230" t="str">
        <f t="shared" si="174"/>
        <v/>
      </c>
      <c r="T364" s="351"/>
      <c r="U364" s="43"/>
      <c r="V364" s="42" t="str">
        <f t="shared" si="150"/>
        <v/>
      </c>
      <c r="W364" s="42" t="e">
        <f>IF(#REF!="","",#REF!)</f>
        <v>#REF!</v>
      </c>
      <c r="X364" s="31" t="str">
        <f t="shared" si="151"/>
        <v/>
      </c>
      <c r="Y364" s="7" t="e">
        <f t="shared" si="152"/>
        <v>#N/A</v>
      </c>
      <c r="Z364" s="7" t="e">
        <f t="shared" si="153"/>
        <v>#N/A</v>
      </c>
      <c r="AA364" s="7" t="e">
        <f t="shared" si="154"/>
        <v>#N/A</v>
      </c>
      <c r="AB364" s="7" t="str">
        <f t="shared" si="155"/>
        <v/>
      </c>
      <c r="AC364" s="11">
        <f t="shared" si="156"/>
        <v>1</v>
      </c>
      <c r="AD364" s="7" t="e">
        <f t="shared" si="157"/>
        <v>#N/A</v>
      </c>
      <c r="AE364" s="7" t="e">
        <f t="shared" si="158"/>
        <v>#N/A</v>
      </c>
      <c r="AF364" s="7" t="e">
        <f t="shared" si="159"/>
        <v>#N/A</v>
      </c>
      <c r="AG364" s="472" t="e">
        <f>VLOOKUP(AI364,'排出係数(2017)'!$A$4:$I$1151,9,FALSE)</f>
        <v>#N/A</v>
      </c>
      <c r="AH364" s="12" t="str">
        <f t="shared" si="160"/>
        <v xml:space="preserve"> </v>
      </c>
      <c r="AI364" s="7" t="e">
        <f t="shared" si="175"/>
        <v>#N/A</v>
      </c>
      <c r="AJ364" s="7" t="e">
        <f t="shared" si="161"/>
        <v>#N/A</v>
      </c>
      <c r="AK364" s="472" t="e">
        <f>VLOOKUP(AI364,'排出係数(2017)'!$A$4:$I$1151,6,FALSE)</f>
        <v>#N/A</v>
      </c>
      <c r="AL364" s="7" t="e">
        <f t="shared" si="162"/>
        <v>#N/A</v>
      </c>
      <c r="AM364" s="7" t="e">
        <f t="shared" si="163"/>
        <v>#N/A</v>
      </c>
      <c r="AN364" s="472" t="e">
        <f>VLOOKUP(AI364,'排出係数(2017)'!$A$4:$I$1151,7,FALSE)</f>
        <v>#N/A</v>
      </c>
      <c r="AO364" s="7" t="e">
        <f t="shared" si="164"/>
        <v>#N/A</v>
      </c>
      <c r="AP364" s="7" t="e">
        <f t="shared" si="165"/>
        <v>#N/A</v>
      </c>
      <c r="AQ364" s="7" t="e">
        <f t="shared" si="176"/>
        <v>#N/A</v>
      </c>
      <c r="AR364" s="7">
        <f t="shared" si="166"/>
        <v>0</v>
      </c>
      <c r="AS364" s="7" t="e">
        <f t="shared" si="177"/>
        <v>#N/A</v>
      </c>
      <c r="AT364" s="7" t="str">
        <f t="shared" si="167"/>
        <v/>
      </c>
      <c r="AU364" s="7" t="str">
        <f t="shared" si="168"/>
        <v/>
      </c>
      <c r="AV364" s="7" t="str">
        <f t="shared" si="169"/>
        <v/>
      </c>
      <c r="AW364" s="7" t="str">
        <f t="shared" si="170"/>
        <v/>
      </c>
      <c r="AX364" s="97"/>
      <c r="BD364" s="453" t="s">
        <v>1041</v>
      </c>
      <c r="CG364"/>
      <c r="CH364"/>
      <c r="CK364" s="592" t="str">
        <f t="shared" si="178"/>
        <v/>
      </c>
      <c r="CL364" s="421" t="str">
        <f t="shared" si="179"/>
        <v/>
      </c>
      <c r="CM364" s="594"/>
      <c r="CN364" s="594"/>
      <c r="CO364" s="594"/>
      <c r="CP364" s="594"/>
      <c r="CQ364" s="594"/>
      <c r="CR364" s="594"/>
    </row>
    <row r="365" spans="1:96" s="13" customFormat="1" ht="13.75" customHeight="1">
      <c r="A365" s="137">
        <v>350</v>
      </c>
      <c r="B365" s="138"/>
      <c r="C365" s="139"/>
      <c r="D365" s="140"/>
      <c r="E365" s="139"/>
      <c r="F365" s="139"/>
      <c r="G365" s="191"/>
      <c r="H365" s="139"/>
      <c r="I365" s="141"/>
      <c r="J365" s="142"/>
      <c r="K365" s="139"/>
      <c r="L365" s="147"/>
      <c r="M365" s="148"/>
      <c r="N365" s="139"/>
      <c r="O365" s="589"/>
      <c r="P365" s="229" t="str">
        <f t="shared" si="171"/>
        <v/>
      </c>
      <c r="Q365" s="229" t="str">
        <f t="shared" si="172"/>
        <v/>
      </c>
      <c r="R365" s="230" t="str">
        <f t="shared" si="173"/>
        <v/>
      </c>
      <c r="S365" s="230" t="str">
        <f t="shared" si="174"/>
        <v/>
      </c>
      <c r="T365" s="351"/>
      <c r="U365" s="43"/>
      <c r="V365" s="42" t="str">
        <f t="shared" si="150"/>
        <v/>
      </c>
      <c r="W365" s="42" t="e">
        <f>IF(#REF!="","",#REF!)</f>
        <v>#REF!</v>
      </c>
      <c r="X365" s="31" t="str">
        <f t="shared" si="151"/>
        <v/>
      </c>
      <c r="Y365" s="7" t="e">
        <f t="shared" si="152"/>
        <v>#N/A</v>
      </c>
      <c r="Z365" s="7" t="e">
        <f t="shared" si="153"/>
        <v>#N/A</v>
      </c>
      <c r="AA365" s="7" t="e">
        <f t="shared" si="154"/>
        <v>#N/A</v>
      </c>
      <c r="AB365" s="7" t="str">
        <f t="shared" si="155"/>
        <v/>
      </c>
      <c r="AC365" s="11">
        <f t="shared" si="156"/>
        <v>1</v>
      </c>
      <c r="AD365" s="7" t="e">
        <f t="shared" si="157"/>
        <v>#N/A</v>
      </c>
      <c r="AE365" s="7" t="e">
        <f t="shared" si="158"/>
        <v>#N/A</v>
      </c>
      <c r="AF365" s="7" t="e">
        <f t="shared" si="159"/>
        <v>#N/A</v>
      </c>
      <c r="AG365" s="472" t="e">
        <f>VLOOKUP(AI365,'排出係数(2017)'!$A$4:$I$1151,9,FALSE)</f>
        <v>#N/A</v>
      </c>
      <c r="AH365" s="12" t="str">
        <f t="shared" si="160"/>
        <v xml:space="preserve"> </v>
      </c>
      <c r="AI365" s="7" t="e">
        <f t="shared" si="175"/>
        <v>#N/A</v>
      </c>
      <c r="AJ365" s="7" t="e">
        <f t="shared" si="161"/>
        <v>#N/A</v>
      </c>
      <c r="AK365" s="472" t="e">
        <f>VLOOKUP(AI365,'排出係数(2017)'!$A$4:$I$1151,6,FALSE)</f>
        <v>#N/A</v>
      </c>
      <c r="AL365" s="7" t="e">
        <f t="shared" si="162"/>
        <v>#N/A</v>
      </c>
      <c r="AM365" s="7" t="e">
        <f t="shared" si="163"/>
        <v>#N/A</v>
      </c>
      <c r="AN365" s="472" t="e">
        <f>VLOOKUP(AI365,'排出係数(2017)'!$A$4:$I$1151,7,FALSE)</f>
        <v>#N/A</v>
      </c>
      <c r="AO365" s="7" t="e">
        <f t="shared" si="164"/>
        <v>#N/A</v>
      </c>
      <c r="AP365" s="7" t="e">
        <f t="shared" si="165"/>
        <v>#N/A</v>
      </c>
      <c r="AQ365" s="7" t="e">
        <f t="shared" si="176"/>
        <v>#N/A</v>
      </c>
      <c r="AR365" s="7">
        <f t="shared" si="166"/>
        <v>0</v>
      </c>
      <c r="AS365" s="7" t="e">
        <f t="shared" si="177"/>
        <v>#N/A</v>
      </c>
      <c r="AT365" s="7" t="str">
        <f t="shared" si="167"/>
        <v/>
      </c>
      <c r="AU365" s="7" t="str">
        <f t="shared" si="168"/>
        <v/>
      </c>
      <c r="AV365" s="7" t="str">
        <f t="shared" si="169"/>
        <v/>
      </c>
      <c r="AW365" s="7" t="str">
        <f t="shared" si="170"/>
        <v/>
      </c>
      <c r="AX365" s="97"/>
      <c r="BD365" s="473" t="s">
        <v>147</v>
      </c>
      <c r="CG365"/>
      <c r="CH365"/>
      <c r="CK365" s="592" t="str">
        <f t="shared" si="178"/>
        <v/>
      </c>
      <c r="CL365" s="421" t="str">
        <f t="shared" si="179"/>
        <v/>
      </c>
      <c r="CM365" s="594"/>
      <c r="CN365" s="594"/>
      <c r="CO365" s="594"/>
      <c r="CP365" s="594"/>
      <c r="CQ365" s="594"/>
      <c r="CR365" s="594"/>
    </row>
    <row r="366" spans="1:96" s="13" customFormat="1" ht="13.75" customHeight="1">
      <c r="A366" s="137">
        <v>351</v>
      </c>
      <c r="B366" s="138"/>
      <c r="C366" s="139"/>
      <c r="D366" s="140"/>
      <c r="E366" s="139"/>
      <c r="F366" s="139"/>
      <c r="G366" s="191"/>
      <c r="H366" s="139"/>
      <c r="I366" s="141"/>
      <c r="J366" s="142"/>
      <c r="K366" s="139"/>
      <c r="L366" s="147"/>
      <c r="M366" s="148"/>
      <c r="N366" s="139"/>
      <c r="O366" s="589"/>
      <c r="P366" s="229" t="str">
        <f t="shared" si="171"/>
        <v/>
      </c>
      <c r="Q366" s="229" t="str">
        <f t="shared" si="172"/>
        <v/>
      </c>
      <c r="R366" s="230" t="str">
        <f t="shared" si="173"/>
        <v/>
      </c>
      <c r="S366" s="230" t="str">
        <f t="shared" si="174"/>
        <v/>
      </c>
      <c r="T366" s="351"/>
      <c r="U366" s="43"/>
      <c r="V366" s="42" t="str">
        <f t="shared" si="150"/>
        <v/>
      </c>
      <c r="W366" s="42" t="e">
        <f>IF(#REF!="","",#REF!)</f>
        <v>#REF!</v>
      </c>
      <c r="X366" s="31" t="str">
        <f t="shared" si="151"/>
        <v/>
      </c>
      <c r="Y366" s="7" t="e">
        <f t="shared" si="152"/>
        <v>#N/A</v>
      </c>
      <c r="Z366" s="7" t="e">
        <f t="shared" si="153"/>
        <v>#N/A</v>
      </c>
      <c r="AA366" s="7" t="e">
        <f t="shared" si="154"/>
        <v>#N/A</v>
      </c>
      <c r="AB366" s="7" t="str">
        <f t="shared" si="155"/>
        <v/>
      </c>
      <c r="AC366" s="11">
        <f t="shared" si="156"/>
        <v>1</v>
      </c>
      <c r="AD366" s="7" t="e">
        <f t="shared" si="157"/>
        <v>#N/A</v>
      </c>
      <c r="AE366" s="7" t="e">
        <f t="shared" si="158"/>
        <v>#N/A</v>
      </c>
      <c r="AF366" s="7" t="e">
        <f t="shared" si="159"/>
        <v>#N/A</v>
      </c>
      <c r="AG366" s="472" t="e">
        <f>VLOOKUP(AI366,'排出係数(2017)'!$A$4:$I$1151,9,FALSE)</f>
        <v>#N/A</v>
      </c>
      <c r="AH366" s="12" t="str">
        <f t="shared" si="160"/>
        <v xml:space="preserve"> </v>
      </c>
      <c r="AI366" s="7" t="e">
        <f t="shared" si="175"/>
        <v>#N/A</v>
      </c>
      <c r="AJ366" s="7" t="e">
        <f t="shared" si="161"/>
        <v>#N/A</v>
      </c>
      <c r="AK366" s="472" t="e">
        <f>VLOOKUP(AI366,'排出係数(2017)'!$A$4:$I$1151,6,FALSE)</f>
        <v>#N/A</v>
      </c>
      <c r="AL366" s="7" t="e">
        <f t="shared" si="162"/>
        <v>#N/A</v>
      </c>
      <c r="AM366" s="7" t="e">
        <f t="shared" si="163"/>
        <v>#N/A</v>
      </c>
      <c r="AN366" s="472" t="e">
        <f>VLOOKUP(AI366,'排出係数(2017)'!$A$4:$I$1151,7,FALSE)</f>
        <v>#N/A</v>
      </c>
      <c r="AO366" s="7" t="e">
        <f t="shared" si="164"/>
        <v>#N/A</v>
      </c>
      <c r="AP366" s="7" t="e">
        <f t="shared" si="165"/>
        <v>#N/A</v>
      </c>
      <c r="AQ366" s="7" t="e">
        <f t="shared" si="176"/>
        <v>#N/A</v>
      </c>
      <c r="AR366" s="7">
        <f t="shared" si="166"/>
        <v>0</v>
      </c>
      <c r="AS366" s="7" t="e">
        <f t="shared" si="177"/>
        <v>#N/A</v>
      </c>
      <c r="AT366" s="7" t="str">
        <f t="shared" si="167"/>
        <v/>
      </c>
      <c r="AU366" s="7" t="str">
        <f t="shared" si="168"/>
        <v/>
      </c>
      <c r="AV366" s="7" t="str">
        <f t="shared" si="169"/>
        <v/>
      </c>
      <c r="AW366" s="7" t="str">
        <f t="shared" si="170"/>
        <v/>
      </c>
      <c r="AX366" s="97"/>
      <c r="BD366" s="453" t="s">
        <v>1045</v>
      </c>
      <c r="CG366"/>
      <c r="CH366"/>
      <c r="CK366" s="592" t="str">
        <f t="shared" si="178"/>
        <v/>
      </c>
      <c r="CL366" s="421" t="str">
        <f t="shared" si="179"/>
        <v/>
      </c>
      <c r="CM366" s="594"/>
      <c r="CN366" s="594"/>
      <c r="CO366" s="594"/>
      <c r="CP366" s="594"/>
      <c r="CQ366" s="594"/>
      <c r="CR366" s="594"/>
    </row>
    <row r="367" spans="1:96" s="13" customFormat="1" ht="13.75" customHeight="1">
      <c r="A367" s="137">
        <v>352</v>
      </c>
      <c r="B367" s="138"/>
      <c r="C367" s="139"/>
      <c r="D367" s="140"/>
      <c r="E367" s="139"/>
      <c r="F367" s="139"/>
      <c r="G367" s="191"/>
      <c r="H367" s="139"/>
      <c r="I367" s="141"/>
      <c r="J367" s="142"/>
      <c r="K367" s="139"/>
      <c r="L367" s="147"/>
      <c r="M367" s="148"/>
      <c r="N367" s="139"/>
      <c r="O367" s="589"/>
      <c r="P367" s="229" t="str">
        <f t="shared" si="171"/>
        <v/>
      </c>
      <c r="Q367" s="229" t="str">
        <f t="shared" si="172"/>
        <v/>
      </c>
      <c r="R367" s="230" t="str">
        <f t="shared" si="173"/>
        <v/>
      </c>
      <c r="S367" s="230" t="str">
        <f t="shared" si="174"/>
        <v/>
      </c>
      <c r="T367" s="351"/>
      <c r="U367" s="43"/>
      <c r="V367" s="42" t="str">
        <f t="shared" si="150"/>
        <v/>
      </c>
      <c r="W367" s="42" t="e">
        <f>IF(#REF!="","",#REF!)</f>
        <v>#REF!</v>
      </c>
      <c r="X367" s="31" t="str">
        <f t="shared" si="151"/>
        <v/>
      </c>
      <c r="Y367" s="7" t="e">
        <f t="shared" si="152"/>
        <v>#N/A</v>
      </c>
      <c r="Z367" s="7" t="e">
        <f t="shared" si="153"/>
        <v>#N/A</v>
      </c>
      <c r="AA367" s="7" t="e">
        <f t="shared" si="154"/>
        <v>#N/A</v>
      </c>
      <c r="AB367" s="7" t="str">
        <f t="shared" si="155"/>
        <v/>
      </c>
      <c r="AC367" s="11">
        <f t="shared" si="156"/>
        <v>1</v>
      </c>
      <c r="AD367" s="7" t="e">
        <f t="shared" si="157"/>
        <v>#N/A</v>
      </c>
      <c r="AE367" s="7" t="e">
        <f t="shared" si="158"/>
        <v>#N/A</v>
      </c>
      <c r="AF367" s="7" t="e">
        <f t="shared" si="159"/>
        <v>#N/A</v>
      </c>
      <c r="AG367" s="472" t="e">
        <f>VLOOKUP(AI367,'排出係数(2017)'!$A$4:$I$1151,9,FALSE)</f>
        <v>#N/A</v>
      </c>
      <c r="AH367" s="12" t="str">
        <f t="shared" si="160"/>
        <v xml:space="preserve"> </v>
      </c>
      <c r="AI367" s="7" t="e">
        <f t="shared" si="175"/>
        <v>#N/A</v>
      </c>
      <c r="AJ367" s="7" t="e">
        <f t="shared" si="161"/>
        <v>#N/A</v>
      </c>
      <c r="AK367" s="472" t="e">
        <f>VLOOKUP(AI367,'排出係数(2017)'!$A$4:$I$1151,6,FALSE)</f>
        <v>#N/A</v>
      </c>
      <c r="AL367" s="7" t="e">
        <f t="shared" si="162"/>
        <v>#N/A</v>
      </c>
      <c r="AM367" s="7" t="e">
        <f t="shared" si="163"/>
        <v>#N/A</v>
      </c>
      <c r="AN367" s="472" t="e">
        <f>VLOOKUP(AI367,'排出係数(2017)'!$A$4:$I$1151,7,FALSE)</f>
        <v>#N/A</v>
      </c>
      <c r="AO367" s="7" t="e">
        <f t="shared" si="164"/>
        <v>#N/A</v>
      </c>
      <c r="AP367" s="7" t="e">
        <f t="shared" si="165"/>
        <v>#N/A</v>
      </c>
      <c r="AQ367" s="7" t="e">
        <f t="shared" si="176"/>
        <v>#N/A</v>
      </c>
      <c r="AR367" s="7">
        <f t="shared" si="166"/>
        <v>0</v>
      </c>
      <c r="AS367" s="7" t="e">
        <f t="shared" si="177"/>
        <v>#N/A</v>
      </c>
      <c r="AT367" s="7" t="str">
        <f t="shared" si="167"/>
        <v/>
      </c>
      <c r="AU367" s="7" t="str">
        <f t="shared" si="168"/>
        <v/>
      </c>
      <c r="AV367" s="7" t="str">
        <f t="shared" si="169"/>
        <v/>
      </c>
      <c r="AW367" s="7" t="str">
        <f t="shared" si="170"/>
        <v/>
      </c>
      <c r="AX367" s="97"/>
      <c r="BD367" s="473" t="s">
        <v>148</v>
      </c>
      <c r="CG367"/>
      <c r="CH367"/>
      <c r="CK367" s="592" t="str">
        <f t="shared" si="178"/>
        <v/>
      </c>
      <c r="CL367" s="421" t="str">
        <f t="shared" si="179"/>
        <v/>
      </c>
      <c r="CM367" s="594"/>
      <c r="CN367" s="594"/>
      <c r="CO367" s="594"/>
      <c r="CP367" s="594"/>
      <c r="CQ367" s="594"/>
      <c r="CR367" s="594"/>
    </row>
    <row r="368" spans="1:96" s="13" customFormat="1" ht="13.75" customHeight="1">
      <c r="A368" s="137">
        <v>353</v>
      </c>
      <c r="B368" s="138"/>
      <c r="C368" s="139"/>
      <c r="D368" s="140"/>
      <c r="E368" s="139"/>
      <c r="F368" s="139"/>
      <c r="G368" s="191"/>
      <c r="H368" s="139"/>
      <c r="I368" s="141"/>
      <c r="J368" s="142"/>
      <c r="K368" s="139"/>
      <c r="L368" s="147"/>
      <c r="M368" s="148"/>
      <c r="N368" s="139"/>
      <c r="O368" s="589"/>
      <c r="P368" s="229" t="str">
        <f t="shared" si="171"/>
        <v/>
      </c>
      <c r="Q368" s="229" t="str">
        <f t="shared" si="172"/>
        <v/>
      </c>
      <c r="R368" s="230" t="str">
        <f t="shared" si="173"/>
        <v/>
      </c>
      <c r="S368" s="230" t="str">
        <f t="shared" si="174"/>
        <v/>
      </c>
      <c r="T368" s="351"/>
      <c r="U368" s="43"/>
      <c r="V368" s="42" t="str">
        <f t="shared" si="150"/>
        <v/>
      </c>
      <c r="W368" s="42" t="e">
        <f>IF(#REF!="","",#REF!)</f>
        <v>#REF!</v>
      </c>
      <c r="X368" s="31" t="str">
        <f t="shared" si="151"/>
        <v/>
      </c>
      <c r="Y368" s="7" t="e">
        <f t="shared" si="152"/>
        <v>#N/A</v>
      </c>
      <c r="Z368" s="7" t="e">
        <f t="shared" si="153"/>
        <v>#N/A</v>
      </c>
      <c r="AA368" s="7" t="e">
        <f t="shared" si="154"/>
        <v>#N/A</v>
      </c>
      <c r="AB368" s="7" t="str">
        <f t="shared" si="155"/>
        <v/>
      </c>
      <c r="AC368" s="11">
        <f t="shared" si="156"/>
        <v>1</v>
      </c>
      <c r="AD368" s="7" t="e">
        <f t="shared" si="157"/>
        <v>#N/A</v>
      </c>
      <c r="AE368" s="7" t="e">
        <f t="shared" si="158"/>
        <v>#N/A</v>
      </c>
      <c r="AF368" s="7" t="e">
        <f t="shared" si="159"/>
        <v>#N/A</v>
      </c>
      <c r="AG368" s="472" t="e">
        <f>VLOOKUP(AI368,'排出係数(2017)'!$A$4:$I$1151,9,FALSE)</f>
        <v>#N/A</v>
      </c>
      <c r="AH368" s="12" t="str">
        <f t="shared" si="160"/>
        <v xml:space="preserve"> </v>
      </c>
      <c r="AI368" s="7" t="e">
        <f t="shared" si="175"/>
        <v>#N/A</v>
      </c>
      <c r="AJ368" s="7" t="e">
        <f t="shared" si="161"/>
        <v>#N/A</v>
      </c>
      <c r="AK368" s="472" t="e">
        <f>VLOOKUP(AI368,'排出係数(2017)'!$A$4:$I$1151,6,FALSE)</f>
        <v>#N/A</v>
      </c>
      <c r="AL368" s="7" t="e">
        <f t="shared" si="162"/>
        <v>#N/A</v>
      </c>
      <c r="AM368" s="7" t="e">
        <f t="shared" si="163"/>
        <v>#N/A</v>
      </c>
      <c r="AN368" s="472" t="e">
        <f>VLOOKUP(AI368,'排出係数(2017)'!$A$4:$I$1151,7,FALSE)</f>
        <v>#N/A</v>
      </c>
      <c r="AO368" s="7" t="e">
        <f t="shared" si="164"/>
        <v>#N/A</v>
      </c>
      <c r="AP368" s="7" t="e">
        <f t="shared" si="165"/>
        <v>#N/A</v>
      </c>
      <c r="AQ368" s="7" t="e">
        <f t="shared" si="176"/>
        <v>#N/A</v>
      </c>
      <c r="AR368" s="7">
        <f t="shared" si="166"/>
        <v>0</v>
      </c>
      <c r="AS368" s="7" t="e">
        <f t="shared" si="177"/>
        <v>#N/A</v>
      </c>
      <c r="AT368" s="7" t="str">
        <f t="shared" si="167"/>
        <v/>
      </c>
      <c r="AU368" s="7" t="str">
        <f t="shared" si="168"/>
        <v/>
      </c>
      <c r="AV368" s="7" t="str">
        <f t="shared" si="169"/>
        <v/>
      </c>
      <c r="AW368" s="7" t="str">
        <f t="shared" si="170"/>
        <v/>
      </c>
      <c r="AX368" s="97"/>
      <c r="BD368" s="453" t="s">
        <v>2539</v>
      </c>
      <c r="CG368"/>
      <c r="CH368"/>
      <c r="CK368" s="592" t="str">
        <f t="shared" si="178"/>
        <v/>
      </c>
      <c r="CL368" s="421" t="str">
        <f t="shared" si="179"/>
        <v/>
      </c>
      <c r="CM368" s="594"/>
      <c r="CN368" s="594"/>
      <c r="CO368" s="594"/>
      <c r="CP368" s="594"/>
      <c r="CQ368" s="594"/>
      <c r="CR368" s="594"/>
    </row>
    <row r="369" spans="1:96" s="13" customFormat="1" ht="13.75" customHeight="1">
      <c r="A369" s="137">
        <v>354</v>
      </c>
      <c r="B369" s="138"/>
      <c r="C369" s="139"/>
      <c r="D369" s="140"/>
      <c r="E369" s="139"/>
      <c r="F369" s="139"/>
      <c r="G369" s="191"/>
      <c r="H369" s="139"/>
      <c r="I369" s="141"/>
      <c r="J369" s="142"/>
      <c r="K369" s="139"/>
      <c r="L369" s="147"/>
      <c r="M369" s="148"/>
      <c r="N369" s="139"/>
      <c r="O369" s="589"/>
      <c r="P369" s="229" t="str">
        <f t="shared" si="171"/>
        <v/>
      </c>
      <c r="Q369" s="229" t="str">
        <f t="shared" si="172"/>
        <v/>
      </c>
      <c r="R369" s="230" t="str">
        <f t="shared" si="173"/>
        <v/>
      </c>
      <c r="S369" s="230" t="str">
        <f t="shared" si="174"/>
        <v/>
      </c>
      <c r="T369" s="351"/>
      <c r="U369" s="43"/>
      <c r="V369" s="42" t="str">
        <f t="shared" si="150"/>
        <v/>
      </c>
      <c r="W369" s="42" t="e">
        <f>IF(#REF!="","",#REF!)</f>
        <v>#REF!</v>
      </c>
      <c r="X369" s="31" t="str">
        <f t="shared" si="151"/>
        <v/>
      </c>
      <c r="Y369" s="7" t="e">
        <f t="shared" si="152"/>
        <v>#N/A</v>
      </c>
      <c r="Z369" s="7" t="e">
        <f t="shared" si="153"/>
        <v>#N/A</v>
      </c>
      <c r="AA369" s="7" t="e">
        <f t="shared" si="154"/>
        <v>#N/A</v>
      </c>
      <c r="AB369" s="7" t="str">
        <f t="shared" si="155"/>
        <v/>
      </c>
      <c r="AC369" s="11">
        <f t="shared" si="156"/>
        <v>1</v>
      </c>
      <c r="AD369" s="7" t="e">
        <f t="shared" si="157"/>
        <v>#N/A</v>
      </c>
      <c r="AE369" s="7" t="e">
        <f t="shared" si="158"/>
        <v>#N/A</v>
      </c>
      <c r="AF369" s="7" t="e">
        <f t="shared" si="159"/>
        <v>#N/A</v>
      </c>
      <c r="AG369" s="472" t="e">
        <f>VLOOKUP(AI369,'排出係数(2017)'!$A$4:$I$1151,9,FALSE)</f>
        <v>#N/A</v>
      </c>
      <c r="AH369" s="12" t="str">
        <f t="shared" si="160"/>
        <v xml:space="preserve"> </v>
      </c>
      <c r="AI369" s="7" t="e">
        <f t="shared" si="175"/>
        <v>#N/A</v>
      </c>
      <c r="AJ369" s="7" t="e">
        <f t="shared" si="161"/>
        <v>#N/A</v>
      </c>
      <c r="AK369" s="472" t="e">
        <f>VLOOKUP(AI369,'排出係数(2017)'!$A$4:$I$1151,6,FALSE)</f>
        <v>#N/A</v>
      </c>
      <c r="AL369" s="7" t="e">
        <f t="shared" si="162"/>
        <v>#N/A</v>
      </c>
      <c r="AM369" s="7" t="e">
        <f t="shared" si="163"/>
        <v>#N/A</v>
      </c>
      <c r="AN369" s="472" t="e">
        <f>VLOOKUP(AI369,'排出係数(2017)'!$A$4:$I$1151,7,FALSE)</f>
        <v>#N/A</v>
      </c>
      <c r="AO369" s="7" t="e">
        <f t="shared" si="164"/>
        <v>#N/A</v>
      </c>
      <c r="AP369" s="7" t="e">
        <f t="shared" si="165"/>
        <v>#N/A</v>
      </c>
      <c r="AQ369" s="7" t="e">
        <f t="shared" si="176"/>
        <v>#N/A</v>
      </c>
      <c r="AR369" s="7">
        <f t="shared" si="166"/>
        <v>0</v>
      </c>
      <c r="AS369" s="7" t="e">
        <f t="shared" si="177"/>
        <v>#N/A</v>
      </c>
      <c r="AT369" s="7" t="str">
        <f t="shared" si="167"/>
        <v/>
      </c>
      <c r="AU369" s="7" t="str">
        <f t="shared" si="168"/>
        <v/>
      </c>
      <c r="AV369" s="7" t="str">
        <f t="shared" si="169"/>
        <v/>
      </c>
      <c r="AW369" s="7" t="str">
        <f t="shared" si="170"/>
        <v/>
      </c>
      <c r="AX369" s="97"/>
      <c r="BD369" s="453" t="s">
        <v>149</v>
      </c>
      <c r="CG369"/>
      <c r="CH369"/>
      <c r="CK369" s="592" t="str">
        <f t="shared" si="178"/>
        <v/>
      </c>
      <c r="CL369" s="421" t="str">
        <f t="shared" si="179"/>
        <v/>
      </c>
      <c r="CM369" s="594"/>
      <c r="CN369" s="594"/>
      <c r="CO369" s="594"/>
      <c r="CP369" s="594"/>
      <c r="CQ369" s="594"/>
      <c r="CR369" s="594"/>
    </row>
    <row r="370" spans="1:96" s="13" customFormat="1" ht="13.75" customHeight="1">
      <c r="A370" s="137">
        <v>355</v>
      </c>
      <c r="B370" s="138"/>
      <c r="C370" s="139"/>
      <c r="D370" s="140"/>
      <c r="E370" s="139"/>
      <c r="F370" s="139"/>
      <c r="G370" s="191"/>
      <c r="H370" s="139"/>
      <c r="I370" s="141"/>
      <c r="J370" s="142"/>
      <c r="K370" s="139"/>
      <c r="L370" s="147"/>
      <c r="M370" s="148"/>
      <c r="N370" s="139"/>
      <c r="O370" s="589"/>
      <c r="P370" s="229" t="str">
        <f t="shared" si="171"/>
        <v/>
      </c>
      <c r="Q370" s="229" t="str">
        <f t="shared" si="172"/>
        <v/>
      </c>
      <c r="R370" s="230" t="str">
        <f t="shared" si="173"/>
        <v/>
      </c>
      <c r="S370" s="230" t="str">
        <f t="shared" si="174"/>
        <v/>
      </c>
      <c r="T370" s="351"/>
      <c r="U370" s="43"/>
      <c r="V370" s="42" t="str">
        <f t="shared" si="150"/>
        <v/>
      </c>
      <c r="W370" s="42" t="e">
        <f>IF(#REF!="","",#REF!)</f>
        <v>#REF!</v>
      </c>
      <c r="X370" s="31" t="str">
        <f t="shared" si="151"/>
        <v/>
      </c>
      <c r="Y370" s="7" t="e">
        <f t="shared" si="152"/>
        <v>#N/A</v>
      </c>
      <c r="Z370" s="7" t="e">
        <f t="shared" si="153"/>
        <v>#N/A</v>
      </c>
      <c r="AA370" s="7" t="e">
        <f t="shared" si="154"/>
        <v>#N/A</v>
      </c>
      <c r="AB370" s="7" t="str">
        <f t="shared" si="155"/>
        <v/>
      </c>
      <c r="AC370" s="11">
        <f t="shared" si="156"/>
        <v>1</v>
      </c>
      <c r="AD370" s="7" t="e">
        <f t="shared" si="157"/>
        <v>#N/A</v>
      </c>
      <c r="AE370" s="7" t="e">
        <f t="shared" si="158"/>
        <v>#N/A</v>
      </c>
      <c r="AF370" s="7" t="e">
        <f t="shared" si="159"/>
        <v>#N/A</v>
      </c>
      <c r="AG370" s="472" t="e">
        <f>VLOOKUP(AI370,'排出係数(2017)'!$A$4:$I$1151,9,FALSE)</f>
        <v>#N/A</v>
      </c>
      <c r="AH370" s="12" t="str">
        <f t="shared" si="160"/>
        <v xml:space="preserve"> </v>
      </c>
      <c r="AI370" s="7" t="e">
        <f t="shared" si="175"/>
        <v>#N/A</v>
      </c>
      <c r="AJ370" s="7" t="e">
        <f t="shared" si="161"/>
        <v>#N/A</v>
      </c>
      <c r="AK370" s="472" t="e">
        <f>VLOOKUP(AI370,'排出係数(2017)'!$A$4:$I$1151,6,FALSE)</f>
        <v>#N/A</v>
      </c>
      <c r="AL370" s="7" t="e">
        <f t="shared" si="162"/>
        <v>#N/A</v>
      </c>
      <c r="AM370" s="7" t="e">
        <f t="shared" si="163"/>
        <v>#N/A</v>
      </c>
      <c r="AN370" s="472" t="e">
        <f>VLOOKUP(AI370,'排出係数(2017)'!$A$4:$I$1151,7,FALSE)</f>
        <v>#N/A</v>
      </c>
      <c r="AO370" s="7" t="e">
        <f t="shared" si="164"/>
        <v>#N/A</v>
      </c>
      <c r="AP370" s="7" t="e">
        <f t="shared" si="165"/>
        <v>#N/A</v>
      </c>
      <c r="AQ370" s="7" t="e">
        <f t="shared" si="176"/>
        <v>#N/A</v>
      </c>
      <c r="AR370" s="7">
        <f t="shared" si="166"/>
        <v>0</v>
      </c>
      <c r="AS370" s="7" t="e">
        <f t="shared" si="177"/>
        <v>#N/A</v>
      </c>
      <c r="AT370" s="7" t="str">
        <f t="shared" si="167"/>
        <v/>
      </c>
      <c r="AU370" s="7" t="str">
        <f t="shared" si="168"/>
        <v/>
      </c>
      <c r="AV370" s="7" t="str">
        <f t="shared" si="169"/>
        <v/>
      </c>
      <c r="AW370" s="7" t="str">
        <f t="shared" si="170"/>
        <v/>
      </c>
      <c r="AX370" s="97"/>
      <c r="BD370" s="453" t="s">
        <v>2540</v>
      </c>
      <c r="CG370"/>
      <c r="CH370"/>
      <c r="CK370" s="592" t="str">
        <f t="shared" si="178"/>
        <v/>
      </c>
      <c r="CL370" s="421" t="str">
        <f t="shared" si="179"/>
        <v/>
      </c>
      <c r="CM370" s="594"/>
      <c r="CN370" s="594"/>
      <c r="CO370" s="594"/>
      <c r="CP370" s="594"/>
      <c r="CQ370" s="594"/>
      <c r="CR370" s="594"/>
    </row>
    <row r="371" spans="1:96" s="13" customFormat="1" ht="13.75" customHeight="1">
      <c r="A371" s="137">
        <v>356</v>
      </c>
      <c r="B371" s="138"/>
      <c r="C371" s="139"/>
      <c r="D371" s="140"/>
      <c r="E371" s="139"/>
      <c r="F371" s="139"/>
      <c r="G371" s="191"/>
      <c r="H371" s="139"/>
      <c r="I371" s="141"/>
      <c r="J371" s="142"/>
      <c r="K371" s="139"/>
      <c r="L371" s="147"/>
      <c r="M371" s="148"/>
      <c r="N371" s="139"/>
      <c r="O371" s="589"/>
      <c r="P371" s="229" t="str">
        <f t="shared" si="171"/>
        <v/>
      </c>
      <c r="Q371" s="229" t="str">
        <f t="shared" si="172"/>
        <v/>
      </c>
      <c r="R371" s="230" t="str">
        <f t="shared" si="173"/>
        <v/>
      </c>
      <c r="S371" s="230" t="str">
        <f t="shared" si="174"/>
        <v/>
      </c>
      <c r="T371" s="351"/>
      <c r="U371" s="43"/>
      <c r="V371" s="42" t="str">
        <f t="shared" si="150"/>
        <v/>
      </c>
      <c r="W371" s="42" t="e">
        <f>IF(#REF!="","",#REF!)</f>
        <v>#REF!</v>
      </c>
      <c r="X371" s="31" t="str">
        <f t="shared" si="151"/>
        <v/>
      </c>
      <c r="Y371" s="7" t="e">
        <f t="shared" si="152"/>
        <v>#N/A</v>
      </c>
      <c r="Z371" s="7" t="e">
        <f t="shared" si="153"/>
        <v>#N/A</v>
      </c>
      <c r="AA371" s="7" t="e">
        <f t="shared" si="154"/>
        <v>#N/A</v>
      </c>
      <c r="AB371" s="7" t="str">
        <f t="shared" si="155"/>
        <v/>
      </c>
      <c r="AC371" s="11">
        <f t="shared" si="156"/>
        <v>1</v>
      </c>
      <c r="AD371" s="7" t="e">
        <f t="shared" si="157"/>
        <v>#N/A</v>
      </c>
      <c r="AE371" s="7" t="e">
        <f t="shared" si="158"/>
        <v>#N/A</v>
      </c>
      <c r="AF371" s="7" t="e">
        <f t="shared" si="159"/>
        <v>#N/A</v>
      </c>
      <c r="AG371" s="472" t="e">
        <f>VLOOKUP(AI371,'排出係数(2017)'!$A$4:$I$1151,9,FALSE)</f>
        <v>#N/A</v>
      </c>
      <c r="AH371" s="12" t="str">
        <f t="shared" si="160"/>
        <v xml:space="preserve"> </v>
      </c>
      <c r="AI371" s="7" t="e">
        <f t="shared" si="175"/>
        <v>#N/A</v>
      </c>
      <c r="AJ371" s="7" t="e">
        <f t="shared" si="161"/>
        <v>#N/A</v>
      </c>
      <c r="AK371" s="472" t="e">
        <f>VLOOKUP(AI371,'排出係数(2017)'!$A$4:$I$1151,6,FALSE)</f>
        <v>#N/A</v>
      </c>
      <c r="AL371" s="7" t="e">
        <f t="shared" si="162"/>
        <v>#N/A</v>
      </c>
      <c r="AM371" s="7" t="e">
        <f t="shared" si="163"/>
        <v>#N/A</v>
      </c>
      <c r="AN371" s="472" t="e">
        <f>VLOOKUP(AI371,'排出係数(2017)'!$A$4:$I$1151,7,FALSE)</f>
        <v>#N/A</v>
      </c>
      <c r="AO371" s="7" t="e">
        <f t="shared" si="164"/>
        <v>#N/A</v>
      </c>
      <c r="AP371" s="7" t="e">
        <f t="shared" si="165"/>
        <v>#N/A</v>
      </c>
      <c r="AQ371" s="7" t="e">
        <f t="shared" si="176"/>
        <v>#N/A</v>
      </c>
      <c r="AR371" s="7">
        <f t="shared" si="166"/>
        <v>0</v>
      </c>
      <c r="AS371" s="7" t="e">
        <f t="shared" si="177"/>
        <v>#N/A</v>
      </c>
      <c r="AT371" s="7" t="str">
        <f t="shared" si="167"/>
        <v/>
      </c>
      <c r="AU371" s="7" t="str">
        <f t="shared" si="168"/>
        <v/>
      </c>
      <c r="AV371" s="7" t="str">
        <f t="shared" si="169"/>
        <v/>
      </c>
      <c r="AW371" s="7" t="str">
        <f t="shared" si="170"/>
        <v/>
      </c>
      <c r="AX371" s="97"/>
      <c r="BD371" s="453" t="s">
        <v>150</v>
      </c>
      <c r="CG371"/>
      <c r="CH371"/>
      <c r="CK371" s="592" t="str">
        <f t="shared" si="178"/>
        <v/>
      </c>
      <c r="CL371" s="421" t="str">
        <f t="shared" si="179"/>
        <v/>
      </c>
      <c r="CM371" s="594"/>
      <c r="CN371" s="594"/>
      <c r="CO371" s="594"/>
      <c r="CP371" s="594"/>
      <c r="CQ371" s="594"/>
      <c r="CR371" s="594"/>
    </row>
    <row r="372" spans="1:96" s="13" customFormat="1" ht="13.75" customHeight="1">
      <c r="A372" s="137">
        <v>357</v>
      </c>
      <c r="B372" s="138"/>
      <c r="C372" s="139"/>
      <c r="D372" s="140"/>
      <c r="E372" s="139"/>
      <c r="F372" s="139"/>
      <c r="G372" s="191"/>
      <c r="H372" s="139"/>
      <c r="I372" s="141"/>
      <c r="J372" s="142"/>
      <c r="K372" s="139"/>
      <c r="L372" s="147"/>
      <c r="M372" s="148"/>
      <c r="N372" s="139"/>
      <c r="O372" s="589"/>
      <c r="P372" s="229" t="str">
        <f t="shared" si="171"/>
        <v/>
      </c>
      <c r="Q372" s="229" t="str">
        <f t="shared" si="172"/>
        <v/>
      </c>
      <c r="R372" s="230" t="str">
        <f t="shared" si="173"/>
        <v/>
      </c>
      <c r="S372" s="230" t="str">
        <f t="shared" si="174"/>
        <v/>
      </c>
      <c r="T372" s="351"/>
      <c r="U372" s="43"/>
      <c r="V372" s="42" t="str">
        <f t="shared" si="150"/>
        <v/>
      </c>
      <c r="W372" s="42" t="e">
        <f>IF(#REF!="","",#REF!)</f>
        <v>#REF!</v>
      </c>
      <c r="X372" s="31" t="str">
        <f t="shared" si="151"/>
        <v/>
      </c>
      <c r="Y372" s="7" t="e">
        <f t="shared" si="152"/>
        <v>#N/A</v>
      </c>
      <c r="Z372" s="7" t="e">
        <f t="shared" si="153"/>
        <v>#N/A</v>
      </c>
      <c r="AA372" s="7" t="e">
        <f t="shared" si="154"/>
        <v>#N/A</v>
      </c>
      <c r="AB372" s="7" t="str">
        <f t="shared" si="155"/>
        <v/>
      </c>
      <c r="AC372" s="11">
        <f t="shared" si="156"/>
        <v>1</v>
      </c>
      <c r="AD372" s="7" t="e">
        <f t="shared" si="157"/>
        <v>#N/A</v>
      </c>
      <c r="AE372" s="7" t="e">
        <f t="shared" si="158"/>
        <v>#N/A</v>
      </c>
      <c r="AF372" s="7" t="e">
        <f t="shared" si="159"/>
        <v>#N/A</v>
      </c>
      <c r="AG372" s="472" t="e">
        <f>VLOOKUP(AI372,'排出係数(2017)'!$A$4:$I$1151,9,FALSE)</f>
        <v>#N/A</v>
      </c>
      <c r="AH372" s="12" t="str">
        <f t="shared" si="160"/>
        <v xml:space="preserve"> </v>
      </c>
      <c r="AI372" s="7" t="e">
        <f t="shared" si="175"/>
        <v>#N/A</v>
      </c>
      <c r="AJ372" s="7" t="e">
        <f t="shared" si="161"/>
        <v>#N/A</v>
      </c>
      <c r="AK372" s="472" t="e">
        <f>VLOOKUP(AI372,'排出係数(2017)'!$A$4:$I$1151,6,FALSE)</f>
        <v>#N/A</v>
      </c>
      <c r="AL372" s="7" t="e">
        <f t="shared" si="162"/>
        <v>#N/A</v>
      </c>
      <c r="AM372" s="7" t="e">
        <f t="shared" si="163"/>
        <v>#N/A</v>
      </c>
      <c r="AN372" s="472" t="e">
        <f>VLOOKUP(AI372,'排出係数(2017)'!$A$4:$I$1151,7,FALSE)</f>
        <v>#N/A</v>
      </c>
      <c r="AO372" s="7" t="e">
        <f t="shared" si="164"/>
        <v>#N/A</v>
      </c>
      <c r="AP372" s="7" t="e">
        <f t="shared" si="165"/>
        <v>#N/A</v>
      </c>
      <c r="AQ372" s="7" t="e">
        <f t="shared" si="176"/>
        <v>#N/A</v>
      </c>
      <c r="AR372" s="7">
        <f t="shared" si="166"/>
        <v>0</v>
      </c>
      <c r="AS372" s="7" t="e">
        <f t="shared" si="177"/>
        <v>#N/A</v>
      </c>
      <c r="AT372" s="7" t="str">
        <f t="shared" si="167"/>
        <v/>
      </c>
      <c r="AU372" s="7" t="str">
        <f t="shared" si="168"/>
        <v/>
      </c>
      <c r="AV372" s="7" t="str">
        <f t="shared" si="169"/>
        <v/>
      </c>
      <c r="AW372" s="7" t="str">
        <f t="shared" si="170"/>
        <v/>
      </c>
      <c r="AX372" s="97"/>
      <c r="BD372" s="453" t="s">
        <v>151</v>
      </c>
      <c r="CG372"/>
      <c r="CH372"/>
      <c r="CK372" s="592" t="str">
        <f t="shared" si="178"/>
        <v/>
      </c>
      <c r="CL372" s="421" t="str">
        <f t="shared" si="179"/>
        <v/>
      </c>
      <c r="CM372" s="594"/>
      <c r="CN372" s="594"/>
      <c r="CO372" s="594"/>
      <c r="CP372" s="594"/>
      <c r="CQ372" s="594"/>
      <c r="CR372" s="594"/>
    </row>
    <row r="373" spans="1:96" s="13" customFormat="1" ht="13.75" customHeight="1">
      <c r="A373" s="137">
        <v>358</v>
      </c>
      <c r="B373" s="138"/>
      <c r="C373" s="139"/>
      <c r="D373" s="140"/>
      <c r="E373" s="139"/>
      <c r="F373" s="139"/>
      <c r="G373" s="191"/>
      <c r="H373" s="139"/>
      <c r="I373" s="141"/>
      <c r="J373" s="142"/>
      <c r="K373" s="139"/>
      <c r="L373" s="147"/>
      <c r="M373" s="148"/>
      <c r="N373" s="139"/>
      <c r="O373" s="589"/>
      <c r="P373" s="229" t="str">
        <f t="shared" si="171"/>
        <v/>
      </c>
      <c r="Q373" s="229" t="str">
        <f t="shared" si="172"/>
        <v/>
      </c>
      <c r="R373" s="230" t="str">
        <f t="shared" si="173"/>
        <v/>
      </c>
      <c r="S373" s="230" t="str">
        <f t="shared" si="174"/>
        <v/>
      </c>
      <c r="T373" s="351"/>
      <c r="U373" s="43"/>
      <c r="V373" s="42" t="str">
        <f t="shared" si="150"/>
        <v/>
      </c>
      <c r="W373" s="42" t="e">
        <f>IF(#REF!="","",#REF!)</f>
        <v>#REF!</v>
      </c>
      <c r="X373" s="31" t="str">
        <f t="shared" si="151"/>
        <v/>
      </c>
      <c r="Y373" s="7" t="e">
        <f t="shared" si="152"/>
        <v>#N/A</v>
      </c>
      <c r="Z373" s="7" t="e">
        <f t="shared" si="153"/>
        <v>#N/A</v>
      </c>
      <c r="AA373" s="7" t="e">
        <f t="shared" si="154"/>
        <v>#N/A</v>
      </c>
      <c r="AB373" s="7" t="str">
        <f t="shared" si="155"/>
        <v/>
      </c>
      <c r="AC373" s="11">
        <f t="shared" si="156"/>
        <v>1</v>
      </c>
      <c r="AD373" s="7" t="e">
        <f t="shared" si="157"/>
        <v>#N/A</v>
      </c>
      <c r="AE373" s="7" t="e">
        <f t="shared" si="158"/>
        <v>#N/A</v>
      </c>
      <c r="AF373" s="7" t="e">
        <f t="shared" si="159"/>
        <v>#N/A</v>
      </c>
      <c r="AG373" s="472" t="e">
        <f>VLOOKUP(AI373,'排出係数(2017)'!$A$4:$I$1151,9,FALSE)</f>
        <v>#N/A</v>
      </c>
      <c r="AH373" s="12" t="str">
        <f t="shared" si="160"/>
        <v xml:space="preserve"> </v>
      </c>
      <c r="AI373" s="7" t="e">
        <f t="shared" si="175"/>
        <v>#N/A</v>
      </c>
      <c r="AJ373" s="7" t="e">
        <f t="shared" si="161"/>
        <v>#N/A</v>
      </c>
      <c r="AK373" s="472" t="e">
        <f>VLOOKUP(AI373,'排出係数(2017)'!$A$4:$I$1151,6,FALSE)</f>
        <v>#N/A</v>
      </c>
      <c r="AL373" s="7" t="e">
        <f t="shared" si="162"/>
        <v>#N/A</v>
      </c>
      <c r="AM373" s="7" t="e">
        <f t="shared" si="163"/>
        <v>#N/A</v>
      </c>
      <c r="AN373" s="472" t="e">
        <f>VLOOKUP(AI373,'排出係数(2017)'!$A$4:$I$1151,7,FALSE)</f>
        <v>#N/A</v>
      </c>
      <c r="AO373" s="7" t="e">
        <f t="shared" si="164"/>
        <v>#N/A</v>
      </c>
      <c r="AP373" s="7" t="e">
        <f t="shared" si="165"/>
        <v>#N/A</v>
      </c>
      <c r="AQ373" s="7" t="e">
        <f t="shared" si="176"/>
        <v>#N/A</v>
      </c>
      <c r="AR373" s="7">
        <f t="shared" si="166"/>
        <v>0</v>
      </c>
      <c r="AS373" s="7" t="e">
        <f t="shared" si="177"/>
        <v>#N/A</v>
      </c>
      <c r="AT373" s="7" t="str">
        <f t="shared" si="167"/>
        <v/>
      </c>
      <c r="AU373" s="7" t="str">
        <f t="shared" si="168"/>
        <v/>
      </c>
      <c r="AV373" s="7" t="str">
        <f t="shared" si="169"/>
        <v/>
      </c>
      <c r="AW373" s="7" t="str">
        <f t="shared" si="170"/>
        <v/>
      </c>
      <c r="AX373" s="97"/>
      <c r="BD373" s="453" t="s">
        <v>152</v>
      </c>
      <c r="CG373"/>
      <c r="CH373"/>
      <c r="CK373" s="592" t="str">
        <f t="shared" si="178"/>
        <v/>
      </c>
      <c r="CL373" s="421" t="str">
        <f t="shared" si="179"/>
        <v/>
      </c>
      <c r="CM373" s="594"/>
      <c r="CN373" s="594"/>
      <c r="CO373" s="594"/>
      <c r="CP373" s="594"/>
      <c r="CQ373" s="594"/>
      <c r="CR373" s="594"/>
    </row>
    <row r="374" spans="1:96" s="13" customFormat="1" ht="13.75" customHeight="1">
      <c r="A374" s="137">
        <v>359</v>
      </c>
      <c r="B374" s="138"/>
      <c r="C374" s="139"/>
      <c r="D374" s="140"/>
      <c r="E374" s="139"/>
      <c r="F374" s="139"/>
      <c r="G374" s="191"/>
      <c r="H374" s="139"/>
      <c r="I374" s="141"/>
      <c r="J374" s="142"/>
      <c r="K374" s="139"/>
      <c r="L374" s="147"/>
      <c r="M374" s="148"/>
      <c r="N374" s="139"/>
      <c r="O374" s="589"/>
      <c r="P374" s="229" t="str">
        <f t="shared" si="171"/>
        <v/>
      </c>
      <c r="Q374" s="229" t="str">
        <f t="shared" si="172"/>
        <v/>
      </c>
      <c r="R374" s="230" t="str">
        <f t="shared" si="173"/>
        <v/>
      </c>
      <c r="S374" s="230" t="str">
        <f t="shared" si="174"/>
        <v/>
      </c>
      <c r="T374" s="351"/>
      <c r="U374" s="43"/>
      <c r="V374" s="42" t="str">
        <f t="shared" si="150"/>
        <v/>
      </c>
      <c r="W374" s="42" t="e">
        <f>IF(#REF!="","",#REF!)</f>
        <v>#REF!</v>
      </c>
      <c r="X374" s="31" t="str">
        <f t="shared" si="151"/>
        <v/>
      </c>
      <c r="Y374" s="7" t="e">
        <f t="shared" si="152"/>
        <v>#N/A</v>
      </c>
      <c r="Z374" s="7" t="e">
        <f t="shared" si="153"/>
        <v>#N/A</v>
      </c>
      <c r="AA374" s="7" t="e">
        <f t="shared" si="154"/>
        <v>#N/A</v>
      </c>
      <c r="AB374" s="7" t="str">
        <f t="shared" si="155"/>
        <v/>
      </c>
      <c r="AC374" s="11">
        <f t="shared" si="156"/>
        <v>1</v>
      </c>
      <c r="AD374" s="7" t="e">
        <f t="shared" si="157"/>
        <v>#N/A</v>
      </c>
      <c r="AE374" s="7" t="e">
        <f t="shared" si="158"/>
        <v>#N/A</v>
      </c>
      <c r="AF374" s="7" t="e">
        <f t="shared" si="159"/>
        <v>#N/A</v>
      </c>
      <c r="AG374" s="472" t="e">
        <f>VLOOKUP(AI374,'排出係数(2017)'!$A$4:$I$1151,9,FALSE)</f>
        <v>#N/A</v>
      </c>
      <c r="AH374" s="12" t="str">
        <f t="shared" si="160"/>
        <v xml:space="preserve"> </v>
      </c>
      <c r="AI374" s="7" t="e">
        <f t="shared" si="175"/>
        <v>#N/A</v>
      </c>
      <c r="AJ374" s="7" t="e">
        <f t="shared" si="161"/>
        <v>#N/A</v>
      </c>
      <c r="AK374" s="472" t="e">
        <f>VLOOKUP(AI374,'排出係数(2017)'!$A$4:$I$1151,6,FALSE)</f>
        <v>#N/A</v>
      </c>
      <c r="AL374" s="7" t="e">
        <f t="shared" si="162"/>
        <v>#N/A</v>
      </c>
      <c r="AM374" s="7" t="e">
        <f t="shared" si="163"/>
        <v>#N/A</v>
      </c>
      <c r="AN374" s="472" t="e">
        <f>VLOOKUP(AI374,'排出係数(2017)'!$A$4:$I$1151,7,FALSE)</f>
        <v>#N/A</v>
      </c>
      <c r="AO374" s="7" t="e">
        <f t="shared" si="164"/>
        <v>#N/A</v>
      </c>
      <c r="AP374" s="7" t="e">
        <f t="shared" si="165"/>
        <v>#N/A</v>
      </c>
      <c r="AQ374" s="7" t="e">
        <f t="shared" si="176"/>
        <v>#N/A</v>
      </c>
      <c r="AR374" s="7">
        <f t="shared" si="166"/>
        <v>0</v>
      </c>
      <c r="AS374" s="7" t="e">
        <f t="shared" si="177"/>
        <v>#N/A</v>
      </c>
      <c r="AT374" s="7" t="str">
        <f t="shared" si="167"/>
        <v/>
      </c>
      <c r="AU374" s="7" t="str">
        <f t="shared" si="168"/>
        <v/>
      </c>
      <c r="AV374" s="7" t="str">
        <f t="shared" si="169"/>
        <v/>
      </c>
      <c r="AW374" s="7" t="str">
        <f t="shared" si="170"/>
        <v/>
      </c>
      <c r="AX374" s="97"/>
      <c r="BD374" s="453" t="s">
        <v>153</v>
      </c>
      <c r="CG374"/>
      <c r="CH374"/>
      <c r="CK374" s="592" t="str">
        <f t="shared" si="178"/>
        <v/>
      </c>
      <c r="CL374" s="421" t="str">
        <f t="shared" si="179"/>
        <v/>
      </c>
      <c r="CM374" s="594"/>
      <c r="CN374" s="594"/>
      <c r="CO374" s="594"/>
      <c r="CP374" s="594"/>
      <c r="CQ374" s="594"/>
      <c r="CR374" s="594"/>
    </row>
    <row r="375" spans="1:96" s="13" customFormat="1" ht="13.75" customHeight="1">
      <c r="A375" s="137">
        <v>360</v>
      </c>
      <c r="B375" s="138"/>
      <c r="C375" s="139"/>
      <c r="D375" s="140"/>
      <c r="E375" s="139"/>
      <c r="F375" s="139"/>
      <c r="G375" s="191"/>
      <c r="H375" s="139"/>
      <c r="I375" s="141"/>
      <c r="J375" s="142"/>
      <c r="K375" s="139"/>
      <c r="L375" s="147"/>
      <c r="M375" s="148"/>
      <c r="N375" s="139"/>
      <c r="O375" s="589"/>
      <c r="P375" s="229" t="str">
        <f t="shared" si="171"/>
        <v/>
      </c>
      <c r="Q375" s="229" t="str">
        <f t="shared" si="172"/>
        <v/>
      </c>
      <c r="R375" s="230" t="str">
        <f t="shared" si="173"/>
        <v/>
      </c>
      <c r="S375" s="230" t="str">
        <f t="shared" si="174"/>
        <v/>
      </c>
      <c r="T375" s="351"/>
      <c r="U375" s="43"/>
      <c r="V375" s="42" t="str">
        <f t="shared" si="150"/>
        <v/>
      </c>
      <c r="W375" s="42" t="e">
        <f>IF(#REF!="","",#REF!)</f>
        <v>#REF!</v>
      </c>
      <c r="X375" s="31" t="str">
        <f t="shared" si="151"/>
        <v/>
      </c>
      <c r="Y375" s="7" t="e">
        <f t="shared" si="152"/>
        <v>#N/A</v>
      </c>
      <c r="Z375" s="7" t="e">
        <f t="shared" si="153"/>
        <v>#N/A</v>
      </c>
      <c r="AA375" s="7" t="e">
        <f t="shared" si="154"/>
        <v>#N/A</v>
      </c>
      <c r="AB375" s="7" t="str">
        <f t="shared" si="155"/>
        <v/>
      </c>
      <c r="AC375" s="11">
        <f t="shared" si="156"/>
        <v>1</v>
      </c>
      <c r="AD375" s="7" t="e">
        <f t="shared" si="157"/>
        <v>#N/A</v>
      </c>
      <c r="AE375" s="7" t="e">
        <f t="shared" si="158"/>
        <v>#N/A</v>
      </c>
      <c r="AF375" s="7" t="e">
        <f t="shared" si="159"/>
        <v>#N/A</v>
      </c>
      <c r="AG375" s="472" t="e">
        <f>VLOOKUP(AI375,'排出係数(2017)'!$A$4:$I$1151,9,FALSE)</f>
        <v>#N/A</v>
      </c>
      <c r="AH375" s="12" t="str">
        <f t="shared" si="160"/>
        <v xml:space="preserve"> </v>
      </c>
      <c r="AI375" s="7" t="e">
        <f t="shared" si="175"/>
        <v>#N/A</v>
      </c>
      <c r="AJ375" s="7" t="e">
        <f t="shared" si="161"/>
        <v>#N/A</v>
      </c>
      <c r="AK375" s="472" t="e">
        <f>VLOOKUP(AI375,'排出係数(2017)'!$A$4:$I$1151,6,FALSE)</f>
        <v>#N/A</v>
      </c>
      <c r="AL375" s="7" t="e">
        <f t="shared" si="162"/>
        <v>#N/A</v>
      </c>
      <c r="AM375" s="7" t="e">
        <f t="shared" si="163"/>
        <v>#N/A</v>
      </c>
      <c r="AN375" s="472" t="e">
        <f>VLOOKUP(AI375,'排出係数(2017)'!$A$4:$I$1151,7,FALSE)</f>
        <v>#N/A</v>
      </c>
      <c r="AO375" s="7" t="e">
        <f t="shared" si="164"/>
        <v>#N/A</v>
      </c>
      <c r="AP375" s="7" t="e">
        <f t="shared" si="165"/>
        <v>#N/A</v>
      </c>
      <c r="AQ375" s="7" t="e">
        <f t="shared" si="176"/>
        <v>#N/A</v>
      </c>
      <c r="AR375" s="7">
        <f t="shared" si="166"/>
        <v>0</v>
      </c>
      <c r="AS375" s="7" t="e">
        <f t="shared" si="177"/>
        <v>#N/A</v>
      </c>
      <c r="AT375" s="7" t="str">
        <f t="shared" si="167"/>
        <v/>
      </c>
      <c r="AU375" s="7" t="str">
        <f t="shared" si="168"/>
        <v/>
      </c>
      <c r="AV375" s="7" t="str">
        <f t="shared" si="169"/>
        <v/>
      </c>
      <c r="AW375" s="7" t="str">
        <f t="shared" si="170"/>
        <v/>
      </c>
      <c r="AX375" s="97"/>
      <c r="BD375" s="453" t="s">
        <v>31</v>
      </c>
      <c r="CG375"/>
      <c r="CH375"/>
      <c r="CK375" s="592" t="str">
        <f t="shared" si="178"/>
        <v/>
      </c>
      <c r="CL375" s="421" t="str">
        <f t="shared" si="179"/>
        <v/>
      </c>
      <c r="CM375" s="594"/>
      <c r="CN375" s="594"/>
      <c r="CO375" s="594"/>
      <c r="CP375" s="594"/>
      <c r="CQ375" s="594"/>
      <c r="CR375" s="594"/>
    </row>
    <row r="376" spans="1:96" s="13" customFormat="1" ht="13.75" customHeight="1">
      <c r="A376" s="137">
        <v>361</v>
      </c>
      <c r="B376" s="138"/>
      <c r="C376" s="139"/>
      <c r="D376" s="140"/>
      <c r="E376" s="139"/>
      <c r="F376" s="139"/>
      <c r="G376" s="191"/>
      <c r="H376" s="139"/>
      <c r="I376" s="141"/>
      <c r="J376" s="142"/>
      <c r="K376" s="139"/>
      <c r="L376" s="147"/>
      <c r="M376" s="148"/>
      <c r="N376" s="139"/>
      <c r="O376" s="589"/>
      <c r="P376" s="229" t="str">
        <f t="shared" si="171"/>
        <v/>
      </c>
      <c r="Q376" s="229" t="str">
        <f t="shared" si="172"/>
        <v/>
      </c>
      <c r="R376" s="230" t="str">
        <f t="shared" si="173"/>
        <v/>
      </c>
      <c r="S376" s="230" t="str">
        <f t="shared" si="174"/>
        <v/>
      </c>
      <c r="T376" s="351"/>
      <c r="U376" s="43"/>
      <c r="V376" s="42" t="str">
        <f t="shared" si="150"/>
        <v/>
      </c>
      <c r="W376" s="42" t="e">
        <f>IF(#REF!="","",#REF!)</f>
        <v>#REF!</v>
      </c>
      <c r="X376" s="31" t="str">
        <f t="shared" si="151"/>
        <v/>
      </c>
      <c r="Y376" s="7" t="e">
        <f t="shared" si="152"/>
        <v>#N/A</v>
      </c>
      <c r="Z376" s="7" t="e">
        <f t="shared" si="153"/>
        <v>#N/A</v>
      </c>
      <c r="AA376" s="7" t="e">
        <f t="shared" si="154"/>
        <v>#N/A</v>
      </c>
      <c r="AB376" s="7" t="str">
        <f t="shared" si="155"/>
        <v/>
      </c>
      <c r="AC376" s="11">
        <f t="shared" si="156"/>
        <v>1</v>
      </c>
      <c r="AD376" s="7" t="e">
        <f t="shared" si="157"/>
        <v>#N/A</v>
      </c>
      <c r="AE376" s="7" t="e">
        <f t="shared" si="158"/>
        <v>#N/A</v>
      </c>
      <c r="AF376" s="7" t="e">
        <f t="shared" si="159"/>
        <v>#N/A</v>
      </c>
      <c r="AG376" s="472" t="e">
        <f>VLOOKUP(AI376,'排出係数(2017)'!$A$4:$I$1151,9,FALSE)</f>
        <v>#N/A</v>
      </c>
      <c r="AH376" s="12" t="str">
        <f t="shared" si="160"/>
        <v xml:space="preserve"> </v>
      </c>
      <c r="AI376" s="7" t="e">
        <f t="shared" si="175"/>
        <v>#N/A</v>
      </c>
      <c r="AJ376" s="7" t="e">
        <f t="shared" si="161"/>
        <v>#N/A</v>
      </c>
      <c r="AK376" s="472" t="e">
        <f>VLOOKUP(AI376,'排出係数(2017)'!$A$4:$I$1151,6,FALSE)</f>
        <v>#N/A</v>
      </c>
      <c r="AL376" s="7" t="e">
        <f t="shared" si="162"/>
        <v>#N/A</v>
      </c>
      <c r="AM376" s="7" t="e">
        <f t="shared" si="163"/>
        <v>#N/A</v>
      </c>
      <c r="AN376" s="472" t="e">
        <f>VLOOKUP(AI376,'排出係数(2017)'!$A$4:$I$1151,7,FALSE)</f>
        <v>#N/A</v>
      </c>
      <c r="AO376" s="7" t="e">
        <f t="shared" si="164"/>
        <v>#N/A</v>
      </c>
      <c r="AP376" s="7" t="e">
        <f t="shared" si="165"/>
        <v>#N/A</v>
      </c>
      <c r="AQ376" s="7" t="e">
        <f t="shared" si="176"/>
        <v>#N/A</v>
      </c>
      <c r="AR376" s="7">
        <f t="shared" si="166"/>
        <v>0</v>
      </c>
      <c r="AS376" s="7" t="e">
        <f t="shared" si="177"/>
        <v>#N/A</v>
      </c>
      <c r="AT376" s="7" t="str">
        <f t="shared" si="167"/>
        <v/>
      </c>
      <c r="AU376" s="7" t="str">
        <f t="shared" si="168"/>
        <v/>
      </c>
      <c r="AV376" s="7" t="str">
        <f t="shared" si="169"/>
        <v/>
      </c>
      <c r="AW376" s="7" t="str">
        <f t="shared" si="170"/>
        <v/>
      </c>
      <c r="AX376" s="97"/>
      <c r="BD376" s="453" t="s">
        <v>1436</v>
      </c>
      <c r="CG376"/>
      <c r="CH376"/>
      <c r="CK376" s="592" t="str">
        <f t="shared" si="178"/>
        <v/>
      </c>
      <c r="CL376" s="421" t="str">
        <f t="shared" si="179"/>
        <v/>
      </c>
      <c r="CM376" s="594"/>
      <c r="CN376" s="594"/>
      <c r="CO376" s="594"/>
      <c r="CP376" s="594"/>
      <c r="CQ376" s="594"/>
      <c r="CR376" s="594"/>
    </row>
    <row r="377" spans="1:96" s="13" customFormat="1" ht="13.75" customHeight="1">
      <c r="A377" s="137">
        <v>362</v>
      </c>
      <c r="B377" s="138"/>
      <c r="C377" s="139"/>
      <c r="D377" s="140"/>
      <c r="E377" s="139"/>
      <c r="F377" s="139"/>
      <c r="G377" s="191"/>
      <c r="H377" s="139"/>
      <c r="I377" s="141"/>
      <c r="J377" s="142"/>
      <c r="K377" s="139"/>
      <c r="L377" s="147"/>
      <c r="M377" s="148"/>
      <c r="N377" s="139"/>
      <c r="O377" s="589"/>
      <c r="P377" s="229" t="str">
        <f t="shared" si="171"/>
        <v/>
      </c>
      <c r="Q377" s="229" t="str">
        <f t="shared" si="172"/>
        <v/>
      </c>
      <c r="R377" s="230" t="str">
        <f t="shared" si="173"/>
        <v/>
      </c>
      <c r="S377" s="230" t="str">
        <f t="shared" si="174"/>
        <v/>
      </c>
      <c r="T377" s="351"/>
      <c r="U377" s="43"/>
      <c r="V377" s="42" t="str">
        <f t="shared" si="150"/>
        <v/>
      </c>
      <c r="W377" s="42" t="e">
        <f>IF(#REF!="","",#REF!)</f>
        <v>#REF!</v>
      </c>
      <c r="X377" s="31" t="str">
        <f t="shared" si="151"/>
        <v/>
      </c>
      <c r="Y377" s="7" t="e">
        <f t="shared" si="152"/>
        <v>#N/A</v>
      </c>
      <c r="Z377" s="7" t="e">
        <f t="shared" si="153"/>
        <v>#N/A</v>
      </c>
      <c r="AA377" s="7" t="e">
        <f t="shared" si="154"/>
        <v>#N/A</v>
      </c>
      <c r="AB377" s="7" t="str">
        <f t="shared" si="155"/>
        <v/>
      </c>
      <c r="AC377" s="11">
        <f t="shared" si="156"/>
        <v>1</v>
      </c>
      <c r="AD377" s="7" t="e">
        <f t="shared" si="157"/>
        <v>#N/A</v>
      </c>
      <c r="AE377" s="7" t="e">
        <f t="shared" si="158"/>
        <v>#N/A</v>
      </c>
      <c r="AF377" s="7" t="e">
        <f t="shared" si="159"/>
        <v>#N/A</v>
      </c>
      <c r="AG377" s="472" t="e">
        <f>VLOOKUP(AI377,'排出係数(2017)'!$A$4:$I$1151,9,FALSE)</f>
        <v>#N/A</v>
      </c>
      <c r="AH377" s="12" t="str">
        <f t="shared" si="160"/>
        <v xml:space="preserve"> </v>
      </c>
      <c r="AI377" s="7" t="e">
        <f t="shared" si="175"/>
        <v>#N/A</v>
      </c>
      <c r="AJ377" s="7" t="e">
        <f t="shared" si="161"/>
        <v>#N/A</v>
      </c>
      <c r="AK377" s="472" t="e">
        <f>VLOOKUP(AI377,'排出係数(2017)'!$A$4:$I$1151,6,FALSE)</f>
        <v>#N/A</v>
      </c>
      <c r="AL377" s="7" t="e">
        <f t="shared" si="162"/>
        <v>#N/A</v>
      </c>
      <c r="AM377" s="7" t="e">
        <f t="shared" si="163"/>
        <v>#N/A</v>
      </c>
      <c r="AN377" s="472" t="e">
        <f>VLOOKUP(AI377,'排出係数(2017)'!$A$4:$I$1151,7,FALSE)</f>
        <v>#N/A</v>
      </c>
      <c r="AO377" s="7" t="e">
        <f t="shared" si="164"/>
        <v>#N/A</v>
      </c>
      <c r="AP377" s="7" t="e">
        <f t="shared" si="165"/>
        <v>#N/A</v>
      </c>
      <c r="AQ377" s="7" t="e">
        <f t="shared" si="176"/>
        <v>#N/A</v>
      </c>
      <c r="AR377" s="7">
        <f t="shared" si="166"/>
        <v>0</v>
      </c>
      <c r="AS377" s="7" t="e">
        <f t="shared" si="177"/>
        <v>#N/A</v>
      </c>
      <c r="AT377" s="7" t="str">
        <f t="shared" si="167"/>
        <v/>
      </c>
      <c r="AU377" s="7" t="str">
        <f t="shared" si="168"/>
        <v/>
      </c>
      <c r="AV377" s="7" t="str">
        <f t="shared" si="169"/>
        <v/>
      </c>
      <c r="AW377" s="7" t="str">
        <f t="shared" si="170"/>
        <v/>
      </c>
      <c r="AX377" s="97"/>
      <c r="BD377" s="453" t="s">
        <v>283</v>
      </c>
      <c r="CG377"/>
      <c r="CH377"/>
      <c r="CK377" s="592" t="str">
        <f t="shared" si="178"/>
        <v/>
      </c>
      <c r="CL377" s="421" t="str">
        <f t="shared" si="179"/>
        <v/>
      </c>
      <c r="CM377" s="594"/>
      <c r="CN377" s="594"/>
      <c r="CO377" s="594"/>
      <c r="CP377" s="594"/>
      <c r="CQ377" s="594"/>
      <c r="CR377" s="594"/>
    </row>
    <row r="378" spans="1:96" s="13" customFormat="1" ht="13.75" customHeight="1">
      <c r="A378" s="137">
        <v>363</v>
      </c>
      <c r="B378" s="138"/>
      <c r="C378" s="139"/>
      <c r="D378" s="140"/>
      <c r="E378" s="139"/>
      <c r="F378" s="139"/>
      <c r="G378" s="191"/>
      <c r="H378" s="139"/>
      <c r="I378" s="141"/>
      <c r="J378" s="142"/>
      <c r="K378" s="139"/>
      <c r="L378" s="147"/>
      <c r="M378" s="148"/>
      <c r="N378" s="139"/>
      <c r="O378" s="589"/>
      <c r="P378" s="229" t="str">
        <f t="shared" si="171"/>
        <v/>
      </c>
      <c r="Q378" s="229" t="str">
        <f t="shared" si="172"/>
        <v/>
      </c>
      <c r="R378" s="230" t="str">
        <f t="shared" si="173"/>
        <v/>
      </c>
      <c r="S378" s="230" t="str">
        <f t="shared" si="174"/>
        <v/>
      </c>
      <c r="T378" s="351"/>
      <c r="U378" s="43"/>
      <c r="V378" s="42" t="str">
        <f t="shared" si="150"/>
        <v/>
      </c>
      <c r="W378" s="42" t="e">
        <f>IF(#REF!="","",#REF!)</f>
        <v>#REF!</v>
      </c>
      <c r="X378" s="31" t="str">
        <f t="shared" si="151"/>
        <v/>
      </c>
      <c r="Y378" s="7" t="e">
        <f t="shared" si="152"/>
        <v>#N/A</v>
      </c>
      <c r="Z378" s="7" t="e">
        <f t="shared" si="153"/>
        <v>#N/A</v>
      </c>
      <c r="AA378" s="7" t="e">
        <f t="shared" si="154"/>
        <v>#N/A</v>
      </c>
      <c r="AB378" s="7" t="str">
        <f t="shared" si="155"/>
        <v/>
      </c>
      <c r="AC378" s="11">
        <f t="shared" si="156"/>
        <v>1</v>
      </c>
      <c r="AD378" s="7" t="e">
        <f t="shared" si="157"/>
        <v>#N/A</v>
      </c>
      <c r="AE378" s="7" t="e">
        <f t="shared" si="158"/>
        <v>#N/A</v>
      </c>
      <c r="AF378" s="7" t="e">
        <f t="shared" si="159"/>
        <v>#N/A</v>
      </c>
      <c r="AG378" s="472" t="e">
        <f>VLOOKUP(AI378,'排出係数(2017)'!$A$4:$I$1151,9,FALSE)</f>
        <v>#N/A</v>
      </c>
      <c r="AH378" s="12" t="str">
        <f t="shared" si="160"/>
        <v xml:space="preserve"> </v>
      </c>
      <c r="AI378" s="7" t="e">
        <f t="shared" si="175"/>
        <v>#N/A</v>
      </c>
      <c r="AJ378" s="7" t="e">
        <f t="shared" si="161"/>
        <v>#N/A</v>
      </c>
      <c r="AK378" s="472" t="e">
        <f>VLOOKUP(AI378,'排出係数(2017)'!$A$4:$I$1151,6,FALSE)</f>
        <v>#N/A</v>
      </c>
      <c r="AL378" s="7" t="e">
        <f t="shared" si="162"/>
        <v>#N/A</v>
      </c>
      <c r="AM378" s="7" t="e">
        <f t="shared" si="163"/>
        <v>#N/A</v>
      </c>
      <c r="AN378" s="472" t="e">
        <f>VLOOKUP(AI378,'排出係数(2017)'!$A$4:$I$1151,7,FALSE)</f>
        <v>#N/A</v>
      </c>
      <c r="AO378" s="7" t="e">
        <f t="shared" si="164"/>
        <v>#N/A</v>
      </c>
      <c r="AP378" s="7" t="e">
        <f t="shared" si="165"/>
        <v>#N/A</v>
      </c>
      <c r="AQ378" s="7" t="e">
        <f t="shared" si="176"/>
        <v>#N/A</v>
      </c>
      <c r="AR378" s="7">
        <f t="shared" si="166"/>
        <v>0</v>
      </c>
      <c r="AS378" s="7" t="e">
        <f t="shared" si="177"/>
        <v>#N/A</v>
      </c>
      <c r="AT378" s="7" t="str">
        <f t="shared" si="167"/>
        <v/>
      </c>
      <c r="AU378" s="7" t="str">
        <f t="shared" si="168"/>
        <v/>
      </c>
      <c r="AV378" s="7" t="str">
        <f t="shared" si="169"/>
        <v/>
      </c>
      <c r="AW378" s="7" t="str">
        <f t="shared" si="170"/>
        <v/>
      </c>
      <c r="AX378" s="97"/>
      <c r="BD378" s="453" t="s">
        <v>329</v>
      </c>
      <c r="CG378"/>
      <c r="CH378"/>
      <c r="CK378" s="592" t="str">
        <f t="shared" si="178"/>
        <v/>
      </c>
      <c r="CL378" s="421" t="str">
        <f t="shared" si="179"/>
        <v/>
      </c>
      <c r="CM378" s="594"/>
      <c r="CN378" s="594"/>
      <c r="CO378" s="594"/>
      <c r="CP378" s="594"/>
      <c r="CQ378" s="594"/>
      <c r="CR378" s="594"/>
    </row>
    <row r="379" spans="1:96" s="13" customFormat="1" ht="13.75" customHeight="1">
      <c r="A379" s="137">
        <v>364</v>
      </c>
      <c r="B379" s="138"/>
      <c r="C379" s="139"/>
      <c r="D379" s="140"/>
      <c r="E379" s="139"/>
      <c r="F379" s="139"/>
      <c r="G379" s="191"/>
      <c r="H379" s="139"/>
      <c r="I379" s="141"/>
      <c r="J379" s="142"/>
      <c r="K379" s="139"/>
      <c r="L379" s="147"/>
      <c r="M379" s="148"/>
      <c r="N379" s="139"/>
      <c r="O379" s="589"/>
      <c r="P379" s="229" t="str">
        <f t="shared" si="171"/>
        <v/>
      </c>
      <c r="Q379" s="229" t="str">
        <f t="shared" si="172"/>
        <v/>
      </c>
      <c r="R379" s="230" t="str">
        <f t="shared" si="173"/>
        <v/>
      </c>
      <c r="S379" s="230" t="str">
        <f t="shared" si="174"/>
        <v/>
      </c>
      <c r="T379" s="351"/>
      <c r="U379" s="43"/>
      <c r="V379" s="42" t="str">
        <f t="shared" si="150"/>
        <v/>
      </c>
      <c r="W379" s="42" t="e">
        <f>IF(#REF!="","",#REF!)</f>
        <v>#REF!</v>
      </c>
      <c r="X379" s="31" t="str">
        <f t="shared" si="151"/>
        <v/>
      </c>
      <c r="Y379" s="7" t="e">
        <f t="shared" si="152"/>
        <v>#N/A</v>
      </c>
      <c r="Z379" s="7" t="e">
        <f t="shared" si="153"/>
        <v>#N/A</v>
      </c>
      <c r="AA379" s="7" t="e">
        <f t="shared" si="154"/>
        <v>#N/A</v>
      </c>
      <c r="AB379" s="7" t="str">
        <f t="shared" si="155"/>
        <v/>
      </c>
      <c r="AC379" s="11">
        <f t="shared" si="156"/>
        <v>1</v>
      </c>
      <c r="AD379" s="7" t="e">
        <f t="shared" si="157"/>
        <v>#N/A</v>
      </c>
      <c r="AE379" s="7" t="e">
        <f t="shared" si="158"/>
        <v>#N/A</v>
      </c>
      <c r="AF379" s="7" t="e">
        <f t="shared" si="159"/>
        <v>#N/A</v>
      </c>
      <c r="AG379" s="472" t="e">
        <f>VLOOKUP(AI379,'排出係数(2017)'!$A$4:$I$1151,9,FALSE)</f>
        <v>#N/A</v>
      </c>
      <c r="AH379" s="12" t="str">
        <f t="shared" si="160"/>
        <v xml:space="preserve"> </v>
      </c>
      <c r="AI379" s="7" t="e">
        <f t="shared" si="175"/>
        <v>#N/A</v>
      </c>
      <c r="AJ379" s="7" t="e">
        <f t="shared" si="161"/>
        <v>#N/A</v>
      </c>
      <c r="AK379" s="472" t="e">
        <f>VLOOKUP(AI379,'排出係数(2017)'!$A$4:$I$1151,6,FALSE)</f>
        <v>#N/A</v>
      </c>
      <c r="AL379" s="7" t="e">
        <f t="shared" si="162"/>
        <v>#N/A</v>
      </c>
      <c r="AM379" s="7" t="e">
        <f t="shared" si="163"/>
        <v>#N/A</v>
      </c>
      <c r="AN379" s="472" t="e">
        <f>VLOOKUP(AI379,'排出係数(2017)'!$A$4:$I$1151,7,FALSE)</f>
        <v>#N/A</v>
      </c>
      <c r="AO379" s="7" t="e">
        <f t="shared" si="164"/>
        <v>#N/A</v>
      </c>
      <c r="AP379" s="7" t="e">
        <f t="shared" si="165"/>
        <v>#N/A</v>
      </c>
      <c r="AQ379" s="7" t="e">
        <f t="shared" si="176"/>
        <v>#N/A</v>
      </c>
      <c r="AR379" s="7">
        <f t="shared" si="166"/>
        <v>0</v>
      </c>
      <c r="AS379" s="7" t="e">
        <f t="shared" si="177"/>
        <v>#N/A</v>
      </c>
      <c r="AT379" s="7" t="str">
        <f t="shared" si="167"/>
        <v/>
      </c>
      <c r="AU379" s="7" t="str">
        <f t="shared" si="168"/>
        <v/>
      </c>
      <c r="AV379" s="7" t="str">
        <f t="shared" si="169"/>
        <v/>
      </c>
      <c r="AW379" s="7" t="str">
        <f t="shared" si="170"/>
        <v/>
      </c>
      <c r="AX379" s="97"/>
      <c r="BD379" s="453" t="s">
        <v>409</v>
      </c>
      <c r="CG379"/>
      <c r="CH379"/>
      <c r="CK379" s="592" t="str">
        <f t="shared" si="178"/>
        <v/>
      </c>
      <c r="CL379" s="421" t="str">
        <f t="shared" si="179"/>
        <v/>
      </c>
      <c r="CM379" s="594"/>
      <c r="CN379" s="594"/>
      <c r="CO379" s="594"/>
      <c r="CP379" s="594"/>
      <c r="CQ379" s="594"/>
      <c r="CR379" s="594"/>
    </row>
    <row r="380" spans="1:96" s="13" customFormat="1" ht="13.75" customHeight="1">
      <c r="A380" s="137">
        <v>365</v>
      </c>
      <c r="B380" s="138"/>
      <c r="C380" s="139"/>
      <c r="D380" s="140"/>
      <c r="E380" s="139"/>
      <c r="F380" s="139"/>
      <c r="G380" s="191"/>
      <c r="H380" s="139"/>
      <c r="I380" s="141"/>
      <c r="J380" s="142"/>
      <c r="K380" s="139"/>
      <c r="L380" s="147"/>
      <c r="M380" s="148"/>
      <c r="N380" s="139"/>
      <c r="O380" s="589"/>
      <c r="P380" s="229" t="str">
        <f t="shared" si="171"/>
        <v/>
      </c>
      <c r="Q380" s="229" t="str">
        <f t="shared" si="172"/>
        <v/>
      </c>
      <c r="R380" s="230" t="str">
        <f t="shared" si="173"/>
        <v/>
      </c>
      <c r="S380" s="230" t="str">
        <f t="shared" si="174"/>
        <v/>
      </c>
      <c r="T380" s="351"/>
      <c r="U380" s="43"/>
      <c r="V380" s="42" t="str">
        <f t="shared" si="150"/>
        <v/>
      </c>
      <c r="W380" s="42" t="e">
        <f>IF(#REF!="","",#REF!)</f>
        <v>#REF!</v>
      </c>
      <c r="X380" s="31" t="str">
        <f t="shared" si="151"/>
        <v/>
      </c>
      <c r="Y380" s="7" t="e">
        <f t="shared" si="152"/>
        <v>#N/A</v>
      </c>
      <c r="Z380" s="7" t="e">
        <f t="shared" si="153"/>
        <v>#N/A</v>
      </c>
      <c r="AA380" s="7" t="e">
        <f t="shared" si="154"/>
        <v>#N/A</v>
      </c>
      <c r="AB380" s="7" t="str">
        <f t="shared" si="155"/>
        <v/>
      </c>
      <c r="AC380" s="11">
        <f t="shared" si="156"/>
        <v>1</v>
      </c>
      <c r="AD380" s="7" t="e">
        <f t="shared" si="157"/>
        <v>#N/A</v>
      </c>
      <c r="AE380" s="7" t="e">
        <f t="shared" si="158"/>
        <v>#N/A</v>
      </c>
      <c r="AF380" s="7" t="e">
        <f t="shared" si="159"/>
        <v>#N/A</v>
      </c>
      <c r="AG380" s="472" t="e">
        <f>VLOOKUP(AI380,'排出係数(2017)'!$A$4:$I$1151,9,FALSE)</f>
        <v>#N/A</v>
      </c>
      <c r="AH380" s="12" t="str">
        <f t="shared" si="160"/>
        <v xml:space="preserve"> </v>
      </c>
      <c r="AI380" s="7" t="e">
        <f t="shared" si="175"/>
        <v>#N/A</v>
      </c>
      <c r="AJ380" s="7" t="e">
        <f t="shared" si="161"/>
        <v>#N/A</v>
      </c>
      <c r="AK380" s="472" t="e">
        <f>VLOOKUP(AI380,'排出係数(2017)'!$A$4:$I$1151,6,FALSE)</f>
        <v>#N/A</v>
      </c>
      <c r="AL380" s="7" t="e">
        <f t="shared" si="162"/>
        <v>#N/A</v>
      </c>
      <c r="AM380" s="7" t="e">
        <f t="shared" si="163"/>
        <v>#N/A</v>
      </c>
      <c r="AN380" s="472" t="e">
        <f>VLOOKUP(AI380,'排出係数(2017)'!$A$4:$I$1151,7,FALSE)</f>
        <v>#N/A</v>
      </c>
      <c r="AO380" s="7" t="e">
        <f t="shared" si="164"/>
        <v>#N/A</v>
      </c>
      <c r="AP380" s="7" t="e">
        <f t="shared" si="165"/>
        <v>#N/A</v>
      </c>
      <c r="AQ380" s="7" t="e">
        <f t="shared" si="176"/>
        <v>#N/A</v>
      </c>
      <c r="AR380" s="7">
        <f t="shared" si="166"/>
        <v>0</v>
      </c>
      <c r="AS380" s="7" t="e">
        <f t="shared" si="177"/>
        <v>#N/A</v>
      </c>
      <c r="AT380" s="7" t="str">
        <f t="shared" si="167"/>
        <v/>
      </c>
      <c r="AU380" s="7" t="str">
        <f t="shared" si="168"/>
        <v/>
      </c>
      <c r="AV380" s="7" t="str">
        <f t="shared" si="169"/>
        <v/>
      </c>
      <c r="AW380" s="7" t="str">
        <f t="shared" si="170"/>
        <v/>
      </c>
      <c r="AX380" s="97"/>
      <c r="BD380" s="453" t="s">
        <v>1434</v>
      </c>
      <c r="CG380"/>
      <c r="CH380"/>
      <c r="CK380" s="592" t="str">
        <f t="shared" si="178"/>
        <v/>
      </c>
      <c r="CL380" s="421" t="str">
        <f t="shared" si="179"/>
        <v/>
      </c>
      <c r="CM380" s="594"/>
      <c r="CN380" s="594"/>
      <c r="CO380" s="594"/>
      <c r="CP380" s="594"/>
      <c r="CQ380" s="594"/>
      <c r="CR380" s="594"/>
    </row>
    <row r="381" spans="1:96" s="13" customFormat="1" ht="13.75" customHeight="1">
      <c r="A381" s="137">
        <v>366</v>
      </c>
      <c r="B381" s="138"/>
      <c r="C381" s="139"/>
      <c r="D381" s="140"/>
      <c r="E381" s="139"/>
      <c r="F381" s="139"/>
      <c r="G381" s="191"/>
      <c r="H381" s="139"/>
      <c r="I381" s="141"/>
      <c r="J381" s="142"/>
      <c r="K381" s="139"/>
      <c r="L381" s="147"/>
      <c r="M381" s="148"/>
      <c r="N381" s="139"/>
      <c r="O381" s="589"/>
      <c r="P381" s="229" t="str">
        <f t="shared" si="171"/>
        <v/>
      </c>
      <c r="Q381" s="229" t="str">
        <f t="shared" si="172"/>
        <v/>
      </c>
      <c r="R381" s="230" t="str">
        <f t="shared" si="173"/>
        <v/>
      </c>
      <c r="S381" s="230" t="str">
        <f t="shared" si="174"/>
        <v/>
      </c>
      <c r="T381" s="351"/>
      <c r="U381" s="43"/>
      <c r="V381" s="42" t="str">
        <f t="shared" si="150"/>
        <v/>
      </c>
      <c r="W381" s="42" t="e">
        <f>IF(#REF!="","",#REF!)</f>
        <v>#REF!</v>
      </c>
      <c r="X381" s="31" t="str">
        <f t="shared" si="151"/>
        <v/>
      </c>
      <c r="Y381" s="7" t="e">
        <f t="shared" si="152"/>
        <v>#N/A</v>
      </c>
      <c r="Z381" s="7" t="e">
        <f t="shared" si="153"/>
        <v>#N/A</v>
      </c>
      <c r="AA381" s="7" t="e">
        <f t="shared" si="154"/>
        <v>#N/A</v>
      </c>
      <c r="AB381" s="7" t="str">
        <f t="shared" si="155"/>
        <v/>
      </c>
      <c r="AC381" s="11">
        <f t="shared" si="156"/>
        <v>1</v>
      </c>
      <c r="AD381" s="7" t="e">
        <f t="shared" si="157"/>
        <v>#N/A</v>
      </c>
      <c r="AE381" s="7" t="e">
        <f t="shared" si="158"/>
        <v>#N/A</v>
      </c>
      <c r="AF381" s="7" t="e">
        <f t="shared" si="159"/>
        <v>#N/A</v>
      </c>
      <c r="AG381" s="472" t="e">
        <f>VLOOKUP(AI381,'排出係数(2017)'!$A$4:$I$1151,9,FALSE)</f>
        <v>#N/A</v>
      </c>
      <c r="AH381" s="12" t="str">
        <f t="shared" si="160"/>
        <v xml:space="preserve"> </v>
      </c>
      <c r="AI381" s="7" t="e">
        <f t="shared" si="175"/>
        <v>#N/A</v>
      </c>
      <c r="AJ381" s="7" t="e">
        <f t="shared" si="161"/>
        <v>#N/A</v>
      </c>
      <c r="AK381" s="472" t="e">
        <f>VLOOKUP(AI381,'排出係数(2017)'!$A$4:$I$1151,6,FALSE)</f>
        <v>#N/A</v>
      </c>
      <c r="AL381" s="7" t="e">
        <f t="shared" si="162"/>
        <v>#N/A</v>
      </c>
      <c r="AM381" s="7" t="e">
        <f t="shared" si="163"/>
        <v>#N/A</v>
      </c>
      <c r="AN381" s="472" t="e">
        <f>VLOOKUP(AI381,'排出係数(2017)'!$A$4:$I$1151,7,FALSE)</f>
        <v>#N/A</v>
      </c>
      <c r="AO381" s="7" t="e">
        <f t="shared" si="164"/>
        <v>#N/A</v>
      </c>
      <c r="AP381" s="7" t="e">
        <f t="shared" si="165"/>
        <v>#N/A</v>
      </c>
      <c r="AQ381" s="7" t="e">
        <f t="shared" si="176"/>
        <v>#N/A</v>
      </c>
      <c r="AR381" s="7">
        <f t="shared" si="166"/>
        <v>0</v>
      </c>
      <c r="AS381" s="7" t="e">
        <f t="shared" si="177"/>
        <v>#N/A</v>
      </c>
      <c r="AT381" s="7" t="str">
        <f t="shared" si="167"/>
        <v/>
      </c>
      <c r="AU381" s="7" t="str">
        <f t="shared" si="168"/>
        <v/>
      </c>
      <c r="AV381" s="7" t="str">
        <f t="shared" si="169"/>
        <v/>
      </c>
      <c r="AW381" s="7" t="str">
        <f t="shared" si="170"/>
        <v/>
      </c>
      <c r="AX381" s="97"/>
      <c r="BD381" s="453" t="s">
        <v>281</v>
      </c>
      <c r="CG381"/>
      <c r="CH381"/>
      <c r="CK381" s="592" t="str">
        <f t="shared" si="178"/>
        <v/>
      </c>
      <c r="CL381" s="421" t="str">
        <f t="shared" si="179"/>
        <v/>
      </c>
      <c r="CM381" s="594"/>
      <c r="CN381" s="594"/>
      <c r="CO381" s="594"/>
      <c r="CP381" s="594"/>
      <c r="CQ381" s="594"/>
      <c r="CR381" s="594"/>
    </row>
    <row r="382" spans="1:96" s="13" customFormat="1" ht="13.75" customHeight="1">
      <c r="A382" s="137">
        <v>367</v>
      </c>
      <c r="B382" s="138"/>
      <c r="C382" s="139"/>
      <c r="D382" s="140"/>
      <c r="E382" s="139"/>
      <c r="F382" s="139"/>
      <c r="G382" s="191"/>
      <c r="H382" s="139"/>
      <c r="I382" s="141"/>
      <c r="J382" s="142"/>
      <c r="K382" s="139"/>
      <c r="L382" s="147"/>
      <c r="M382" s="148"/>
      <c r="N382" s="139"/>
      <c r="O382" s="589"/>
      <c r="P382" s="229" t="str">
        <f t="shared" si="171"/>
        <v/>
      </c>
      <c r="Q382" s="229" t="str">
        <f t="shared" si="172"/>
        <v/>
      </c>
      <c r="R382" s="230" t="str">
        <f t="shared" si="173"/>
        <v/>
      </c>
      <c r="S382" s="230" t="str">
        <f t="shared" si="174"/>
        <v/>
      </c>
      <c r="T382" s="351"/>
      <c r="U382" s="43"/>
      <c r="V382" s="42" t="str">
        <f t="shared" si="150"/>
        <v/>
      </c>
      <c r="W382" s="42" t="e">
        <f>IF(#REF!="","",#REF!)</f>
        <v>#REF!</v>
      </c>
      <c r="X382" s="31" t="str">
        <f t="shared" si="151"/>
        <v/>
      </c>
      <c r="Y382" s="7" t="e">
        <f t="shared" si="152"/>
        <v>#N/A</v>
      </c>
      <c r="Z382" s="7" t="e">
        <f t="shared" si="153"/>
        <v>#N/A</v>
      </c>
      <c r="AA382" s="7" t="e">
        <f t="shared" si="154"/>
        <v>#N/A</v>
      </c>
      <c r="AB382" s="7" t="str">
        <f t="shared" si="155"/>
        <v/>
      </c>
      <c r="AC382" s="11">
        <f t="shared" si="156"/>
        <v>1</v>
      </c>
      <c r="AD382" s="7" t="e">
        <f t="shared" si="157"/>
        <v>#N/A</v>
      </c>
      <c r="AE382" s="7" t="e">
        <f t="shared" si="158"/>
        <v>#N/A</v>
      </c>
      <c r="AF382" s="7" t="e">
        <f t="shared" si="159"/>
        <v>#N/A</v>
      </c>
      <c r="AG382" s="472" t="e">
        <f>VLOOKUP(AI382,'排出係数(2017)'!$A$4:$I$1151,9,FALSE)</f>
        <v>#N/A</v>
      </c>
      <c r="AH382" s="12" t="str">
        <f t="shared" si="160"/>
        <v xml:space="preserve"> </v>
      </c>
      <c r="AI382" s="7" t="e">
        <f t="shared" si="175"/>
        <v>#N/A</v>
      </c>
      <c r="AJ382" s="7" t="e">
        <f t="shared" si="161"/>
        <v>#N/A</v>
      </c>
      <c r="AK382" s="472" t="e">
        <f>VLOOKUP(AI382,'排出係数(2017)'!$A$4:$I$1151,6,FALSE)</f>
        <v>#N/A</v>
      </c>
      <c r="AL382" s="7" t="e">
        <f t="shared" si="162"/>
        <v>#N/A</v>
      </c>
      <c r="AM382" s="7" t="e">
        <f t="shared" si="163"/>
        <v>#N/A</v>
      </c>
      <c r="AN382" s="472" t="e">
        <f>VLOOKUP(AI382,'排出係数(2017)'!$A$4:$I$1151,7,FALSE)</f>
        <v>#N/A</v>
      </c>
      <c r="AO382" s="7" t="e">
        <f t="shared" si="164"/>
        <v>#N/A</v>
      </c>
      <c r="AP382" s="7" t="e">
        <f t="shared" si="165"/>
        <v>#N/A</v>
      </c>
      <c r="AQ382" s="7" t="e">
        <f t="shared" si="176"/>
        <v>#N/A</v>
      </c>
      <c r="AR382" s="7">
        <f t="shared" si="166"/>
        <v>0</v>
      </c>
      <c r="AS382" s="7" t="e">
        <f t="shared" si="177"/>
        <v>#N/A</v>
      </c>
      <c r="AT382" s="7" t="str">
        <f t="shared" si="167"/>
        <v/>
      </c>
      <c r="AU382" s="7" t="str">
        <f t="shared" si="168"/>
        <v/>
      </c>
      <c r="AV382" s="7" t="str">
        <f t="shared" si="169"/>
        <v/>
      </c>
      <c r="AW382" s="7" t="str">
        <f t="shared" si="170"/>
        <v/>
      </c>
      <c r="AX382" s="97"/>
      <c r="BD382" s="453" t="s">
        <v>327</v>
      </c>
      <c r="CG382"/>
      <c r="CH382"/>
      <c r="CK382" s="592" t="str">
        <f t="shared" si="178"/>
        <v/>
      </c>
      <c r="CL382" s="421" t="str">
        <f t="shared" si="179"/>
        <v/>
      </c>
      <c r="CM382" s="594"/>
      <c r="CN382" s="594"/>
      <c r="CO382" s="594"/>
      <c r="CP382" s="594"/>
      <c r="CQ382" s="594"/>
      <c r="CR382" s="594"/>
    </row>
    <row r="383" spans="1:96" s="13" customFormat="1" ht="13.75" customHeight="1">
      <c r="A383" s="137">
        <v>368</v>
      </c>
      <c r="B383" s="138"/>
      <c r="C383" s="139"/>
      <c r="D383" s="140"/>
      <c r="E383" s="139"/>
      <c r="F383" s="139"/>
      <c r="G383" s="191"/>
      <c r="H383" s="139"/>
      <c r="I383" s="141"/>
      <c r="J383" s="142"/>
      <c r="K383" s="139"/>
      <c r="L383" s="147"/>
      <c r="M383" s="148"/>
      <c r="N383" s="139"/>
      <c r="O383" s="589"/>
      <c r="P383" s="229" t="str">
        <f t="shared" si="171"/>
        <v/>
      </c>
      <c r="Q383" s="229" t="str">
        <f t="shared" si="172"/>
        <v/>
      </c>
      <c r="R383" s="230" t="str">
        <f t="shared" si="173"/>
        <v/>
      </c>
      <c r="S383" s="230" t="str">
        <f t="shared" si="174"/>
        <v/>
      </c>
      <c r="T383" s="351"/>
      <c r="U383" s="43"/>
      <c r="V383" s="42" t="str">
        <f t="shared" si="150"/>
        <v/>
      </c>
      <c r="W383" s="42" t="e">
        <f>IF(#REF!="","",#REF!)</f>
        <v>#REF!</v>
      </c>
      <c r="X383" s="31" t="str">
        <f t="shared" si="151"/>
        <v/>
      </c>
      <c r="Y383" s="7" t="e">
        <f t="shared" si="152"/>
        <v>#N/A</v>
      </c>
      <c r="Z383" s="7" t="e">
        <f t="shared" si="153"/>
        <v>#N/A</v>
      </c>
      <c r="AA383" s="7" t="e">
        <f t="shared" si="154"/>
        <v>#N/A</v>
      </c>
      <c r="AB383" s="7" t="str">
        <f t="shared" si="155"/>
        <v/>
      </c>
      <c r="AC383" s="11">
        <f t="shared" si="156"/>
        <v>1</v>
      </c>
      <c r="AD383" s="7" t="e">
        <f t="shared" si="157"/>
        <v>#N/A</v>
      </c>
      <c r="AE383" s="7" t="e">
        <f t="shared" si="158"/>
        <v>#N/A</v>
      </c>
      <c r="AF383" s="7" t="e">
        <f t="shared" si="159"/>
        <v>#N/A</v>
      </c>
      <c r="AG383" s="472" t="e">
        <f>VLOOKUP(AI383,'排出係数(2017)'!$A$4:$I$1151,9,FALSE)</f>
        <v>#N/A</v>
      </c>
      <c r="AH383" s="12" t="str">
        <f t="shared" si="160"/>
        <v xml:space="preserve"> </v>
      </c>
      <c r="AI383" s="7" t="e">
        <f t="shared" si="175"/>
        <v>#N/A</v>
      </c>
      <c r="AJ383" s="7" t="e">
        <f t="shared" si="161"/>
        <v>#N/A</v>
      </c>
      <c r="AK383" s="472" t="e">
        <f>VLOOKUP(AI383,'排出係数(2017)'!$A$4:$I$1151,6,FALSE)</f>
        <v>#N/A</v>
      </c>
      <c r="AL383" s="7" t="e">
        <f t="shared" si="162"/>
        <v>#N/A</v>
      </c>
      <c r="AM383" s="7" t="e">
        <f t="shared" si="163"/>
        <v>#N/A</v>
      </c>
      <c r="AN383" s="472" t="e">
        <f>VLOOKUP(AI383,'排出係数(2017)'!$A$4:$I$1151,7,FALSE)</f>
        <v>#N/A</v>
      </c>
      <c r="AO383" s="7" t="e">
        <f t="shared" si="164"/>
        <v>#N/A</v>
      </c>
      <c r="AP383" s="7" t="e">
        <f t="shared" si="165"/>
        <v>#N/A</v>
      </c>
      <c r="AQ383" s="7" t="e">
        <f t="shared" si="176"/>
        <v>#N/A</v>
      </c>
      <c r="AR383" s="7">
        <f t="shared" si="166"/>
        <v>0</v>
      </c>
      <c r="AS383" s="7" t="e">
        <f t="shared" si="177"/>
        <v>#N/A</v>
      </c>
      <c r="AT383" s="7" t="str">
        <f t="shared" si="167"/>
        <v/>
      </c>
      <c r="AU383" s="7" t="str">
        <f t="shared" si="168"/>
        <v/>
      </c>
      <c r="AV383" s="7" t="str">
        <f t="shared" si="169"/>
        <v/>
      </c>
      <c r="AW383" s="7" t="str">
        <f t="shared" si="170"/>
        <v/>
      </c>
      <c r="AX383" s="97"/>
      <c r="BD383" s="453" t="s">
        <v>407</v>
      </c>
      <c r="CG383"/>
      <c r="CH383"/>
      <c r="CK383" s="592" t="str">
        <f t="shared" si="178"/>
        <v/>
      </c>
      <c r="CL383" s="421" t="str">
        <f t="shared" si="179"/>
        <v/>
      </c>
      <c r="CM383" s="594"/>
      <c r="CN383" s="594"/>
      <c r="CO383" s="594"/>
      <c r="CP383" s="594"/>
      <c r="CQ383" s="594"/>
      <c r="CR383" s="594"/>
    </row>
    <row r="384" spans="1:96" s="13" customFormat="1" ht="13.75" customHeight="1">
      <c r="A384" s="137">
        <v>369</v>
      </c>
      <c r="B384" s="138"/>
      <c r="C384" s="139"/>
      <c r="D384" s="140"/>
      <c r="E384" s="139"/>
      <c r="F384" s="139"/>
      <c r="G384" s="191"/>
      <c r="H384" s="139"/>
      <c r="I384" s="141"/>
      <c r="J384" s="142"/>
      <c r="K384" s="139"/>
      <c r="L384" s="147"/>
      <c r="M384" s="148"/>
      <c r="N384" s="139"/>
      <c r="O384" s="589"/>
      <c r="P384" s="229" t="str">
        <f t="shared" si="171"/>
        <v/>
      </c>
      <c r="Q384" s="229" t="str">
        <f t="shared" si="172"/>
        <v/>
      </c>
      <c r="R384" s="230" t="str">
        <f t="shared" si="173"/>
        <v/>
      </c>
      <c r="S384" s="230" t="str">
        <f t="shared" si="174"/>
        <v/>
      </c>
      <c r="T384" s="351"/>
      <c r="U384" s="43"/>
      <c r="V384" s="42" t="str">
        <f t="shared" si="150"/>
        <v/>
      </c>
      <c r="W384" s="42" t="e">
        <f>IF(#REF!="","",#REF!)</f>
        <v>#REF!</v>
      </c>
      <c r="X384" s="31" t="str">
        <f t="shared" si="151"/>
        <v/>
      </c>
      <c r="Y384" s="7" t="e">
        <f t="shared" si="152"/>
        <v>#N/A</v>
      </c>
      <c r="Z384" s="7" t="e">
        <f t="shared" si="153"/>
        <v>#N/A</v>
      </c>
      <c r="AA384" s="7" t="e">
        <f t="shared" si="154"/>
        <v>#N/A</v>
      </c>
      <c r="AB384" s="7" t="str">
        <f t="shared" si="155"/>
        <v/>
      </c>
      <c r="AC384" s="11">
        <f t="shared" si="156"/>
        <v>1</v>
      </c>
      <c r="AD384" s="7" t="e">
        <f t="shared" si="157"/>
        <v>#N/A</v>
      </c>
      <c r="AE384" s="7" t="e">
        <f t="shared" si="158"/>
        <v>#N/A</v>
      </c>
      <c r="AF384" s="7" t="e">
        <f t="shared" si="159"/>
        <v>#N/A</v>
      </c>
      <c r="AG384" s="472" t="e">
        <f>VLOOKUP(AI384,'排出係数(2017)'!$A$4:$I$1151,9,FALSE)</f>
        <v>#N/A</v>
      </c>
      <c r="AH384" s="12" t="str">
        <f t="shared" si="160"/>
        <v xml:space="preserve"> </v>
      </c>
      <c r="AI384" s="7" t="e">
        <f t="shared" si="175"/>
        <v>#N/A</v>
      </c>
      <c r="AJ384" s="7" t="e">
        <f t="shared" si="161"/>
        <v>#N/A</v>
      </c>
      <c r="AK384" s="472" t="e">
        <f>VLOOKUP(AI384,'排出係数(2017)'!$A$4:$I$1151,6,FALSE)</f>
        <v>#N/A</v>
      </c>
      <c r="AL384" s="7" t="e">
        <f t="shared" si="162"/>
        <v>#N/A</v>
      </c>
      <c r="AM384" s="7" t="e">
        <f t="shared" si="163"/>
        <v>#N/A</v>
      </c>
      <c r="AN384" s="472" t="e">
        <f>VLOOKUP(AI384,'排出係数(2017)'!$A$4:$I$1151,7,FALSE)</f>
        <v>#N/A</v>
      </c>
      <c r="AO384" s="7" t="e">
        <f t="shared" si="164"/>
        <v>#N/A</v>
      </c>
      <c r="AP384" s="7" t="e">
        <f t="shared" si="165"/>
        <v>#N/A</v>
      </c>
      <c r="AQ384" s="7" t="e">
        <f t="shared" si="176"/>
        <v>#N/A</v>
      </c>
      <c r="AR384" s="7">
        <f t="shared" si="166"/>
        <v>0</v>
      </c>
      <c r="AS384" s="7" t="e">
        <f t="shared" si="177"/>
        <v>#N/A</v>
      </c>
      <c r="AT384" s="7" t="str">
        <f t="shared" si="167"/>
        <v/>
      </c>
      <c r="AU384" s="7" t="str">
        <f t="shared" si="168"/>
        <v/>
      </c>
      <c r="AV384" s="7" t="str">
        <f t="shared" si="169"/>
        <v/>
      </c>
      <c r="AW384" s="7" t="str">
        <f t="shared" si="170"/>
        <v/>
      </c>
      <c r="AX384" s="97"/>
      <c r="BD384" s="453" t="s">
        <v>1648</v>
      </c>
      <c r="CG384"/>
      <c r="CH384"/>
      <c r="CK384" s="592" t="str">
        <f t="shared" si="178"/>
        <v/>
      </c>
      <c r="CL384" s="421" t="str">
        <f t="shared" si="179"/>
        <v/>
      </c>
      <c r="CM384" s="594"/>
      <c r="CN384" s="594"/>
      <c r="CO384" s="594"/>
      <c r="CP384" s="594"/>
      <c r="CQ384" s="594"/>
      <c r="CR384" s="594"/>
    </row>
    <row r="385" spans="1:96" s="13" customFormat="1" ht="13.75" customHeight="1">
      <c r="A385" s="137">
        <v>370</v>
      </c>
      <c r="B385" s="138"/>
      <c r="C385" s="139"/>
      <c r="D385" s="140"/>
      <c r="E385" s="139"/>
      <c r="F385" s="139"/>
      <c r="G385" s="191"/>
      <c r="H385" s="139"/>
      <c r="I385" s="141"/>
      <c r="J385" s="142"/>
      <c r="K385" s="139"/>
      <c r="L385" s="147"/>
      <c r="M385" s="148"/>
      <c r="N385" s="139"/>
      <c r="O385" s="589"/>
      <c r="P385" s="229" t="str">
        <f t="shared" si="171"/>
        <v/>
      </c>
      <c r="Q385" s="229" t="str">
        <f t="shared" si="172"/>
        <v/>
      </c>
      <c r="R385" s="230" t="str">
        <f t="shared" si="173"/>
        <v/>
      </c>
      <c r="S385" s="230" t="str">
        <f t="shared" si="174"/>
        <v/>
      </c>
      <c r="T385" s="351"/>
      <c r="U385" s="43"/>
      <c r="V385" s="42" t="str">
        <f t="shared" si="150"/>
        <v/>
      </c>
      <c r="W385" s="42" t="e">
        <f>IF(#REF!="","",#REF!)</f>
        <v>#REF!</v>
      </c>
      <c r="X385" s="31" t="str">
        <f t="shared" si="151"/>
        <v/>
      </c>
      <c r="Y385" s="7" t="e">
        <f t="shared" si="152"/>
        <v>#N/A</v>
      </c>
      <c r="Z385" s="7" t="e">
        <f t="shared" si="153"/>
        <v>#N/A</v>
      </c>
      <c r="AA385" s="7" t="e">
        <f t="shared" si="154"/>
        <v>#N/A</v>
      </c>
      <c r="AB385" s="7" t="str">
        <f t="shared" si="155"/>
        <v/>
      </c>
      <c r="AC385" s="11">
        <f t="shared" si="156"/>
        <v>1</v>
      </c>
      <c r="AD385" s="7" t="e">
        <f t="shared" si="157"/>
        <v>#N/A</v>
      </c>
      <c r="AE385" s="7" t="e">
        <f t="shared" si="158"/>
        <v>#N/A</v>
      </c>
      <c r="AF385" s="7" t="e">
        <f t="shared" si="159"/>
        <v>#N/A</v>
      </c>
      <c r="AG385" s="472" t="e">
        <f>VLOOKUP(AI385,'排出係数(2017)'!$A$4:$I$1151,9,FALSE)</f>
        <v>#N/A</v>
      </c>
      <c r="AH385" s="12" t="str">
        <f t="shared" si="160"/>
        <v xml:space="preserve"> </v>
      </c>
      <c r="AI385" s="7" t="e">
        <f t="shared" si="175"/>
        <v>#N/A</v>
      </c>
      <c r="AJ385" s="7" t="e">
        <f t="shared" si="161"/>
        <v>#N/A</v>
      </c>
      <c r="AK385" s="472" t="e">
        <f>VLOOKUP(AI385,'排出係数(2017)'!$A$4:$I$1151,6,FALSE)</f>
        <v>#N/A</v>
      </c>
      <c r="AL385" s="7" t="e">
        <f t="shared" si="162"/>
        <v>#N/A</v>
      </c>
      <c r="AM385" s="7" t="e">
        <f t="shared" si="163"/>
        <v>#N/A</v>
      </c>
      <c r="AN385" s="472" t="e">
        <f>VLOOKUP(AI385,'排出係数(2017)'!$A$4:$I$1151,7,FALSE)</f>
        <v>#N/A</v>
      </c>
      <c r="AO385" s="7" t="e">
        <f t="shared" si="164"/>
        <v>#N/A</v>
      </c>
      <c r="AP385" s="7" t="e">
        <f t="shared" si="165"/>
        <v>#N/A</v>
      </c>
      <c r="AQ385" s="7" t="e">
        <f t="shared" si="176"/>
        <v>#N/A</v>
      </c>
      <c r="AR385" s="7">
        <f t="shared" si="166"/>
        <v>0</v>
      </c>
      <c r="AS385" s="7" t="e">
        <f t="shared" si="177"/>
        <v>#N/A</v>
      </c>
      <c r="AT385" s="7" t="str">
        <f t="shared" si="167"/>
        <v/>
      </c>
      <c r="AU385" s="7" t="str">
        <f t="shared" si="168"/>
        <v/>
      </c>
      <c r="AV385" s="7" t="str">
        <f t="shared" si="169"/>
        <v/>
      </c>
      <c r="AW385" s="7" t="str">
        <f t="shared" si="170"/>
        <v/>
      </c>
      <c r="AX385" s="97"/>
      <c r="BD385" s="467" t="s">
        <v>663</v>
      </c>
      <c r="CG385"/>
      <c r="CH385"/>
      <c r="CK385" s="592" t="str">
        <f t="shared" si="178"/>
        <v/>
      </c>
      <c r="CL385" s="421" t="str">
        <f t="shared" si="179"/>
        <v/>
      </c>
      <c r="CM385" s="594"/>
      <c r="CN385" s="594"/>
      <c r="CO385" s="594"/>
      <c r="CP385" s="594"/>
      <c r="CQ385" s="594"/>
      <c r="CR385" s="594"/>
    </row>
    <row r="386" spans="1:96" s="13" customFormat="1" ht="13.75" customHeight="1">
      <c r="A386" s="137">
        <v>371</v>
      </c>
      <c r="B386" s="138"/>
      <c r="C386" s="139"/>
      <c r="D386" s="140"/>
      <c r="E386" s="139"/>
      <c r="F386" s="139"/>
      <c r="G386" s="191"/>
      <c r="H386" s="139"/>
      <c r="I386" s="141"/>
      <c r="J386" s="142"/>
      <c r="K386" s="139"/>
      <c r="L386" s="147"/>
      <c r="M386" s="148"/>
      <c r="N386" s="139"/>
      <c r="O386" s="589"/>
      <c r="P386" s="229" t="str">
        <f t="shared" si="171"/>
        <v/>
      </c>
      <c r="Q386" s="229" t="str">
        <f t="shared" si="172"/>
        <v/>
      </c>
      <c r="R386" s="230" t="str">
        <f t="shared" si="173"/>
        <v/>
      </c>
      <c r="S386" s="230" t="str">
        <f t="shared" si="174"/>
        <v/>
      </c>
      <c r="T386" s="351"/>
      <c r="U386" s="43"/>
      <c r="V386" s="42" t="str">
        <f t="shared" si="150"/>
        <v/>
      </c>
      <c r="W386" s="42" t="e">
        <f>IF(#REF!="","",#REF!)</f>
        <v>#REF!</v>
      </c>
      <c r="X386" s="31" t="str">
        <f t="shared" si="151"/>
        <v/>
      </c>
      <c r="Y386" s="7" t="e">
        <f t="shared" si="152"/>
        <v>#N/A</v>
      </c>
      <c r="Z386" s="7" t="e">
        <f t="shared" si="153"/>
        <v>#N/A</v>
      </c>
      <c r="AA386" s="7" t="e">
        <f t="shared" si="154"/>
        <v>#N/A</v>
      </c>
      <c r="AB386" s="7" t="str">
        <f t="shared" si="155"/>
        <v/>
      </c>
      <c r="AC386" s="11">
        <f t="shared" si="156"/>
        <v>1</v>
      </c>
      <c r="AD386" s="7" t="e">
        <f t="shared" si="157"/>
        <v>#N/A</v>
      </c>
      <c r="AE386" s="7" t="e">
        <f t="shared" si="158"/>
        <v>#N/A</v>
      </c>
      <c r="AF386" s="7" t="e">
        <f t="shared" si="159"/>
        <v>#N/A</v>
      </c>
      <c r="AG386" s="472" t="e">
        <f>VLOOKUP(AI386,'排出係数(2017)'!$A$4:$I$1151,9,FALSE)</f>
        <v>#N/A</v>
      </c>
      <c r="AH386" s="12" t="str">
        <f t="shared" si="160"/>
        <v xml:space="preserve"> </v>
      </c>
      <c r="AI386" s="7" t="e">
        <f t="shared" si="175"/>
        <v>#N/A</v>
      </c>
      <c r="AJ386" s="7" t="e">
        <f t="shared" si="161"/>
        <v>#N/A</v>
      </c>
      <c r="AK386" s="472" t="e">
        <f>VLOOKUP(AI386,'排出係数(2017)'!$A$4:$I$1151,6,FALSE)</f>
        <v>#N/A</v>
      </c>
      <c r="AL386" s="7" t="e">
        <f t="shared" si="162"/>
        <v>#N/A</v>
      </c>
      <c r="AM386" s="7" t="e">
        <f t="shared" si="163"/>
        <v>#N/A</v>
      </c>
      <c r="AN386" s="472" t="e">
        <f>VLOOKUP(AI386,'排出係数(2017)'!$A$4:$I$1151,7,FALSE)</f>
        <v>#N/A</v>
      </c>
      <c r="AO386" s="7" t="e">
        <f t="shared" si="164"/>
        <v>#N/A</v>
      </c>
      <c r="AP386" s="7" t="e">
        <f t="shared" si="165"/>
        <v>#N/A</v>
      </c>
      <c r="AQ386" s="7" t="e">
        <f t="shared" si="176"/>
        <v>#N/A</v>
      </c>
      <c r="AR386" s="7">
        <f t="shared" si="166"/>
        <v>0</v>
      </c>
      <c r="AS386" s="7" t="e">
        <f t="shared" si="177"/>
        <v>#N/A</v>
      </c>
      <c r="AT386" s="7" t="str">
        <f t="shared" si="167"/>
        <v/>
      </c>
      <c r="AU386" s="7" t="str">
        <f t="shared" si="168"/>
        <v/>
      </c>
      <c r="AV386" s="7" t="str">
        <f t="shared" si="169"/>
        <v/>
      </c>
      <c r="AW386" s="7" t="str">
        <f t="shared" si="170"/>
        <v/>
      </c>
      <c r="AX386" s="97"/>
      <c r="BD386" s="467" t="s">
        <v>896</v>
      </c>
      <c r="CG386"/>
      <c r="CH386"/>
      <c r="CK386" s="592" t="str">
        <f t="shared" si="178"/>
        <v/>
      </c>
      <c r="CL386" s="421" t="str">
        <f t="shared" si="179"/>
        <v/>
      </c>
      <c r="CM386" s="594"/>
      <c r="CN386" s="594"/>
      <c r="CO386" s="594"/>
      <c r="CP386" s="594"/>
      <c r="CQ386" s="594"/>
      <c r="CR386" s="594"/>
    </row>
    <row r="387" spans="1:96" s="13" customFormat="1" ht="13.75" customHeight="1">
      <c r="A387" s="137">
        <v>372</v>
      </c>
      <c r="B387" s="138"/>
      <c r="C387" s="139"/>
      <c r="D387" s="140"/>
      <c r="E387" s="139"/>
      <c r="F387" s="139"/>
      <c r="G387" s="191"/>
      <c r="H387" s="139"/>
      <c r="I387" s="141"/>
      <c r="J387" s="142"/>
      <c r="K387" s="139"/>
      <c r="L387" s="147"/>
      <c r="M387" s="148"/>
      <c r="N387" s="139"/>
      <c r="O387" s="589"/>
      <c r="P387" s="229" t="str">
        <f t="shared" si="171"/>
        <v/>
      </c>
      <c r="Q387" s="229" t="str">
        <f t="shared" si="172"/>
        <v/>
      </c>
      <c r="R387" s="230" t="str">
        <f t="shared" si="173"/>
        <v/>
      </c>
      <c r="S387" s="230" t="str">
        <f t="shared" si="174"/>
        <v/>
      </c>
      <c r="T387" s="351"/>
      <c r="U387" s="43"/>
      <c r="V387" s="42" t="str">
        <f t="shared" si="150"/>
        <v/>
      </c>
      <c r="W387" s="42" t="e">
        <f>IF(#REF!="","",#REF!)</f>
        <v>#REF!</v>
      </c>
      <c r="X387" s="31" t="str">
        <f t="shared" si="151"/>
        <v/>
      </c>
      <c r="Y387" s="7" t="e">
        <f t="shared" si="152"/>
        <v>#N/A</v>
      </c>
      <c r="Z387" s="7" t="e">
        <f t="shared" si="153"/>
        <v>#N/A</v>
      </c>
      <c r="AA387" s="7" t="e">
        <f t="shared" si="154"/>
        <v>#N/A</v>
      </c>
      <c r="AB387" s="7" t="str">
        <f t="shared" si="155"/>
        <v/>
      </c>
      <c r="AC387" s="11">
        <f t="shared" si="156"/>
        <v>1</v>
      </c>
      <c r="AD387" s="7" t="e">
        <f t="shared" si="157"/>
        <v>#N/A</v>
      </c>
      <c r="AE387" s="7" t="e">
        <f t="shared" si="158"/>
        <v>#N/A</v>
      </c>
      <c r="AF387" s="7" t="e">
        <f t="shared" si="159"/>
        <v>#N/A</v>
      </c>
      <c r="AG387" s="472" t="e">
        <f>VLOOKUP(AI387,'排出係数(2017)'!$A$4:$I$1151,9,FALSE)</f>
        <v>#N/A</v>
      </c>
      <c r="AH387" s="12" t="str">
        <f t="shared" si="160"/>
        <v xml:space="preserve"> </v>
      </c>
      <c r="AI387" s="7" t="e">
        <f t="shared" si="175"/>
        <v>#N/A</v>
      </c>
      <c r="AJ387" s="7" t="e">
        <f t="shared" si="161"/>
        <v>#N/A</v>
      </c>
      <c r="AK387" s="472" t="e">
        <f>VLOOKUP(AI387,'排出係数(2017)'!$A$4:$I$1151,6,FALSE)</f>
        <v>#N/A</v>
      </c>
      <c r="AL387" s="7" t="e">
        <f t="shared" si="162"/>
        <v>#N/A</v>
      </c>
      <c r="AM387" s="7" t="e">
        <f t="shared" si="163"/>
        <v>#N/A</v>
      </c>
      <c r="AN387" s="472" t="e">
        <f>VLOOKUP(AI387,'排出係数(2017)'!$A$4:$I$1151,7,FALSE)</f>
        <v>#N/A</v>
      </c>
      <c r="AO387" s="7" t="e">
        <f t="shared" si="164"/>
        <v>#N/A</v>
      </c>
      <c r="AP387" s="7" t="e">
        <f t="shared" si="165"/>
        <v>#N/A</v>
      </c>
      <c r="AQ387" s="7" t="e">
        <f t="shared" si="176"/>
        <v>#N/A</v>
      </c>
      <c r="AR387" s="7">
        <f t="shared" si="166"/>
        <v>0</v>
      </c>
      <c r="AS387" s="7" t="e">
        <f t="shared" si="177"/>
        <v>#N/A</v>
      </c>
      <c r="AT387" s="7" t="str">
        <f t="shared" si="167"/>
        <v/>
      </c>
      <c r="AU387" s="7" t="str">
        <f t="shared" si="168"/>
        <v/>
      </c>
      <c r="AV387" s="7" t="str">
        <f t="shared" si="169"/>
        <v/>
      </c>
      <c r="AW387" s="7" t="str">
        <f t="shared" si="170"/>
        <v/>
      </c>
      <c r="AX387" s="97"/>
      <c r="BD387" s="453" t="s">
        <v>2363</v>
      </c>
      <c r="CG387"/>
      <c r="CH387"/>
      <c r="CK387" s="592" t="str">
        <f t="shared" si="178"/>
        <v/>
      </c>
      <c r="CL387" s="421" t="str">
        <f t="shared" si="179"/>
        <v/>
      </c>
      <c r="CM387" s="594"/>
      <c r="CN387" s="594"/>
      <c r="CO387" s="594"/>
      <c r="CP387" s="594"/>
      <c r="CQ387" s="594"/>
      <c r="CR387" s="594"/>
    </row>
    <row r="388" spans="1:96" s="13" customFormat="1" ht="13.75" customHeight="1">
      <c r="A388" s="137">
        <v>373</v>
      </c>
      <c r="B388" s="138"/>
      <c r="C388" s="139"/>
      <c r="D388" s="140"/>
      <c r="E388" s="139"/>
      <c r="F388" s="139"/>
      <c r="G388" s="191"/>
      <c r="H388" s="139"/>
      <c r="I388" s="141"/>
      <c r="J388" s="142"/>
      <c r="K388" s="139"/>
      <c r="L388" s="147"/>
      <c r="M388" s="148"/>
      <c r="N388" s="139"/>
      <c r="O388" s="589"/>
      <c r="P388" s="229" t="str">
        <f t="shared" si="171"/>
        <v/>
      </c>
      <c r="Q388" s="229" t="str">
        <f t="shared" si="172"/>
        <v/>
      </c>
      <c r="R388" s="230" t="str">
        <f t="shared" si="173"/>
        <v/>
      </c>
      <c r="S388" s="230" t="str">
        <f t="shared" si="174"/>
        <v/>
      </c>
      <c r="T388" s="351"/>
      <c r="U388" s="43"/>
      <c r="V388" s="42" t="str">
        <f t="shared" si="150"/>
        <v/>
      </c>
      <c r="W388" s="42" t="e">
        <f>IF(#REF!="","",#REF!)</f>
        <v>#REF!</v>
      </c>
      <c r="X388" s="31" t="str">
        <f t="shared" si="151"/>
        <v/>
      </c>
      <c r="Y388" s="7" t="e">
        <f t="shared" si="152"/>
        <v>#N/A</v>
      </c>
      <c r="Z388" s="7" t="e">
        <f t="shared" si="153"/>
        <v>#N/A</v>
      </c>
      <c r="AA388" s="7" t="e">
        <f t="shared" si="154"/>
        <v>#N/A</v>
      </c>
      <c r="AB388" s="7" t="str">
        <f t="shared" si="155"/>
        <v/>
      </c>
      <c r="AC388" s="11">
        <f t="shared" si="156"/>
        <v>1</v>
      </c>
      <c r="AD388" s="7" t="e">
        <f t="shared" si="157"/>
        <v>#N/A</v>
      </c>
      <c r="AE388" s="7" t="e">
        <f t="shared" si="158"/>
        <v>#N/A</v>
      </c>
      <c r="AF388" s="7" t="e">
        <f t="shared" si="159"/>
        <v>#N/A</v>
      </c>
      <c r="AG388" s="472" t="e">
        <f>VLOOKUP(AI388,'排出係数(2017)'!$A$4:$I$1151,9,FALSE)</f>
        <v>#N/A</v>
      </c>
      <c r="AH388" s="12" t="str">
        <f t="shared" si="160"/>
        <v xml:space="preserve"> </v>
      </c>
      <c r="AI388" s="7" t="e">
        <f t="shared" si="175"/>
        <v>#N/A</v>
      </c>
      <c r="AJ388" s="7" t="e">
        <f t="shared" si="161"/>
        <v>#N/A</v>
      </c>
      <c r="AK388" s="472" t="e">
        <f>VLOOKUP(AI388,'排出係数(2017)'!$A$4:$I$1151,6,FALSE)</f>
        <v>#N/A</v>
      </c>
      <c r="AL388" s="7" t="e">
        <f t="shared" si="162"/>
        <v>#N/A</v>
      </c>
      <c r="AM388" s="7" t="e">
        <f t="shared" si="163"/>
        <v>#N/A</v>
      </c>
      <c r="AN388" s="472" t="e">
        <f>VLOOKUP(AI388,'排出係数(2017)'!$A$4:$I$1151,7,FALSE)</f>
        <v>#N/A</v>
      </c>
      <c r="AO388" s="7" t="e">
        <f t="shared" si="164"/>
        <v>#N/A</v>
      </c>
      <c r="AP388" s="7" t="e">
        <f t="shared" si="165"/>
        <v>#N/A</v>
      </c>
      <c r="AQ388" s="7" t="e">
        <f t="shared" si="176"/>
        <v>#N/A</v>
      </c>
      <c r="AR388" s="7">
        <f t="shared" si="166"/>
        <v>0</v>
      </c>
      <c r="AS388" s="7" t="e">
        <f t="shared" si="177"/>
        <v>#N/A</v>
      </c>
      <c r="AT388" s="7" t="str">
        <f t="shared" si="167"/>
        <v/>
      </c>
      <c r="AU388" s="7" t="str">
        <f t="shared" si="168"/>
        <v/>
      </c>
      <c r="AV388" s="7" t="str">
        <f t="shared" si="169"/>
        <v/>
      </c>
      <c r="AW388" s="7" t="str">
        <f t="shared" si="170"/>
        <v/>
      </c>
      <c r="AX388" s="97"/>
      <c r="BD388" s="453" t="s">
        <v>1642</v>
      </c>
      <c r="CG388"/>
      <c r="CH388"/>
      <c r="CK388" s="592" t="str">
        <f t="shared" si="178"/>
        <v/>
      </c>
      <c r="CL388" s="421" t="str">
        <f t="shared" si="179"/>
        <v/>
      </c>
      <c r="CM388" s="594"/>
      <c r="CN388" s="594"/>
      <c r="CO388" s="594"/>
      <c r="CP388" s="594"/>
      <c r="CQ388" s="594"/>
      <c r="CR388" s="594"/>
    </row>
    <row r="389" spans="1:96" s="13" customFormat="1" ht="13.75" customHeight="1">
      <c r="A389" s="137">
        <v>374</v>
      </c>
      <c r="B389" s="138"/>
      <c r="C389" s="139"/>
      <c r="D389" s="140"/>
      <c r="E389" s="139"/>
      <c r="F389" s="139"/>
      <c r="G389" s="191"/>
      <c r="H389" s="139"/>
      <c r="I389" s="141"/>
      <c r="J389" s="142"/>
      <c r="K389" s="139"/>
      <c r="L389" s="147"/>
      <c r="M389" s="148"/>
      <c r="N389" s="139"/>
      <c r="O389" s="589"/>
      <c r="P389" s="229" t="str">
        <f t="shared" si="171"/>
        <v/>
      </c>
      <c r="Q389" s="229" t="str">
        <f t="shared" si="172"/>
        <v/>
      </c>
      <c r="R389" s="230" t="str">
        <f t="shared" si="173"/>
        <v/>
      </c>
      <c r="S389" s="230" t="str">
        <f t="shared" si="174"/>
        <v/>
      </c>
      <c r="T389" s="351"/>
      <c r="U389" s="43"/>
      <c r="V389" s="42" t="str">
        <f t="shared" si="150"/>
        <v/>
      </c>
      <c r="W389" s="42" t="e">
        <f>IF(#REF!="","",#REF!)</f>
        <v>#REF!</v>
      </c>
      <c r="X389" s="31" t="str">
        <f t="shared" si="151"/>
        <v/>
      </c>
      <c r="Y389" s="7" t="e">
        <f t="shared" si="152"/>
        <v>#N/A</v>
      </c>
      <c r="Z389" s="7" t="e">
        <f t="shared" si="153"/>
        <v>#N/A</v>
      </c>
      <c r="AA389" s="7" t="e">
        <f t="shared" si="154"/>
        <v>#N/A</v>
      </c>
      <c r="AB389" s="7" t="str">
        <f t="shared" si="155"/>
        <v/>
      </c>
      <c r="AC389" s="11">
        <f t="shared" si="156"/>
        <v>1</v>
      </c>
      <c r="AD389" s="7" t="e">
        <f t="shared" si="157"/>
        <v>#N/A</v>
      </c>
      <c r="AE389" s="7" t="e">
        <f t="shared" si="158"/>
        <v>#N/A</v>
      </c>
      <c r="AF389" s="7" t="e">
        <f t="shared" si="159"/>
        <v>#N/A</v>
      </c>
      <c r="AG389" s="472" t="e">
        <f>VLOOKUP(AI389,'排出係数(2017)'!$A$4:$I$1151,9,FALSE)</f>
        <v>#N/A</v>
      </c>
      <c r="AH389" s="12" t="str">
        <f t="shared" si="160"/>
        <v xml:space="preserve"> </v>
      </c>
      <c r="AI389" s="7" t="e">
        <f t="shared" si="175"/>
        <v>#N/A</v>
      </c>
      <c r="AJ389" s="7" t="e">
        <f t="shared" si="161"/>
        <v>#N/A</v>
      </c>
      <c r="AK389" s="472" t="e">
        <f>VLOOKUP(AI389,'排出係数(2017)'!$A$4:$I$1151,6,FALSE)</f>
        <v>#N/A</v>
      </c>
      <c r="AL389" s="7" t="e">
        <f t="shared" si="162"/>
        <v>#N/A</v>
      </c>
      <c r="AM389" s="7" t="e">
        <f t="shared" si="163"/>
        <v>#N/A</v>
      </c>
      <c r="AN389" s="472" t="e">
        <f>VLOOKUP(AI389,'排出係数(2017)'!$A$4:$I$1151,7,FALSE)</f>
        <v>#N/A</v>
      </c>
      <c r="AO389" s="7" t="e">
        <f t="shared" si="164"/>
        <v>#N/A</v>
      </c>
      <c r="AP389" s="7" t="e">
        <f t="shared" si="165"/>
        <v>#N/A</v>
      </c>
      <c r="AQ389" s="7" t="e">
        <f t="shared" si="176"/>
        <v>#N/A</v>
      </c>
      <c r="AR389" s="7">
        <f t="shared" si="166"/>
        <v>0</v>
      </c>
      <c r="AS389" s="7" t="e">
        <f t="shared" si="177"/>
        <v>#N/A</v>
      </c>
      <c r="AT389" s="7" t="str">
        <f t="shared" si="167"/>
        <v/>
      </c>
      <c r="AU389" s="7" t="str">
        <f t="shared" si="168"/>
        <v/>
      </c>
      <c r="AV389" s="7" t="str">
        <f t="shared" si="169"/>
        <v/>
      </c>
      <c r="AW389" s="7" t="str">
        <f t="shared" si="170"/>
        <v/>
      </c>
      <c r="AX389" s="97"/>
      <c r="BD389" s="453" t="s">
        <v>655</v>
      </c>
      <c r="CG389"/>
      <c r="CH389"/>
      <c r="CK389" s="592" t="str">
        <f t="shared" si="178"/>
        <v/>
      </c>
      <c r="CL389" s="421" t="str">
        <f t="shared" si="179"/>
        <v/>
      </c>
      <c r="CM389" s="594"/>
      <c r="CN389" s="594"/>
      <c r="CO389" s="594"/>
      <c r="CP389" s="594"/>
      <c r="CQ389" s="594"/>
      <c r="CR389" s="594"/>
    </row>
    <row r="390" spans="1:96" s="13" customFormat="1" ht="13.75" customHeight="1">
      <c r="A390" s="137">
        <v>375</v>
      </c>
      <c r="B390" s="138"/>
      <c r="C390" s="139"/>
      <c r="D390" s="140"/>
      <c r="E390" s="139"/>
      <c r="F390" s="139"/>
      <c r="G390" s="191"/>
      <c r="H390" s="139"/>
      <c r="I390" s="141"/>
      <c r="J390" s="142"/>
      <c r="K390" s="139"/>
      <c r="L390" s="147"/>
      <c r="M390" s="148"/>
      <c r="N390" s="139"/>
      <c r="O390" s="589"/>
      <c r="P390" s="229" t="str">
        <f t="shared" si="171"/>
        <v/>
      </c>
      <c r="Q390" s="229" t="str">
        <f t="shared" si="172"/>
        <v/>
      </c>
      <c r="R390" s="230" t="str">
        <f t="shared" si="173"/>
        <v/>
      </c>
      <c r="S390" s="230" t="str">
        <f t="shared" si="174"/>
        <v/>
      </c>
      <c r="T390" s="351"/>
      <c r="U390" s="43"/>
      <c r="V390" s="42" t="str">
        <f t="shared" si="150"/>
        <v/>
      </c>
      <c r="W390" s="42" t="e">
        <f>IF(#REF!="","",#REF!)</f>
        <v>#REF!</v>
      </c>
      <c r="X390" s="31" t="str">
        <f t="shared" si="151"/>
        <v/>
      </c>
      <c r="Y390" s="7" t="e">
        <f t="shared" si="152"/>
        <v>#N/A</v>
      </c>
      <c r="Z390" s="7" t="e">
        <f t="shared" si="153"/>
        <v>#N/A</v>
      </c>
      <c r="AA390" s="7" t="e">
        <f t="shared" si="154"/>
        <v>#N/A</v>
      </c>
      <c r="AB390" s="7" t="str">
        <f t="shared" si="155"/>
        <v/>
      </c>
      <c r="AC390" s="11">
        <f t="shared" si="156"/>
        <v>1</v>
      </c>
      <c r="AD390" s="7" t="e">
        <f t="shared" si="157"/>
        <v>#N/A</v>
      </c>
      <c r="AE390" s="7" t="e">
        <f t="shared" si="158"/>
        <v>#N/A</v>
      </c>
      <c r="AF390" s="7" t="e">
        <f t="shared" si="159"/>
        <v>#N/A</v>
      </c>
      <c r="AG390" s="472" t="e">
        <f>VLOOKUP(AI390,'排出係数(2017)'!$A$4:$I$1151,9,FALSE)</f>
        <v>#N/A</v>
      </c>
      <c r="AH390" s="12" t="str">
        <f t="shared" si="160"/>
        <v xml:space="preserve"> </v>
      </c>
      <c r="AI390" s="7" t="e">
        <f t="shared" si="175"/>
        <v>#N/A</v>
      </c>
      <c r="AJ390" s="7" t="e">
        <f t="shared" si="161"/>
        <v>#N/A</v>
      </c>
      <c r="AK390" s="472" t="e">
        <f>VLOOKUP(AI390,'排出係数(2017)'!$A$4:$I$1151,6,FALSE)</f>
        <v>#N/A</v>
      </c>
      <c r="AL390" s="7" t="e">
        <f t="shared" si="162"/>
        <v>#N/A</v>
      </c>
      <c r="AM390" s="7" t="e">
        <f t="shared" si="163"/>
        <v>#N/A</v>
      </c>
      <c r="AN390" s="472" t="e">
        <f>VLOOKUP(AI390,'排出係数(2017)'!$A$4:$I$1151,7,FALSE)</f>
        <v>#N/A</v>
      </c>
      <c r="AO390" s="7" t="e">
        <f t="shared" si="164"/>
        <v>#N/A</v>
      </c>
      <c r="AP390" s="7" t="e">
        <f t="shared" si="165"/>
        <v>#N/A</v>
      </c>
      <c r="AQ390" s="7" t="e">
        <f t="shared" si="176"/>
        <v>#N/A</v>
      </c>
      <c r="AR390" s="7">
        <f t="shared" si="166"/>
        <v>0</v>
      </c>
      <c r="AS390" s="7" t="e">
        <f t="shared" si="177"/>
        <v>#N/A</v>
      </c>
      <c r="AT390" s="7" t="str">
        <f t="shared" si="167"/>
        <v/>
      </c>
      <c r="AU390" s="7" t="str">
        <f t="shared" si="168"/>
        <v/>
      </c>
      <c r="AV390" s="7" t="str">
        <f t="shared" si="169"/>
        <v/>
      </c>
      <c r="AW390" s="7" t="str">
        <f t="shared" si="170"/>
        <v/>
      </c>
      <c r="AX390" s="97"/>
      <c r="BD390" s="467" t="s">
        <v>888</v>
      </c>
      <c r="CG390"/>
      <c r="CH390"/>
      <c r="CK390" s="592" t="str">
        <f t="shared" si="178"/>
        <v/>
      </c>
      <c r="CL390" s="421" t="str">
        <f t="shared" si="179"/>
        <v/>
      </c>
      <c r="CM390" s="594"/>
      <c r="CN390" s="594"/>
      <c r="CO390" s="594"/>
      <c r="CP390" s="594"/>
      <c r="CQ390" s="594"/>
      <c r="CR390" s="594"/>
    </row>
    <row r="391" spans="1:96" s="13" customFormat="1" ht="13.75" customHeight="1">
      <c r="A391" s="137">
        <v>376</v>
      </c>
      <c r="B391" s="138"/>
      <c r="C391" s="139"/>
      <c r="D391" s="140"/>
      <c r="E391" s="139"/>
      <c r="F391" s="139"/>
      <c r="G391" s="191"/>
      <c r="H391" s="139"/>
      <c r="I391" s="141"/>
      <c r="J391" s="142"/>
      <c r="K391" s="139"/>
      <c r="L391" s="147"/>
      <c r="M391" s="148"/>
      <c r="N391" s="139"/>
      <c r="O391" s="589"/>
      <c r="P391" s="229" t="str">
        <f t="shared" si="171"/>
        <v/>
      </c>
      <c r="Q391" s="229" t="str">
        <f t="shared" si="172"/>
        <v/>
      </c>
      <c r="R391" s="230" t="str">
        <f t="shared" si="173"/>
        <v/>
      </c>
      <c r="S391" s="230" t="str">
        <f t="shared" si="174"/>
        <v/>
      </c>
      <c r="T391" s="351"/>
      <c r="U391" s="43"/>
      <c r="V391" s="42" t="str">
        <f t="shared" si="150"/>
        <v/>
      </c>
      <c r="W391" s="42" t="e">
        <f>IF(#REF!="","",#REF!)</f>
        <v>#REF!</v>
      </c>
      <c r="X391" s="31" t="str">
        <f t="shared" si="151"/>
        <v/>
      </c>
      <c r="Y391" s="7" t="e">
        <f t="shared" si="152"/>
        <v>#N/A</v>
      </c>
      <c r="Z391" s="7" t="e">
        <f t="shared" si="153"/>
        <v>#N/A</v>
      </c>
      <c r="AA391" s="7" t="e">
        <f t="shared" si="154"/>
        <v>#N/A</v>
      </c>
      <c r="AB391" s="7" t="str">
        <f t="shared" si="155"/>
        <v/>
      </c>
      <c r="AC391" s="11">
        <f t="shared" si="156"/>
        <v>1</v>
      </c>
      <c r="AD391" s="7" t="e">
        <f t="shared" si="157"/>
        <v>#N/A</v>
      </c>
      <c r="AE391" s="7" t="e">
        <f t="shared" si="158"/>
        <v>#N/A</v>
      </c>
      <c r="AF391" s="7" t="e">
        <f t="shared" si="159"/>
        <v>#N/A</v>
      </c>
      <c r="AG391" s="472" t="e">
        <f>VLOOKUP(AI391,'排出係数(2017)'!$A$4:$I$1151,9,FALSE)</f>
        <v>#N/A</v>
      </c>
      <c r="AH391" s="12" t="str">
        <f t="shared" si="160"/>
        <v xml:space="preserve"> </v>
      </c>
      <c r="AI391" s="7" t="e">
        <f t="shared" si="175"/>
        <v>#N/A</v>
      </c>
      <c r="AJ391" s="7" t="e">
        <f t="shared" si="161"/>
        <v>#N/A</v>
      </c>
      <c r="AK391" s="472" t="e">
        <f>VLOOKUP(AI391,'排出係数(2017)'!$A$4:$I$1151,6,FALSE)</f>
        <v>#N/A</v>
      </c>
      <c r="AL391" s="7" t="e">
        <f t="shared" si="162"/>
        <v>#N/A</v>
      </c>
      <c r="AM391" s="7" t="e">
        <f t="shared" si="163"/>
        <v>#N/A</v>
      </c>
      <c r="AN391" s="472" t="e">
        <f>VLOOKUP(AI391,'排出係数(2017)'!$A$4:$I$1151,7,FALSE)</f>
        <v>#N/A</v>
      </c>
      <c r="AO391" s="7" t="e">
        <f t="shared" si="164"/>
        <v>#N/A</v>
      </c>
      <c r="AP391" s="7" t="e">
        <f t="shared" si="165"/>
        <v>#N/A</v>
      </c>
      <c r="AQ391" s="7" t="e">
        <f t="shared" si="176"/>
        <v>#N/A</v>
      </c>
      <c r="AR391" s="7">
        <f t="shared" si="166"/>
        <v>0</v>
      </c>
      <c r="AS391" s="7" t="e">
        <f t="shared" si="177"/>
        <v>#N/A</v>
      </c>
      <c r="AT391" s="7" t="str">
        <f t="shared" si="167"/>
        <v/>
      </c>
      <c r="AU391" s="7" t="str">
        <f t="shared" si="168"/>
        <v/>
      </c>
      <c r="AV391" s="7" t="str">
        <f t="shared" si="169"/>
        <v/>
      </c>
      <c r="AW391" s="7" t="str">
        <f t="shared" si="170"/>
        <v/>
      </c>
      <c r="AX391" s="97"/>
      <c r="BD391" s="453" t="s">
        <v>2359</v>
      </c>
      <c r="CG391"/>
      <c r="CH391"/>
      <c r="CK391" s="592" t="str">
        <f t="shared" si="178"/>
        <v/>
      </c>
      <c r="CL391" s="421" t="str">
        <f t="shared" si="179"/>
        <v/>
      </c>
      <c r="CM391" s="594"/>
      <c r="CN391" s="594"/>
      <c r="CO391" s="594"/>
      <c r="CP391" s="594"/>
      <c r="CQ391" s="594"/>
      <c r="CR391" s="594"/>
    </row>
    <row r="392" spans="1:96" s="13" customFormat="1" ht="13.75" customHeight="1">
      <c r="A392" s="137">
        <v>377</v>
      </c>
      <c r="B392" s="138"/>
      <c r="C392" s="139"/>
      <c r="D392" s="140"/>
      <c r="E392" s="139"/>
      <c r="F392" s="139"/>
      <c r="G392" s="191"/>
      <c r="H392" s="139"/>
      <c r="I392" s="141"/>
      <c r="J392" s="142"/>
      <c r="K392" s="139"/>
      <c r="L392" s="147"/>
      <c r="M392" s="148"/>
      <c r="N392" s="139"/>
      <c r="O392" s="589"/>
      <c r="P392" s="229" t="str">
        <f t="shared" si="171"/>
        <v/>
      </c>
      <c r="Q392" s="229" t="str">
        <f t="shared" si="172"/>
        <v/>
      </c>
      <c r="R392" s="230" t="str">
        <f t="shared" si="173"/>
        <v/>
      </c>
      <c r="S392" s="230" t="str">
        <f t="shared" si="174"/>
        <v/>
      </c>
      <c r="T392" s="351"/>
      <c r="U392" s="43"/>
      <c r="V392" s="42" t="str">
        <f t="shared" si="150"/>
        <v/>
      </c>
      <c r="W392" s="42" t="e">
        <f>IF(#REF!="","",#REF!)</f>
        <v>#REF!</v>
      </c>
      <c r="X392" s="31" t="str">
        <f t="shared" si="151"/>
        <v/>
      </c>
      <c r="Y392" s="7" t="e">
        <f t="shared" si="152"/>
        <v>#N/A</v>
      </c>
      <c r="Z392" s="7" t="e">
        <f t="shared" si="153"/>
        <v>#N/A</v>
      </c>
      <c r="AA392" s="7" t="e">
        <f t="shared" si="154"/>
        <v>#N/A</v>
      </c>
      <c r="AB392" s="7" t="str">
        <f t="shared" si="155"/>
        <v/>
      </c>
      <c r="AC392" s="11">
        <f t="shared" si="156"/>
        <v>1</v>
      </c>
      <c r="AD392" s="7" t="e">
        <f t="shared" si="157"/>
        <v>#N/A</v>
      </c>
      <c r="AE392" s="7" t="e">
        <f t="shared" si="158"/>
        <v>#N/A</v>
      </c>
      <c r="AF392" s="7" t="e">
        <f t="shared" si="159"/>
        <v>#N/A</v>
      </c>
      <c r="AG392" s="472" t="e">
        <f>VLOOKUP(AI392,'排出係数(2017)'!$A$4:$I$1151,9,FALSE)</f>
        <v>#N/A</v>
      </c>
      <c r="AH392" s="12" t="str">
        <f t="shared" si="160"/>
        <v xml:space="preserve"> </v>
      </c>
      <c r="AI392" s="7" t="e">
        <f t="shared" si="175"/>
        <v>#N/A</v>
      </c>
      <c r="AJ392" s="7" t="e">
        <f t="shared" si="161"/>
        <v>#N/A</v>
      </c>
      <c r="AK392" s="472" t="e">
        <f>VLOOKUP(AI392,'排出係数(2017)'!$A$4:$I$1151,6,FALSE)</f>
        <v>#N/A</v>
      </c>
      <c r="AL392" s="7" t="e">
        <f t="shared" si="162"/>
        <v>#N/A</v>
      </c>
      <c r="AM392" s="7" t="e">
        <f t="shared" si="163"/>
        <v>#N/A</v>
      </c>
      <c r="AN392" s="472" t="e">
        <f>VLOOKUP(AI392,'排出係数(2017)'!$A$4:$I$1151,7,FALSE)</f>
        <v>#N/A</v>
      </c>
      <c r="AO392" s="7" t="e">
        <f t="shared" si="164"/>
        <v>#N/A</v>
      </c>
      <c r="AP392" s="7" t="e">
        <f t="shared" si="165"/>
        <v>#N/A</v>
      </c>
      <c r="AQ392" s="7" t="e">
        <f t="shared" si="176"/>
        <v>#N/A</v>
      </c>
      <c r="AR392" s="7">
        <f t="shared" si="166"/>
        <v>0</v>
      </c>
      <c r="AS392" s="7" t="e">
        <f t="shared" si="177"/>
        <v>#N/A</v>
      </c>
      <c r="AT392" s="7" t="str">
        <f t="shared" si="167"/>
        <v/>
      </c>
      <c r="AU392" s="7" t="str">
        <f t="shared" si="168"/>
        <v/>
      </c>
      <c r="AV392" s="7" t="str">
        <f t="shared" si="169"/>
        <v/>
      </c>
      <c r="AW392" s="7" t="str">
        <f t="shared" si="170"/>
        <v/>
      </c>
      <c r="AX392" s="97"/>
      <c r="BD392" s="453" t="s">
        <v>1690</v>
      </c>
      <c r="CG392"/>
      <c r="CH392"/>
      <c r="CK392" s="592" t="str">
        <f t="shared" si="178"/>
        <v/>
      </c>
      <c r="CL392" s="421" t="str">
        <f t="shared" si="179"/>
        <v/>
      </c>
      <c r="CM392" s="594"/>
      <c r="CN392" s="594"/>
      <c r="CO392" s="594"/>
      <c r="CP392" s="594"/>
      <c r="CQ392" s="594"/>
      <c r="CR392" s="594"/>
    </row>
    <row r="393" spans="1:96" s="13" customFormat="1" ht="13.75" customHeight="1">
      <c r="A393" s="137">
        <v>378</v>
      </c>
      <c r="B393" s="138"/>
      <c r="C393" s="139"/>
      <c r="D393" s="140"/>
      <c r="E393" s="139"/>
      <c r="F393" s="139"/>
      <c r="G393" s="191"/>
      <c r="H393" s="139"/>
      <c r="I393" s="141"/>
      <c r="J393" s="142"/>
      <c r="K393" s="139"/>
      <c r="L393" s="147"/>
      <c r="M393" s="148"/>
      <c r="N393" s="139"/>
      <c r="O393" s="589"/>
      <c r="P393" s="229" t="str">
        <f t="shared" si="171"/>
        <v/>
      </c>
      <c r="Q393" s="229" t="str">
        <f t="shared" si="172"/>
        <v/>
      </c>
      <c r="R393" s="230" t="str">
        <f t="shared" si="173"/>
        <v/>
      </c>
      <c r="S393" s="230" t="str">
        <f t="shared" si="174"/>
        <v/>
      </c>
      <c r="T393" s="351"/>
      <c r="U393" s="43"/>
      <c r="V393" s="42" t="str">
        <f t="shared" si="150"/>
        <v/>
      </c>
      <c r="W393" s="42" t="e">
        <f>IF(#REF!="","",#REF!)</f>
        <v>#REF!</v>
      </c>
      <c r="X393" s="31" t="str">
        <f t="shared" si="151"/>
        <v/>
      </c>
      <c r="Y393" s="7" t="e">
        <f t="shared" si="152"/>
        <v>#N/A</v>
      </c>
      <c r="Z393" s="7" t="e">
        <f t="shared" si="153"/>
        <v>#N/A</v>
      </c>
      <c r="AA393" s="7" t="e">
        <f t="shared" si="154"/>
        <v>#N/A</v>
      </c>
      <c r="AB393" s="7" t="str">
        <f t="shared" si="155"/>
        <v/>
      </c>
      <c r="AC393" s="11">
        <f t="shared" si="156"/>
        <v>1</v>
      </c>
      <c r="AD393" s="7" t="e">
        <f t="shared" si="157"/>
        <v>#N/A</v>
      </c>
      <c r="AE393" s="7" t="e">
        <f t="shared" si="158"/>
        <v>#N/A</v>
      </c>
      <c r="AF393" s="7" t="e">
        <f t="shared" si="159"/>
        <v>#N/A</v>
      </c>
      <c r="AG393" s="472" t="e">
        <f>VLOOKUP(AI393,'排出係数(2017)'!$A$4:$I$1151,9,FALSE)</f>
        <v>#N/A</v>
      </c>
      <c r="AH393" s="12" t="str">
        <f t="shared" si="160"/>
        <v xml:space="preserve"> </v>
      </c>
      <c r="AI393" s="7" t="e">
        <f t="shared" si="175"/>
        <v>#N/A</v>
      </c>
      <c r="AJ393" s="7" t="e">
        <f t="shared" si="161"/>
        <v>#N/A</v>
      </c>
      <c r="AK393" s="472" t="e">
        <f>VLOOKUP(AI393,'排出係数(2017)'!$A$4:$I$1151,6,FALSE)</f>
        <v>#N/A</v>
      </c>
      <c r="AL393" s="7" t="e">
        <f t="shared" si="162"/>
        <v>#N/A</v>
      </c>
      <c r="AM393" s="7" t="e">
        <f t="shared" si="163"/>
        <v>#N/A</v>
      </c>
      <c r="AN393" s="472" t="e">
        <f>VLOOKUP(AI393,'排出係数(2017)'!$A$4:$I$1151,7,FALSE)</f>
        <v>#N/A</v>
      </c>
      <c r="AO393" s="7" t="e">
        <f t="shared" si="164"/>
        <v>#N/A</v>
      </c>
      <c r="AP393" s="7" t="e">
        <f t="shared" si="165"/>
        <v>#N/A</v>
      </c>
      <c r="AQ393" s="7" t="e">
        <f t="shared" si="176"/>
        <v>#N/A</v>
      </c>
      <c r="AR393" s="7">
        <f t="shared" si="166"/>
        <v>0</v>
      </c>
      <c r="AS393" s="7" t="e">
        <f t="shared" si="177"/>
        <v>#N/A</v>
      </c>
      <c r="AT393" s="7" t="str">
        <f t="shared" si="167"/>
        <v/>
      </c>
      <c r="AU393" s="7" t="str">
        <f t="shared" si="168"/>
        <v/>
      </c>
      <c r="AV393" s="7" t="str">
        <f t="shared" si="169"/>
        <v/>
      </c>
      <c r="AW393" s="7" t="str">
        <f t="shared" si="170"/>
        <v/>
      </c>
      <c r="AX393" s="97"/>
      <c r="BD393" s="473" t="s">
        <v>1159</v>
      </c>
      <c r="CG393"/>
      <c r="CH393"/>
      <c r="CK393" s="592" t="str">
        <f t="shared" si="178"/>
        <v/>
      </c>
      <c r="CL393" s="421" t="str">
        <f t="shared" si="179"/>
        <v/>
      </c>
      <c r="CM393" s="594"/>
      <c r="CN393" s="594"/>
      <c r="CO393" s="594"/>
      <c r="CP393" s="594"/>
      <c r="CQ393" s="594"/>
      <c r="CR393" s="594"/>
    </row>
    <row r="394" spans="1:96" s="13" customFormat="1" ht="13.75" customHeight="1">
      <c r="A394" s="137">
        <v>379</v>
      </c>
      <c r="B394" s="138"/>
      <c r="C394" s="139"/>
      <c r="D394" s="140"/>
      <c r="E394" s="139"/>
      <c r="F394" s="139"/>
      <c r="G394" s="191"/>
      <c r="H394" s="139"/>
      <c r="I394" s="141"/>
      <c r="J394" s="142"/>
      <c r="K394" s="139"/>
      <c r="L394" s="147"/>
      <c r="M394" s="148"/>
      <c r="N394" s="139"/>
      <c r="O394" s="589"/>
      <c r="P394" s="229" t="str">
        <f t="shared" si="171"/>
        <v/>
      </c>
      <c r="Q394" s="229" t="str">
        <f t="shared" si="172"/>
        <v/>
      </c>
      <c r="R394" s="230" t="str">
        <f t="shared" si="173"/>
        <v/>
      </c>
      <c r="S394" s="230" t="str">
        <f t="shared" si="174"/>
        <v/>
      </c>
      <c r="T394" s="351"/>
      <c r="U394" s="43"/>
      <c r="V394" s="42" t="str">
        <f t="shared" si="150"/>
        <v/>
      </c>
      <c r="W394" s="42" t="e">
        <f>IF(#REF!="","",#REF!)</f>
        <v>#REF!</v>
      </c>
      <c r="X394" s="31" t="str">
        <f t="shared" si="151"/>
        <v/>
      </c>
      <c r="Y394" s="7" t="e">
        <f t="shared" si="152"/>
        <v>#N/A</v>
      </c>
      <c r="Z394" s="7" t="e">
        <f t="shared" si="153"/>
        <v>#N/A</v>
      </c>
      <c r="AA394" s="7" t="e">
        <f t="shared" si="154"/>
        <v>#N/A</v>
      </c>
      <c r="AB394" s="7" t="str">
        <f t="shared" si="155"/>
        <v/>
      </c>
      <c r="AC394" s="11">
        <f t="shared" si="156"/>
        <v>1</v>
      </c>
      <c r="AD394" s="7" t="e">
        <f t="shared" si="157"/>
        <v>#N/A</v>
      </c>
      <c r="AE394" s="7" t="e">
        <f t="shared" si="158"/>
        <v>#N/A</v>
      </c>
      <c r="AF394" s="7" t="e">
        <f t="shared" si="159"/>
        <v>#N/A</v>
      </c>
      <c r="AG394" s="472" t="e">
        <f>VLOOKUP(AI394,'排出係数(2017)'!$A$4:$I$1151,9,FALSE)</f>
        <v>#N/A</v>
      </c>
      <c r="AH394" s="12" t="str">
        <f t="shared" si="160"/>
        <v xml:space="preserve"> </v>
      </c>
      <c r="AI394" s="7" t="e">
        <f t="shared" si="175"/>
        <v>#N/A</v>
      </c>
      <c r="AJ394" s="7" t="e">
        <f t="shared" si="161"/>
        <v>#N/A</v>
      </c>
      <c r="AK394" s="472" t="e">
        <f>VLOOKUP(AI394,'排出係数(2017)'!$A$4:$I$1151,6,FALSE)</f>
        <v>#N/A</v>
      </c>
      <c r="AL394" s="7" t="e">
        <f t="shared" si="162"/>
        <v>#N/A</v>
      </c>
      <c r="AM394" s="7" t="e">
        <f t="shared" si="163"/>
        <v>#N/A</v>
      </c>
      <c r="AN394" s="472" t="e">
        <f>VLOOKUP(AI394,'排出係数(2017)'!$A$4:$I$1151,7,FALSE)</f>
        <v>#N/A</v>
      </c>
      <c r="AO394" s="7" t="e">
        <f t="shared" si="164"/>
        <v>#N/A</v>
      </c>
      <c r="AP394" s="7" t="e">
        <f t="shared" si="165"/>
        <v>#N/A</v>
      </c>
      <c r="AQ394" s="7" t="e">
        <f t="shared" si="176"/>
        <v>#N/A</v>
      </c>
      <c r="AR394" s="7">
        <f t="shared" si="166"/>
        <v>0</v>
      </c>
      <c r="AS394" s="7" t="e">
        <f t="shared" si="177"/>
        <v>#N/A</v>
      </c>
      <c r="AT394" s="7" t="str">
        <f t="shared" si="167"/>
        <v/>
      </c>
      <c r="AU394" s="7" t="str">
        <f t="shared" si="168"/>
        <v/>
      </c>
      <c r="AV394" s="7" t="str">
        <f t="shared" si="169"/>
        <v/>
      </c>
      <c r="AW394" s="7" t="str">
        <f t="shared" si="170"/>
        <v/>
      </c>
      <c r="AX394" s="97"/>
      <c r="BD394" s="453" t="s">
        <v>1192</v>
      </c>
      <c r="CG394"/>
      <c r="CH394"/>
      <c r="CK394" s="592" t="str">
        <f t="shared" si="178"/>
        <v/>
      </c>
      <c r="CL394" s="421" t="str">
        <f t="shared" si="179"/>
        <v/>
      </c>
      <c r="CM394" s="594"/>
      <c r="CN394" s="594"/>
      <c r="CO394" s="594"/>
      <c r="CP394" s="594"/>
      <c r="CQ394" s="594"/>
      <c r="CR394" s="594"/>
    </row>
    <row r="395" spans="1:96" s="13" customFormat="1" ht="13.75" customHeight="1">
      <c r="A395" s="137">
        <v>380</v>
      </c>
      <c r="B395" s="138"/>
      <c r="C395" s="139"/>
      <c r="D395" s="140"/>
      <c r="E395" s="139"/>
      <c r="F395" s="139"/>
      <c r="G395" s="191"/>
      <c r="H395" s="139"/>
      <c r="I395" s="141"/>
      <c r="J395" s="142"/>
      <c r="K395" s="139"/>
      <c r="L395" s="147"/>
      <c r="M395" s="148"/>
      <c r="N395" s="139"/>
      <c r="O395" s="589"/>
      <c r="P395" s="229" t="str">
        <f t="shared" si="171"/>
        <v/>
      </c>
      <c r="Q395" s="229" t="str">
        <f t="shared" si="172"/>
        <v/>
      </c>
      <c r="R395" s="230" t="str">
        <f t="shared" si="173"/>
        <v/>
      </c>
      <c r="S395" s="230" t="str">
        <f t="shared" si="174"/>
        <v/>
      </c>
      <c r="T395" s="351"/>
      <c r="U395" s="43"/>
      <c r="V395" s="42" t="str">
        <f t="shared" si="150"/>
        <v/>
      </c>
      <c r="W395" s="42" t="e">
        <f>IF(#REF!="","",#REF!)</f>
        <v>#REF!</v>
      </c>
      <c r="X395" s="31" t="str">
        <f t="shared" si="151"/>
        <v/>
      </c>
      <c r="Y395" s="7" t="e">
        <f t="shared" si="152"/>
        <v>#N/A</v>
      </c>
      <c r="Z395" s="7" t="e">
        <f t="shared" si="153"/>
        <v>#N/A</v>
      </c>
      <c r="AA395" s="7" t="e">
        <f t="shared" si="154"/>
        <v>#N/A</v>
      </c>
      <c r="AB395" s="7" t="str">
        <f t="shared" si="155"/>
        <v/>
      </c>
      <c r="AC395" s="11">
        <f t="shared" si="156"/>
        <v>1</v>
      </c>
      <c r="AD395" s="7" t="e">
        <f t="shared" si="157"/>
        <v>#N/A</v>
      </c>
      <c r="AE395" s="7" t="e">
        <f t="shared" si="158"/>
        <v>#N/A</v>
      </c>
      <c r="AF395" s="7" t="e">
        <f t="shared" si="159"/>
        <v>#N/A</v>
      </c>
      <c r="AG395" s="472" t="e">
        <f>VLOOKUP(AI395,'排出係数(2017)'!$A$4:$I$1151,9,FALSE)</f>
        <v>#N/A</v>
      </c>
      <c r="AH395" s="12" t="str">
        <f t="shared" si="160"/>
        <v xml:space="preserve"> </v>
      </c>
      <c r="AI395" s="7" t="e">
        <f t="shared" si="175"/>
        <v>#N/A</v>
      </c>
      <c r="AJ395" s="7" t="e">
        <f t="shared" si="161"/>
        <v>#N/A</v>
      </c>
      <c r="AK395" s="472" t="e">
        <f>VLOOKUP(AI395,'排出係数(2017)'!$A$4:$I$1151,6,FALSE)</f>
        <v>#N/A</v>
      </c>
      <c r="AL395" s="7" t="e">
        <f t="shared" si="162"/>
        <v>#N/A</v>
      </c>
      <c r="AM395" s="7" t="e">
        <f t="shared" si="163"/>
        <v>#N/A</v>
      </c>
      <c r="AN395" s="472" t="e">
        <f>VLOOKUP(AI395,'排出係数(2017)'!$A$4:$I$1151,7,FALSE)</f>
        <v>#N/A</v>
      </c>
      <c r="AO395" s="7" t="e">
        <f t="shared" si="164"/>
        <v>#N/A</v>
      </c>
      <c r="AP395" s="7" t="e">
        <f t="shared" si="165"/>
        <v>#N/A</v>
      </c>
      <c r="AQ395" s="7" t="e">
        <f t="shared" si="176"/>
        <v>#N/A</v>
      </c>
      <c r="AR395" s="7">
        <f t="shared" si="166"/>
        <v>0</v>
      </c>
      <c r="AS395" s="7" t="e">
        <f t="shared" si="177"/>
        <v>#N/A</v>
      </c>
      <c r="AT395" s="7" t="str">
        <f t="shared" si="167"/>
        <v/>
      </c>
      <c r="AU395" s="7" t="str">
        <f t="shared" si="168"/>
        <v/>
      </c>
      <c r="AV395" s="7" t="str">
        <f t="shared" si="169"/>
        <v/>
      </c>
      <c r="AW395" s="7" t="str">
        <f t="shared" si="170"/>
        <v/>
      </c>
      <c r="AX395" s="97"/>
      <c r="BD395" s="453" t="s">
        <v>2369</v>
      </c>
      <c r="CG395"/>
      <c r="CH395"/>
      <c r="CK395" s="592" t="str">
        <f t="shared" si="178"/>
        <v/>
      </c>
      <c r="CL395" s="421" t="str">
        <f t="shared" si="179"/>
        <v/>
      </c>
      <c r="CM395" s="594"/>
      <c r="CN395" s="594"/>
      <c r="CO395" s="594"/>
      <c r="CP395" s="594"/>
      <c r="CQ395" s="594"/>
      <c r="CR395" s="594"/>
    </row>
    <row r="396" spans="1:96" s="13" customFormat="1" ht="13.75" customHeight="1">
      <c r="A396" s="137">
        <v>381</v>
      </c>
      <c r="B396" s="138"/>
      <c r="C396" s="139"/>
      <c r="D396" s="140"/>
      <c r="E396" s="139"/>
      <c r="F396" s="139"/>
      <c r="G396" s="191"/>
      <c r="H396" s="139"/>
      <c r="I396" s="141"/>
      <c r="J396" s="142"/>
      <c r="K396" s="139"/>
      <c r="L396" s="147"/>
      <c r="M396" s="148"/>
      <c r="N396" s="139"/>
      <c r="O396" s="589"/>
      <c r="P396" s="229" t="str">
        <f t="shared" si="171"/>
        <v/>
      </c>
      <c r="Q396" s="229" t="str">
        <f t="shared" si="172"/>
        <v/>
      </c>
      <c r="R396" s="230" t="str">
        <f t="shared" si="173"/>
        <v/>
      </c>
      <c r="S396" s="230" t="str">
        <f t="shared" si="174"/>
        <v/>
      </c>
      <c r="T396" s="351"/>
      <c r="U396" s="43"/>
      <c r="V396" s="42" t="str">
        <f t="shared" si="150"/>
        <v/>
      </c>
      <c r="W396" s="42" t="e">
        <f>IF(#REF!="","",#REF!)</f>
        <v>#REF!</v>
      </c>
      <c r="X396" s="31" t="str">
        <f t="shared" si="151"/>
        <v/>
      </c>
      <c r="Y396" s="7" t="e">
        <f t="shared" si="152"/>
        <v>#N/A</v>
      </c>
      <c r="Z396" s="7" t="e">
        <f t="shared" si="153"/>
        <v>#N/A</v>
      </c>
      <c r="AA396" s="7" t="e">
        <f t="shared" si="154"/>
        <v>#N/A</v>
      </c>
      <c r="AB396" s="7" t="str">
        <f t="shared" si="155"/>
        <v/>
      </c>
      <c r="AC396" s="11">
        <f t="shared" si="156"/>
        <v>1</v>
      </c>
      <c r="AD396" s="7" t="e">
        <f t="shared" si="157"/>
        <v>#N/A</v>
      </c>
      <c r="AE396" s="7" t="e">
        <f t="shared" si="158"/>
        <v>#N/A</v>
      </c>
      <c r="AF396" s="7" t="e">
        <f t="shared" si="159"/>
        <v>#N/A</v>
      </c>
      <c r="AG396" s="472" t="e">
        <f>VLOOKUP(AI396,'排出係数(2017)'!$A$4:$I$1151,9,FALSE)</f>
        <v>#N/A</v>
      </c>
      <c r="AH396" s="12" t="str">
        <f t="shared" si="160"/>
        <v xml:space="preserve"> </v>
      </c>
      <c r="AI396" s="7" t="e">
        <f t="shared" si="175"/>
        <v>#N/A</v>
      </c>
      <c r="AJ396" s="7" t="e">
        <f t="shared" si="161"/>
        <v>#N/A</v>
      </c>
      <c r="AK396" s="472" t="e">
        <f>VLOOKUP(AI396,'排出係数(2017)'!$A$4:$I$1151,6,FALSE)</f>
        <v>#N/A</v>
      </c>
      <c r="AL396" s="7" t="e">
        <f t="shared" si="162"/>
        <v>#N/A</v>
      </c>
      <c r="AM396" s="7" t="e">
        <f t="shared" si="163"/>
        <v>#N/A</v>
      </c>
      <c r="AN396" s="472" t="e">
        <f>VLOOKUP(AI396,'排出係数(2017)'!$A$4:$I$1151,7,FALSE)</f>
        <v>#N/A</v>
      </c>
      <c r="AO396" s="7" t="e">
        <f t="shared" si="164"/>
        <v>#N/A</v>
      </c>
      <c r="AP396" s="7" t="e">
        <f t="shared" si="165"/>
        <v>#N/A</v>
      </c>
      <c r="AQ396" s="7" t="e">
        <f t="shared" si="176"/>
        <v>#N/A</v>
      </c>
      <c r="AR396" s="7">
        <f t="shared" si="166"/>
        <v>0</v>
      </c>
      <c r="AS396" s="7" t="e">
        <f t="shared" si="177"/>
        <v>#N/A</v>
      </c>
      <c r="AT396" s="7" t="str">
        <f t="shared" si="167"/>
        <v/>
      </c>
      <c r="AU396" s="7" t="str">
        <f t="shared" si="168"/>
        <v/>
      </c>
      <c r="AV396" s="7" t="str">
        <f t="shared" si="169"/>
        <v/>
      </c>
      <c r="AW396" s="7" t="str">
        <f t="shared" si="170"/>
        <v/>
      </c>
      <c r="AX396" s="97"/>
      <c r="BD396" s="453" t="s">
        <v>1688</v>
      </c>
      <c r="CG396"/>
      <c r="CH396"/>
      <c r="CK396" s="592" t="str">
        <f t="shared" si="178"/>
        <v/>
      </c>
      <c r="CL396" s="421" t="str">
        <f t="shared" si="179"/>
        <v/>
      </c>
      <c r="CM396" s="594"/>
      <c r="CN396" s="594"/>
      <c r="CO396" s="594"/>
      <c r="CP396" s="594"/>
      <c r="CQ396" s="594"/>
      <c r="CR396" s="594"/>
    </row>
    <row r="397" spans="1:96" s="13" customFormat="1" ht="13.75" customHeight="1">
      <c r="A397" s="137">
        <v>382</v>
      </c>
      <c r="B397" s="138"/>
      <c r="C397" s="139"/>
      <c r="D397" s="140"/>
      <c r="E397" s="139"/>
      <c r="F397" s="139"/>
      <c r="G397" s="191"/>
      <c r="H397" s="139"/>
      <c r="I397" s="141"/>
      <c r="J397" s="142"/>
      <c r="K397" s="139"/>
      <c r="L397" s="147"/>
      <c r="M397" s="148"/>
      <c r="N397" s="139"/>
      <c r="O397" s="589"/>
      <c r="P397" s="229" t="str">
        <f t="shared" si="171"/>
        <v/>
      </c>
      <c r="Q397" s="229" t="str">
        <f t="shared" si="172"/>
        <v/>
      </c>
      <c r="R397" s="230" t="str">
        <f t="shared" si="173"/>
        <v/>
      </c>
      <c r="S397" s="230" t="str">
        <f t="shared" si="174"/>
        <v/>
      </c>
      <c r="T397" s="351"/>
      <c r="U397" s="43"/>
      <c r="V397" s="42" t="str">
        <f t="shared" si="150"/>
        <v/>
      </c>
      <c r="W397" s="42" t="e">
        <f>IF(#REF!="","",#REF!)</f>
        <v>#REF!</v>
      </c>
      <c r="X397" s="31" t="str">
        <f t="shared" si="151"/>
        <v/>
      </c>
      <c r="Y397" s="7" t="e">
        <f t="shared" si="152"/>
        <v>#N/A</v>
      </c>
      <c r="Z397" s="7" t="e">
        <f t="shared" si="153"/>
        <v>#N/A</v>
      </c>
      <c r="AA397" s="7" t="e">
        <f t="shared" si="154"/>
        <v>#N/A</v>
      </c>
      <c r="AB397" s="7" t="str">
        <f t="shared" si="155"/>
        <v/>
      </c>
      <c r="AC397" s="11">
        <f t="shared" si="156"/>
        <v>1</v>
      </c>
      <c r="AD397" s="7" t="e">
        <f t="shared" si="157"/>
        <v>#N/A</v>
      </c>
      <c r="AE397" s="7" t="e">
        <f t="shared" si="158"/>
        <v>#N/A</v>
      </c>
      <c r="AF397" s="7" t="e">
        <f t="shared" si="159"/>
        <v>#N/A</v>
      </c>
      <c r="AG397" s="472" t="e">
        <f>VLOOKUP(AI397,'排出係数(2017)'!$A$4:$I$1151,9,FALSE)</f>
        <v>#N/A</v>
      </c>
      <c r="AH397" s="12" t="str">
        <f t="shared" si="160"/>
        <v xml:space="preserve"> </v>
      </c>
      <c r="AI397" s="7" t="e">
        <f t="shared" si="175"/>
        <v>#N/A</v>
      </c>
      <c r="AJ397" s="7" t="e">
        <f t="shared" si="161"/>
        <v>#N/A</v>
      </c>
      <c r="AK397" s="472" t="e">
        <f>VLOOKUP(AI397,'排出係数(2017)'!$A$4:$I$1151,6,FALSE)</f>
        <v>#N/A</v>
      </c>
      <c r="AL397" s="7" t="e">
        <f t="shared" si="162"/>
        <v>#N/A</v>
      </c>
      <c r="AM397" s="7" t="e">
        <f t="shared" si="163"/>
        <v>#N/A</v>
      </c>
      <c r="AN397" s="472" t="e">
        <f>VLOOKUP(AI397,'排出係数(2017)'!$A$4:$I$1151,7,FALSE)</f>
        <v>#N/A</v>
      </c>
      <c r="AO397" s="7" t="e">
        <f t="shared" si="164"/>
        <v>#N/A</v>
      </c>
      <c r="AP397" s="7" t="e">
        <f t="shared" si="165"/>
        <v>#N/A</v>
      </c>
      <c r="AQ397" s="7" t="e">
        <f t="shared" si="176"/>
        <v>#N/A</v>
      </c>
      <c r="AR397" s="7">
        <f t="shared" si="166"/>
        <v>0</v>
      </c>
      <c r="AS397" s="7" t="e">
        <f t="shared" si="177"/>
        <v>#N/A</v>
      </c>
      <c r="AT397" s="7" t="str">
        <f t="shared" si="167"/>
        <v/>
      </c>
      <c r="AU397" s="7" t="str">
        <f t="shared" si="168"/>
        <v/>
      </c>
      <c r="AV397" s="7" t="str">
        <f t="shared" si="169"/>
        <v/>
      </c>
      <c r="AW397" s="7" t="str">
        <f t="shared" si="170"/>
        <v/>
      </c>
      <c r="AX397" s="97"/>
      <c r="BD397" s="467" t="s">
        <v>1157</v>
      </c>
      <c r="CG397"/>
      <c r="CH397"/>
      <c r="CK397" s="592" t="str">
        <f t="shared" si="178"/>
        <v/>
      </c>
      <c r="CL397" s="421" t="str">
        <f t="shared" si="179"/>
        <v/>
      </c>
      <c r="CM397" s="594"/>
      <c r="CN397" s="594"/>
      <c r="CO397" s="594"/>
      <c r="CP397" s="594"/>
      <c r="CQ397" s="594"/>
      <c r="CR397" s="594"/>
    </row>
    <row r="398" spans="1:96" s="13" customFormat="1" ht="13.75" customHeight="1">
      <c r="A398" s="137">
        <v>383</v>
      </c>
      <c r="B398" s="138"/>
      <c r="C398" s="139"/>
      <c r="D398" s="140"/>
      <c r="E398" s="139"/>
      <c r="F398" s="139"/>
      <c r="G398" s="191"/>
      <c r="H398" s="139"/>
      <c r="I398" s="141"/>
      <c r="J398" s="142"/>
      <c r="K398" s="139"/>
      <c r="L398" s="147"/>
      <c r="M398" s="148"/>
      <c r="N398" s="139"/>
      <c r="O398" s="589"/>
      <c r="P398" s="229" t="str">
        <f t="shared" si="171"/>
        <v/>
      </c>
      <c r="Q398" s="229" t="str">
        <f t="shared" si="172"/>
        <v/>
      </c>
      <c r="R398" s="230" t="str">
        <f t="shared" si="173"/>
        <v/>
      </c>
      <c r="S398" s="230" t="str">
        <f t="shared" si="174"/>
        <v/>
      </c>
      <c r="T398" s="351"/>
      <c r="U398" s="43"/>
      <c r="V398" s="42" t="str">
        <f t="shared" si="150"/>
        <v/>
      </c>
      <c r="W398" s="42" t="e">
        <f>IF(#REF!="","",#REF!)</f>
        <v>#REF!</v>
      </c>
      <c r="X398" s="31" t="str">
        <f t="shared" si="151"/>
        <v/>
      </c>
      <c r="Y398" s="7" t="e">
        <f t="shared" si="152"/>
        <v>#N/A</v>
      </c>
      <c r="Z398" s="7" t="e">
        <f t="shared" si="153"/>
        <v>#N/A</v>
      </c>
      <c r="AA398" s="7" t="e">
        <f t="shared" si="154"/>
        <v>#N/A</v>
      </c>
      <c r="AB398" s="7" t="str">
        <f t="shared" si="155"/>
        <v/>
      </c>
      <c r="AC398" s="11">
        <f t="shared" si="156"/>
        <v>1</v>
      </c>
      <c r="AD398" s="7" t="e">
        <f t="shared" si="157"/>
        <v>#N/A</v>
      </c>
      <c r="AE398" s="7" t="e">
        <f t="shared" si="158"/>
        <v>#N/A</v>
      </c>
      <c r="AF398" s="7" t="e">
        <f t="shared" si="159"/>
        <v>#N/A</v>
      </c>
      <c r="AG398" s="472" t="e">
        <f>VLOOKUP(AI398,'排出係数(2017)'!$A$4:$I$1151,9,FALSE)</f>
        <v>#N/A</v>
      </c>
      <c r="AH398" s="12" t="str">
        <f t="shared" si="160"/>
        <v xml:space="preserve"> </v>
      </c>
      <c r="AI398" s="7" t="e">
        <f t="shared" si="175"/>
        <v>#N/A</v>
      </c>
      <c r="AJ398" s="7" t="e">
        <f t="shared" si="161"/>
        <v>#N/A</v>
      </c>
      <c r="AK398" s="472" t="e">
        <f>VLOOKUP(AI398,'排出係数(2017)'!$A$4:$I$1151,6,FALSE)</f>
        <v>#N/A</v>
      </c>
      <c r="AL398" s="7" t="e">
        <f t="shared" si="162"/>
        <v>#N/A</v>
      </c>
      <c r="AM398" s="7" t="e">
        <f t="shared" si="163"/>
        <v>#N/A</v>
      </c>
      <c r="AN398" s="472" t="e">
        <f>VLOOKUP(AI398,'排出係数(2017)'!$A$4:$I$1151,7,FALSE)</f>
        <v>#N/A</v>
      </c>
      <c r="AO398" s="7" t="e">
        <f t="shared" si="164"/>
        <v>#N/A</v>
      </c>
      <c r="AP398" s="7" t="e">
        <f t="shared" si="165"/>
        <v>#N/A</v>
      </c>
      <c r="AQ398" s="7" t="e">
        <f t="shared" si="176"/>
        <v>#N/A</v>
      </c>
      <c r="AR398" s="7">
        <f t="shared" si="166"/>
        <v>0</v>
      </c>
      <c r="AS398" s="7" t="e">
        <f t="shared" si="177"/>
        <v>#N/A</v>
      </c>
      <c r="AT398" s="7" t="str">
        <f t="shared" si="167"/>
        <v/>
      </c>
      <c r="AU398" s="7" t="str">
        <f t="shared" si="168"/>
        <v/>
      </c>
      <c r="AV398" s="7" t="str">
        <f t="shared" si="169"/>
        <v/>
      </c>
      <c r="AW398" s="7" t="str">
        <f t="shared" si="170"/>
        <v/>
      </c>
      <c r="AX398" s="97"/>
      <c r="BD398" s="453" t="s">
        <v>1190</v>
      </c>
      <c r="CG398"/>
      <c r="CH398"/>
      <c r="CK398" s="592" t="str">
        <f t="shared" si="178"/>
        <v/>
      </c>
      <c r="CL398" s="421" t="str">
        <f t="shared" si="179"/>
        <v/>
      </c>
      <c r="CM398" s="594"/>
      <c r="CN398" s="594"/>
      <c r="CO398" s="594"/>
      <c r="CP398" s="594"/>
      <c r="CQ398" s="594"/>
      <c r="CR398" s="594"/>
    </row>
    <row r="399" spans="1:96" s="13" customFormat="1" ht="13.75" customHeight="1">
      <c r="A399" s="137">
        <v>384</v>
      </c>
      <c r="B399" s="138"/>
      <c r="C399" s="139"/>
      <c r="D399" s="140"/>
      <c r="E399" s="139"/>
      <c r="F399" s="139"/>
      <c r="G399" s="191"/>
      <c r="H399" s="139"/>
      <c r="I399" s="141"/>
      <c r="J399" s="142"/>
      <c r="K399" s="139"/>
      <c r="L399" s="147"/>
      <c r="M399" s="148"/>
      <c r="N399" s="139"/>
      <c r="O399" s="589"/>
      <c r="P399" s="229" t="str">
        <f t="shared" si="171"/>
        <v/>
      </c>
      <c r="Q399" s="229" t="str">
        <f t="shared" si="172"/>
        <v/>
      </c>
      <c r="R399" s="230" t="str">
        <f t="shared" si="173"/>
        <v/>
      </c>
      <c r="S399" s="230" t="str">
        <f t="shared" si="174"/>
        <v/>
      </c>
      <c r="T399" s="351"/>
      <c r="U399" s="43"/>
      <c r="V399" s="42" t="str">
        <f t="shared" si="150"/>
        <v/>
      </c>
      <c r="W399" s="42" t="e">
        <f>IF(#REF!="","",#REF!)</f>
        <v>#REF!</v>
      </c>
      <c r="X399" s="31" t="str">
        <f t="shared" si="151"/>
        <v/>
      </c>
      <c r="Y399" s="7" t="e">
        <f t="shared" si="152"/>
        <v>#N/A</v>
      </c>
      <c r="Z399" s="7" t="e">
        <f t="shared" si="153"/>
        <v>#N/A</v>
      </c>
      <c r="AA399" s="7" t="e">
        <f t="shared" si="154"/>
        <v>#N/A</v>
      </c>
      <c r="AB399" s="7" t="str">
        <f t="shared" si="155"/>
        <v/>
      </c>
      <c r="AC399" s="11">
        <f t="shared" si="156"/>
        <v>1</v>
      </c>
      <c r="AD399" s="7" t="e">
        <f t="shared" si="157"/>
        <v>#N/A</v>
      </c>
      <c r="AE399" s="7" t="e">
        <f t="shared" si="158"/>
        <v>#N/A</v>
      </c>
      <c r="AF399" s="7" t="e">
        <f t="shared" si="159"/>
        <v>#N/A</v>
      </c>
      <c r="AG399" s="472" t="e">
        <f>VLOOKUP(AI399,'排出係数(2017)'!$A$4:$I$1151,9,FALSE)</f>
        <v>#N/A</v>
      </c>
      <c r="AH399" s="12" t="str">
        <f t="shared" si="160"/>
        <v xml:space="preserve"> </v>
      </c>
      <c r="AI399" s="7" t="e">
        <f t="shared" si="175"/>
        <v>#N/A</v>
      </c>
      <c r="AJ399" s="7" t="e">
        <f t="shared" si="161"/>
        <v>#N/A</v>
      </c>
      <c r="AK399" s="472" t="e">
        <f>VLOOKUP(AI399,'排出係数(2017)'!$A$4:$I$1151,6,FALSE)</f>
        <v>#N/A</v>
      </c>
      <c r="AL399" s="7" t="e">
        <f t="shared" si="162"/>
        <v>#N/A</v>
      </c>
      <c r="AM399" s="7" t="e">
        <f t="shared" si="163"/>
        <v>#N/A</v>
      </c>
      <c r="AN399" s="472" t="e">
        <f>VLOOKUP(AI399,'排出係数(2017)'!$A$4:$I$1151,7,FALSE)</f>
        <v>#N/A</v>
      </c>
      <c r="AO399" s="7" t="e">
        <f t="shared" si="164"/>
        <v>#N/A</v>
      </c>
      <c r="AP399" s="7" t="e">
        <f t="shared" si="165"/>
        <v>#N/A</v>
      </c>
      <c r="AQ399" s="7" t="e">
        <f t="shared" si="176"/>
        <v>#N/A</v>
      </c>
      <c r="AR399" s="7">
        <f t="shared" si="166"/>
        <v>0</v>
      </c>
      <c r="AS399" s="7" t="e">
        <f t="shared" si="177"/>
        <v>#N/A</v>
      </c>
      <c r="AT399" s="7" t="str">
        <f t="shared" si="167"/>
        <v/>
      </c>
      <c r="AU399" s="7" t="str">
        <f t="shared" si="168"/>
        <v/>
      </c>
      <c r="AV399" s="7" t="str">
        <f t="shared" si="169"/>
        <v/>
      </c>
      <c r="AW399" s="7" t="str">
        <f t="shared" si="170"/>
        <v/>
      </c>
      <c r="AX399" s="97"/>
      <c r="BD399" s="453" t="s">
        <v>2368</v>
      </c>
      <c r="CG399"/>
      <c r="CH399"/>
      <c r="CK399" s="592" t="str">
        <f t="shared" si="178"/>
        <v/>
      </c>
      <c r="CL399" s="421" t="str">
        <f t="shared" si="179"/>
        <v/>
      </c>
      <c r="CM399" s="594"/>
      <c r="CN399" s="594"/>
      <c r="CO399" s="594"/>
      <c r="CP399" s="594"/>
      <c r="CQ399" s="594"/>
      <c r="CR399" s="594"/>
    </row>
    <row r="400" spans="1:96" s="13" customFormat="1" ht="13.75" customHeight="1">
      <c r="A400" s="137">
        <v>385</v>
      </c>
      <c r="B400" s="138"/>
      <c r="C400" s="139"/>
      <c r="D400" s="140"/>
      <c r="E400" s="139"/>
      <c r="F400" s="139"/>
      <c r="G400" s="191"/>
      <c r="H400" s="139"/>
      <c r="I400" s="141"/>
      <c r="J400" s="142"/>
      <c r="K400" s="139"/>
      <c r="L400" s="147"/>
      <c r="M400" s="148"/>
      <c r="N400" s="139"/>
      <c r="O400" s="589"/>
      <c r="P400" s="229" t="str">
        <f t="shared" si="171"/>
        <v/>
      </c>
      <c r="Q400" s="229" t="str">
        <f t="shared" si="172"/>
        <v/>
      </c>
      <c r="R400" s="230" t="str">
        <f t="shared" si="173"/>
        <v/>
      </c>
      <c r="S400" s="230" t="str">
        <f t="shared" si="174"/>
        <v/>
      </c>
      <c r="T400" s="351"/>
      <c r="U400" s="43"/>
      <c r="V400" s="42" t="str">
        <f t="shared" ref="V400:V463" si="180">IF(O400="","",O400)</f>
        <v/>
      </c>
      <c r="W400" s="42" t="e">
        <f>IF(#REF!="","",#REF!)</f>
        <v>#REF!</v>
      </c>
      <c r="X400" s="31" t="str">
        <f t="shared" ref="X400:X463" si="181">IF(ISBLANK(H400)=TRUE,"",IF(OR(ISBLANK(B400)=TRUE),1,""))</f>
        <v/>
      </c>
      <c r="Y400" s="7" t="e">
        <f t="shared" ref="Y400:Y463" si="182">VLOOKUP(H400,$AY$17:$BB$23,2,FALSE)</f>
        <v>#N/A</v>
      </c>
      <c r="Z400" s="7" t="e">
        <f t="shared" ref="Z400:Z463" si="183">VLOOKUP(H400,$AY$17:$BB$23,3,FALSE)</f>
        <v>#N/A</v>
      </c>
      <c r="AA400" s="7" t="e">
        <f t="shared" ref="AA400:AA463" si="184">VLOOKUP(H400,$AY$17:$BB$23,4,FALSE)</f>
        <v>#N/A</v>
      </c>
      <c r="AB400" s="7" t="str">
        <f t="shared" ref="AB400:AB463" si="185">IF(ISERROR(SEARCH("-",I400,1))=TRUE,ASC(UPPER(I400)),ASC(UPPER(LEFT(I400,SEARCH("-",I400,1)-1))))</f>
        <v/>
      </c>
      <c r="AC400" s="11">
        <f t="shared" ref="AC400:AC463" si="186">IF(J400&gt;3500,J400/1000,1)</f>
        <v>1</v>
      </c>
      <c r="AD400" s="7" t="e">
        <f t="shared" ref="AD400:AD463" si="187">IF(AA400=9,0,IF(J400&lt;=1700,1,IF(J400&lt;=2500,2,IF(J400&lt;=3500,3,4))))</f>
        <v>#N/A</v>
      </c>
      <c r="AE400" s="7" t="e">
        <f t="shared" ref="AE400:AE463" si="188">IF(AA400=5,0,IF(AA400=9,0,IF(J400&lt;=1700,1,IF(J400&lt;=2500,2,IF(J400&lt;=3500,3,4)))))</f>
        <v>#N/A</v>
      </c>
      <c r="AF400" s="7" t="e">
        <f t="shared" ref="AF400:AF463" si="189">VLOOKUP(K400,$BG$17:$BH$25,2,FALSE)</f>
        <v>#N/A</v>
      </c>
      <c r="AG400" s="472" t="e">
        <f>VLOOKUP(AI400,'排出係数(2017)'!$A$4:$I$1151,9,FALSE)</f>
        <v>#N/A</v>
      </c>
      <c r="AH400" s="12" t="str">
        <f t="shared" ref="AH400:AH463" si="190">IF(OR(ISBLANK(K400)=TRUE,ISBLANK(B400)=TRUE)," ",CONCATENATE(B400,AA400,AD400))</f>
        <v xml:space="preserve"> </v>
      </c>
      <c r="AI400" s="7" t="e">
        <f t="shared" si="175"/>
        <v>#N/A</v>
      </c>
      <c r="AJ400" s="7" t="e">
        <f t="shared" ref="AJ400:AJ463" si="191">IF(AND(L400="あり",AF400="軽"),AL400,AK400)</f>
        <v>#N/A</v>
      </c>
      <c r="AK400" s="472" t="e">
        <f>VLOOKUP(AI400,'排出係数(2017)'!$A$4:$I$1151,6,FALSE)</f>
        <v>#N/A</v>
      </c>
      <c r="AL400" s="7" t="e">
        <f t="shared" ref="AL400:AL463" si="192">VLOOKUP(AE400,$BU$17:$BY$21,2,FALSE)</f>
        <v>#N/A</v>
      </c>
      <c r="AM400" s="7" t="e">
        <f t="shared" ref="AM400:AM463" si="193">IF(AND(L400="あり",M400="なし",AF400="軽"),AO400,IF(AND(L400="あり",M400="あり(H17なし)",AF400="軽"),AO400,IF(AND(L400="あり",M400="",AF400="軽"),AO400,IF(AND(L400="なし",M400="あり(H17なし)",AF400="軽"),AP400,IF(AND(L400="",M400="あり(H17なし)",AF400="軽"),AP400,IF(AND(M400="あり(H17あり)",AF400="軽"),AQ400,AN400))))))</f>
        <v>#N/A</v>
      </c>
      <c r="AN400" s="472" t="e">
        <f>VLOOKUP(AI400,'排出係数(2017)'!$A$4:$I$1151,7,FALSE)</f>
        <v>#N/A</v>
      </c>
      <c r="AO400" s="7" t="e">
        <f t="shared" ref="AO400:AO463" si="194">VLOOKUP(AE400,$BU$17:$BY$21,3,FALSE)</f>
        <v>#N/A</v>
      </c>
      <c r="AP400" s="7" t="e">
        <f t="shared" ref="AP400:AP463" si="195">VLOOKUP(AE400,$BU$17:$BY$21,4,FALSE)</f>
        <v>#N/A</v>
      </c>
      <c r="AQ400" s="7" t="e">
        <f t="shared" si="176"/>
        <v>#N/A</v>
      </c>
      <c r="AR400" s="7">
        <f t="shared" ref="AR400:AR463" si="196">IF(AND(L400="なし",M400="なし"),0,IF(AND(L400="",M400=""),0,IF(AND(L400="",M400="なし"),0,IF(AND(L400="なし",M400=""),0,1))))</f>
        <v>0</v>
      </c>
      <c r="AS400" s="7" t="e">
        <f t="shared" si="177"/>
        <v>#N/A</v>
      </c>
      <c r="AT400" s="7" t="str">
        <f t="shared" ref="AT400:AT463" si="197">IF(H400="","",VLOOKUP(H400,$AY$17:$BC$25,5,FALSE))</f>
        <v/>
      </c>
      <c r="AU400" s="7" t="str">
        <f t="shared" ref="AU400:AU463" si="198">IF(D400="","",VLOOKUP(CONCATENATE("A",LEFT(D400)),$BR$17:$BS$26,2,FALSE))</f>
        <v/>
      </c>
      <c r="AV400" s="7" t="str">
        <f t="shared" ref="AV400:AV463" si="199">IF(AT400=AU400,"",1)</f>
        <v/>
      </c>
      <c r="AW400" s="7" t="str">
        <f t="shared" ref="AW400:AW463" si="200">CONCATENATE(C400,D400,E400,F400)</f>
        <v/>
      </c>
      <c r="AX400" s="97"/>
      <c r="BD400" s="453" t="s">
        <v>1718</v>
      </c>
      <c r="CG400"/>
      <c r="CH400"/>
      <c r="CK400" s="592" t="str">
        <f t="shared" si="178"/>
        <v/>
      </c>
      <c r="CL400" s="421" t="str">
        <f t="shared" si="179"/>
        <v/>
      </c>
      <c r="CM400" s="594"/>
      <c r="CN400" s="594"/>
      <c r="CO400" s="594"/>
      <c r="CP400" s="594"/>
      <c r="CQ400" s="594"/>
      <c r="CR400" s="594"/>
    </row>
    <row r="401" spans="1:96" s="13" customFormat="1" ht="13.75" customHeight="1">
      <c r="A401" s="137">
        <v>386</v>
      </c>
      <c r="B401" s="138"/>
      <c r="C401" s="139"/>
      <c r="D401" s="140"/>
      <c r="E401" s="139"/>
      <c r="F401" s="139"/>
      <c r="G401" s="191"/>
      <c r="H401" s="139"/>
      <c r="I401" s="141"/>
      <c r="J401" s="142"/>
      <c r="K401" s="139"/>
      <c r="L401" s="147"/>
      <c r="M401" s="148"/>
      <c r="N401" s="139"/>
      <c r="O401" s="589"/>
      <c r="P401" s="229" t="str">
        <f t="shared" ref="P401:P464" si="201">IF(ISBLANK(K401)=TRUE,"",IF(ISNUMBER(AJ401)=TRUE,AJ401,"0"))</f>
        <v/>
      </c>
      <c r="Q401" s="229" t="str">
        <f t="shared" ref="Q401:Q464" si="202">IF(ISBLANK(K401)=TRUE,"",IF(ISNUMBER(AM401)=TRUE,AM401,"0"))</f>
        <v/>
      </c>
      <c r="R401" s="230" t="str">
        <f t="shared" ref="R401:R464" si="203">IF(P401="","",IF(ISERROR(P401*V401*AC401),"0",IF(ISBLANK(V401)=TRUE,"0",IF(ISBLANK(P401)=TRUE,"0",IF(AV401=1,"0",P401*AC401*V401/1000)))))</f>
        <v/>
      </c>
      <c r="S401" s="230" t="str">
        <f t="shared" ref="S401:S464" si="204">IF(Q401="","",IF(ISERROR(Q401*V401*AC401),"0",IF(ISBLANK(V401)=TRUE,"0",IF(ISBLANK(Q401)=TRUE,"0",IF(AV401=1,"0",Q401*AC401*V401/1000)))))</f>
        <v/>
      </c>
      <c r="T401" s="351"/>
      <c r="U401" s="43"/>
      <c r="V401" s="42" t="str">
        <f t="shared" si="180"/>
        <v/>
      </c>
      <c r="W401" s="42" t="e">
        <f>IF(#REF!="","",#REF!)</f>
        <v>#REF!</v>
      </c>
      <c r="X401" s="31" t="str">
        <f t="shared" si="181"/>
        <v/>
      </c>
      <c r="Y401" s="7" t="e">
        <f t="shared" si="182"/>
        <v>#N/A</v>
      </c>
      <c r="Z401" s="7" t="e">
        <f t="shared" si="183"/>
        <v>#N/A</v>
      </c>
      <c r="AA401" s="7" t="e">
        <f t="shared" si="184"/>
        <v>#N/A</v>
      </c>
      <c r="AB401" s="7" t="str">
        <f t="shared" si="185"/>
        <v/>
      </c>
      <c r="AC401" s="11">
        <f t="shared" si="186"/>
        <v>1</v>
      </c>
      <c r="AD401" s="7" t="e">
        <f t="shared" si="187"/>
        <v>#N/A</v>
      </c>
      <c r="AE401" s="7" t="e">
        <f t="shared" si="188"/>
        <v>#N/A</v>
      </c>
      <c r="AF401" s="7" t="e">
        <f t="shared" si="189"/>
        <v>#N/A</v>
      </c>
      <c r="AG401" s="472" t="e">
        <f>VLOOKUP(AI401,'排出係数(2017)'!$A$4:$I$1151,9,FALSE)</f>
        <v>#N/A</v>
      </c>
      <c r="AH401" s="12" t="str">
        <f t="shared" si="190"/>
        <v xml:space="preserve"> </v>
      </c>
      <c r="AI401" s="7" t="e">
        <f t="shared" ref="AI401:AI464" si="205">CONCATENATE(Y401,AE401,AF401,AB401)</f>
        <v>#N/A</v>
      </c>
      <c r="AJ401" s="7" t="e">
        <f t="shared" si="191"/>
        <v>#N/A</v>
      </c>
      <c r="AK401" s="472" t="e">
        <f>VLOOKUP(AI401,'排出係数(2017)'!$A$4:$I$1151,6,FALSE)</f>
        <v>#N/A</v>
      </c>
      <c r="AL401" s="7" t="e">
        <f t="shared" si="192"/>
        <v>#N/A</v>
      </c>
      <c r="AM401" s="7" t="e">
        <f t="shared" si="193"/>
        <v>#N/A</v>
      </c>
      <c r="AN401" s="472" t="e">
        <f>VLOOKUP(AI401,'排出係数(2017)'!$A$4:$I$1151,7,FALSE)</f>
        <v>#N/A</v>
      </c>
      <c r="AO401" s="7" t="e">
        <f t="shared" si="194"/>
        <v>#N/A</v>
      </c>
      <c r="AP401" s="7" t="e">
        <f t="shared" si="195"/>
        <v>#N/A</v>
      </c>
      <c r="AQ401" s="7" t="e">
        <f t="shared" ref="AQ401:AQ464" si="206">VLOOKUP(AE401,$BU$17:$BY$21,5,FALSE)</f>
        <v>#N/A</v>
      </c>
      <c r="AR401" s="7">
        <f t="shared" si="196"/>
        <v>0</v>
      </c>
      <c r="AS401" s="7" t="e">
        <f t="shared" ref="AS401:AS464" si="207">VLOOKUP(AI401,排出係数表,8,FALSE)</f>
        <v>#N/A</v>
      </c>
      <c r="AT401" s="7" t="str">
        <f t="shared" si="197"/>
        <v/>
      </c>
      <c r="AU401" s="7" t="str">
        <f t="shared" si="198"/>
        <v/>
      </c>
      <c r="AV401" s="7" t="str">
        <f t="shared" si="199"/>
        <v/>
      </c>
      <c r="AW401" s="7" t="str">
        <f t="shared" si="200"/>
        <v/>
      </c>
      <c r="AX401" s="97"/>
      <c r="BD401" s="467" t="s">
        <v>1294</v>
      </c>
      <c r="CG401"/>
      <c r="CH401"/>
      <c r="CK401" s="592" t="str">
        <f t="shared" ref="CK401:CK464" si="208">IF(COUNTA(B401:F401,H401:K401)&gt;0,IF(OR(ISNUMBER(AK401)=FALSE,ISNUMBER(AN401)=FALSE,COUNTA(B401:F401,H401:K401)&lt;9),"×","〇"),"")</f>
        <v/>
      </c>
      <c r="CL401" s="421" t="str">
        <f t="shared" ref="CL401:CL464" si="209">IF(T401="廃止","※前年度に「廃止」報告をした自動車はその行を空白にしてください。",IF(T401="新規かつ廃止","※「新規」と「廃止」の両方に該当する自動車かご確認ください。",""))</f>
        <v/>
      </c>
      <c r="CM401" s="594"/>
      <c r="CN401" s="594"/>
      <c r="CO401" s="594"/>
      <c r="CP401" s="594"/>
      <c r="CQ401" s="594"/>
      <c r="CR401" s="594"/>
    </row>
    <row r="402" spans="1:96" s="13" customFormat="1" ht="13.75" customHeight="1">
      <c r="A402" s="137">
        <v>387</v>
      </c>
      <c r="B402" s="138"/>
      <c r="C402" s="139"/>
      <c r="D402" s="140"/>
      <c r="E402" s="139"/>
      <c r="F402" s="139"/>
      <c r="G402" s="191"/>
      <c r="H402" s="139"/>
      <c r="I402" s="141"/>
      <c r="J402" s="142"/>
      <c r="K402" s="139"/>
      <c r="L402" s="147"/>
      <c r="M402" s="148"/>
      <c r="N402" s="139"/>
      <c r="O402" s="589"/>
      <c r="P402" s="229" t="str">
        <f t="shared" si="201"/>
        <v/>
      </c>
      <c r="Q402" s="229" t="str">
        <f t="shared" si="202"/>
        <v/>
      </c>
      <c r="R402" s="230" t="str">
        <f t="shared" si="203"/>
        <v/>
      </c>
      <c r="S402" s="230" t="str">
        <f t="shared" si="204"/>
        <v/>
      </c>
      <c r="T402" s="351"/>
      <c r="U402" s="43"/>
      <c r="V402" s="42" t="str">
        <f t="shared" si="180"/>
        <v/>
      </c>
      <c r="W402" s="42" t="e">
        <f>IF(#REF!="","",#REF!)</f>
        <v>#REF!</v>
      </c>
      <c r="X402" s="31" t="str">
        <f t="shared" si="181"/>
        <v/>
      </c>
      <c r="Y402" s="7" t="e">
        <f t="shared" si="182"/>
        <v>#N/A</v>
      </c>
      <c r="Z402" s="7" t="e">
        <f t="shared" si="183"/>
        <v>#N/A</v>
      </c>
      <c r="AA402" s="7" t="e">
        <f t="shared" si="184"/>
        <v>#N/A</v>
      </c>
      <c r="AB402" s="7" t="str">
        <f t="shared" si="185"/>
        <v/>
      </c>
      <c r="AC402" s="11">
        <f t="shared" si="186"/>
        <v>1</v>
      </c>
      <c r="AD402" s="7" t="e">
        <f t="shared" si="187"/>
        <v>#N/A</v>
      </c>
      <c r="AE402" s="7" t="e">
        <f t="shared" si="188"/>
        <v>#N/A</v>
      </c>
      <c r="AF402" s="7" t="e">
        <f t="shared" si="189"/>
        <v>#N/A</v>
      </c>
      <c r="AG402" s="472" t="e">
        <f>VLOOKUP(AI402,'排出係数(2017)'!$A$4:$I$1151,9,FALSE)</f>
        <v>#N/A</v>
      </c>
      <c r="AH402" s="12" t="str">
        <f t="shared" si="190"/>
        <v xml:space="preserve"> </v>
      </c>
      <c r="AI402" s="7" t="e">
        <f t="shared" si="205"/>
        <v>#N/A</v>
      </c>
      <c r="AJ402" s="7" t="e">
        <f t="shared" si="191"/>
        <v>#N/A</v>
      </c>
      <c r="AK402" s="472" t="e">
        <f>VLOOKUP(AI402,'排出係数(2017)'!$A$4:$I$1151,6,FALSE)</f>
        <v>#N/A</v>
      </c>
      <c r="AL402" s="7" t="e">
        <f t="shared" si="192"/>
        <v>#N/A</v>
      </c>
      <c r="AM402" s="7" t="e">
        <f t="shared" si="193"/>
        <v>#N/A</v>
      </c>
      <c r="AN402" s="472" t="e">
        <f>VLOOKUP(AI402,'排出係数(2017)'!$A$4:$I$1151,7,FALSE)</f>
        <v>#N/A</v>
      </c>
      <c r="AO402" s="7" t="e">
        <f t="shared" si="194"/>
        <v>#N/A</v>
      </c>
      <c r="AP402" s="7" t="e">
        <f t="shared" si="195"/>
        <v>#N/A</v>
      </c>
      <c r="AQ402" s="7" t="e">
        <f t="shared" si="206"/>
        <v>#N/A</v>
      </c>
      <c r="AR402" s="7">
        <f t="shared" si="196"/>
        <v>0</v>
      </c>
      <c r="AS402" s="7" t="e">
        <f t="shared" si="207"/>
        <v>#N/A</v>
      </c>
      <c r="AT402" s="7" t="str">
        <f t="shared" si="197"/>
        <v/>
      </c>
      <c r="AU402" s="7" t="str">
        <f t="shared" si="198"/>
        <v/>
      </c>
      <c r="AV402" s="7" t="str">
        <f t="shared" si="199"/>
        <v/>
      </c>
      <c r="AW402" s="7" t="str">
        <f t="shared" si="200"/>
        <v/>
      </c>
      <c r="AX402" s="97"/>
      <c r="BD402" s="474" t="s">
        <v>1325</v>
      </c>
      <c r="CG402"/>
      <c r="CH402"/>
      <c r="CK402" s="592" t="str">
        <f t="shared" si="208"/>
        <v/>
      </c>
      <c r="CL402" s="421" t="str">
        <f t="shared" si="209"/>
        <v/>
      </c>
      <c r="CM402" s="594"/>
      <c r="CN402" s="594"/>
      <c r="CO402" s="594"/>
      <c r="CP402" s="594"/>
      <c r="CQ402" s="594"/>
      <c r="CR402" s="594"/>
    </row>
    <row r="403" spans="1:96" s="13" customFormat="1" ht="13.75" customHeight="1">
      <c r="A403" s="137">
        <v>388</v>
      </c>
      <c r="B403" s="138"/>
      <c r="C403" s="139"/>
      <c r="D403" s="140"/>
      <c r="E403" s="139"/>
      <c r="F403" s="139"/>
      <c r="G403" s="191"/>
      <c r="H403" s="139"/>
      <c r="I403" s="141"/>
      <c r="J403" s="142"/>
      <c r="K403" s="139"/>
      <c r="L403" s="147"/>
      <c r="M403" s="148"/>
      <c r="N403" s="139"/>
      <c r="O403" s="589"/>
      <c r="P403" s="229" t="str">
        <f t="shared" si="201"/>
        <v/>
      </c>
      <c r="Q403" s="229" t="str">
        <f t="shared" si="202"/>
        <v/>
      </c>
      <c r="R403" s="230" t="str">
        <f t="shared" si="203"/>
        <v/>
      </c>
      <c r="S403" s="230" t="str">
        <f t="shared" si="204"/>
        <v/>
      </c>
      <c r="T403" s="351"/>
      <c r="U403" s="43"/>
      <c r="V403" s="42" t="str">
        <f t="shared" si="180"/>
        <v/>
      </c>
      <c r="W403" s="42" t="e">
        <f>IF(#REF!="","",#REF!)</f>
        <v>#REF!</v>
      </c>
      <c r="X403" s="31" t="str">
        <f t="shared" si="181"/>
        <v/>
      </c>
      <c r="Y403" s="7" t="e">
        <f t="shared" si="182"/>
        <v>#N/A</v>
      </c>
      <c r="Z403" s="7" t="e">
        <f t="shared" si="183"/>
        <v>#N/A</v>
      </c>
      <c r="AA403" s="7" t="e">
        <f t="shared" si="184"/>
        <v>#N/A</v>
      </c>
      <c r="AB403" s="7" t="str">
        <f t="shared" si="185"/>
        <v/>
      </c>
      <c r="AC403" s="11">
        <f t="shared" si="186"/>
        <v>1</v>
      </c>
      <c r="AD403" s="7" t="e">
        <f t="shared" si="187"/>
        <v>#N/A</v>
      </c>
      <c r="AE403" s="7" t="e">
        <f t="shared" si="188"/>
        <v>#N/A</v>
      </c>
      <c r="AF403" s="7" t="e">
        <f t="shared" si="189"/>
        <v>#N/A</v>
      </c>
      <c r="AG403" s="472" t="e">
        <f>VLOOKUP(AI403,'排出係数(2017)'!$A$4:$I$1151,9,FALSE)</f>
        <v>#N/A</v>
      </c>
      <c r="AH403" s="12" t="str">
        <f t="shared" si="190"/>
        <v xml:space="preserve"> </v>
      </c>
      <c r="AI403" s="7" t="e">
        <f t="shared" si="205"/>
        <v>#N/A</v>
      </c>
      <c r="AJ403" s="7" t="e">
        <f t="shared" si="191"/>
        <v>#N/A</v>
      </c>
      <c r="AK403" s="472" t="e">
        <f>VLOOKUP(AI403,'排出係数(2017)'!$A$4:$I$1151,6,FALSE)</f>
        <v>#N/A</v>
      </c>
      <c r="AL403" s="7" t="e">
        <f t="shared" si="192"/>
        <v>#N/A</v>
      </c>
      <c r="AM403" s="7" t="e">
        <f t="shared" si="193"/>
        <v>#N/A</v>
      </c>
      <c r="AN403" s="472" t="e">
        <f>VLOOKUP(AI403,'排出係数(2017)'!$A$4:$I$1151,7,FALSE)</f>
        <v>#N/A</v>
      </c>
      <c r="AO403" s="7" t="e">
        <f t="shared" si="194"/>
        <v>#N/A</v>
      </c>
      <c r="AP403" s="7" t="e">
        <f t="shared" si="195"/>
        <v>#N/A</v>
      </c>
      <c r="AQ403" s="7" t="e">
        <f t="shared" si="206"/>
        <v>#N/A</v>
      </c>
      <c r="AR403" s="7">
        <f t="shared" si="196"/>
        <v>0</v>
      </c>
      <c r="AS403" s="7" t="e">
        <f t="shared" si="207"/>
        <v>#N/A</v>
      </c>
      <c r="AT403" s="7" t="str">
        <f t="shared" si="197"/>
        <v/>
      </c>
      <c r="AU403" s="7" t="str">
        <f t="shared" si="198"/>
        <v/>
      </c>
      <c r="AV403" s="7" t="str">
        <f t="shared" si="199"/>
        <v/>
      </c>
      <c r="AW403" s="7" t="str">
        <f t="shared" si="200"/>
        <v/>
      </c>
      <c r="AX403" s="97"/>
      <c r="BD403" s="453" t="s">
        <v>1375</v>
      </c>
      <c r="CG403"/>
      <c r="CH403"/>
      <c r="CK403" s="592" t="str">
        <f t="shared" si="208"/>
        <v/>
      </c>
      <c r="CL403" s="421" t="str">
        <f t="shared" si="209"/>
        <v/>
      </c>
      <c r="CM403" s="594"/>
      <c r="CN403" s="594"/>
      <c r="CO403" s="594"/>
      <c r="CP403" s="594"/>
      <c r="CQ403" s="594"/>
      <c r="CR403" s="594"/>
    </row>
    <row r="404" spans="1:96" s="13" customFormat="1" ht="13.75" customHeight="1">
      <c r="A404" s="137">
        <v>389</v>
      </c>
      <c r="B404" s="138"/>
      <c r="C404" s="139"/>
      <c r="D404" s="140"/>
      <c r="E404" s="139"/>
      <c r="F404" s="139"/>
      <c r="G404" s="191"/>
      <c r="H404" s="139"/>
      <c r="I404" s="141"/>
      <c r="J404" s="142"/>
      <c r="K404" s="139"/>
      <c r="L404" s="147"/>
      <c r="M404" s="148"/>
      <c r="N404" s="139"/>
      <c r="O404" s="589"/>
      <c r="P404" s="229" t="str">
        <f t="shared" si="201"/>
        <v/>
      </c>
      <c r="Q404" s="229" t="str">
        <f t="shared" si="202"/>
        <v/>
      </c>
      <c r="R404" s="230" t="str">
        <f t="shared" si="203"/>
        <v/>
      </c>
      <c r="S404" s="230" t="str">
        <f t="shared" si="204"/>
        <v/>
      </c>
      <c r="T404" s="351"/>
      <c r="U404" s="43"/>
      <c r="V404" s="42" t="str">
        <f t="shared" si="180"/>
        <v/>
      </c>
      <c r="W404" s="42" t="e">
        <f>IF(#REF!="","",#REF!)</f>
        <v>#REF!</v>
      </c>
      <c r="X404" s="31" t="str">
        <f t="shared" si="181"/>
        <v/>
      </c>
      <c r="Y404" s="7" t="e">
        <f t="shared" si="182"/>
        <v>#N/A</v>
      </c>
      <c r="Z404" s="7" t="e">
        <f t="shared" si="183"/>
        <v>#N/A</v>
      </c>
      <c r="AA404" s="7" t="e">
        <f t="shared" si="184"/>
        <v>#N/A</v>
      </c>
      <c r="AB404" s="7" t="str">
        <f t="shared" si="185"/>
        <v/>
      </c>
      <c r="AC404" s="11">
        <f t="shared" si="186"/>
        <v>1</v>
      </c>
      <c r="AD404" s="7" t="e">
        <f t="shared" si="187"/>
        <v>#N/A</v>
      </c>
      <c r="AE404" s="7" t="e">
        <f t="shared" si="188"/>
        <v>#N/A</v>
      </c>
      <c r="AF404" s="7" t="e">
        <f t="shared" si="189"/>
        <v>#N/A</v>
      </c>
      <c r="AG404" s="472" t="e">
        <f>VLOOKUP(AI404,'排出係数(2017)'!$A$4:$I$1151,9,FALSE)</f>
        <v>#N/A</v>
      </c>
      <c r="AH404" s="12" t="str">
        <f t="shared" si="190"/>
        <v xml:space="preserve"> </v>
      </c>
      <c r="AI404" s="7" t="e">
        <f t="shared" si="205"/>
        <v>#N/A</v>
      </c>
      <c r="AJ404" s="7" t="e">
        <f t="shared" si="191"/>
        <v>#N/A</v>
      </c>
      <c r="AK404" s="472" t="e">
        <f>VLOOKUP(AI404,'排出係数(2017)'!$A$4:$I$1151,6,FALSE)</f>
        <v>#N/A</v>
      </c>
      <c r="AL404" s="7" t="e">
        <f t="shared" si="192"/>
        <v>#N/A</v>
      </c>
      <c r="AM404" s="7" t="e">
        <f t="shared" si="193"/>
        <v>#N/A</v>
      </c>
      <c r="AN404" s="472" t="e">
        <f>VLOOKUP(AI404,'排出係数(2017)'!$A$4:$I$1151,7,FALSE)</f>
        <v>#N/A</v>
      </c>
      <c r="AO404" s="7" t="e">
        <f t="shared" si="194"/>
        <v>#N/A</v>
      </c>
      <c r="AP404" s="7" t="e">
        <f t="shared" si="195"/>
        <v>#N/A</v>
      </c>
      <c r="AQ404" s="7" t="e">
        <f t="shared" si="206"/>
        <v>#N/A</v>
      </c>
      <c r="AR404" s="7">
        <f t="shared" si="196"/>
        <v>0</v>
      </c>
      <c r="AS404" s="7" t="e">
        <f t="shared" si="207"/>
        <v>#N/A</v>
      </c>
      <c r="AT404" s="7" t="str">
        <f t="shared" si="197"/>
        <v/>
      </c>
      <c r="AU404" s="7" t="str">
        <f t="shared" si="198"/>
        <v/>
      </c>
      <c r="AV404" s="7" t="str">
        <f t="shared" si="199"/>
        <v/>
      </c>
      <c r="AW404" s="7" t="str">
        <f t="shared" si="200"/>
        <v/>
      </c>
      <c r="AX404" s="97"/>
      <c r="BD404" s="453" t="s">
        <v>1716</v>
      </c>
      <c r="CG404"/>
      <c r="CH404"/>
      <c r="CK404" s="592" t="str">
        <f t="shared" si="208"/>
        <v/>
      </c>
      <c r="CL404" s="421" t="str">
        <f t="shared" si="209"/>
        <v/>
      </c>
      <c r="CM404" s="594"/>
      <c r="CN404" s="594"/>
      <c r="CO404" s="594"/>
      <c r="CP404" s="594"/>
      <c r="CQ404" s="594"/>
      <c r="CR404" s="594"/>
    </row>
    <row r="405" spans="1:96" s="13" customFormat="1" ht="13.75" customHeight="1">
      <c r="A405" s="137">
        <v>390</v>
      </c>
      <c r="B405" s="138"/>
      <c r="C405" s="139"/>
      <c r="D405" s="140"/>
      <c r="E405" s="139"/>
      <c r="F405" s="139"/>
      <c r="G405" s="191"/>
      <c r="H405" s="139"/>
      <c r="I405" s="141"/>
      <c r="J405" s="142"/>
      <c r="K405" s="139"/>
      <c r="L405" s="147"/>
      <c r="M405" s="148"/>
      <c r="N405" s="139"/>
      <c r="O405" s="589"/>
      <c r="P405" s="229" t="str">
        <f t="shared" si="201"/>
        <v/>
      </c>
      <c r="Q405" s="229" t="str">
        <f t="shared" si="202"/>
        <v/>
      </c>
      <c r="R405" s="230" t="str">
        <f t="shared" si="203"/>
        <v/>
      </c>
      <c r="S405" s="230" t="str">
        <f t="shared" si="204"/>
        <v/>
      </c>
      <c r="T405" s="351"/>
      <c r="U405" s="43"/>
      <c r="V405" s="42" t="str">
        <f t="shared" si="180"/>
        <v/>
      </c>
      <c r="W405" s="42" t="e">
        <f>IF(#REF!="","",#REF!)</f>
        <v>#REF!</v>
      </c>
      <c r="X405" s="31" t="str">
        <f t="shared" si="181"/>
        <v/>
      </c>
      <c r="Y405" s="7" t="e">
        <f t="shared" si="182"/>
        <v>#N/A</v>
      </c>
      <c r="Z405" s="7" t="e">
        <f t="shared" si="183"/>
        <v>#N/A</v>
      </c>
      <c r="AA405" s="7" t="e">
        <f t="shared" si="184"/>
        <v>#N/A</v>
      </c>
      <c r="AB405" s="7" t="str">
        <f t="shared" si="185"/>
        <v/>
      </c>
      <c r="AC405" s="11">
        <f t="shared" si="186"/>
        <v>1</v>
      </c>
      <c r="AD405" s="7" t="e">
        <f t="shared" si="187"/>
        <v>#N/A</v>
      </c>
      <c r="AE405" s="7" t="e">
        <f t="shared" si="188"/>
        <v>#N/A</v>
      </c>
      <c r="AF405" s="7" t="e">
        <f t="shared" si="189"/>
        <v>#N/A</v>
      </c>
      <c r="AG405" s="472" t="e">
        <f>VLOOKUP(AI405,'排出係数(2017)'!$A$4:$I$1151,9,FALSE)</f>
        <v>#N/A</v>
      </c>
      <c r="AH405" s="12" t="str">
        <f t="shared" si="190"/>
        <v xml:space="preserve"> </v>
      </c>
      <c r="AI405" s="7" t="e">
        <f t="shared" si="205"/>
        <v>#N/A</v>
      </c>
      <c r="AJ405" s="7" t="e">
        <f t="shared" si="191"/>
        <v>#N/A</v>
      </c>
      <c r="AK405" s="472" t="e">
        <f>VLOOKUP(AI405,'排出係数(2017)'!$A$4:$I$1151,6,FALSE)</f>
        <v>#N/A</v>
      </c>
      <c r="AL405" s="7" t="e">
        <f t="shared" si="192"/>
        <v>#N/A</v>
      </c>
      <c r="AM405" s="7" t="e">
        <f t="shared" si="193"/>
        <v>#N/A</v>
      </c>
      <c r="AN405" s="472" t="e">
        <f>VLOOKUP(AI405,'排出係数(2017)'!$A$4:$I$1151,7,FALSE)</f>
        <v>#N/A</v>
      </c>
      <c r="AO405" s="7" t="e">
        <f t="shared" si="194"/>
        <v>#N/A</v>
      </c>
      <c r="AP405" s="7" t="e">
        <f t="shared" si="195"/>
        <v>#N/A</v>
      </c>
      <c r="AQ405" s="7" t="e">
        <f t="shared" si="206"/>
        <v>#N/A</v>
      </c>
      <c r="AR405" s="7">
        <f t="shared" si="196"/>
        <v>0</v>
      </c>
      <c r="AS405" s="7" t="e">
        <f t="shared" si="207"/>
        <v>#N/A</v>
      </c>
      <c r="AT405" s="7" t="str">
        <f t="shared" si="197"/>
        <v/>
      </c>
      <c r="AU405" s="7" t="str">
        <f t="shared" si="198"/>
        <v/>
      </c>
      <c r="AV405" s="7" t="str">
        <f t="shared" si="199"/>
        <v/>
      </c>
      <c r="AW405" s="7" t="str">
        <f t="shared" si="200"/>
        <v/>
      </c>
      <c r="AX405" s="97"/>
      <c r="BD405" s="473" t="s">
        <v>1292</v>
      </c>
      <c r="CG405"/>
      <c r="CH405"/>
      <c r="CK405" s="592" t="str">
        <f t="shared" si="208"/>
        <v/>
      </c>
      <c r="CL405" s="421" t="str">
        <f t="shared" si="209"/>
        <v/>
      </c>
      <c r="CM405" s="594"/>
      <c r="CN405" s="594"/>
      <c r="CO405" s="594"/>
      <c r="CP405" s="594"/>
      <c r="CQ405" s="594"/>
      <c r="CR405" s="594"/>
    </row>
    <row r="406" spans="1:96" s="13" customFormat="1" ht="13.75" customHeight="1">
      <c r="A406" s="137">
        <v>391</v>
      </c>
      <c r="B406" s="138"/>
      <c r="C406" s="139"/>
      <c r="D406" s="140"/>
      <c r="E406" s="139"/>
      <c r="F406" s="139"/>
      <c r="G406" s="191"/>
      <c r="H406" s="139"/>
      <c r="I406" s="141"/>
      <c r="J406" s="142"/>
      <c r="K406" s="139"/>
      <c r="L406" s="147"/>
      <c r="M406" s="148"/>
      <c r="N406" s="139"/>
      <c r="O406" s="589"/>
      <c r="P406" s="229" t="str">
        <f t="shared" si="201"/>
        <v/>
      </c>
      <c r="Q406" s="229" t="str">
        <f t="shared" si="202"/>
        <v/>
      </c>
      <c r="R406" s="230" t="str">
        <f t="shared" si="203"/>
        <v/>
      </c>
      <c r="S406" s="230" t="str">
        <f t="shared" si="204"/>
        <v/>
      </c>
      <c r="T406" s="351"/>
      <c r="U406" s="43"/>
      <c r="V406" s="42" t="str">
        <f t="shared" si="180"/>
        <v/>
      </c>
      <c r="W406" s="42" t="e">
        <f>IF(#REF!="","",#REF!)</f>
        <v>#REF!</v>
      </c>
      <c r="X406" s="31" t="str">
        <f t="shared" si="181"/>
        <v/>
      </c>
      <c r="Y406" s="7" t="e">
        <f t="shared" si="182"/>
        <v>#N/A</v>
      </c>
      <c r="Z406" s="7" t="e">
        <f t="shared" si="183"/>
        <v>#N/A</v>
      </c>
      <c r="AA406" s="7" t="e">
        <f t="shared" si="184"/>
        <v>#N/A</v>
      </c>
      <c r="AB406" s="7" t="str">
        <f t="shared" si="185"/>
        <v/>
      </c>
      <c r="AC406" s="11">
        <f t="shared" si="186"/>
        <v>1</v>
      </c>
      <c r="AD406" s="7" t="e">
        <f t="shared" si="187"/>
        <v>#N/A</v>
      </c>
      <c r="AE406" s="7" t="e">
        <f t="shared" si="188"/>
        <v>#N/A</v>
      </c>
      <c r="AF406" s="7" t="e">
        <f t="shared" si="189"/>
        <v>#N/A</v>
      </c>
      <c r="AG406" s="472" t="e">
        <f>VLOOKUP(AI406,'排出係数(2017)'!$A$4:$I$1151,9,FALSE)</f>
        <v>#N/A</v>
      </c>
      <c r="AH406" s="12" t="str">
        <f t="shared" si="190"/>
        <v xml:space="preserve"> </v>
      </c>
      <c r="AI406" s="7" t="e">
        <f t="shared" si="205"/>
        <v>#N/A</v>
      </c>
      <c r="AJ406" s="7" t="e">
        <f t="shared" si="191"/>
        <v>#N/A</v>
      </c>
      <c r="AK406" s="472" t="e">
        <f>VLOOKUP(AI406,'排出係数(2017)'!$A$4:$I$1151,6,FALSE)</f>
        <v>#N/A</v>
      </c>
      <c r="AL406" s="7" t="e">
        <f t="shared" si="192"/>
        <v>#N/A</v>
      </c>
      <c r="AM406" s="7" t="e">
        <f t="shared" si="193"/>
        <v>#N/A</v>
      </c>
      <c r="AN406" s="472" t="e">
        <f>VLOOKUP(AI406,'排出係数(2017)'!$A$4:$I$1151,7,FALSE)</f>
        <v>#N/A</v>
      </c>
      <c r="AO406" s="7" t="e">
        <f t="shared" si="194"/>
        <v>#N/A</v>
      </c>
      <c r="AP406" s="7" t="e">
        <f t="shared" si="195"/>
        <v>#N/A</v>
      </c>
      <c r="AQ406" s="7" t="e">
        <f t="shared" si="206"/>
        <v>#N/A</v>
      </c>
      <c r="AR406" s="7">
        <f t="shared" si="196"/>
        <v>0</v>
      </c>
      <c r="AS406" s="7" t="e">
        <f t="shared" si="207"/>
        <v>#N/A</v>
      </c>
      <c r="AT406" s="7" t="str">
        <f t="shared" si="197"/>
        <v/>
      </c>
      <c r="AU406" s="7" t="str">
        <f t="shared" si="198"/>
        <v/>
      </c>
      <c r="AV406" s="7" t="str">
        <f t="shared" si="199"/>
        <v/>
      </c>
      <c r="AW406" s="7" t="str">
        <f t="shared" si="200"/>
        <v/>
      </c>
      <c r="AX406" s="97"/>
      <c r="BD406" s="453" t="s">
        <v>1323</v>
      </c>
      <c r="CG406"/>
      <c r="CH406"/>
      <c r="CK406" s="592" t="str">
        <f t="shared" si="208"/>
        <v/>
      </c>
      <c r="CL406" s="421" t="str">
        <f t="shared" si="209"/>
        <v/>
      </c>
      <c r="CM406" s="594"/>
      <c r="CN406" s="594"/>
      <c r="CO406" s="594"/>
      <c r="CP406" s="594"/>
      <c r="CQ406" s="594"/>
      <c r="CR406" s="594"/>
    </row>
    <row r="407" spans="1:96" s="13" customFormat="1" ht="13.75" customHeight="1">
      <c r="A407" s="137">
        <v>392</v>
      </c>
      <c r="B407" s="138"/>
      <c r="C407" s="139"/>
      <c r="D407" s="140"/>
      <c r="E407" s="139"/>
      <c r="F407" s="139"/>
      <c r="G407" s="191"/>
      <c r="H407" s="139"/>
      <c r="I407" s="141"/>
      <c r="J407" s="142"/>
      <c r="K407" s="139"/>
      <c r="L407" s="147"/>
      <c r="M407" s="148"/>
      <c r="N407" s="139"/>
      <c r="O407" s="589"/>
      <c r="P407" s="229" t="str">
        <f t="shared" si="201"/>
        <v/>
      </c>
      <c r="Q407" s="229" t="str">
        <f t="shared" si="202"/>
        <v/>
      </c>
      <c r="R407" s="230" t="str">
        <f t="shared" si="203"/>
        <v/>
      </c>
      <c r="S407" s="230" t="str">
        <f t="shared" si="204"/>
        <v/>
      </c>
      <c r="T407" s="351"/>
      <c r="U407" s="43"/>
      <c r="V407" s="42" t="str">
        <f t="shared" si="180"/>
        <v/>
      </c>
      <c r="W407" s="42" t="e">
        <f>IF(#REF!="","",#REF!)</f>
        <v>#REF!</v>
      </c>
      <c r="X407" s="31" t="str">
        <f t="shared" si="181"/>
        <v/>
      </c>
      <c r="Y407" s="7" t="e">
        <f t="shared" si="182"/>
        <v>#N/A</v>
      </c>
      <c r="Z407" s="7" t="e">
        <f t="shared" si="183"/>
        <v>#N/A</v>
      </c>
      <c r="AA407" s="7" t="e">
        <f t="shared" si="184"/>
        <v>#N/A</v>
      </c>
      <c r="AB407" s="7" t="str">
        <f t="shared" si="185"/>
        <v/>
      </c>
      <c r="AC407" s="11">
        <f t="shared" si="186"/>
        <v>1</v>
      </c>
      <c r="AD407" s="7" t="e">
        <f t="shared" si="187"/>
        <v>#N/A</v>
      </c>
      <c r="AE407" s="7" t="e">
        <f t="shared" si="188"/>
        <v>#N/A</v>
      </c>
      <c r="AF407" s="7" t="e">
        <f t="shared" si="189"/>
        <v>#N/A</v>
      </c>
      <c r="AG407" s="472" t="e">
        <f>VLOOKUP(AI407,'排出係数(2017)'!$A$4:$I$1151,9,FALSE)</f>
        <v>#N/A</v>
      </c>
      <c r="AH407" s="12" t="str">
        <f t="shared" si="190"/>
        <v xml:space="preserve"> </v>
      </c>
      <c r="AI407" s="7" t="e">
        <f t="shared" si="205"/>
        <v>#N/A</v>
      </c>
      <c r="AJ407" s="7" t="e">
        <f t="shared" si="191"/>
        <v>#N/A</v>
      </c>
      <c r="AK407" s="472" t="e">
        <f>VLOOKUP(AI407,'排出係数(2017)'!$A$4:$I$1151,6,FALSE)</f>
        <v>#N/A</v>
      </c>
      <c r="AL407" s="7" t="e">
        <f t="shared" si="192"/>
        <v>#N/A</v>
      </c>
      <c r="AM407" s="7" t="e">
        <f t="shared" si="193"/>
        <v>#N/A</v>
      </c>
      <c r="AN407" s="472" t="e">
        <f>VLOOKUP(AI407,'排出係数(2017)'!$A$4:$I$1151,7,FALSE)</f>
        <v>#N/A</v>
      </c>
      <c r="AO407" s="7" t="e">
        <f t="shared" si="194"/>
        <v>#N/A</v>
      </c>
      <c r="AP407" s="7" t="e">
        <f t="shared" si="195"/>
        <v>#N/A</v>
      </c>
      <c r="AQ407" s="7" t="e">
        <f t="shared" si="206"/>
        <v>#N/A</v>
      </c>
      <c r="AR407" s="7">
        <f t="shared" si="196"/>
        <v>0</v>
      </c>
      <c r="AS407" s="7" t="e">
        <f t="shared" si="207"/>
        <v>#N/A</v>
      </c>
      <c r="AT407" s="7" t="str">
        <f t="shared" si="197"/>
        <v/>
      </c>
      <c r="AU407" s="7" t="str">
        <f t="shared" si="198"/>
        <v/>
      </c>
      <c r="AV407" s="7" t="str">
        <f t="shared" si="199"/>
        <v/>
      </c>
      <c r="AW407" s="7" t="str">
        <f t="shared" si="200"/>
        <v/>
      </c>
      <c r="AX407" s="97"/>
      <c r="BD407" s="453" t="s">
        <v>1373</v>
      </c>
      <c r="CG407"/>
      <c r="CH407"/>
      <c r="CK407" s="592" t="str">
        <f t="shared" si="208"/>
        <v/>
      </c>
      <c r="CL407" s="421" t="str">
        <f t="shared" si="209"/>
        <v/>
      </c>
      <c r="CM407" s="594"/>
      <c r="CN407" s="594"/>
      <c r="CO407" s="594"/>
      <c r="CP407" s="594"/>
      <c r="CQ407" s="594"/>
      <c r="CR407" s="594"/>
    </row>
    <row r="408" spans="1:96" s="13" customFormat="1" ht="13.75" customHeight="1">
      <c r="A408" s="137">
        <v>393</v>
      </c>
      <c r="B408" s="138"/>
      <c r="C408" s="139"/>
      <c r="D408" s="140"/>
      <c r="E408" s="139"/>
      <c r="F408" s="139"/>
      <c r="G408" s="191"/>
      <c r="H408" s="139"/>
      <c r="I408" s="141"/>
      <c r="J408" s="142"/>
      <c r="K408" s="139"/>
      <c r="L408" s="147"/>
      <c r="M408" s="148"/>
      <c r="N408" s="139"/>
      <c r="O408" s="589"/>
      <c r="P408" s="229" t="str">
        <f t="shared" si="201"/>
        <v/>
      </c>
      <c r="Q408" s="229" t="str">
        <f t="shared" si="202"/>
        <v/>
      </c>
      <c r="R408" s="230" t="str">
        <f t="shared" si="203"/>
        <v/>
      </c>
      <c r="S408" s="230" t="str">
        <f t="shared" si="204"/>
        <v/>
      </c>
      <c r="T408" s="351"/>
      <c r="U408" s="43"/>
      <c r="V408" s="42" t="str">
        <f t="shared" si="180"/>
        <v/>
      </c>
      <c r="W408" s="42" t="e">
        <f>IF(#REF!="","",#REF!)</f>
        <v>#REF!</v>
      </c>
      <c r="X408" s="31" t="str">
        <f t="shared" si="181"/>
        <v/>
      </c>
      <c r="Y408" s="7" t="e">
        <f t="shared" si="182"/>
        <v>#N/A</v>
      </c>
      <c r="Z408" s="7" t="e">
        <f t="shared" si="183"/>
        <v>#N/A</v>
      </c>
      <c r="AA408" s="7" t="e">
        <f t="shared" si="184"/>
        <v>#N/A</v>
      </c>
      <c r="AB408" s="7" t="str">
        <f t="shared" si="185"/>
        <v/>
      </c>
      <c r="AC408" s="11">
        <f t="shared" si="186"/>
        <v>1</v>
      </c>
      <c r="AD408" s="7" t="e">
        <f t="shared" si="187"/>
        <v>#N/A</v>
      </c>
      <c r="AE408" s="7" t="e">
        <f t="shared" si="188"/>
        <v>#N/A</v>
      </c>
      <c r="AF408" s="7" t="e">
        <f t="shared" si="189"/>
        <v>#N/A</v>
      </c>
      <c r="AG408" s="472" t="e">
        <f>VLOOKUP(AI408,'排出係数(2017)'!$A$4:$I$1151,9,FALSE)</f>
        <v>#N/A</v>
      </c>
      <c r="AH408" s="12" t="str">
        <f t="shared" si="190"/>
        <v xml:space="preserve"> </v>
      </c>
      <c r="AI408" s="7" t="e">
        <f t="shared" si="205"/>
        <v>#N/A</v>
      </c>
      <c r="AJ408" s="7" t="e">
        <f t="shared" si="191"/>
        <v>#N/A</v>
      </c>
      <c r="AK408" s="472" t="e">
        <f>VLOOKUP(AI408,'排出係数(2017)'!$A$4:$I$1151,6,FALSE)</f>
        <v>#N/A</v>
      </c>
      <c r="AL408" s="7" t="e">
        <f t="shared" si="192"/>
        <v>#N/A</v>
      </c>
      <c r="AM408" s="7" t="e">
        <f t="shared" si="193"/>
        <v>#N/A</v>
      </c>
      <c r="AN408" s="472" t="e">
        <f>VLOOKUP(AI408,'排出係数(2017)'!$A$4:$I$1151,7,FALSE)</f>
        <v>#N/A</v>
      </c>
      <c r="AO408" s="7" t="e">
        <f t="shared" si="194"/>
        <v>#N/A</v>
      </c>
      <c r="AP408" s="7" t="e">
        <f t="shared" si="195"/>
        <v>#N/A</v>
      </c>
      <c r="AQ408" s="7" t="e">
        <f t="shared" si="206"/>
        <v>#N/A</v>
      </c>
      <c r="AR408" s="7">
        <f t="shared" si="196"/>
        <v>0</v>
      </c>
      <c r="AS408" s="7" t="e">
        <f t="shared" si="207"/>
        <v>#N/A</v>
      </c>
      <c r="AT408" s="7" t="str">
        <f t="shared" si="197"/>
        <v/>
      </c>
      <c r="AU408" s="7" t="str">
        <f t="shared" si="198"/>
        <v/>
      </c>
      <c r="AV408" s="7" t="str">
        <f t="shared" si="199"/>
        <v/>
      </c>
      <c r="AW408" s="7" t="str">
        <f t="shared" si="200"/>
        <v/>
      </c>
      <c r="AX408" s="97"/>
      <c r="BD408" s="453" t="s">
        <v>2364</v>
      </c>
      <c r="CG408"/>
      <c r="CH408"/>
      <c r="CK408" s="592" t="str">
        <f t="shared" si="208"/>
        <v/>
      </c>
      <c r="CL408" s="421" t="str">
        <f t="shared" si="209"/>
        <v/>
      </c>
      <c r="CM408" s="594"/>
      <c r="CN408" s="594"/>
      <c r="CO408" s="594"/>
      <c r="CP408" s="594"/>
      <c r="CQ408" s="594"/>
      <c r="CR408" s="594"/>
    </row>
    <row r="409" spans="1:96" s="13" customFormat="1" ht="13.75" customHeight="1">
      <c r="A409" s="137">
        <v>394</v>
      </c>
      <c r="B409" s="138"/>
      <c r="C409" s="139"/>
      <c r="D409" s="140"/>
      <c r="E409" s="139"/>
      <c r="F409" s="139"/>
      <c r="G409" s="191"/>
      <c r="H409" s="139"/>
      <c r="I409" s="141"/>
      <c r="J409" s="142"/>
      <c r="K409" s="139"/>
      <c r="L409" s="147"/>
      <c r="M409" s="148"/>
      <c r="N409" s="139"/>
      <c r="O409" s="589"/>
      <c r="P409" s="229" t="str">
        <f t="shared" si="201"/>
        <v/>
      </c>
      <c r="Q409" s="229" t="str">
        <f t="shared" si="202"/>
        <v/>
      </c>
      <c r="R409" s="230" t="str">
        <f t="shared" si="203"/>
        <v/>
      </c>
      <c r="S409" s="230" t="str">
        <f t="shared" si="204"/>
        <v/>
      </c>
      <c r="T409" s="351"/>
      <c r="U409" s="43"/>
      <c r="V409" s="42" t="str">
        <f t="shared" si="180"/>
        <v/>
      </c>
      <c r="W409" s="42" t="e">
        <f>IF(#REF!="","",#REF!)</f>
        <v>#REF!</v>
      </c>
      <c r="X409" s="31" t="str">
        <f t="shared" si="181"/>
        <v/>
      </c>
      <c r="Y409" s="7" t="e">
        <f t="shared" si="182"/>
        <v>#N/A</v>
      </c>
      <c r="Z409" s="7" t="e">
        <f t="shared" si="183"/>
        <v>#N/A</v>
      </c>
      <c r="AA409" s="7" t="e">
        <f t="shared" si="184"/>
        <v>#N/A</v>
      </c>
      <c r="AB409" s="7" t="str">
        <f t="shared" si="185"/>
        <v/>
      </c>
      <c r="AC409" s="11">
        <f t="shared" si="186"/>
        <v>1</v>
      </c>
      <c r="AD409" s="7" t="e">
        <f t="shared" si="187"/>
        <v>#N/A</v>
      </c>
      <c r="AE409" s="7" t="e">
        <f t="shared" si="188"/>
        <v>#N/A</v>
      </c>
      <c r="AF409" s="7" t="e">
        <f t="shared" si="189"/>
        <v>#N/A</v>
      </c>
      <c r="AG409" s="472" t="e">
        <f>VLOOKUP(AI409,'排出係数(2017)'!$A$4:$I$1151,9,FALSE)</f>
        <v>#N/A</v>
      </c>
      <c r="AH409" s="12" t="str">
        <f t="shared" si="190"/>
        <v xml:space="preserve"> </v>
      </c>
      <c r="AI409" s="7" t="e">
        <f t="shared" si="205"/>
        <v>#N/A</v>
      </c>
      <c r="AJ409" s="7" t="e">
        <f t="shared" si="191"/>
        <v>#N/A</v>
      </c>
      <c r="AK409" s="472" t="e">
        <f>VLOOKUP(AI409,'排出係数(2017)'!$A$4:$I$1151,6,FALSE)</f>
        <v>#N/A</v>
      </c>
      <c r="AL409" s="7" t="e">
        <f t="shared" si="192"/>
        <v>#N/A</v>
      </c>
      <c r="AM409" s="7" t="e">
        <f t="shared" si="193"/>
        <v>#N/A</v>
      </c>
      <c r="AN409" s="472" t="e">
        <f>VLOOKUP(AI409,'排出係数(2017)'!$A$4:$I$1151,7,FALSE)</f>
        <v>#N/A</v>
      </c>
      <c r="AO409" s="7" t="e">
        <f t="shared" si="194"/>
        <v>#N/A</v>
      </c>
      <c r="AP409" s="7" t="e">
        <f t="shared" si="195"/>
        <v>#N/A</v>
      </c>
      <c r="AQ409" s="7" t="e">
        <f t="shared" si="206"/>
        <v>#N/A</v>
      </c>
      <c r="AR409" s="7">
        <f t="shared" si="196"/>
        <v>0</v>
      </c>
      <c r="AS409" s="7" t="e">
        <f t="shared" si="207"/>
        <v>#N/A</v>
      </c>
      <c r="AT409" s="7" t="str">
        <f t="shared" si="197"/>
        <v/>
      </c>
      <c r="AU409" s="7" t="str">
        <f t="shared" si="198"/>
        <v/>
      </c>
      <c r="AV409" s="7" t="str">
        <f t="shared" si="199"/>
        <v/>
      </c>
      <c r="AW409" s="7" t="str">
        <f t="shared" si="200"/>
        <v/>
      </c>
      <c r="AX409" s="97"/>
      <c r="BD409" s="453" t="s">
        <v>2360</v>
      </c>
      <c r="CG409"/>
      <c r="CH409"/>
      <c r="CK409" s="592" t="str">
        <f t="shared" si="208"/>
        <v/>
      </c>
      <c r="CL409" s="421" t="str">
        <f t="shared" si="209"/>
        <v/>
      </c>
      <c r="CM409" s="594"/>
      <c r="CN409" s="594"/>
      <c r="CO409" s="594"/>
      <c r="CP409" s="594"/>
      <c r="CQ409" s="594"/>
      <c r="CR409" s="594"/>
    </row>
    <row r="410" spans="1:96" s="13" customFormat="1" ht="13.75" customHeight="1">
      <c r="A410" s="137">
        <v>395</v>
      </c>
      <c r="B410" s="138"/>
      <c r="C410" s="139"/>
      <c r="D410" s="140"/>
      <c r="E410" s="139"/>
      <c r="F410" s="139"/>
      <c r="G410" s="191"/>
      <c r="H410" s="139"/>
      <c r="I410" s="141"/>
      <c r="J410" s="142"/>
      <c r="K410" s="139"/>
      <c r="L410" s="147"/>
      <c r="M410" s="148"/>
      <c r="N410" s="139"/>
      <c r="O410" s="589"/>
      <c r="P410" s="229" t="str">
        <f t="shared" si="201"/>
        <v/>
      </c>
      <c r="Q410" s="229" t="str">
        <f t="shared" si="202"/>
        <v/>
      </c>
      <c r="R410" s="230" t="str">
        <f t="shared" si="203"/>
        <v/>
      </c>
      <c r="S410" s="230" t="str">
        <f t="shared" si="204"/>
        <v/>
      </c>
      <c r="T410" s="351"/>
      <c r="U410" s="43"/>
      <c r="V410" s="42" t="str">
        <f t="shared" si="180"/>
        <v/>
      </c>
      <c r="W410" s="42" t="e">
        <f>IF(#REF!="","",#REF!)</f>
        <v>#REF!</v>
      </c>
      <c r="X410" s="31" t="str">
        <f t="shared" si="181"/>
        <v/>
      </c>
      <c r="Y410" s="7" t="e">
        <f t="shared" si="182"/>
        <v>#N/A</v>
      </c>
      <c r="Z410" s="7" t="e">
        <f t="shared" si="183"/>
        <v>#N/A</v>
      </c>
      <c r="AA410" s="7" t="e">
        <f t="shared" si="184"/>
        <v>#N/A</v>
      </c>
      <c r="AB410" s="7" t="str">
        <f t="shared" si="185"/>
        <v/>
      </c>
      <c r="AC410" s="11">
        <f t="shared" si="186"/>
        <v>1</v>
      </c>
      <c r="AD410" s="7" t="e">
        <f t="shared" si="187"/>
        <v>#N/A</v>
      </c>
      <c r="AE410" s="7" t="e">
        <f t="shared" si="188"/>
        <v>#N/A</v>
      </c>
      <c r="AF410" s="7" t="e">
        <f t="shared" si="189"/>
        <v>#N/A</v>
      </c>
      <c r="AG410" s="472" t="e">
        <f>VLOOKUP(AI410,'排出係数(2017)'!$A$4:$I$1151,9,FALSE)</f>
        <v>#N/A</v>
      </c>
      <c r="AH410" s="12" t="str">
        <f t="shared" si="190"/>
        <v xml:space="preserve"> </v>
      </c>
      <c r="AI410" s="7" t="e">
        <f t="shared" si="205"/>
        <v>#N/A</v>
      </c>
      <c r="AJ410" s="7" t="e">
        <f t="shared" si="191"/>
        <v>#N/A</v>
      </c>
      <c r="AK410" s="472" t="e">
        <f>VLOOKUP(AI410,'排出係数(2017)'!$A$4:$I$1151,6,FALSE)</f>
        <v>#N/A</v>
      </c>
      <c r="AL410" s="7" t="e">
        <f t="shared" si="192"/>
        <v>#N/A</v>
      </c>
      <c r="AM410" s="7" t="e">
        <f t="shared" si="193"/>
        <v>#N/A</v>
      </c>
      <c r="AN410" s="472" t="e">
        <f>VLOOKUP(AI410,'排出係数(2017)'!$A$4:$I$1151,7,FALSE)</f>
        <v>#N/A</v>
      </c>
      <c r="AO410" s="7" t="e">
        <f t="shared" si="194"/>
        <v>#N/A</v>
      </c>
      <c r="AP410" s="7" t="e">
        <f t="shared" si="195"/>
        <v>#N/A</v>
      </c>
      <c r="AQ410" s="7" t="e">
        <f t="shared" si="206"/>
        <v>#N/A</v>
      </c>
      <c r="AR410" s="7">
        <f t="shared" si="196"/>
        <v>0</v>
      </c>
      <c r="AS410" s="7" t="e">
        <f t="shared" si="207"/>
        <v>#N/A</v>
      </c>
      <c r="AT410" s="7" t="str">
        <f t="shared" si="197"/>
        <v/>
      </c>
      <c r="AU410" s="7" t="str">
        <f t="shared" si="198"/>
        <v/>
      </c>
      <c r="AV410" s="7" t="str">
        <f t="shared" si="199"/>
        <v/>
      </c>
      <c r="AW410" s="7" t="str">
        <f t="shared" si="200"/>
        <v/>
      </c>
      <c r="AX410" s="97"/>
      <c r="BD410" s="453" t="s">
        <v>1439</v>
      </c>
      <c r="CG410"/>
      <c r="CH410"/>
      <c r="CK410" s="592" t="str">
        <f t="shared" si="208"/>
        <v/>
      </c>
      <c r="CL410" s="421" t="str">
        <f t="shared" si="209"/>
        <v/>
      </c>
      <c r="CM410" s="594"/>
      <c r="CN410" s="594"/>
      <c r="CO410" s="594"/>
      <c r="CP410" s="594"/>
      <c r="CQ410" s="594"/>
      <c r="CR410" s="594"/>
    </row>
    <row r="411" spans="1:96" s="13" customFormat="1" ht="13.75" customHeight="1">
      <c r="A411" s="137">
        <v>396</v>
      </c>
      <c r="B411" s="138"/>
      <c r="C411" s="139"/>
      <c r="D411" s="140"/>
      <c r="E411" s="139"/>
      <c r="F411" s="139"/>
      <c r="G411" s="191"/>
      <c r="H411" s="139"/>
      <c r="I411" s="141"/>
      <c r="J411" s="142"/>
      <c r="K411" s="139"/>
      <c r="L411" s="147"/>
      <c r="M411" s="148"/>
      <c r="N411" s="139"/>
      <c r="O411" s="589"/>
      <c r="P411" s="229" t="str">
        <f t="shared" si="201"/>
        <v/>
      </c>
      <c r="Q411" s="229" t="str">
        <f t="shared" si="202"/>
        <v/>
      </c>
      <c r="R411" s="230" t="str">
        <f t="shared" si="203"/>
        <v/>
      </c>
      <c r="S411" s="230" t="str">
        <f t="shared" si="204"/>
        <v/>
      </c>
      <c r="T411" s="351"/>
      <c r="U411" s="43"/>
      <c r="V411" s="42" t="str">
        <f t="shared" si="180"/>
        <v/>
      </c>
      <c r="W411" s="42" t="e">
        <f>IF(#REF!="","",#REF!)</f>
        <v>#REF!</v>
      </c>
      <c r="X411" s="31" t="str">
        <f t="shared" si="181"/>
        <v/>
      </c>
      <c r="Y411" s="7" t="e">
        <f t="shared" si="182"/>
        <v>#N/A</v>
      </c>
      <c r="Z411" s="7" t="e">
        <f t="shared" si="183"/>
        <v>#N/A</v>
      </c>
      <c r="AA411" s="7" t="e">
        <f t="shared" si="184"/>
        <v>#N/A</v>
      </c>
      <c r="AB411" s="7" t="str">
        <f t="shared" si="185"/>
        <v/>
      </c>
      <c r="AC411" s="11">
        <f t="shared" si="186"/>
        <v>1</v>
      </c>
      <c r="AD411" s="7" t="e">
        <f t="shared" si="187"/>
        <v>#N/A</v>
      </c>
      <c r="AE411" s="7" t="e">
        <f t="shared" si="188"/>
        <v>#N/A</v>
      </c>
      <c r="AF411" s="7" t="e">
        <f t="shared" si="189"/>
        <v>#N/A</v>
      </c>
      <c r="AG411" s="472" t="e">
        <f>VLOOKUP(AI411,'排出係数(2017)'!$A$4:$I$1151,9,FALSE)</f>
        <v>#N/A</v>
      </c>
      <c r="AH411" s="12" t="str">
        <f t="shared" si="190"/>
        <v xml:space="preserve"> </v>
      </c>
      <c r="AI411" s="7" t="e">
        <f t="shared" si="205"/>
        <v>#N/A</v>
      </c>
      <c r="AJ411" s="7" t="e">
        <f t="shared" si="191"/>
        <v>#N/A</v>
      </c>
      <c r="AK411" s="472" t="e">
        <f>VLOOKUP(AI411,'排出係数(2017)'!$A$4:$I$1151,6,FALSE)</f>
        <v>#N/A</v>
      </c>
      <c r="AL411" s="7" t="e">
        <f t="shared" si="192"/>
        <v>#N/A</v>
      </c>
      <c r="AM411" s="7" t="e">
        <f t="shared" si="193"/>
        <v>#N/A</v>
      </c>
      <c r="AN411" s="472" t="e">
        <f>VLOOKUP(AI411,'排出係数(2017)'!$A$4:$I$1151,7,FALSE)</f>
        <v>#N/A</v>
      </c>
      <c r="AO411" s="7" t="e">
        <f t="shared" si="194"/>
        <v>#N/A</v>
      </c>
      <c r="AP411" s="7" t="e">
        <f t="shared" si="195"/>
        <v>#N/A</v>
      </c>
      <c r="AQ411" s="7" t="e">
        <f t="shared" si="206"/>
        <v>#N/A</v>
      </c>
      <c r="AR411" s="7">
        <f t="shared" si="196"/>
        <v>0</v>
      </c>
      <c r="AS411" s="7" t="e">
        <f t="shared" si="207"/>
        <v>#N/A</v>
      </c>
      <c r="AT411" s="7" t="str">
        <f t="shared" si="197"/>
        <v/>
      </c>
      <c r="AU411" s="7" t="str">
        <f t="shared" si="198"/>
        <v/>
      </c>
      <c r="AV411" s="7" t="str">
        <f t="shared" si="199"/>
        <v/>
      </c>
      <c r="AW411" s="7" t="str">
        <f t="shared" si="200"/>
        <v/>
      </c>
      <c r="AX411" s="97"/>
      <c r="BD411" s="453" t="s">
        <v>2541</v>
      </c>
      <c r="CG411"/>
      <c r="CH411"/>
      <c r="CK411" s="592" t="str">
        <f t="shared" si="208"/>
        <v/>
      </c>
      <c r="CL411" s="421" t="str">
        <f t="shared" si="209"/>
        <v/>
      </c>
      <c r="CM411" s="594"/>
      <c r="CN411" s="594"/>
      <c r="CO411" s="594"/>
      <c r="CP411" s="594"/>
      <c r="CQ411" s="594"/>
      <c r="CR411" s="594"/>
    </row>
    <row r="412" spans="1:96" s="13" customFormat="1" ht="13.75" customHeight="1">
      <c r="A412" s="137">
        <v>397</v>
      </c>
      <c r="B412" s="138"/>
      <c r="C412" s="139"/>
      <c r="D412" s="140"/>
      <c r="E412" s="139"/>
      <c r="F412" s="139"/>
      <c r="G412" s="191"/>
      <c r="H412" s="139"/>
      <c r="I412" s="141"/>
      <c r="J412" s="142"/>
      <c r="K412" s="139"/>
      <c r="L412" s="147"/>
      <c r="M412" s="148"/>
      <c r="N412" s="139"/>
      <c r="O412" s="589"/>
      <c r="P412" s="229" t="str">
        <f t="shared" si="201"/>
        <v/>
      </c>
      <c r="Q412" s="229" t="str">
        <f t="shared" si="202"/>
        <v/>
      </c>
      <c r="R412" s="230" t="str">
        <f t="shared" si="203"/>
        <v/>
      </c>
      <c r="S412" s="230" t="str">
        <f t="shared" si="204"/>
        <v/>
      </c>
      <c r="T412" s="351"/>
      <c r="U412" s="43"/>
      <c r="V412" s="42" t="str">
        <f t="shared" si="180"/>
        <v/>
      </c>
      <c r="W412" s="42" t="e">
        <f>IF(#REF!="","",#REF!)</f>
        <v>#REF!</v>
      </c>
      <c r="X412" s="31" t="str">
        <f t="shared" si="181"/>
        <v/>
      </c>
      <c r="Y412" s="7" t="e">
        <f t="shared" si="182"/>
        <v>#N/A</v>
      </c>
      <c r="Z412" s="7" t="e">
        <f t="shared" si="183"/>
        <v>#N/A</v>
      </c>
      <c r="AA412" s="7" t="e">
        <f t="shared" si="184"/>
        <v>#N/A</v>
      </c>
      <c r="AB412" s="7" t="str">
        <f t="shared" si="185"/>
        <v/>
      </c>
      <c r="AC412" s="11">
        <f t="shared" si="186"/>
        <v>1</v>
      </c>
      <c r="AD412" s="7" t="e">
        <f t="shared" si="187"/>
        <v>#N/A</v>
      </c>
      <c r="AE412" s="7" t="e">
        <f t="shared" si="188"/>
        <v>#N/A</v>
      </c>
      <c r="AF412" s="7" t="e">
        <f t="shared" si="189"/>
        <v>#N/A</v>
      </c>
      <c r="AG412" s="472" t="e">
        <f>VLOOKUP(AI412,'排出係数(2017)'!$A$4:$I$1151,9,FALSE)</f>
        <v>#N/A</v>
      </c>
      <c r="AH412" s="12" t="str">
        <f t="shared" si="190"/>
        <v xml:space="preserve"> </v>
      </c>
      <c r="AI412" s="7" t="e">
        <f t="shared" si="205"/>
        <v>#N/A</v>
      </c>
      <c r="AJ412" s="7" t="e">
        <f t="shared" si="191"/>
        <v>#N/A</v>
      </c>
      <c r="AK412" s="472" t="e">
        <f>VLOOKUP(AI412,'排出係数(2017)'!$A$4:$I$1151,6,FALSE)</f>
        <v>#N/A</v>
      </c>
      <c r="AL412" s="7" t="e">
        <f t="shared" si="192"/>
        <v>#N/A</v>
      </c>
      <c r="AM412" s="7" t="e">
        <f t="shared" si="193"/>
        <v>#N/A</v>
      </c>
      <c r="AN412" s="472" t="e">
        <f>VLOOKUP(AI412,'排出係数(2017)'!$A$4:$I$1151,7,FALSE)</f>
        <v>#N/A</v>
      </c>
      <c r="AO412" s="7" t="e">
        <f t="shared" si="194"/>
        <v>#N/A</v>
      </c>
      <c r="AP412" s="7" t="e">
        <f t="shared" si="195"/>
        <v>#N/A</v>
      </c>
      <c r="AQ412" s="7" t="e">
        <f t="shared" si="206"/>
        <v>#N/A</v>
      </c>
      <c r="AR412" s="7">
        <f t="shared" si="196"/>
        <v>0</v>
      </c>
      <c r="AS412" s="7" t="e">
        <f t="shared" si="207"/>
        <v>#N/A</v>
      </c>
      <c r="AT412" s="7" t="str">
        <f t="shared" si="197"/>
        <v/>
      </c>
      <c r="AU412" s="7" t="str">
        <f t="shared" si="198"/>
        <v/>
      </c>
      <c r="AV412" s="7" t="str">
        <f t="shared" si="199"/>
        <v/>
      </c>
      <c r="AW412" s="7" t="str">
        <f t="shared" si="200"/>
        <v/>
      </c>
      <c r="AX412" s="97"/>
      <c r="BD412" s="453" t="s">
        <v>2542</v>
      </c>
      <c r="CG412"/>
      <c r="CH412"/>
      <c r="CK412" s="592" t="str">
        <f t="shared" si="208"/>
        <v/>
      </c>
      <c r="CL412" s="421" t="str">
        <f t="shared" si="209"/>
        <v/>
      </c>
      <c r="CM412" s="594"/>
      <c r="CN412" s="594"/>
      <c r="CO412" s="594"/>
      <c r="CP412" s="594"/>
      <c r="CQ412" s="594"/>
      <c r="CR412" s="594"/>
    </row>
    <row r="413" spans="1:96" s="13" customFormat="1" ht="13.75" customHeight="1">
      <c r="A413" s="137">
        <v>398</v>
      </c>
      <c r="B413" s="138"/>
      <c r="C413" s="139"/>
      <c r="D413" s="140"/>
      <c r="E413" s="139"/>
      <c r="F413" s="139"/>
      <c r="G413" s="191"/>
      <c r="H413" s="139"/>
      <c r="I413" s="141"/>
      <c r="J413" s="142"/>
      <c r="K413" s="139"/>
      <c r="L413" s="147"/>
      <c r="M413" s="148"/>
      <c r="N413" s="139"/>
      <c r="O413" s="589"/>
      <c r="P413" s="229" t="str">
        <f t="shared" si="201"/>
        <v/>
      </c>
      <c r="Q413" s="229" t="str">
        <f t="shared" si="202"/>
        <v/>
      </c>
      <c r="R413" s="230" t="str">
        <f t="shared" si="203"/>
        <v/>
      </c>
      <c r="S413" s="230" t="str">
        <f t="shared" si="204"/>
        <v/>
      </c>
      <c r="T413" s="351"/>
      <c r="U413" s="43"/>
      <c r="V413" s="42" t="str">
        <f t="shared" si="180"/>
        <v/>
      </c>
      <c r="W413" s="42" t="e">
        <f>IF(#REF!="","",#REF!)</f>
        <v>#REF!</v>
      </c>
      <c r="X413" s="31" t="str">
        <f t="shared" si="181"/>
        <v/>
      </c>
      <c r="Y413" s="7" t="e">
        <f t="shared" si="182"/>
        <v>#N/A</v>
      </c>
      <c r="Z413" s="7" t="e">
        <f t="shared" si="183"/>
        <v>#N/A</v>
      </c>
      <c r="AA413" s="7" t="e">
        <f t="shared" si="184"/>
        <v>#N/A</v>
      </c>
      <c r="AB413" s="7" t="str">
        <f t="shared" si="185"/>
        <v/>
      </c>
      <c r="AC413" s="11">
        <f t="shared" si="186"/>
        <v>1</v>
      </c>
      <c r="AD413" s="7" t="e">
        <f t="shared" si="187"/>
        <v>#N/A</v>
      </c>
      <c r="AE413" s="7" t="e">
        <f t="shared" si="188"/>
        <v>#N/A</v>
      </c>
      <c r="AF413" s="7" t="e">
        <f t="shared" si="189"/>
        <v>#N/A</v>
      </c>
      <c r="AG413" s="472" t="e">
        <f>VLOOKUP(AI413,'排出係数(2017)'!$A$4:$I$1151,9,FALSE)</f>
        <v>#N/A</v>
      </c>
      <c r="AH413" s="12" t="str">
        <f t="shared" si="190"/>
        <v xml:space="preserve"> </v>
      </c>
      <c r="AI413" s="7" t="e">
        <f t="shared" si="205"/>
        <v>#N/A</v>
      </c>
      <c r="AJ413" s="7" t="e">
        <f t="shared" si="191"/>
        <v>#N/A</v>
      </c>
      <c r="AK413" s="472" t="e">
        <f>VLOOKUP(AI413,'排出係数(2017)'!$A$4:$I$1151,6,FALSE)</f>
        <v>#N/A</v>
      </c>
      <c r="AL413" s="7" t="e">
        <f t="shared" si="192"/>
        <v>#N/A</v>
      </c>
      <c r="AM413" s="7" t="e">
        <f t="shared" si="193"/>
        <v>#N/A</v>
      </c>
      <c r="AN413" s="472" t="e">
        <f>VLOOKUP(AI413,'排出係数(2017)'!$A$4:$I$1151,7,FALSE)</f>
        <v>#N/A</v>
      </c>
      <c r="AO413" s="7" t="e">
        <f t="shared" si="194"/>
        <v>#N/A</v>
      </c>
      <c r="AP413" s="7" t="e">
        <f t="shared" si="195"/>
        <v>#N/A</v>
      </c>
      <c r="AQ413" s="7" t="e">
        <f t="shared" si="206"/>
        <v>#N/A</v>
      </c>
      <c r="AR413" s="7">
        <f t="shared" si="196"/>
        <v>0</v>
      </c>
      <c r="AS413" s="7" t="e">
        <f t="shared" si="207"/>
        <v>#N/A</v>
      </c>
      <c r="AT413" s="7" t="str">
        <f t="shared" si="197"/>
        <v/>
      </c>
      <c r="AU413" s="7" t="str">
        <f t="shared" si="198"/>
        <v/>
      </c>
      <c r="AV413" s="7" t="str">
        <f t="shared" si="199"/>
        <v/>
      </c>
      <c r="AW413" s="7" t="str">
        <f t="shared" si="200"/>
        <v/>
      </c>
      <c r="AX413" s="97"/>
      <c r="BD413" s="467" t="s">
        <v>2543</v>
      </c>
      <c r="CG413"/>
      <c r="CH413"/>
      <c r="CK413" s="592" t="str">
        <f t="shared" si="208"/>
        <v/>
      </c>
      <c r="CL413" s="421" t="str">
        <f t="shared" si="209"/>
        <v/>
      </c>
      <c r="CM413" s="594"/>
      <c r="CN413" s="594"/>
      <c r="CO413" s="594"/>
      <c r="CP413" s="594"/>
      <c r="CQ413" s="594"/>
      <c r="CR413" s="594"/>
    </row>
    <row r="414" spans="1:96" s="13" customFormat="1" ht="13.75" customHeight="1">
      <c r="A414" s="137">
        <v>399</v>
      </c>
      <c r="B414" s="138"/>
      <c r="C414" s="139"/>
      <c r="D414" s="140"/>
      <c r="E414" s="139"/>
      <c r="F414" s="139"/>
      <c r="G414" s="191"/>
      <c r="H414" s="139"/>
      <c r="I414" s="141"/>
      <c r="J414" s="142"/>
      <c r="K414" s="139"/>
      <c r="L414" s="147"/>
      <c r="M414" s="148"/>
      <c r="N414" s="139"/>
      <c r="O414" s="589"/>
      <c r="P414" s="229" t="str">
        <f t="shared" si="201"/>
        <v/>
      </c>
      <c r="Q414" s="229" t="str">
        <f t="shared" si="202"/>
        <v/>
      </c>
      <c r="R414" s="230" t="str">
        <f t="shared" si="203"/>
        <v/>
      </c>
      <c r="S414" s="230" t="str">
        <f t="shared" si="204"/>
        <v/>
      </c>
      <c r="T414" s="351"/>
      <c r="U414" s="43"/>
      <c r="V414" s="42" t="str">
        <f t="shared" si="180"/>
        <v/>
      </c>
      <c r="W414" s="42" t="e">
        <f>IF(#REF!="","",#REF!)</f>
        <v>#REF!</v>
      </c>
      <c r="X414" s="31" t="str">
        <f t="shared" si="181"/>
        <v/>
      </c>
      <c r="Y414" s="7" t="e">
        <f t="shared" si="182"/>
        <v>#N/A</v>
      </c>
      <c r="Z414" s="7" t="e">
        <f t="shared" si="183"/>
        <v>#N/A</v>
      </c>
      <c r="AA414" s="7" t="e">
        <f t="shared" si="184"/>
        <v>#N/A</v>
      </c>
      <c r="AB414" s="7" t="str">
        <f t="shared" si="185"/>
        <v/>
      </c>
      <c r="AC414" s="11">
        <f t="shared" si="186"/>
        <v>1</v>
      </c>
      <c r="AD414" s="7" t="e">
        <f t="shared" si="187"/>
        <v>#N/A</v>
      </c>
      <c r="AE414" s="7" t="e">
        <f t="shared" si="188"/>
        <v>#N/A</v>
      </c>
      <c r="AF414" s="7" t="e">
        <f t="shared" si="189"/>
        <v>#N/A</v>
      </c>
      <c r="AG414" s="472" t="e">
        <f>VLOOKUP(AI414,'排出係数(2017)'!$A$4:$I$1151,9,FALSE)</f>
        <v>#N/A</v>
      </c>
      <c r="AH414" s="12" t="str">
        <f t="shared" si="190"/>
        <v xml:space="preserve"> </v>
      </c>
      <c r="AI414" s="7" t="e">
        <f t="shared" si="205"/>
        <v>#N/A</v>
      </c>
      <c r="AJ414" s="7" t="e">
        <f t="shared" si="191"/>
        <v>#N/A</v>
      </c>
      <c r="AK414" s="472" t="e">
        <f>VLOOKUP(AI414,'排出係数(2017)'!$A$4:$I$1151,6,FALSE)</f>
        <v>#N/A</v>
      </c>
      <c r="AL414" s="7" t="e">
        <f t="shared" si="192"/>
        <v>#N/A</v>
      </c>
      <c r="AM414" s="7" t="e">
        <f t="shared" si="193"/>
        <v>#N/A</v>
      </c>
      <c r="AN414" s="472" t="e">
        <f>VLOOKUP(AI414,'排出係数(2017)'!$A$4:$I$1151,7,FALSE)</f>
        <v>#N/A</v>
      </c>
      <c r="AO414" s="7" t="e">
        <f t="shared" si="194"/>
        <v>#N/A</v>
      </c>
      <c r="AP414" s="7" t="e">
        <f t="shared" si="195"/>
        <v>#N/A</v>
      </c>
      <c r="AQ414" s="7" t="e">
        <f t="shared" si="206"/>
        <v>#N/A</v>
      </c>
      <c r="AR414" s="7">
        <f t="shared" si="196"/>
        <v>0</v>
      </c>
      <c r="AS414" s="7" t="e">
        <f t="shared" si="207"/>
        <v>#N/A</v>
      </c>
      <c r="AT414" s="7" t="str">
        <f t="shared" si="197"/>
        <v/>
      </c>
      <c r="AU414" s="7" t="str">
        <f t="shared" si="198"/>
        <v/>
      </c>
      <c r="AV414" s="7" t="str">
        <f t="shared" si="199"/>
        <v/>
      </c>
      <c r="AW414" s="7" t="str">
        <f t="shared" si="200"/>
        <v/>
      </c>
      <c r="AX414" s="97"/>
      <c r="BD414" s="453" t="s">
        <v>1654</v>
      </c>
      <c r="CG414"/>
      <c r="CH414"/>
      <c r="CK414" s="592" t="str">
        <f t="shared" si="208"/>
        <v/>
      </c>
      <c r="CL414" s="421" t="str">
        <f t="shared" si="209"/>
        <v/>
      </c>
      <c r="CM414" s="594"/>
      <c r="CN414" s="594"/>
      <c r="CO414" s="594"/>
      <c r="CP414" s="594"/>
      <c r="CQ414" s="594"/>
      <c r="CR414" s="594"/>
    </row>
    <row r="415" spans="1:96" s="13" customFormat="1" ht="13.75" customHeight="1">
      <c r="A415" s="137">
        <v>400</v>
      </c>
      <c r="B415" s="138"/>
      <c r="C415" s="139"/>
      <c r="D415" s="140"/>
      <c r="E415" s="139"/>
      <c r="F415" s="139"/>
      <c r="G415" s="191"/>
      <c r="H415" s="139"/>
      <c r="I415" s="141"/>
      <c r="J415" s="142"/>
      <c r="K415" s="139"/>
      <c r="L415" s="147"/>
      <c r="M415" s="148"/>
      <c r="N415" s="139"/>
      <c r="O415" s="589"/>
      <c r="P415" s="229" t="str">
        <f t="shared" si="201"/>
        <v/>
      </c>
      <c r="Q415" s="229" t="str">
        <f t="shared" si="202"/>
        <v/>
      </c>
      <c r="R415" s="230" t="str">
        <f t="shared" si="203"/>
        <v/>
      </c>
      <c r="S415" s="230" t="str">
        <f t="shared" si="204"/>
        <v/>
      </c>
      <c r="T415" s="351"/>
      <c r="U415" s="43"/>
      <c r="V415" s="42" t="str">
        <f t="shared" si="180"/>
        <v/>
      </c>
      <c r="W415" s="42" t="e">
        <f>IF(#REF!="","",#REF!)</f>
        <v>#REF!</v>
      </c>
      <c r="X415" s="31" t="str">
        <f t="shared" si="181"/>
        <v/>
      </c>
      <c r="Y415" s="7" t="e">
        <f t="shared" si="182"/>
        <v>#N/A</v>
      </c>
      <c r="Z415" s="7" t="e">
        <f t="shared" si="183"/>
        <v>#N/A</v>
      </c>
      <c r="AA415" s="7" t="e">
        <f t="shared" si="184"/>
        <v>#N/A</v>
      </c>
      <c r="AB415" s="7" t="str">
        <f t="shared" si="185"/>
        <v/>
      </c>
      <c r="AC415" s="11">
        <f t="shared" si="186"/>
        <v>1</v>
      </c>
      <c r="AD415" s="7" t="e">
        <f t="shared" si="187"/>
        <v>#N/A</v>
      </c>
      <c r="AE415" s="7" t="e">
        <f t="shared" si="188"/>
        <v>#N/A</v>
      </c>
      <c r="AF415" s="7" t="e">
        <f t="shared" si="189"/>
        <v>#N/A</v>
      </c>
      <c r="AG415" s="472" t="e">
        <f>VLOOKUP(AI415,'排出係数(2017)'!$A$4:$I$1151,9,FALSE)</f>
        <v>#N/A</v>
      </c>
      <c r="AH415" s="12" t="str">
        <f t="shared" si="190"/>
        <v xml:space="preserve"> </v>
      </c>
      <c r="AI415" s="7" t="e">
        <f t="shared" si="205"/>
        <v>#N/A</v>
      </c>
      <c r="AJ415" s="7" t="e">
        <f t="shared" si="191"/>
        <v>#N/A</v>
      </c>
      <c r="AK415" s="472" t="e">
        <f>VLOOKUP(AI415,'排出係数(2017)'!$A$4:$I$1151,6,FALSE)</f>
        <v>#N/A</v>
      </c>
      <c r="AL415" s="7" t="e">
        <f t="shared" si="192"/>
        <v>#N/A</v>
      </c>
      <c r="AM415" s="7" t="e">
        <f t="shared" si="193"/>
        <v>#N/A</v>
      </c>
      <c r="AN415" s="472" t="e">
        <f>VLOOKUP(AI415,'排出係数(2017)'!$A$4:$I$1151,7,FALSE)</f>
        <v>#N/A</v>
      </c>
      <c r="AO415" s="7" t="e">
        <f t="shared" si="194"/>
        <v>#N/A</v>
      </c>
      <c r="AP415" s="7" t="e">
        <f t="shared" si="195"/>
        <v>#N/A</v>
      </c>
      <c r="AQ415" s="7" t="e">
        <f t="shared" si="206"/>
        <v>#N/A</v>
      </c>
      <c r="AR415" s="7">
        <f t="shared" si="196"/>
        <v>0</v>
      </c>
      <c r="AS415" s="7" t="e">
        <f t="shared" si="207"/>
        <v>#N/A</v>
      </c>
      <c r="AT415" s="7" t="str">
        <f t="shared" si="197"/>
        <v/>
      </c>
      <c r="AU415" s="7" t="str">
        <f t="shared" si="198"/>
        <v/>
      </c>
      <c r="AV415" s="7" t="str">
        <f t="shared" si="199"/>
        <v/>
      </c>
      <c r="AW415" s="7" t="str">
        <f t="shared" si="200"/>
        <v/>
      </c>
      <c r="AX415" s="97"/>
      <c r="BD415" s="467" t="s">
        <v>2544</v>
      </c>
      <c r="CG415"/>
      <c r="CH415"/>
      <c r="CK415" s="592" t="str">
        <f t="shared" si="208"/>
        <v/>
      </c>
      <c r="CL415" s="421" t="str">
        <f t="shared" si="209"/>
        <v/>
      </c>
      <c r="CM415" s="594"/>
      <c r="CN415" s="594"/>
      <c r="CO415" s="594"/>
      <c r="CP415" s="594"/>
      <c r="CQ415" s="594"/>
      <c r="CR415" s="594"/>
    </row>
    <row r="416" spans="1:96" s="13" customFormat="1" ht="13.75" customHeight="1">
      <c r="A416" s="137">
        <v>401</v>
      </c>
      <c r="B416" s="138"/>
      <c r="C416" s="139"/>
      <c r="D416" s="140"/>
      <c r="E416" s="139"/>
      <c r="F416" s="139"/>
      <c r="G416" s="191"/>
      <c r="H416" s="139"/>
      <c r="I416" s="141"/>
      <c r="J416" s="142"/>
      <c r="K416" s="139"/>
      <c r="L416" s="147"/>
      <c r="M416" s="148"/>
      <c r="N416" s="139"/>
      <c r="O416" s="589"/>
      <c r="P416" s="229" t="str">
        <f t="shared" si="201"/>
        <v/>
      </c>
      <c r="Q416" s="229" t="str">
        <f t="shared" si="202"/>
        <v/>
      </c>
      <c r="R416" s="230" t="str">
        <f t="shared" si="203"/>
        <v/>
      </c>
      <c r="S416" s="230" t="str">
        <f t="shared" si="204"/>
        <v/>
      </c>
      <c r="T416" s="351"/>
      <c r="U416" s="43"/>
      <c r="V416" s="42" t="str">
        <f t="shared" si="180"/>
        <v/>
      </c>
      <c r="W416" s="42" t="e">
        <f>IF(#REF!="","",#REF!)</f>
        <v>#REF!</v>
      </c>
      <c r="X416" s="31" t="str">
        <f t="shared" si="181"/>
        <v/>
      </c>
      <c r="Y416" s="7" t="e">
        <f t="shared" si="182"/>
        <v>#N/A</v>
      </c>
      <c r="Z416" s="7" t="e">
        <f t="shared" si="183"/>
        <v>#N/A</v>
      </c>
      <c r="AA416" s="7" t="e">
        <f t="shared" si="184"/>
        <v>#N/A</v>
      </c>
      <c r="AB416" s="7" t="str">
        <f t="shared" si="185"/>
        <v/>
      </c>
      <c r="AC416" s="11">
        <f t="shared" si="186"/>
        <v>1</v>
      </c>
      <c r="AD416" s="7" t="e">
        <f t="shared" si="187"/>
        <v>#N/A</v>
      </c>
      <c r="AE416" s="7" t="e">
        <f t="shared" si="188"/>
        <v>#N/A</v>
      </c>
      <c r="AF416" s="7" t="e">
        <f t="shared" si="189"/>
        <v>#N/A</v>
      </c>
      <c r="AG416" s="472" t="e">
        <f>VLOOKUP(AI416,'排出係数(2017)'!$A$4:$I$1151,9,FALSE)</f>
        <v>#N/A</v>
      </c>
      <c r="AH416" s="12" t="str">
        <f t="shared" si="190"/>
        <v xml:space="preserve"> </v>
      </c>
      <c r="AI416" s="7" t="e">
        <f t="shared" si="205"/>
        <v>#N/A</v>
      </c>
      <c r="AJ416" s="7" t="e">
        <f t="shared" si="191"/>
        <v>#N/A</v>
      </c>
      <c r="AK416" s="472" t="e">
        <f>VLOOKUP(AI416,'排出係数(2017)'!$A$4:$I$1151,6,FALSE)</f>
        <v>#N/A</v>
      </c>
      <c r="AL416" s="7" t="e">
        <f t="shared" si="192"/>
        <v>#N/A</v>
      </c>
      <c r="AM416" s="7" t="e">
        <f t="shared" si="193"/>
        <v>#N/A</v>
      </c>
      <c r="AN416" s="472" t="e">
        <f>VLOOKUP(AI416,'排出係数(2017)'!$A$4:$I$1151,7,FALSE)</f>
        <v>#N/A</v>
      </c>
      <c r="AO416" s="7" t="e">
        <f t="shared" si="194"/>
        <v>#N/A</v>
      </c>
      <c r="AP416" s="7" t="e">
        <f t="shared" si="195"/>
        <v>#N/A</v>
      </c>
      <c r="AQ416" s="7" t="e">
        <f t="shared" si="206"/>
        <v>#N/A</v>
      </c>
      <c r="AR416" s="7">
        <f t="shared" si="196"/>
        <v>0</v>
      </c>
      <c r="AS416" s="7" t="e">
        <f t="shared" si="207"/>
        <v>#N/A</v>
      </c>
      <c r="AT416" s="7" t="str">
        <f t="shared" si="197"/>
        <v/>
      </c>
      <c r="AU416" s="7" t="str">
        <f t="shared" si="198"/>
        <v/>
      </c>
      <c r="AV416" s="7" t="str">
        <f t="shared" si="199"/>
        <v/>
      </c>
      <c r="AW416" s="7" t="str">
        <f t="shared" si="200"/>
        <v/>
      </c>
      <c r="AX416" s="97"/>
      <c r="BD416" s="467" t="s">
        <v>2545</v>
      </c>
      <c r="CG416"/>
      <c r="CH416"/>
      <c r="CK416" s="592" t="str">
        <f t="shared" si="208"/>
        <v/>
      </c>
      <c r="CL416" s="421" t="str">
        <f t="shared" si="209"/>
        <v/>
      </c>
      <c r="CM416" s="594"/>
      <c r="CN416" s="594"/>
      <c r="CO416" s="594"/>
      <c r="CP416" s="594"/>
      <c r="CQ416" s="594"/>
      <c r="CR416" s="594"/>
    </row>
    <row r="417" spans="1:96" s="13" customFormat="1" ht="13.75" customHeight="1">
      <c r="A417" s="137">
        <v>402</v>
      </c>
      <c r="B417" s="138"/>
      <c r="C417" s="139"/>
      <c r="D417" s="140"/>
      <c r="E417" s="139"/>
      <c r="F417" s="139"/>
      <c r="G417" s="191"/>
      <c r="H417" s="139"/>
      <c r="I417" s="141"/>
      <c r="J417" s="142"/>
      <c r="K417" s="139"/>
      <c r="L417" s="147"/>
      <c r="M417" s="148"/>
      <c r="N417" s="139"/>
      <c r="O417" s="589"/>
      <c r="P417" s="229" t="str">
        <f t="shared" si="201"/>
        <v/>
      </c>
      <c r="Q417" s="229" t="str">
        <f t="shared" si="202"/>
        <v/>
      </c>
      <c r="R417" s="230" t="str">
        <f t="shared" si="203"/>
        <v/>
      </c>
      <c r="S417" s="230" t="str">
        <f t="shared" si="204"/>
        <v/>
      </c>
      <c r="T417" s="351"/>
      <c r="U417" s="43"/>
      <c r="V417" s="42" t="str">
        <f t="shared" si="180"/>
        <v/>
      </c>
      <c r="W417" s="42" t="e">
        <f>IF(#REF!="","",#REF!)</f>
        <v>#REF!</v>
      </c>
      <c r="X417" s="31" t="str">
        <f t="shared" si="181"/>
        <v/>
      </c>
      <c r="Y417" s="7" t="e">
        <f t="shared" si="182"/>
        <v>#N/A</v>
      </c>
      <c r="Z417" s="7" t="e">
        <f t="shared" si="183"/>
        <v>#N/A</v>
      </c>
      <c r="AA417" s="7" t="e">
        <f t="shared" si="184"/>
        <v>#N/A</v>
      </c>
      <c r="AB417" s="7" t="str">
        <f t="shared" si="185"/>
        <v/>
      </c>
      <c r="AC417" s="11">
        <f t="shared" si="186"/>
        <v>1</v>
      </c>
      <c r="AD417" s="7" t="e">
        <f t="shared" si="187"/>
        <v>#N/A</v>
      </c>
      <c r="AE417" s="7" t="e">
        <f t="shared" si="188"/>
        <v>#N/A</v>
      </c>
      <c r="AF417" s="7" t="e">
        <f t="shared" si="189"/>
        <v>#N/A</v>
      </c>
      <c r="AG417" s="472" t="e">
        <f>VLOOKUP(AI417,'排出係数(2017)'!$A$4:$I$1151,9,FALSE)</f>
        <v>#N/A</v>
      </c>
      <c r="AH417" s="12" t="str">
        <f t="shared" si="190"/>
        <v xml:space="preserve"> </v>
      </c>
      <c r="AI417" s="7" t="e">
        <f t="shared" si="205"/>
        <v>#N/A</v>
      </c>
      <c r="AJ417" s="7" t="e">
        <f t="shared" si="191"/>
        <v>#N/A</v>
      </c>
      <c r="AK417" s="472" t="e">
        <f>VLOOKUP(AI417,'排出係数(2017)'!$A$4:$I$1151,6,FALSE)</f>
        <v>#N/A</v>
      </c>
      <c r="AL417" s="7" t="e">
        <f t="shared" si="192"/>
        <v>#N/A</v>
      </c>
      <c r="AM417" s="7" t="e">
        <f t="shared" si="193"/>
        <v>#N/A</v>
      </c>
      <c r="AN417" s="472" t="e">
        <f>VLOOKUP(AI417,'排出係数(2017)'!$A$4:$I$1151,7,FALSE)</f>
        <v>#N/A</v>
      </c>
      <c r="AO417" s="7" t="e">
        <f t="shared" si="194"/>
        <v>#N/A</v>
      </c>
      <c r="AP417" s="7" t="e">
        <f t="shared" si="195"/>
        <v>#N/A</v>
      </c>
      <c r="AQ417" s="7" t="e">
        <f t="shared" si="206"/>
        <v>#N/A</v>
      </c>
      <c r="AR417" s="7">
        <f t="shared" si="196"/>
        <v>0</v>
      </c>
      <c r="AS417" s="7" t="e">
        <f t="shared" si="207"/>
        <v>#N/A</v>
      </c>
      <c r="AT417" s="7" t="str">
        <f t="shared" si="197"/>
        <v/>
      </c>
      <c r="AU417" s="7" t="str">
        <f t="shared" si="198"/>
        <v/>
      </c>
      <c r="AV417" s="7" t="str">
        <f t="shared" si="199"/>
        <v/>
      </c>
      <c r="AW417" s="7" t="str">
        <f t="shared" si="200"/>
        <v/>
      </c>
      <c r="AX417" s="97"/>
      <c r="BD417" s="473" t="s">
        <v>2546</v>
      </c>
      <c r="CG417"/>
      <c r="CH417"/>
      <c r="CK417" s="592" t="str">
        <f t="shared" si="208"/>
        <v/>
      </c>
      <c r="CL417" s="421" t="str">
        <f t="shared" si="209"/>
        <v/>
      </c>
      <c r="CM417" s="594"/>
      <c r="CN417" s="594"/>
      <c r="CO417" s="594"/>
      <c r="CP417" s="594"/>
      <c r="CQ417" s="594"/>
      <c r="CR417" s="594"/>
    </row>
    <row r="418" spans="1:96" s="13" customFormat="1" ht="13.75" customHeight="1">
      <c r="A418" s="137">
        <v>403</v>
      </c>
      <c r="B418" s="138"/>
      <c r="C418" s="139"/>
      <c r="D418" s="140"/>
      <c r="E418" s="139"/>
      <c r="F418" s="139"/>
      <c r="G418" s="191"/>
      <c r="H418" s="139"/>
      <c r="I418" s="141"/>
      <c r="J418" s="142"/>
      <c r="K418" s="139"/>
      <c r="L418" s="147"/>
      <c r="M418" s="148"/>
      <c r="N418" s="139"/>
      <c r="O418" s="589"/>
      <c r="P418" s="229" t="str">
        <f t="shared" si="201"/>
        <v/>
      </c>
      <c r="Q418" s="229" t="str">
        <f t="shared" si="202"/>
        <v/>
      </c>
      <c r="R418" s="230" t="str">
        <f t="shared" si="203"/>
        <v/>
      </c>
      <c r="S418" s="230" t="str">
        <f t="shared" si="204"/>
        <v/>
      </c>
      <c r="T418" s="351"/>
      <c r="U418" s="43"/>
      <c r="V418" s="42" t="str">
        <f t="shared" si="180"/>
        <v/>
      </c>
      <c r="W418" s="42" t="e">
        <f>IF(#REF!="","",#REF!)</f>
        <v>#REF!</v>
      </c>
      <c r="X418" s="31" t="str">
        <f t="shared" si="181"/>
        <v/>
      </c>
      <c r="Y418" s="7" t="e">
        <f t="shared" si="182"/>
        <v>#N/A</v>
      </c>
      <c r="Z418" s="7" t="e">
        <f t="shared" si="183"/>
        <v>#N/A</v>
      </c>
      <c r="AA418" s="7" t="e">
        <f t="shared" si="184"/>
        <v>#N/A</v>
      </c>
      <c r="AB418" s="7" t="str">
        <f t="shared" si="185"/>
        <v/>
      </c>
      <c r="AC418" s="11">
        <f t="shared" si="186"/>
        <v>1</v>
      </c>
      <c r="AD418" s="7" t="e">
        <f t="shared" si="187"/>
        <v>#N/A</v>
      </c>
      <c r="AE418" s="7" t="e">
        <f t="shared" si="188"/>
        <v>#N/A</v>
      </c>
      <c r="AF418" s="7" t="e">
        <f t="shared" si="189"/>
        <v>#N/A</v>
      </c>
      <c r="AG418" s="472" t="e">
        <f>VLOOKUP(AI418,'排出係数(2017)'!$A$4:$I$1151,9,FALSE)</f>
        <v>#N/A</v>
      </c>
      <c r="AH418" s="12" t="str">
        <f t="shared" si="190"/>
        <v xml:space="preserve"> </v>
      </c>
      <c r="AI418" s="7" t="e">
        <f t="shared" si="205"/>
        <v>#N/A</v>
      </c>
      <c r="AJ418" s="7" t="e">
        <f t="shared" si="191"/>
        <v>#N/A</v>
      </c>
      <c r="AK418" s="472" t="e">
        <f>VLOOKUP(AI418,'排出係数(2017)'!$A$4:$I$1151,6,FALSE)</f>
        <v>#N/A</v>
      </c>
      <c r="AL418" s="7" t="e">
        <f t="shared" si="192"/>
        <v>#N/A</v>
      </c>
      <c r="AM418" s="7" t="e">
        <f t="shared" si="193"/>
        <v>#N/A</v>
      </c>
      <c r="AN418" s="472" t="e">
        <f>VLOOKUP(AI418,'排出係数(2017)'!$A$4:$I$1151,7,FALSE)</f>
        <v>#N/A</v>
      </c>
      <c r="AO418" s="7" t="e">
        <f t="shared" si="194"/>
        <v>#N/A</v>
      </c>
      <c r="AP418" s="7" t="e">
        <f t="shared" si="195"/>
        <v>#N/A</v>
      </c>
      <c r="AQ418" s="7" t="e">
        <f t="shared" si="206"/>
        <v>#N/A</v>
      </c>
      <c r="AR418" s="7">
        <f t="shared" si="196"/>
        <v>0</v>
      </c>
      <c r="AS418" s="7" t="e">
        <f t="shared" si="207"/>
        <v>#N/A</v>
      </c>
      <c r="AT418" s="7" t="str">
        <f t="shared" si="197"/>
        <v/>
      </c>
      <c r="AU418" s="7" t="str">
        <f t="shared" si="198"/>
        <v/>
      </c>
      <c r="AV418" s="7" t="str">
        <f t="shared" si="199"/>
        <v/>
      </c>
      <c r="AW418" s="7" t="str">
        <f t="shared" si="200"/>
        <v/>
      </c>
      <c r="AX418" s="97"/>
      <c r="BD418" s="453" t="s">
        <v>2365</v>
      </c>
      <c r="CG418"/>
      <c r="CH418"/>
      <c r="CK418" s="592" t="str">
        <f t="shared" si="208"/>
        <v/>
      </c>
      <c r="CL418" s="421" t="str">
        <f t="shared" si="209"/>
        <v/>
      </c>
      <c r="CM418" s="594"/>
      <c r="CN418" s="594"/>
      <c r="CO418" s="594"/>
      <c r="CP418" s="594"/>
      <c r="CQ418" s="594"/>
      <c r="CR418" s="594"/>
    </row>
    <row r="419" spans="1:96" s="13" customFormat="1" ht="13.75" customHeight="1">
      <c r="A419" s="137">
        <v>404</v>
      </c>
      <c r="B419" s="138"/>
      <c r="C419" s="139"/>
      <c r="D419" s="140"/>
      <c r="E419" s="139"/>
      <c r="F419" s="139"/>
      <c r="G419" s="191"/>
      <c r="H419" s="139"/>
      <c r="I419" s="141"/>
      <c r="J419" s="142"/>
      <c r="K419" s="139"/>
      <c r="L419" s="147"/>
      <c r="M419" s="148"/>
      <c r="N419" s="139"/>
      <c r="O419" s="589"/>
      <c r="P419" s="229" t="str">
        <f t="shared" si="201"/>
        <v/>
      </c>
      <c r="Q419" s="229" t="str">
        <f t="shared" si="202"/>
        <v/>
      </c>
      <c r="R419" s="230" t="str">
        <f t="shared" si="203"/>
        <v/>
      </c>
      <c r="S419" s="230" t="str">
        <f t="shared" si="204"/>
        <v/>
      </c>
      <c r="T419" s="351"/>
      <c r="U419" s="43"/>
      <c r="V419" s="42" t="str">
        <f t="shared" si="180"/>
        <v/>
      </c>
      <c r="W419" s="42" t="e">
        <f>IF(#REF!="","",#REF!)</f>
        <v>#REF!</v>
      </c>
      <c r="X419" s="31" t="str">
        <f t="shared" si="181"/>
        <v/>
      </c>
      <c r="Y419" s="7" t="e">
        <f t="shared" si="182"/>
        <v>#N/A</v>
      </c>
      <c r="Z419" s="7" t="e">
        <f t="shared" si="183"/>
        <v>#N/A</v>
      </c>
      <c r="AA419" s="7" t="e">
        <f t="shared" si="184"/>
        <v>#N/A</v>
      </c>
      <c r="AB419" s="7" t="str">
        <f t="shared" si="185"/>
        <v/>
      </c>
      <c r="AC419" s="11">
        <f t="shared" si="186"/>
        <v>1</v>
      </c>
      <c r="AD419" s="7" t="e">
        <f t="shared" si="187"/>
        <v>#N/A</v>
      </c>
      <c r="AE419" s="7" t="e">
        <f t="shared" si="188"/>
        <v>#N/A</v>
      </c>
      <c r="AF419" s="7" t="e">
        <f t="shared" si="189"/>
        <v>#N/A</v>
      </c>
      <c r="AG419" s="472" t="e">
        <f>VLOOKUP(AI419,'排出係数(2017)'!$A$4:$I$1151,9,FALSE)</f>
        <v>#N/A</v>
      </c>
      <c r="AH419" s="12" t="str">
        <f t="shared" si="190"/>
        <v xml:space="preserve"> </v>
      </c>
      <c r="AI419" s="7" t="e">
        <f t="shared" si="205"/>
        <v>#N/A</v>
      </c>
      <c r="AJ419" s="7" t="e">
        <f t="shared" si="191"/>
        <v>#N/A</v>
      </c>
      <c r="AK419" s="472" t="e">
        <f>VLOOKUP(AI419,'排出係数(2017)'!$A$4:$I$1151,6,FALSE)</f>
        <v>#N/A</v>
      </c>
      <c r="AL419" s="7" t="e">
        <f t="shared" si="192"/>
        <v>#N/A</v>
      </c>
      <c r="AM419" s="7" t="e">
        <f t="shared" si="193"/>
        <v>#N/A</v>
      </c>
      <c r="AN419" s="472" t="e">
        <f>VLOOKUP(AI419,'排出係数(2017)'!$A$4:$I$1151,7,FALSE)</f>
        <v>#N/A</v>
      </c>
      <c r="AO419" s="7" t="e">
        <f t="shared" si="194"/>
        <v>#N/A</v>
      </c>
      <c r="AP419" s="7" t="e">
        <f t="shared" si="195"/>
        <v>#N/A</v>
      </c>
      <c r="AQ419" s="7" t="e">
        <f t="shared" si="206"/>
        <v>#N/A</v>
      </c>
      <c r="AR419" s="7">
        <f t="shared" si="196"/>
        <v>0</v>
      </c>
      <c r="AS419" s="7" t="e">
        <f t="shared" si="207"/>
        <v>#N/A</v>
      </c>
      <c r="AT419" s="7" t="str">
        <f t="shared" si="197"/>
        <v/>
      </c>
      <c r="AU419" s="7" t="str">
        <f t="shared" si="198"/>
        <v/>
      </c>
      <c r="AV419" s="7" t="str">
        <f t="shared" si="199"/>
        <v/>
      </c>
      <c r="AW419" s="7" t="str">
        <f t="shared" si="200"/>
        <v/>
      </c>
      <c r="AX419" s="97"/>
      <c r="BD419" s="453" t="s">
        <v>2361</v>
      </c>
      <c r="CG419"/>
      <c r="CH419"/>
      <c r="CK419" s="592" t="str">
        <f t="shared" si="208"/>
        <v/>
      </c>
      <c r="CL419" s="421" t="str">
        <f t="shared" si="209"/>
        <v/>
      </c>
      <c r="CM419" s="594"/>
      <c r="CN419" s="594"/>
      <c r="CO419" s="594"/>
      <c r="CP419" s="594"/>
      <c r="CQ419" s="594"/>
      <c r="CR419" s="594"/>
    </row>
    <row r="420" spans="1:96" s="13" customFormat="1" ht="13.75" customHeight="1">
      <c r="A420" s="137">
        <v>405</v>
      </c>
      <c r="B420" s="138"/>
      <c r="C420" s="139"/>
      <c r="D420" s="140"/>
      <c r="E420" s="139"/>
      <c r="F420" s="139"/>
      <c r="G420" s="191"/>
      <c r="H420" s="139"/>
      <c r="I420" s="141"/>
      <c r="J420" s="142"/>
      <c r="K420" s="139"/>
      <c r="L420" s="147"/>
      <c r="M420" s="148"/>
      <c r="N420" s="139"/>
      <c r="O420" s="589"/>
      <c r="P420" s="229" t="str">
        <f t="shared" si="201"/>
        <v/>
      </c>
      <c r="Q420" s="229" t="str">
        <f t="shared" si="202"/>
        <v/>
      </c>
      <c r="R420" s="230" t="str">
        <f t="shared" si="203"/>
        <v/>
      </c>
      <c r="S420" s="230" t="str">
        <f t="shared" si="204"/>
        <v/>
      </c>
      <c r="T420" s="351"/>
      <c r="U420" s="43"/>
      <c r="V420" s="42" t="str">
        <f t="shared" si="180"/>
        <v/>
      </c>
      <c r="W420" s="42" t="e">
        <f>IF(#REF!="","",#REF!)</f>
        <v>#REF!</v>
      </c>
      <c r="X420" s="31" t="str">
        <f t="shared" si="181"/>
        <v/>
      </c>
      <c r="Y420" s="7" t="e">
        <f t="shared" si="182"/>
        <v>#N/A</v>
      </c>
      <c r="Z420" s="7" t="e">
        <f t="shared" si="183"/>
        <v>#N/A</v>
      </c>
      <c r="AA420" s="7" t="e">
        <f t="shared" si="184"/>
        <v>#N/A</v>
      </c>
      <c r="AB420" s="7" t="str">
        <f t="shared" si="185"/>
        <v/>
      </c>
      <c r="AC420" s="11">
        <f t="shared" si="186"/>
        <v>1</v>
      </c>
      <c r="AD420" s="7" t="e">
        <f t="shared" si="187"/>
        <v>#N/A</v>
      </c>
      <c r="AE420" s="7" t="e">
        <f t="shared" si="188"/>
        <v>#N/A</v>
      </c>
      <c r="AF420" s="7" t="e">
        <f t="shared" si="189"/>
        <v>#N/A</v>
      </c>
      <c r="AG420" s="472" t="e">
        <f>VLOOKUP(AI420,'排出係数(2017)'!$A$4:$I$1151,9,FALSE)</f>
        <v>#N/A</v>
      </c>
      <c r="AH420" s="12" t="str">
        <f t="shared" si="190"/>
        <v xml:space="preserve"> </v>
      </c>
      <c r="AI420" s="7" t="e">
        <f t="shared" si="205"/>
        <v>#N/A</v>
      </c>
      <c r="AJ420" s="7" t="e">
        <f t="shared" si="191"/>
        <v>#N/A</v>
      </c>
      <c r="AK420" s="472" t="e">
        <f>VLOOKUP(AI420,'排出係数(2017)'!$A$4:$I$1151,6,FALSE)</f>
        <v>#N/A</v>
      </c>
      <c r="AL420" s="7" t="e">
        <f t="shared" si="192"/>
        <v>#N/A</v>
      </c>
      <c r="AM420" s="7" t="e">
        <f t="shared" si="193"/>
        <v>#N/A</v>
      </c>
      <c r="AN420" s="472" t="e">
        <f>VLOOKUP(AI420,'排出係数(2017)'!$A$4:$I$1151,7,FALSE)</f>
        <v>#N/A</v>
      </c>
      <c r="AO420" s="7" t="e">
        <f t="shared" si="194"/>
        <v>#N/A</v>
      </c>
      <c r="AP420" s="7" t="e">
        <f t="shared" si="195"/>
        <v>#N/A</v>
      </c>
      <c r="AQ420" s="7" t="e">
        <f t="shared" si="206"/>
        <v>#N/A</v>
      </c>
      <c r="AR420" s="7">
        <f t="shared" si="196"/>
        <v>0</v>
      </c>
      <c r="AS420" s="7" t="e">
        <f t="shared" si="207"/>
        <v>#N/A</v>
      </c>
      <c r="AT420" s="7" t="str">
        <f t="shared" si="197"/>
        <v/>
      </c>
      <c r="AU420" s="7" t="str">
        <f t="shared" si="198"/>
        <v/>
      </c>
      <c r="AV420" s="7" t="str">
        <f t="shared" si="199"/>
        <v/>
      </c>
      <c r="AW420" s="7" t="str">
        <f t="shared" si="200"/>
        <v/>
      </c>
      <c r="AX420" s="97"/>
      <c r="BD420" s="473" t="s">
        <v>2366</v>
      </c>
      <c r="CG420"/>
      <c r="CH420"/>
      <c r="CK420" s="592" t="str">
        <f t="shared" si="208"/>
        <v/>
      </c>
      <c r="CL420" s="421" t="str">
        <f t="shared" si="209"/>
        <v/>
      </c>
      <c r="CM420" s="594"/>
      <c r="CN420" s="594"/>
      <c r="CO420" s="594"/>
      <c r="CP420" s="594"/>
      <c r="CQ420" s="594"/>
      <c r="CR420" s="594"/>
    </row>
    <row r="421" spans="1:96" s="13" customFormat="1" ht="13.75" customHeight="1">
      <c r="A421" s="137">
        <v>406</v>
      </c>
      <c r="B421" s="138"/>
      <c r="C421" s="139"/>
      <c r="D421" s="140"/>
      <c r="E421" s="139"/>
      <c r="F421" s="139"/>
      <c r="G421" s="191"/>
      <c r="H421" s="139"/>
      <c r="I421" s="141"/>
      <c r="J421" s="142"/>
      <c r="K421" s="139"/>
      <c r="L421" s="147"/>
      <c r="M421" s="148"/>
      <c r="N421" s="139"/>
      <c r="O421" s="589"/>
      <c r="P421" s="229" t="str">
        <f t="shared" si="201"/>
        <v/>
      </c>
      <c r="Q421" s="229" t="str">
        <f t="shared" si="202"/>
        <v/>
      </c>
      <c r="R421" s="230" t="str">
        <f t="shared" si="203"/>
        <v/>
      </c>
      <c r="S421" s="230" t="str">
        <f t="shared" si="204"/>
        <v/>
      </c>
      <c r="T421" s="351"/>
      <c r="U421" s="43"/>
      <c r="V421" s="42" t="str">
        <f t="shared" si="180"/>
        <v/>
      </c>
      <c r="W421" s="42" t="e">
        <f>IF(#REF!="","",#REF!)</f>
        <v>#REF!</v>
      </c>
      <c r="X421" s="31" t="str">
        <f t="shared" si="181"/>
        <v/>
      </c>
      <c r="Y421" s="7" t="e">
        <f t="shared" si="182"/>
        <v>#N/A</v>
      </c>
      <c r="Z421" s="7" t="e">
        <f t="shared" si="183"/>
        <v>#N/A</v>
      </c>
      <c r="AA421" s="7" t="e">
        <f t="shared" si="184"/>
        <v>#N/A</v>
      </c>
      <c r="AB421" s="7" t="str">
        <f t="shared" si="185"/>
        <v/>
      </c>
      <c r="AC421" s="11">
        <f t="shared" si="186"/>
        <v>1</v>
      </c>
      <c r="AD421" s="7" t="e">
        <f t="shared" si="187"/>
        <v>#N/A</v>
      </c>
      <c r="AE421" s="7" t="e">
        <f t="shared" si="188"/>
        <v>#N/A</v>
      </c>
      <c r="AF421" s="7" t="e">
        <f t="shared" si="189"/>
        <v>#N/A</v>
      </c>
      <c r="AG421" s="472" t="e">
        <f>VLOOKUP(AI421,'排出係数(2017)'!$A$4:$I$1151,9,FALSE)</f>
        <v>#N/A</v>
      </c>
      <c r="AH421" s="12" t="str">
        <f t="shared" si="190"/>
        <v xml:space="preserve"> </v>
      </c>
      <c r="AI421" s="7" t="e">
        <f t="shared" si="205"/>
        <v>#N/A</v>
      </c>
      <c r="AJ421" s="7" t="e">
        <f t="shared" si="191"/>
        <v>#N/A</v>
      </c>
      <c r="AK421" s="472" t="e">
        <f>VLOOKUP(AI421,'排出係数(2017)'!$A$4:$I$1151,6,FALSE)</f>
        <v>#N/A</v>
      </c>
      <c r="AL421" s="7" t="e">
        <f t="shared" si="192"/>
        <v>#N/A</v>
      </c>
      <c r="AM421" s="7" t="e">
        <f t="shared" si="193"/>
        <v>#N/A</v>
      </c>
      <c r="AN421" s="472" t="e">
        <f>VLOOKUP(AI421,'排出係数(2017)'!$A$4:$I$1151,7,FALSE)</f>
        <v>#N/A</v>
      </c>
      <c r="AO421" s="7" t="e">
        <f t="shared" si="194"/>
        <v>#N/A</v>
      </c>
      <c r="AP421" s="7" t="e">
        <f t="shared" si="195"/>
        <v>#N/A</v>
      </c>
      <c r="AQ421" s="7" t="e">
        <f t="shared" si="206"/>
        <v>#N/A</v>
      </c>
      <c r="AR421" s="7">
        <f t="shared" si="196"/>
        <v>0</v>
      </c>
      <c r="AS421" s="7" t="e">
        <f t="shared" si="207"/>
        <v>#N/A</v>
      </c>
      <c r="AT421" s="7" t="str">
        <f t="shared" si="197"/>
        <v/>
      </c>
      <c r="AU421" s="7" t="str">
        <f t="shared" si="198"/>
        <v/>
      </c>
      <c r="AV421" s="7" t="str">
        <f t="shared" si="199"/>
        <v/>
      </c>
      <c r="AW421" s="7" t="str">
        <f t="shared" si="200"/>
        <v/>
      </c>
      <c r="AX421" s="97"/>
      <c r="BD421" s="453" t="s">
        <v>2362</v>
      </c>
      <c r="CG421"/>
      <c r="CH421"/>
      <c r="CK421" s="592" t="str">
        <f t="shared" si="208"/>
        <v/>
      </c>
      <c r="CL421" s="421" t="str">
        <f t="shared" si="209"/>
        <v/>
      </c>
      <c r="CM421" s="594"/>
      <c r="CN421" s="594"/>
      <c r="CO421" s="594"/>
      <c r="CP421" s="594"/>
      <c r="CQ421" s="594"/>
      <c r="CR421" s="594"/>
    </row>
    <row r="422" spans="1:96" s="13" customFormat="1" ht="13.75" customHeight="1">
      <c r="A422" s="137">
        <v>407</v>
      </c>
      <c r="B422" s="138"/>
      <c r="C422" s="139"/>
      <c r="D422" s="140"/>
      <c r="E422" s="139"/>
      <c r="F422" s="139"/>
      <c r="G422" s="191"/>
      <c r="H422" s="139"/>
      <c r="I422" s="141"/>
      <c r="J422" s="142"/>
      <c r="K422" s="139"/>
      <c r="L422" s="147"/>
      <c r="M422" s="148"/>
      <c r="N422" s="139"/>
      <c r="O422" s="589"/>
      <c r="P422" s="229" t="str">
        <f t="shared" si="201"/>
        <v/>
      </c>
      <c r="Q422" s="229" t="str">
        <f t="shared" si="202"/>
        <v/>
      </c>
      <c r="R422" s="230" t="str">
        <f t="shared" si="203"/>
        <v/>
      </c>
      <c r="S422" s="230" t="str">
        <f t="shared" si="204"/>
        <v/>
      </c>
      <c r="T422" s="351"/>
      <c r="U422" s="43"/>
      <c r="V422" s="42" t="str">
        <f t="shared" si="180"/>
        <v/>
      </c>
      <c r="W422" s="42" t="e">
        <f>IF(#REF!="","",#REF!)</f>
        <v>#REF!</v>
      </c>
      <c r="X422" s="31" t="str">
        <f t="shared" si="181"/>
        <v/>
      </c>
      <c r="Y422" s="7" t="e">
        <f t="shared" si="182"/>
        <v>#N/A</v>
      </c>
      <c r="Z422" s="7" t="e">
        <f t="shared" si="183"/>
        <v>#N/A</v>
      </c>
      <c r="AA422" s="7" t="e">
        <f t="shared" si="184"/>
        <v>#N/A</v>
      </c>
      <c r="AB422" s="7" t="str">
        <f t="shared" si="185"/>
        <v/>
      </c>
      <c r="AC422" s="11">
        <f t="shared" si="186"/>
        <v>1</v>
      </c>
      <c r="AD422" s="7" t="e">
        <f t="shared" si="187"/>
        <v>#N/A</v>
      </c>
      <c r="AE422" s="7" t="e">
        <f t="shared" si="188"/>
        <v>#N/A</v>
      </c>
      <c r="AF422" s="7" t="e">
        <f t="shared" si="189"/>
        <v>#N/A</v>
      </c>
      <c r="AG422" s="472" t="e">
        <f>VLOOKUP(AI422,'排出係数(2017)'!$A$4:$I$1151,9,FALSE)</f>
        <v>#N/A</v>
      </c>
      <c r="AH422" s="12" t="str">
        <f t="shared" si="190"/>
        <v xml:space="preserve"> </v>
      </c>
      <c r="AI422" s="7" t="e">
        <f t="shared" si="205"/>
        <v>#N/A</v>
      </c>
      <c r="AJ422" s="7" t="e">
        <f t="shared" si="191"/>
        <v>#N/A</v>
      </c>
      <c r="AK422" s="472" t="e">
        <f>VLOOKUP(AI422,'排出係数(2017)'!$A$4:$I$1151,6,FALSE)</f>
        <v>#N/A</v>
      </c>
      <c r="AL422" s="7" t="e">
        <f t="shared" si="192"/>
        <v>#N/A</v>
      </c>
      <c r="AM422" s="7" t="e">
        <f t="shared" si="193"/>
        <v>#N/A</v>
      </c>
      <c r="AN422" s="472" t="e">
        <f>VLOOKUP(AI422,'排出係数(2017)'!$A$4:$I$1151,7,FALSE)</f>
        <v>#N/A</v>
      </c>
      <c r="AO422" s="7" t="e">
        <f t="shared" si="194"/>
        <v>#N/A</v>
      </c>
      <c r="AP422" s="7" t="e">
        <f t="shared" si="195"/>
        <v>#N/A</v>
      </c>
      <c r="AQ422" s="7" t="e">
        <f t="shared" si="206"/>
        <v>#N/A</v>
      </c>
      <c r="AR422" s="7">
        <f t="shared" si="196"/>
        <v>0</v>
      </c>
      <c r="AS422" s="7" t="e">
        <f t="shared" si="207"/>
        <v>#N/A</v>
      </c>
      <c r="AT422" s="7" t="str">
        <f t="shared" si="197"/>
        <v/>
      </c>
      <c r="AU422" s="7" t="str">
        <f t="shared" si="198"/>
        <v/>
      </c>
      <c r="AV422" s="7" t="str">
        <f t="shared" si="199"/>
        <v/>
      </c>
      <c r="AW422" s="7" t="str">
        <f t="shared" si="200"/>
        <v/>
      </c>
      <c r="AX422" s="97"/>
      <c r="BD422" s="473" t="s">
        <v>2547</v>
      </c>
      <c r="CG422"/>
      <c r="CH422"/>
      <c r="CK422" s="592" t="str">
        <f t="shared" si="208"/>
        <v/>
      </c>
      <c r="CL422" s="421" t="str">
        <f t="shared" si="209"/>
        <v/>
      </c>
      <c r="CM422" s="594"/>
      <c r="CN422" s="594"/>
      <c r="CO422" s="594"/>
      <c r="CP422" s="594"/>
      <c r="CQ422" s="594"/>
      <c r="CR422" s="594"/>
    </row>
    <row r="423" spans="1:96" s="13" customFormat="1" ht="13.75" customHeight="1">
      <c r="A423" s="137">
        <v>408</v>
      </c>
      <c r="B423" s="138"/>
      <c r="C423" s="139"/>
      <c r="D423" s="140"/>
      <c r="E423" s="139"/>
      <c r="F423" s="139"/>
      <c r="G423" s="191"/>
      <c r="H423" s="139"/>
      <c r="I423" s="141"/>
      <c r="J423" s="142"/>
      <c r="K423" s="139"/>
      <c r="L423" s="147"/>
      <c r="M423" s="148"/>
      <c r="N423" s="139"/>
      <c r="O423" s="589"/>
      <c r="P423" s="229" t="str">
        <f t="shared" si="201"/>
        <v/>
      </c>
      <c r="Q423" s="229" t="str">
        <f t="shared" si="202"/>
        <v/>
      </c>
      <c r="R423" s="230" t="str">
        <f t="shared" si="203"/>
        <v/>
      </c>
      <c r="S423" s="230" t="str">
        <f t="shared" si="204"/>
        <v/>
      </c>
      <c r="T423" s="351"/>
      <c r="U423" s="43"/>
      <c r="V423" s="42" t="str">
        <f t="shared" si="180"/>
        <v/>
      </c>
      <c r="W423" s="42" t="e">
        <f>IF(#REF!="","",#REF!)</f>
        <v>#REF!</v>
      </c>
      <c r="X423" s="31" t="str">
        <f t="shared" si="181"/>
        <v/>
      </c>
      <c r="Y423" s="7" t="e">
        <f t="shared" si="182"/>
        <v>#N/A</v>
      </c>
      <c r="Z423" s="7" t="e">
        <f t="shared" si="183"/>
        <v>#N/A</v>
      </c>
      <c r="AA423" s="7" t="e">
        <f t="shared" si="184"/>
        <v>#N/A</v>
      </c>
      <c r="AB423" s="7" t="str">
        <f t="shared" si="185"/>
        <v/>
      </c>
      <c r="AC423" s="11">
        <f t="shared" si="186"/>
        <v>1</v>
      </c>
      <c r="AD423" s="7" t="e">
        <f t="shared" si="187"/>
        <v>#N/A</v>
      </c>
      <c r="AE423" s="7" t="e">
        <f t="shared" si="188"/>
        <v>#N/A</v>
      </c>
      <c r="AF423" s="7" t="e">
        <f t="shared" si="189"/>
        <v>#N/A</v>
      </c>
      <c r="AG423" s="472" t="e">
        <f>VLOOKUP(AI423,'排出係数(2017)'!$A$4:$I$1151,9,FALSE)</f>
        <v>#N/A</v>
      </c>
      <c r="AH423" s="12" t="str">
        <f t="shared" si="190"/>
        <v xml:space="preserve"> </v>
      </c>
      <c r="AI423" s="7" t="e">
        <f t="shared" si="205"/>
        <v>#N/A</v>
      </c>
      <c r="AJ423" s="7" t="e">
        <f t="shared" si="191"/>
        <v>#N/A</v>
      </c>
      <c r="AK423" s="472" t="e">
        <f>VLOOKUP(AI423,'排出係数(2017)'!$A$4:$I$1151,6,FALSE)</f>
        <v>#N/A</v>
      </c>
      <c r="AL423" s="7" t="e">
        <f t="shared" si="192"/>
        <v>#N/A</v>
      </c>
      <c r="AM423" s="7" t="e">
        <f t="shared" si="193"/>
        <v>#N/A</v>
      </c>
      <c r="AN423" s="472" t="e">
        <f>VLOOKUP(AI423,'排出係数(2017)'!$A$4:$I$1151,7,FALSE)</f>
        <v>#N/A</v>
      </c>
      <c r="AO423" s="7" t="e">
        <f t="shared" si="194"/>
        <v>#N/A</v>
      </c>
      <c r="AP423" s="7" t="e">
        <f t="shared" si="195"/>
        <v>#N/A</v>
      </c>
      <c r="AQ423" s="7" t="e">
        <f t="shared" si="206"/>
        <v>#N/A</v>
      </c>
      <c r="AR423" s="7">
        <f t="shared" si="196"/>
        <v>0</v>
      </c>
      <c r="AS423" s="7" t="e">
        <f t="shared" si="207"/>
        <v>#N/A</v>
      </c>
      <c r="AT423" s="7" t="str">
        <f t="shared" si="197"/>
        <v/>
      </c>
      <c r="AU423" s="7" t="str">
        <f t="shared" si="198"/>
        <v/>
      </c>
      <c r="AV423" s="7" t="str">
        <f t="shared" si="199"/>
        <v/>
      </c>
      <c r="AW423" s="7" t="str">
        <f t="shared" si="200"/>
        <v/>
      </c>
      <c r="AX423" s="97"/>
      <c r="BD423" s="453" t="s">
        <v>2548</v>
      </c>
      <c r="CG423"/>
      <c r="CH423"/>
      <c r="CK423" s="592" t="str">
        <f t="shared" si="208"/>
        <v/>
      </c>
      <c r="CL423" s="421" t="str">
        <f t="shared" si="209"/>
        <v/>
      </c>
      <c r="CM423" s="594"/>
      <c r="CN423" s="594"/>
      <c r="CO423" s="594"/>
      <c r="CP423" s="594"/>
      <c r="CQ423" s="594"/>
      <c r="CR423" s="594"/>
    </row>
    <row r="424" spans="1:96" s="13" customFormat="1" ht="13.75" customHeight="1">
      <c r="A424" s="137">
        <v>409</v>
      </c>
      <c r="B424" s="138"/>
      <c r="C424" s="139"/>
      <c r="D424" s="140"/>
      <c r="E424" s="139"/>
      <c r="F424" s="139"/>
      <c r="G424" s="191"/>
      <c r="H424" s="139"/>
      <c r="I424" s="141"/>
      <c r="J424" s="142"/>
      <c r="K424" s="139"/>
      <c r="L424" s="147"/>
      <c r="M424" s="148"/>
      <c r="N424" s="139"/>
      <c r="O424" s="589"/>
      <c r="P424" s="229" t="str">
        <f t="shared" si="201"/>
        <v/>
      </c>
      <c r="Q424" s="229" t="str">
        <f t="shared" si="202"/>
        <v/>
      </c>
      <c r="R424" s="230" t="str">
        <f t="shared" si="203"/>
        <v/>
      </c>
      <c r="S424" s="230" t="str">
        <f t="shared" si="204"/>
        <v/>
      </c>
      <c r="T424" s="351"/>
      <c r="U424" s="43"/>
      <c r="V424" s="42" t="str">
        <f t="shared" si="180"/>
        <v/>
      </c>
      <c r="W424" s="42" t="e">
        <f>IF(#REF!="","",#REF!)</f>
        <v>#REF!</v>
      </c>
      <c r="X424" s="31" t="str">
        <f t="shared" si="181"/>
        <v/>
      </c>
      <c r="Y424" s="7" t="e">
        <f t="shared" si="182"/>
        <v>#N/A</v>
      </c>
      <c r="Z424" s="7" t="e">
        <f t="shared" si="183"/>
        <v>#N/A</v>
      </c>
      <c r="AA424" s="7" t="e">
        <f t="shared" si="184"/>
        <v>#N/A</v>
      </c>
      <c r="AB424" s="7" t="str">
        <f t="shared" si="185"/>
        <v/>
      </c>
      <c r="AC424" s="11">
        <f t="shared" si="186"/>
        <v>1</v>
      </c>
      <c r="AD424" s="7" t="e">
        <f t="shared" si="187"/>
        <v>#N/A</v>
      </c>
      <c r="AE424" s="7" t="e">
        <f t="shared" si="188"/>
        <v>#N/A</v>
      </c>
      <c r="AF424" s="7" t="e">
        <f t="shared" si="189"/>
        <v>#N/A</v>
      </c>
      <c r="AG424" s="472" t="e">
        <f>VLOOKUP(AI424,'排出係数(2017)'!$A$4:$I$1151,9,FALSE)</f>
        <v>#N/A</v>
      </c>
      <c r="AH424" s="12" t="str">
        <f t="shared" si="190"/>
        <v xml:space="preserve"> </v>
      </c>
      <c r="AI424" s="7" t="e">
        <f t="shared" si="205"/>
        <v>#N/A</v>
      </c>
      <c r="AJ424" s="7" t="e">
        <f t="shared" si="191"/>
        <v>#N/A</v>
      </c>
      <c r="AK424" s="472" t="e">
        <f>VLOOKUP(AI424,'排出係数(2017)'!$A$4:$I$1151,6,FALSE)</f>
        <v>#N/A</v>
      </c>
      <c r="AL424" s="7" t="e">
        <f t="shared" si="192"/>
        <v>#N/A</v>
      </c>
      <c r="AM424" s="7" t="e">
        <f t="shared" si="193"/>
        <v>#N/A</v>
      </c>
      <c r="AN424" s="472" t="e">
        <f>VLOOKUP(AI424,'排出係数(2017)'!$A$4:$I$1151,7,FALSE)</f>
        <v>#N/A</v>
      </c>
      <c r="AO424" s="7" t="e">
        <f t="shared" si="194"/>
        <v>#N/A</v>
      </c>
      <c r="AP424" s="7" t="e">
        <f t="shared" si="195"/>
        <v>#N/A</v>
      </c>
      <c r="AQ424" s="7" t="e">
        <f t="shared" si="206"/>
        <v>#N/A</v>
      </c>
      <c r="AR424" s="7">
        <f t="shared" si="196"/>
        <v>0</v>
      </c>
      <c r="AS424" s="7" t="e">
        <f t="shared" si="207"/>
        <v>#N/A</v>
      </c>
      <c r="AT424" s="7" t="str">
        <f t="shared" si="197"/>
        <v/>
      </c>
      <c r="AU424" s="7" t="str">
        <f t="shared" si="198"/>
        <v/>
      </c>
      <c r="AV424" s="7" t="str">
        <f t="shared" si="199"/>
        <v/>
      </c>
      <c r="AW424" s="7" t="str">
        <f t="shared" si="200"/>
        <v/>
      </c>
      <c r="AX424" s="97"/>
      <c r="BD424" s="453" t="s">
        <v>78</v>
      </c>
      <c r="CG424"/>
      <c r="CH424"/>
      <c r="CK424" s="592" t="str">
        <f t="shared" si="208"/>
        <v/>
      </c>
      <c r="CL424" s="421" t="str">
        <f t="shared" si="209"/>
        <v/>
      </c>
      <c r="CM424" s="594"/>
      <c r="CN424" s="594"/>
      <c r="CO424" s="594"/>
      <c r="CP424" s="594"/>
      <c r="CQ424" s="594"/>
      <c r="CR424" s="594"/>
    </row>
    <row r="425" spans="1:96" s="13" customFormat="1" ht="13.75" customHeight="1">
      <c r="A425" s="137">
        <v>410</v>
      </c>
      <c r="B425" s="138"/>
      <c r="C425" s="139"/>
      <c r="D425" s="140"/>
      <c r="E425" s="139"/>
      <c r="F425" s="139"/>
      <c r="G425" s="191"/>
      <c r="H425" s="139"/>
      <c r="I425" s="141"/>
      <c r="J425" s="142"/>
      <c r="K425" s="139"/>
      <c r="L425" s="147"/>
      <c r="M425" s="148"/>
      <c r="N425" s="139"/>
      <c r="O425" s="589"/>
      <c r="P425" s="229" t="str">
        <f t="shared" si="201"/>
        <v/>
      </c>
      <c r="Q425" s="229" t="str">
        <f t="shared" si="202"/>
        <v/>
      </c>
      <c r="R425" s="230" t="str">
        <f t="shared" si="203"/>
        <v/>
      </c>
      <c r="S425" s="230" t="str">
        <f t="shared" si="204"/>
        <v/>
      </c>
      <c r="T425" s="351"/>
      <c r="U425" s="43"/>
      <c r="V425" s="42" t="str">
        <f t="shared" si="180"/>
        <v/>
      </c>
      <c r="W425" s="42" t="e">
        <f>IF(#REF!="","",#REF!)</f>
        <v>#REF!</v>
      </c>
      <c r="X425" s="31" t="str">
        <f t="shared" si="181"/>
        <v/>
      </c>
      <c r="Y425" s="7" t="e">
        <f t="shared" si="182"/>
        <v>#N/A</v>
      </c>
      <c r="Z425" s="7" t="e">
        <f t="shared" si="183"/>
        <v>#N/A</v>
      </c>
      <c r="AA425" s="7" t="e">
        <f t="shared" si="184"/>
        <v>#N/A</v>
      </c>
      <c r="AB425" s="7" t="str">
        <f t="shared" si="185"/>
        <v/>
      </c>
      <c r="AC425" s="11">
        <f t="shared" si="186"/>
        <v>1</v>
      </c>
      <c r="AD425" s="7" t="e">
        <f t="shared" si="187"/>
        <v>#N/A</v>
      </c>
      <c r="AE425" s="7" t="e">
        <f t="shared" si="188"/>
        <v>#N/A</v>
      </c>
      <c r="AF425" s="7" t="e">
        <f t="shared" si="189"/>
        <v>#N/A</v>
      </c>
      <c r="AG425" s="472" t="e">
        <f>VLOOKUP(AI425,'排出係数(2017)'!$A$4:$I$1151,9,FALSE)</f>
        <v>#N/A</v>
      </c>
      <c r="AH425" s="12" t="str">
        <f t="shared" si="190"/>
        <v xml:space="preserve"> </v>
      </c>
      <c r="AI425" s="7" t="e">
        <f t="shared" si="205"/>
        <v>#N/A</v>
      </c>
      <c r="AJ425" s="7" t="e">
        <f t="shared" si="191"/>
        <v>#N/A</v>
      </c>
      <c r="AK425" s="472" t="e">
        <f>VLOOKUP(AI425,'排出係数(2017)'!$A$4:$I$1151,6,FALSE)</f>
        <v>#N/A</v>
      </c>
      <c r="AL425" s="7" t="e">
        <f t="shared" si="192"/>
        <v>#N/A</v>
      </c>
      <c r="AM425" s="7" t="e">
        <f t="shared" si="193"/>
        <v>#N/A</v>
      </c>
      <c r="AN425" s="472" t="e">
        <f>VLOOKUP(AI425,'排出係数(2017)'!$A$4:$I$1151,7,FALSE)</f>
        <v>#N/A</v>
      </c>
      <c r="AO425" s="7" t="e">
        <f t="shared" si="194"/>
        <v>#N/A</v>
      </c>
      <c r="AP425" s="7" t="e">
        <f t="shared" si="195"/>
        <v>#N/A</v>
      </c>
      <c r="AQ425" s="7" t="e">
        <f t="shared" si="206"/>
        <v>#N/A</v>
      </c>
      <c r="AR425" s="7">
        <f t="shared" si="196"/>
        <v>0</v>
      </c>
      <c r="AS425" s="7" t="e">
        <f t="shared" si="207"/>
        <v>#N/A</v>
      </c>
      <c r="AT425" s="7" t="str">
        <f t="shared" si="197"/>
        <v/>
      </c>
      <c r="AU425" s="7" t="str">
        <f t="shared" si="198"/>
        <v/>
      </c>
      <c r="AV425" s="7" t="str">
        <f t="shared" si="199"/>
        <v/>
      </c>
      <c r="AW425" s="7" t="str">
        <f t="shared" si="200"/>
        <v/>
      </c>
      <c r="AX425" s="97"/>
      <c r="BD425" s="453" t="s">
        <v>1430</v>
      </c>
      <c r="CG425"/>
      <c r="CH425"/>
      <c r="CK425" s="592" t="str">
        <f t="shared" si="208"/>
        <v/>
      </c>
      <c r="CL425" s="421" t="str">
        <f t="shared" si="209"/>
        <v/>
      </c>
      <c r="CM425" s="594"/>
      <c r="CN425" s="594"/>
      <c r="CO425" s="594"/>
      <c r="CP425" s="594"/>
      <c r="CQ425" s="594"/>
      <c r="CR425" s="594"/>
    </row>
    <row r="426" spans="1:96" s="13" customFormat="1" ht="13.75" customHeight="1">
      <c r="A426" s="137">
        <v>411</v>
      </c>
      <c r="B426" s="138"/>
      <c r="C426" s="139"/>
      <c r="D426" s="140"/>
      <c r="E426" s="139"/>
      <c r="F426" s="139"/>
      <c r="G426" s="191"/>
      <c r="H426" s="139"/>
      <c r="I426" s="141"/>
      <c r="J426" s="142"/>
      <c r="K426" s="139"/>
      <c r="L426" s="147"/>
      <c r="M426" s="148"/>
      <c r="N426" s="139"/>
      <c r="O426" s="589"/>
      <c r="P426" s="229" t="str">
        <f t="shared" si="201"/>
        <v/>
      </c>
      <c r="Q426" s="229" t="str">
        <f t="shared" si="202"/>
        <v/>
      </c>
      <c r="R426" s="230" t="str">
        <f t="shared" si="203"/>
        <v/>
      </c>
      <c r="S426" s="230" t="str">
        <f t="shared" si="204"/>
        <v/>
      </c>
      <c r="T426" s="351"/>
      <c r="U426" s="43"/>
      <c r="V426" s="42" t="str">
        <f t="shared" si="180"/>
        <v/>
      </c>
      <c r="W426" s="42" t="e">
        <f>IF(#REF!="","",#REF!)</f>
        <v>#REF!</v>
      </c>
      <c r="X426" s="31" t="str">
        <f t="shared" si="181"/>
        <v/>
      </c>
      <c r="Y426" s="7" t="e">
        <f t="shared" si="182"/>
        <v>#N/A</v>
      </c>
      <c r="Z426" s="7" t="e">
        <f t="shared" si="183"/>
        <v>#N/A</v>
      </c>
      <c r="AA426" s="7" t="e">
        <f t="shared" si="184"/>
        <v>#N/A</v>
      </c>
      <c r="AB426" s="7" t="str">
        <f t="shared" si="185"/>
        <v/>
      </c>
      <c r="AC426" s="11">
        <f t="shared" si="186"/>
        <v>1</v>
      </c>
      <c r="AD426" s="7" t="e">
        <f t="shared" si="187"/>
        <v>#N/A</v>
      </c>
      <c r="AE426" s="7" t="e">
        <f t="shared" si="188"/>
        <v>#N/A</v>
      </c>
      <c r="AF426" s="7" t="e">
        <f t="shared" si="189"/>
        <v>#N/A</v>
      </c>
      <c r="AG426" s="472" t="e">
        <f>VLOOKUP(AI426,'排出係数(2017)'!$A$4:$I$1151,9,FALSE)</f>
        <v>#N/A</v>
      </c>
      <c r="AH426" s="12" t="str">
        <f t="shared" si="190"/>
        <v xml:space="preserve"> </v>
      </c>
      <c r="AI426" s="7" t="e">
        <f t="shared" si="205"/>
        <v>#N/A</v>
      </c>
      <c r="AJ426" s="7" t="e">
        <f t="shared" si="191"/>
        <v>#N/A</v>
      </c>
      <c r="AK426" s="472" t="e">
        <f>VLOOKUP(AI426,'排出係数(2017)'!$A$4:$I$1151,6,FALSE)</f>
        <v>#N/A</v>
      </c>
      <c r="AL426" s="7" t="e">
        <f t="shared" si="192"/>
        <v>#N/A</v>
      </c>
      <c r="AM426" s="7" t="e">
        <f t="shared" si="193"/>
        <v>#N/A</v>
      </c>
      <c r="AN426" s="472" t="e">
        <f>VLOOKUP(AI426,'排出係数(2017)'!$A$4:$I$1151,7,FALSE)</f>
        <v>#N/A</v>
      </c>
      <c r="AO426" s="7" t="e">
        <f t="shared" si="194"/>
        <v>#N/A</v>
      </c>
      <c r="AP426" s="7" t="e">
        <f t="shared" si="195"/>
        <v>#N/A</v>
      </c>
      <c r="AQ426" s="7" t="e">
        <f t="shared" si="206"/>
        <v>#N/A</v>
      </c>
      <c r="AR426" s="7">
        <f t="shared" si="196"/>
        <v>0</v>
      </c>
      <c r="AS426" s="7" t="e">
        <f t="shared" si="207"/>
        <v>#N/A</v>
      </c>
      <c r="AT426" s="7" t="str">
        <f t="shared" si="197"/>
        <v/>
      </c>
      <c r="AU426" s="7" t="str">
        <f t="shared" si="198"/>
        <v/>
      </c>
      <c r="AV426" s="7" t="str">
        <f t="shared" si="199"/>
        <v/>
      </c>
      <c r="AW426" s="7" t="str">
        <f t="shared" si="200"/>
        <v/>
      </c>
      <c r="AX426" s="97"/>
      <c r="BD426" s="474" t="s">
        <v>279</v>
      </c>
      <c r="CG426"/>
      <c r="CH426"/>
      <c r="CK426" s="592" t="str">
        <f t="shared" si="208"/>
        <v/>
      </c>
      <c r="CL426" s="421" t="str">
        <f t="shared" si="209"/>
        <v/>
      </c>
      <c r="CM426" s="594"/>
      <c r="CN426" s="594"/>
      <c r="CO426" s="594"/>
      <c r="CP426" s="594"/>
      <c r="CQ426" s="594"/>
      <c r="CR426" s="594"/>
    </row>
    <row r="427" spans="1:96" s="13" customFormat="1" ht="13.75" customHeight="1">
      <c r="A427" s="137">
        <v>412</v>
      </c>
      <c r="B427" s="138"/>
      <c r="C427" s="139"/>
      <c r="D427" s="140"/>
      <c r="E427" s="139"/>
      <c r="F427" s="139"/>
      <c r="G427" s="191"/>
      <c r="H427" s="139"/>
      <c r="I427" s="141"/>
      <c r="J427" s="142"/>
      <c r="K427" s="139"/>
      <c r="L427" s="147"/>
      <c r="M427" s="148"/>
      <c r="N427" s="139"/>
      <c r="O427" s="589"/>
      <c r="P427" s="229" t="str">
        <f t="shared" si="201"/>
        <v/>
      </c>
      <c r="Q427" s="229" t="str">
        <f t="shared" si="202"/>
        <v/>
      </c>
      <c r="R427" s="230" t="str">
        <f t="shared" si="203"/>
        <v/>
      </c>
      <c r="S427" s="230" t="str">
        <f t="shared" si="204"/>
        <v/>
      </c>
      <c r="T427" s="351"/>
      <c r="U427" s="43"/>
      <c r="V427" s="42" t="str">
        <f t="shared" si="180"/>
        <v/>
      </c>
      <c r="W427" s="42" t="e">
        <f>IF(#REF!="","",#REF!)</f>
        <v>#REF!</v>
      </c>
      <c r="X427" s="31" t="str">
        <f t="shared" si="181"/>
        <v/>
      </c>
      <c r="Y427" s="7" t="e">
        <f t="shared" si="182"/>
        <v>#N/A</v>
      </c>
      <c r="Z427" s="7" t="e">
        <f t="shared" si="183"/>
        <v>#N/A</v>
      </c>
      <c r="AA427" s="7" t="e">
        <f t="shared" si="184"/>
        <v>#N/A</v>
      </c>
      <c r="AB427" s="7" t="str">
        <f t="shared" si="185"/>
        <v/>
      </c>
      <c r="AC427" s="11">
        <f t="shared" si="186"/>
        <v>1</v>
      </c>
      <c r="AD427" s="7" t="e">
        <f t="shared" si="187"/>
        <v>#N/A</v>
      </c>
      <c r="AE427" s="7" t="e">
        <f t="shared" si="188"/>
        <v>#N/A</v>
      </c>
      <c r="AF427" s="7" t="e">
        <f t="shared" si="189"/>
        <v>#N/A</v>
      </c>
      <c r="AG427" s="472" t="e">
        <f>VLOOKUP(AI427,'排出係数(2017)'!$A$4:$I$1151,9,FALSE)</f>
        <v>#N/A</v>
      </c>
      <c r="AH427" s="12" t="str">
        <f t="shared" si="190"/>
        <v xml:space="preserve"> </v>
      </c>
      <c r="AI427" s="7" t="e">
        <f t="shared" si="205"/>
        <v>#N/A</v>
      </c>
      <c r="AJ427" s="7" t="e">
        <f t="shared" si="191"/>
        <v>#N/A</v>
      </c>
      <c r="AK427" s="472" t="e">
        <f>VLOOKUP(AI427,'排出係数(2017)'!$A$4:$I$1151,6,FALSE)</f>
        <v>#N/A</v>
      </c>
      <c r="AL427" s="7" t="e">
        <f t="shared" si="192"/>
        <v>#N/A</v>
      </c>
      <c r="AM427" s="7" t="e">
        <f t="shared" si="193"/>
        <v>#N/A</v>
      </c>
      <c r="AN427" s="472" t="e">
        <f>VLOOKUP(AI427,'排出係数(2017)'!$A$4:$I$1151,7,FALSE)</f>
        <v>#N/A</v>
      </c>
      <c r="AO427" s="7" t="e">
        <f t="shared" si="194"/>
        <v>#N/A</v>
      </c>
      <c r="AP427" s="7" t="e">
        <f t="shared" si="195"/>
        <v>#N/A</v>
      </c>
      <c r="AQ427" s="7" t="e">
        <f t="shared" si="206"/>
        <v>#N/A</v>
      </c>
      <c r="AR427" s="7">
        <f t="shared" si="196"/>
        <v>0</v>
      </c>
      <c r="AS427" s="7" t="e">
        <f t="shared" si="207"/>
        <v>#N/A</v>
      </c>
      <c r="AT427" s="7" t="str">
        <f t="shared" si="197"/>
        <v/>
      </c>
      <c r="AU427" s="7" t="str">
        <f t="shared" si="198"/>
        <v/>
      </c>
      <c r="AV427" s="7" t="str">
        <f t="shared" si="199"/>
        <v/>
      </c>
      <c r="AW427" s="7" t="str">
        <f t="shared" si="200"/>
        <v/>
      </c>
      <c r="AX427" s="97"/>
      <c r="BD427" s="453" t="s">
        <v>325</v>
      </c>
      <c r="CG427"/>
      <c r="CH427"/>
      <c r="CK427" s="592" t="str">
        <f t="shared" si="208"/>
        <v/>
      </c>
      <c r="CL427" s="421" t="str">
        <f t="shared" si="209"/>
        <v/>
      </c>
      <c r="CM427" s="594"/>
      <c r="CN427" s="594"/>
      <c r="CO427" s="594"/>
      <c r="CP427" s="594"/>
      <c r="CQ427" s="594"/>
      <c r="CR427" s="594"/>
    </row>
    <row r="428" spans="1:96" s="13" customFormat="1" ht="13.75" customHeight="1">
      <c r="A428" s="137">
        <v>413</v>
      </c>
      <c r="B428" s="138"/>
      <c r="C428" s="139"/>
      <c r="D428" s="140"/>
      <c r="E428" s="139"/>
      <c r="F428" s="139"/>
      <c r="G428" s="191"/>
      <c r="H428" s="139"/>
      <c r="I428" s="141"/>
      <c r="J428" s="142"/>
      <c r="K428" s="139"/>
      <c r="L428" s="147"/>
      <c r="M428" s="148"/>
      <c r="N428" s="139"/>
      <c r="O428" s="589"/>
      <c r="P428" s="229" t="str">
        <f t="shared" si="201"/>
        <v/>
      </c>
      <c r="Q428" s="229" t="str">
        <f t="shared" si="202"/>
        <v/>
      </c>
      <c r="R428" s="230" t="str">
        <f t="shared" si="203"/>
        <v/>
      </c>
      <c r="S428" s="230" t="str">
        <f t="shared" si="204"/>
        <v/>
      </c>
      <c r="T428" s="351"/>
      <c r="U428" s="43"/>
      <c r="V428" s="42" t="str">
        <f t="shared" si="180"/>
        <v/>
      </c>
      <c r="W428" s="42" t="e">
        <f>IF(#REF!="","",#REF!)</f>
        <v>#REF!</v>
      </c>
      <c r="X428" s="31" t="str">
        <f t="shared" si="181"/>
        <v/>
      </c>
      <c r="Y428" s="7" t="e">
        <f t="shared" si="182"/>
        <v>#N/A</v>
      </c>
      <c r="Z428" s="7" t="e">
        <f t="shared" si="183"/>
        <v>#N/A</v>
      </c>
      <c r="AA428" s="7" t="e">
        <f t="shared" si="184"/>
        <v>#N/A</v>
      </c>
      <c r="AB428" s="7" t="str">
        <f t="shared" si="185"/>
        <v/>
      </c>
      <c r="AC428" s="11">
        <f t="shared" si="186"/>
        <v>1</v>
      </c>
      <c r="AD428" s="7" t="e">
        <f t="shared" si="187"/>
        <v>#N/A</v>
      </c>
      <c r="AE428" s="7" t="e">
        <f t="shared" si="188"/>
        <v>#N/A</v>
      </c>
      <c r="AF428" s="7" t="e">
        <f t="shared" si="189"/>
        <v>#N/A</v>
      </c>
      <c r="AG428" s="472" t="e">
        <f>VLOOKUP(AI428,'排出係数(2017)'!$A$4:$I$1151,9,FALSE)</f>
        <v>#N/A</v>
      </c>
      <c r="AH428" s="12" t="str">
        <f t="shared" si="190"/>
        <v xml:space="preserve"> </v>
      </c>
      <c r="AI428" s="7" t="e">
        <f t="shared" si="205"/>
        <v>#N/A</v>
      </c>
      <c r="AJ428" s="7" t="e">
        <f t="shared" si="191"/>
        <v>#N/A</v>
      </c>
      <c r="AK428" s="472" t="e">
        <f>VLOOKUP(AI428,'排出係数(2017)'!$A$4:$I$1151,6,FALSE)</f>
        <v>#N/A</v>
      </c>
      <c r="AL428" s="7" t="e">
        <f t="shared" si="192"/>
        <v>#N/A</v>
      </c>
      <c r="AM428" s="7" t="e">
        <f t="shared" si="193"/>
        <v>#N/A</v>
      </c>
      <c r="AN428" s="472" t="e">
        <f>VLOOKUP(AI428,'排出係数(2017)'!$A$4:$I$1151,7,FALSE)</f>
        <v>#N/A</v>
      </c>
      <c r="AO428" s="7" t="e">
        <f t="shared" si="194"/>
        <v>#N/A</v>
      </c>
      <c r="AP428" s="7" t="e">
        <f t="shared" si="195"/>
        <v>#N/A</v>
      </c>
      <c r="AQ428" s="7" t="e">
        <f t="shared" si="206"/>
        <v>#N/A</v>
      </c>
      <c r="AR428" s="7">
        <f t="shared" si="196"/>
        <v>0</v>
      </c>
      <c r="AS428" s="7" t="e">
        <f t="shared" si="207"/>
        <v>#N/A</v>
      </c>
      <c r="AT428" s="7" t="str">
        <f t="shared" si="197"/>
        <v/>
      </c>
      <c r="AU428" s="7" t="str">
        <f t="shared" si="198"/>
        <v/>
      </c>
      <c r="AV428" s="7" t="str">
        <f t="shared" si="199"/>
        <v/>
      </c>
      <c r="AW428" s="7" t="str">
        <f t="shared" si="200"/>
        <v/>
      </c>
      <c r="AX428" s="97"/>
      <c r="BD428" s="453" t="s">
        <v>405</v>
      </c>
      <c r="CG428"/>
      <c r="CH428"/>
      <c r="CK428" s="592" t="str">
        <f t="shared" si="208"/>
        <v/>
      </c>
      <c r="CL428" s="421" t="str">
        <f t="shared" si="209"/>
        <v/>
      </c>
      <c r="CM428" s="594"/>
      <c r="CN428" s="594"/>
      <c r="CO428" s="594"/>
      <c r="CP428" s="594"/>
      <c r="CQ428" s="594"/>
      <c r="CR428" s="594"/>
    </row>
    <row r="429" spans="1:96" s="13" customFormat="1" ht="13.75" customHeight="1">
      <c r="A429" s="137">
        <v>414</v>
      </c>
      <c r="B429" s="138"/>
      <c r="C429" s="139"/>
      <c r="D429" s="140"/>
      <c r="E429" s="139"/>
      <c r="F429" s="139"/>
      <c r="G429" s="191"/>
      <c r="H429" s="139"/>
      <c r="I429" s="141"/>
      <c r="J429" s="142"/>
      <c r="K429" s="139"/>
      <c r="L429" s="147"/>
      <c r="M429" s="148"/>
      <c r="N429" s="139"/>
      <c r="O429" s="589"/>
      <c r="P429" s="229" t="str">
        <f t="shared" si="201"/>
        <v/>
      </c>
      <c r="Q429" s="229" t="str">
        <f t="shared" si="202"/>
        <v/>
      </c>
      <c r="R429" s="230" t="str">
        <f t="shared" si="203"/>
        <v/>
      </c>
      <c r="S429" s="230" t="str">
        <f t="shared" si="204"/>
        <v/>
      </c>
      <c r="T429" s="351"/>
      <c r="U429" s="43"/>
      <c r="V429" s="42" t="str">
        <f t="shared" si="180"/>
        <v/>
      </c>
      <c r="W429" s="42" t="e">
        <f>IF(#REF!="","",#REF!)</f>
        <v>#REF!</v>
      </c>
      <c r="X429" s="31" t="str">
        <f t="shared" si="181"/>
        <v/>
      </c>
      <c r="Y429" s="7" t="e">
        <f t="shared" si="182"/>
        <v>#N/A</v>
      </c>
      <c r="Z429" s="7" t="e">
        <f t="shared" si="183"/>
        <v>#N/A</v>
      </c>
      <c r="AA429" s="7" t="e">
        <f t="shared" si="184"/>
        <v>#N/A</v>
      </c>
      <c r="AB429" s="7" t="str">
        <f t="shared" si="185"/>
        <v/>
      </c>
      <c r="AC429" s="11">
        <f t="shared" si="186"/>
        <v>1</v>
      </c>
      <c r="AD429" s="7" t="e">
        <f t="shared" si="187"/>
        <v>#N/A</v>
      </c>
      <c r="AE429" s="7" t="e">
        <f t="shared" si="188"/>
        <v>#N/A</v>
      </c>
      <c r="AF429" s="7" t="e">
        <f t="shared" si="189"/>
        <v>#N/A</v>
      </c>
      <c r="AG429" s="472" t="e">
        <f>VLOOKUP(AI429,'排出係数(2017)'!$A$4:$I$1151,9,FALSE)</f>
        <v>#N/A</v>
      </c>
      <c r="AH429" s="12" t="str">
        <f t="shared" si="190"/>
        <v xml:space="preserve"> </v>
      </c>
      <c r="AI429" s="7" t="e">
        <f t="shared" si="205"/>
        <v>#N/A</v>
      </c>
      <c r="AJ429" s="7" t="e">
        <f t="shared" si="191"/>
        <v>#N/A</v>
      </c>
      <c r="AK429" s="472" t="e">
        <f>VLOOKUP(AI429,'排出係数(2017)'!$A$4:$I$1151,6,FALSE)</f>
        <v>#N/A</v>
      </c>
      <c r="AL429" s="7" t="e">
        <f t="shared" si="192"/>
        <v>#N/A</v>
      </c>
      <c r="AM429" s="7" t="e">
        <f t="shared" si="193"/>
        <v>#N/A</v>
      </c>
      <c r="AN429" s="472" t="e">
        <f>VLOOKUP(AI429,'排出係数(2017)'!$A$4:$I$1151,7,FALSE)</f>
        <v>#N/A</v>
      </c>
      <c r="AO429" s="7" t="e">
        <f t="shared" si="194"/>
        <v>#N/A</v>
      </c>
      <c r="AP429" s="7" t="e">
        <f t="shared" si="195"/>
        <v>#N/A</v>
      </c>
      <c r="AQ429" s="7" t="e">
        <f t="shared" si="206"/>
        <v>#N/A</v>
      </c>
      <c r="AR429" s="7">
        <f t="shared" si="196"/>
        <v>0</v>
      </c>
      <c r="AS429" s="7" t="e">
        <f t="shared" si="207"/>
        <v>#N/A</v>
      </c>
      <c r="AT429" s="7" t="str">
        <f t="shared" si="197"/>
        <v/>
      </c>
      <c r="AU429" s="7" t="str">
        <f t="shared" si="198"/>
        <v/>
      </c>
      <c r="AV429" s="7" t="str">
        <f t="shared" si="199"/>
        <v/>
      </c>
      <c r="AW429" s="7" t="str">
        <f t="shared" si="200"/>
        <v/>
      </c>
      <c r="AX429" s="97"/>
      <c r="BD429" s="453" t="s">
        <v>1428</v>
      </c>
      <c r="CG429"/>
      <c r="CH429"/>
      <c r="CK429" s="592" t="str">
        <f t="shared" si="208"/>
        <v/>
      </c>
      <c r="CL429" s="421" t="str">
        <f t="shared" si="209"/>
        <v/>
      </c>
      <c r="CM429" s="594"/>
      <c r="CN429" s="594"/>
      <c r="CO429" s="594"/>
      <c r="CP429" s="594"/>
      <c r="CQ429" s="594"/>
      <c r="CR429" s="594"/>
    </row>
    <row r="430" spans="1:96" s="13" customFormat="1" ht="13.75" customHeight="1">
      <c r="A430" s="137">
        <v>415</v>
      </c>
      <c r="B430" s="138"/>
      <c r="C430" s="139"/>
      <c r="D430" s="140"/>
      <c r="E430" s="139"/>
      <c r="F430" s="139"/>
      <c r="G430" s="191"/>
      <c r="H430" s="139"/>
      <c r="I430" s="141"/>
      <c r="J430" s="142"/>
      <c r="K430" s="139"/>
      <c r="L430" s="147"/>
      <c r="M430" s="148"/>
      <c r="N430" s="139"/>
      <c r="O430" s="589"/>
      <c r="P430" s="229" t="str">
        <f t="shared" si="201"/>
        <v/>
      </c>
      <c r="Q430" s="229" t="str">
        <f t="shared" si="202"/>
        <v/>
      </c>
      <c r="R430" s="230" t="str">
        <f t="shared" si="203"/>
        <v/>
      </c>
      <c r="S430" s="230" t="str">
        <f t="shared" si="204"/>
        <v/>
      </c>
      <c r="T430" s="351"/>
      <c r="U430" s="43"/>
      <c r="V430" s="42" t="str">
        <f t="shared" si="180"/>
        <v/>
      </c>
      <c r="W430" s="42" t="e">
        <f>IF(#REF!="","",#REF!)</f>
        <v>#REF!</v>
      </c>
      <c r="X430" s="31" t="str">
        <f t="shared" si="181"/>
        <v/>
      </c>
      <c r="Y430" s="7" t="e">
        <f t="shared" si="182"/>
        <v>#N/A</v>
      </c>
      <c r="Z430" s="7" t="e">
        <f t="shared" si="183"/>
        <v>#N/A</v>
      </c>
      <c r="AA430" s="7" t="e">
        <f t="shared" si="184"/>
        <v>#N/A</v>
      </c>
      <c r="AB430" s="7" t="str">
        <f t="shared" si="185"/>
        <v/>
      </c>
      <c r="AC430" s="11">
        <f t="shared" si="186"/>
        <v>1</v>
      </c>
      <c r="AD430" s="7" t="e">
        <f t="shared" si="187"/>
        <v>#N/A</v>
      </c>
      <c r="AE430" s="7" t="e">
        <f t="shared" si="188"/>
        <v>#N/A</v>
      </c>
      <c r="AF430" s="7" t="e">
        <f t="shared" si="189"/>
        <v>#N/A</v>
      </c>
      <c r="AG430" s="472" t="e">
        <f>VLOOKUP(AI430,'排出係数(2017)'!$A$4:$I$1151,9,FALSE)</f>
        <v>#N/A</v>
      </c>
      <c r="AH430" s="12" t="str">
        <f t="shared" si="190"/>
        <v xml:space="preserve"> </v>
      </c>
      <c r="AI430" s="7" t="e">
        <f t="shared" si="205"/>
        <v>#N/A</v>
      </c>
      <c r="AJ430" s="7" t="e">
        <f t="shared" si="191"/>
        <v>#N/A</v>
      </c>
      <c r="AK430" s="472" t="e">
        <f>VLOOKUP(AI430,'排出係数(2017)'!$A$4:$I$1151,6,FALSE)</f>
        <v>#N/A</v>
      </c>
      <c r="AL430" s="7" t="e">
        <f t="shared" si="192"/>
        <v>#N/A</v>
      </c>
      <c r="AM430" s="7" t="e">
        <f t="shared" si="193"/>
        <v>#N/A</v>
      </c>
      <c r="AN430" s="472" t="e">
        <f>VLOOKUP(AI430,'排出係数(2017)'!$A$4:$I$1151,7,FALSE)</f>
        <v>#N/A</v>
      </c>
      <c r="AO430" s="7" t="e">
        <f t="shared" si="194"/>
        <v>#N/A</v>
      </c>
      <c r="AP430" s="7" t="e">
        <f t="shared" si="195"/>
        <v>#N/A</v>
      </c>
      <c r="AQ430" s="7" t="e">
        <f t="shared" si="206"/>
        <v>#N/A</v>
      </c>
      <c r="AR430" s="7">
        <f t="shared" si="196"/>
        <v>0</v>
      </c>
      <c r="AS430" s="7" t="e">
        <f t="shared" si="207"/>
        <v>#N/A</v>
      </c>
      <c r="AT430" s="7" t="str">
        <f t="shared" si="197"/>
        <v/>
      </c>
      <c r="AU430" s="7" t="str">
        <f t="shared" si="198"/>
        <v/>
      </c>
      <c r="AV430" s="7" t="str">
        <f t="shared" si="199"/>
        <v/>
      </c>
      <c r="AW430" s="7" t="str">
        <f t="shared" si="200"/>
        <v/>
      </c>
      <c r="AX430" s="97"/>
      <c r="BD430" s="474" t="s">
        <v>277</v>
      </c>
      <c r="CG430"/>
      <c r="CH430"/>
      <c r="CK430" s="592" t="str">
        <f t="shared" si="208"/>
        <v/>
      </c>
      <c r="CL430" s="421" t="str">
        <f t="shared" si="209"/>
        <v/>
      </c>
      <c r="CM430" s="594"/>
      <c r="CN430" s="594"/>
      <c r="CO430" s="594"/>
      <c r="CP430" s="594"/>
      <c r="CQ430" s="594"/>
      <c r="CR430" s="594"/>
    </row>
    <row r="431" spans="1:96" s="13" customFormat="1" ht="13.75" customHeight="1">
      <c r="A431" s="137">
        <v>416</v>
      </c>
      <c r="B431" s="138"/>
      <c r="C431" s="139"/>
      <c r="D431" s="140"/>
      <c r="E431" s="139"/>
      <c r="F431" s="139"/>
      <c r="G431" s="191"/>
      <c r="H431" s="139"/>
      <c r="I431" s="141"/>
      <c r="J431" s="142"/>
      <c r="K431" s="139"/>
      <c r="L431" s="147"/>
      <c r="M431" s="148"/>
      <c r="N431" s="139"/>
      <c r="O431" s="589"/>
      <c r="P431" s="229" t="str">
        <f t="shared" si="201"/>
        <v/>
      </c>
      <c r="Q431" s="229" t="str">
        <f t="shared" si="202"/>
        <v/>
      </c>
      <c r="R431" s="230" t="str">
        <f t="shared" si="203"/>
        <v/>
      </c>
      <c r="S431" s="230" t="str">
        <f t="shared" si="204"/>
        <v/>
      </c>
      <c r="T431" s="351"/>
      <c r="U431" s="43"/>
      <c r="V431" s="42" t="str">
        <f t="shared" si="180"/>
        <v/>
      </c>
      <c r="W431" s="42" t="e">
        <f>IF(#REF!="","",#REF!)</f>
        <v>#REF!</v>
      </c>
      <c r="X431" s="31" t="str">
        <f t="shared" si="181"/>
        <v/>
      </c>
      <c r="Y431" s="7" t="e">
        <f t="shared" si="182"/>
        <v>#N/A</v>
      </c>
      <c r="Z431" s="7" t="e">
        <f t="shared" si="183"/>
        <v>#N/A</v>
      </c>
      <c r="AA431" s="7" t="e">
        <f t="shared" si="184"/>
        <v>#N/A</v>
      </c>
      <c r="AB431" s="7" t="str">
        <f t="shared" si="185"/>
        <v/>
      </c>
      <c r="AC431" s="11">
        <f t="shared" si="186"/>
        <v>1</v>
      </c>
      <c r="AD431" s="7" t="e">
        <f t="shared" si="187"/>
        <v>#N/A</v>
      </c>
      <c r="AE431" s="7" t="e">
        <f t="shared" si="188"/>
        <v>#N/A</v>
      </c>
      <c r="AF431" s="7" t="e">
        <f t="shared" si="189"/>
        <v>#N/A</v>
      </c>
      <c r="AG431" s="472" t="e">
        <f>VLOOKUP(AI431,'排出係数(2017)'!$A$4:$I$1151,9,FALSE)</f>
        <v>#N/A</v>
      </c>
      <c r="AH431" s="12" t="str">
        <f t="shared" si="190"/>
        <v xml:space="preserve"> </v>
      </c>
      <c r="AI431" s="7" t="e">
        <f t="shared" si="205"/>
        <v>#N/A</v>
      </c>
      <c r="AJ431" s="7" t="e">
        <f t="shared" si="191"/>
        <v>#N/A</v>
      </c>
      <c r="AK431" s="472" t="e">
        <f>VLOOKUP(AI431,'排出係数(2017)'!$A$4:$I$1151,6,FALSE)</f>
        <v>#N/A</v>
      </c>
      <c r="AL431" s="7" t="e">
        <f t="shared" si="192"/>
        <v>#N/A</v>
      </c>
      <c r="AM431" s="7" t="e">
        <f t="shared" si="193"/>
        <v>#N/A</v>
      </c>
      <c r="AN431" s="472" t="e">
        <f>VLOOKUP(AI431,'排出係数(2017)'!$A$4:$I$1151,7,FALSE)</f>
        <v>#N/A</v>
      </c>
      <c r="AO431" s="7" t="e">
        <f t="shared" si="194"/>
        <v>#N/A</v>
      </c>
      <c r="AP431" s="7" t="e">
        <f t="shared" si="195"/>
        <v>#N/A</v>
      </c>
      <c r="AQ431" s="7" t="e">
        <f t="shared" si="206"/>
        <v>#N/A</v>
      </c>
      <c r="AR431" s="7">
        <f t="shared" si="196"/>
        <v>0</v>
      </c>
      <c r="AS431" s="7" t="e">
        <f t="shared" si="207"/>
        <v>#N/A</v>
      </c>
      <c r="AT431" s="7" t="str">
        <f t="shared" si="197"/>
        <v/>
      </c>
      <c r="AU431" s="7" t="str">
        <f t="shared" si="198"/>
        <v/>
      </c>
      <c r="AV431" s="7" t="str">
        <f t="shared" si="199"/>
        <v/>
      </c>
      <c r="AW431" s="7" t="str">
        <f t="shared" si="200"/>
        <v/>
      </c>
      <c r="AX431" s="97"/>
      <c r="BD431" s="453" t="s">
        <v>323</v>
      </c>
      <c r="CG431"/>
      <c r="CH431"/>
      <c r="CK431" s="592" t="str">
        <f t="shared" si="208"/>
        <v/>
      </c>
      <c r="CL431" s="421" t="str">
        <f t="shared" si="209"/>
        <v/>
      </c>
      <c r="CM431" s="594"/>
      <c r="CN431" s="594"/>
      <c r="CO431" s="594"/>
      <c r="CP431" s="594"/>
      <c r="CQ431" s="594"/>
      <c r="CR431" s="594"/>
    </row>
    <row r="432" spans="1:96" s="13" customFormat="1" ht="13.75" customHeight="1">
      <c r="A432" s="137">
        <v>417</v>
      </c>
      <c r="B432" s="138"/>
      <c r="C432" s="139"/>
      <c r="D432" s="140"/>
      <c r="E432" s="139"/>
      <c r="F432" s="139"/>
      <c r="G432" s="191"/>
      <c r="H432" s="139"/>
      <c r="I432" s="141"/>
      <c r="J432" s="142"/>
      <c r="K432" s="139"/>
      <c r="L432" s="147"/>
      <c r="M432" s="148"/>
      <c r="N432" s="139"/>
      <c r="O432" s="589"/>
      <c r="P432" s="229" t="str">
        <f t="shared" si="201"/>
        <v/>
      </c>
      <c r="Q432" s="229" t="str">
        <f t="shared" si="202"/>
        <v/>
      </c>
      <c r="R432" s="230" t="str">
        <f t="shared" si="203"/>
        <v/>
      </c>
      <c r="S432" s="230" t="str">
        <f t="shared" si="204"/>
        <v/>
      </c>
      <c r="T432" s="351"/>
      <c r="U432" s="43"/>
      <c r="V432" s="42" t="str">
        <f t="shared" si="180"/>
        <v/>
      </c>
      <c r="W432" s="42" t="e">
        <f>IF(#REF!="","",#REF!)</f>
        <v>#REF!</v>
      </c>
      <c r="X432" s="31" t="str">
        <f t="shared" si="181"/>
        <v/>
      </c>
      <c r="Y432" s="7" t="e">
        <f t="shared" si="182"/>
        <v>#N/A</v>
      </c>
      <c r="Z432" s="7" t="e">
        <f t="shared" si="183"/>
        <v>#N/A</v>
      </c>
      <c r="AA432" s="7" t="e">
        <f t="shared" si="184"/>
        <v>#N/A</v>
      </c>
      <c r="AB432" s="7" t="str">
        <f t="shared" si="185"/>
        <v/>
      </c>
      <c r="AC432" s="11">
        <f t="shared" si="186"/>
        <v>1</v>
      </c>
      <c r="AD432" s="7" t="e">
        <f t="shared" si="187"/>
        <v>#N/A</v>
      </c>
      <c r="AE432" s="7" t="e">
        <f t="shared" si="188"/>
        <v>#N/A</v>
      </c>
      <c r="AF432" s="7" t="e">
        <f t="shared" si="189"/>
        <v>#N/A</v>
      </c>
      <c r="AG432" s="472" t="e">
        <f>VLOOKUP(AI432,'排出係数(2017)'!$A$4:$I$1151,9,FALSE)</f>
        <v>#N/A</v>
      </c>
      <c r="AH432" s="12" t="str">
        <f t="shared" si="190"/>
        <v xml:space="preserve"> </v>
      </c>
      <c r="AI432" s="7" t="e">
        <f t="shared" si="205"/>
        <v>#N/A</v>
      </c>
      <c r="AJ432" s="7" t="e">
        <f t="shared" si="191"/>
        <v>#N/A</v>
      </c>
      <c r="AK432" s="472" t="e">
        <f>VLOOKUP(AI432,'排出係数(2017)'!$A$4:$I$1151,6,FALSE)</f>
        <v>#N/A</v>
      </c>
      <c r="AL432" s="7" t="e">
        <f t="shared" si="192"/>
        <v>#N/A</v>
      </c>
      <c r="AM432" s="7" t="e">
        <f t="shared" si="193"/>
        <v>#N/A</v>
      </c>
      <c r="AN432" s="472" t="e">
        <f>VLOOKUP(AI432,'排出係数(2017)'!$A$4:$I$1151,7,FALSE)</f>
        <v>#N/A</v>
      </c>
      <c r="AO432" s="7" t="e">
        <f t="shared" si="194"/>
        <v>#N/A</v>
      </c>
      <c r="AP432" s="7" t="e">
        <f t="shared" si="195"/>
        <v>#N/A</v>
      </c>
      <c r="AQ432" s="7" t="e">
        <f t="shared" si="206"/>
        <v>#N/A</v>
      </c>
      <c r="AR432" s="7">
        <f t="shared" si="196"/>
        <v>0</v>
      </c>
      <c r="AS432" s="7" t="e">
        <f t="shared" si="207"/>
        <v>#N/A</v>
      </c>
      <c r="AT432" s="7" t="str">
        <f t="shared" si="197"/>
        <v/>
      </c>
      <c r="AU432" s="7" t="str">
        <f t="shared" si="198"/>
        <v/>
      </c>
      <c r="AV432" s="7" t="str">
        <f t="shared" si="199"/>
        <v/>
      </c>
      <c r="AW432" s="7" t="str">
        <f t="shared" si="200"/>
        <v/>
      </c>
      <c r="AX432" s="97"/>
      <c r="BD432" s="453" t="s">
        <v>403</v>
      </c>
      <c r="CG432"/>
      <c r="CH432"/>
      <c r="CK432" s="592" t="str">
        <f t="shared" si="208"/>
        <v/>
      </c>
      <c r="CL432" s="421" t="str">
        <f t="shared" si="209"/>
        <v/>
      </c>
      <c r="CM432" s="594"/>
      <c r="CN432" s="594"/>
      <c r="CO432" s="594"/>
      <c r="CP432" s="594"/>
      <c r="CQ432" s="594"/>
      <c r="CR432" s="594"/>
    </row>
    <row r="433" spans="1:96" s="13" customFormat="1" ht="13.75" customHeight="1">
      <c r="A433" s="137">
        <v>418</v>
      </c>
      <c r="B433" s="138"/>
      <c r="C433" s="139"/>
      <c r="D433" s="140"/>
      <c r="E433" s="139"/>
      <c r="F433" s="139"/>
      <c r="G433" s="191"/>
      <c r="H433" s="139"/>
      <c r="I433" s="141"/>
      <c r="J433" s="142"/>
      <c r="K433" s="139"/>
      <c r="L433" s="147"/>
      <c r="M433" s="148"/>
      <c r="N433" s="139"/>
      <c r="O433" s="589"/>
      <c r="P433" s="229" t="str">
        <f t="shared" si="201"/>
        <v/>
      </c>
      <c r="Q433" s="229" t="str">
        <f t="shared" si="202"/>
        <v/>
      </c>
      <c r="R433" s="230" t="str">
        <f t="shared" si="203"/>
        <v/>
      </c>
      <c r="S433" s="230" t="str">
        <f t="shared" si="204"/>
        <v/>
      </c>
      <c r="T433" s="351"/>
      <c r="U433" s="43"/>
      <c r="V433" s="42" t="str">
        <f t="shared" si="180"/>
        <v/>
      </c>
      <c r="W433" s="42" t="e">
        <f>IF(#REF!="","",#REF!)</f>
        <v>#REF!</v>
      </c>
      <c r="X433" s="31" t="str">
        <f t="shared" si="181"/>
        <v/>
      </c>
      <c r="Y433" s="7" t="e">
        <f t="shared" si="182"/>
        <v>#N/A</v>
      </c>
      <c r="Z433" s="7" t="e">
        <f t="shared" si="183"/>
        <v>#N/A</v>
      </c>
      <c r="AA433" s="7" t="e">
        <f t="shared" si="184"/>
        <v>#N/A</v>
      </c>
      <c r="AB433" s="7" t="str">
        <f t="shared" si="185"/>
        <v/>
      </c>
      <c r="AC433" s="11">
        <f t="shared" si="186"/>
        <v>1</v>
      </c>
      <c r="AD433" s="7" t="e">
        <f t="shared" si="187"/>
        <v>#N/A</v>
      </c>
      <c r="AE433" s="7" t="e">
        <f t="shared" si="188"/>
        <v>#N/A</v>
      </c>
      <c r="AF433" s="7" t="e">
        <f t="shared" si="189"/>
        <v>#N/A</v>
      </c>
      <c r="AG433" s="472" t="e">
        <f>VLOOKUP(AI433,'排出係数(2017)'!$A$4:$I$1151,9,FALSE)</f>
        <v>#N/A</v>
      </c>
      <c r="AH433" s="12" t="str">
        <f t="shared" si="190"/>
        <v xml:space="preserve"> </v>
      </c>
      <c r="AI433" s="7" t="e">
        <f t="shared" si="205"/>
        <v>#N/A</v>
      </c>
      <c r="AJ433" s="7" t="e">
        <f t="shared" si="191"/>
        <v>#N/A</v>
      </c>
      <c r="AK433" s="472" t="e">
        <f>VLOOKUP(AI433,'排出係数(2017)'!$A$4:$I$1151,6,FALSE)</f>
        <v>#N/A</v>
      </c>
      <c r="AL433" s="7" t="e">
        <f t="shared" si="192"/>
        <v>#N/A</v>
      </c>
      <c r="AM433" s="7" t="e">
        <f t="shared" si="193"/>
        <v>#N/A</v>
      </c>
      <c r="AN433" s="472" t="e">
        <f>VLOOKUP(AI433,'排出係数(2017)'!$A$4:$I$1151,7,FALSE)</f>
        <v>#N/A</v>
      </c>
      <c r="AO433" s="7" t="e">
        <f t="shared" si="194"/>
        <v>#N/A</v>
      </c>
      <c r="AP433" s="7" t="e">
        <f t="shared" si="195"/>
        <v>#N/A</v>
      </c>
      <c r="AQ433" s="7" t="e">
        <f t="shared" si="206"/>
        <v>#N/A</v>
      </c>
      <c r="AR433" s="7">
        <f t="shared" si="196"/>
        <v>0</v>
      </c>
      <c r="AS433" s="7" t="e">
        <f t="shared" si="207"/>
        <v>#N/A</v>
      </c>
      <c r="AT433" s="7" t="str">
        <f t="shared" si="197"/>
        <v/>
      </c>
      <c r="AU433" s="7" t="str">
        <f t="shared" si="198"/>
        <v/>
      </c>
      <c r="AV433" s="7" t="str">
        <f t="shared" si="199"/>
        <v/>
      </c>
      <c r="AW433" s="7" t="str">
        <f t="shared" si="200"/>
        <v/>
      </c>
      <c r="AX433" s="97"/>
      <c r="BD433" s="453" t="s">
        <v>1630</v>
      </c>
      <c r="CG433"/>
      <c r="CH433"/>
      <c r="CK433" s="592" t="str">
        <f t="shared" si="208"/>
        <v/>
      </c>
      <c r="CL433" s="421" t="str">
        <f t="shared" si="209"/>
        <v/>
      </c>
      <c r="CM433" s="594"/>
      <c r="CN433" s="594"/>
      <c r="CO433" s="594"/>
      <c r="CP433" s="594"/>
      <c r="CQ433" s="594"/>
      <c r="CR433" s="594"/>
    </row>
    <row r="434" spans="1:96" s="13" customFormat="1" ht="13.75" customHeight="1">
      <c r="A434" s="137">
        <v>419</v>
      </c>
      <c r="B434" s="138"/>
      <c r="C434" s="139"/>
      <c r="D434" s="140"/>
      <c r="E434" s="139"/>
      <c r="F434" s="139"/>
      <c r="G434" s="191"/>
      <c r="H434" s="139"/>
      <c r="I434" s="141"/>
      <c r="J434" s="142"/>
      <c r="K434" s="139"/>
      <c r="L434" s="147"/>
      <c r="M434" s="148"/>
      <c r="N434" s="139"/>
      <c r="O434" s="589"/>
      <c r="P434" s="229" t="str">
        <f t="shared" si="201"/>
        <v/>
      </c>
      <c r="Q434" s="229" t="str">
        <f t="shared" si="202"/>
        <v/>
      </c>
      <c r="R434" s="230" t="str">
        <f t="shared" si="203"/>
        <v/>
      </c>
      <c r="S434" s="230" t="str">
        <f t="shared" si="204"/>
        <v/>
      </c>
      <c r="T434" s="351"/>
      <c r="U434" s="43"/>
      <c r="V434" s="42" t="str">
        <f t="shared" si="180"/>
        <v/>
      </c>
      <c r="W434" s="42" t="e">
        <f>IF(#REF!="","",#REF!)</f>
        <v>#REF!</v>
      </c>
      <c r="X434" s="31" t="str">
        <f t="shared" si="181"/>
        <v/>
      </c>
      <c r="Y434" s="7" t="e">
        <f t="shared" si="182"/>
        <v>#N/A</v>
      </c>
      <c r="Z434" s="7" t="e">
        <f t="shared" si="183"/>
        <v>#N/A</v>
      </c>
      <c r="AA434" s="7" t="e">
        <f t="shared" si="184"/>
        <v>#N/A</v>
      </c>
      <c r="AB434" s="7" t="str">
        <f t="shared" si="185"/>
        <v/>
      </c>
      <c r="AC434" s="11">
        <f t="shared" si="186"/>
        <v>1</v>
      </c>
      <c r="AD434" s="7" t="e">
        <f t="shared" si="187"/>
        <v>#N/A</v>
      </c>
      <c r="AE434" s="7" t="e">
        <f t="shared" si="188"/>
        <v>#N/A</v>
      </c>
      <c r="AF434" s="7" t="e">
        <f t="shared" si="189"/>
        <v>#N/A</v>
      </c>
      <c r="AG434" s="472" t="e">
        <f>VLOOKUP(AI434,'排出係数(2017)'!$A$4:$I$1151,9,FALSE)</f>
        <v>#N/A</v>
      </c>
      <c r="AH434" s="12" t="str">
        <f t="shared" si="190"/>
        <v xml:space="preserve"> </v>
      </c>
      <c r="AI434" s="7" t="e">
        <f t="shared" si="205"/>
        <v>#N/A</v>
      </c>
      <c r="AJ434" s="7" t="e">
        <f t="shared" si="191"/>
        <v>#N/A</v>
      </c>
      <c r="AK434" s="472" t="e">
        <f>VLOOKUP(AI434,'排出係数(2017)'!$A$4:$I$1151,6,FALSE)</f>
        <v>#N/A</v>
      </c>
      <c r="AL434" s="7" t="e">
        <f t="shared" si="192"/>
        <v>#N/A</v>
      </c>
      <c r="AM434" s="7" t="e">
        <f t="shared" si="193"/>
        <v>#N/A</v>
      </c>
      <c r="AN434" s="472" t="e">
        <f>VLOOKUP(AI434,'排出係数(2017)'!$A$4:$I$1151,7,FALSE)</f>
        <v>#N/A</v>
      </c>
      <c r="AO434" s="7" t="e">
        <f t="shared" si="194"/>
        <v>#N/A</v>
      </c>
      <c r="AP434" s="7" t="e">
        <f t="shared" si="195"/>
        <v>#N/A</v>
      </c>
      <c r="AQ434" s="7" t="e">
        <f t="shared" si="206"/>
        <v>#N/A</v>
      </c>
      <c r="AR434" s="7">
        <f t="shared" si="196"/>
        <v>0</v>
      </c>
      <c r="AS434" s="7" t="e">
        <f t="shared" si="207"/>
        <v>#N/A</v>
      </c>
      <c r="AT434" s="7" t="str">
        <f t="shared" si="197"/>
        <v/>
      </c>
      <c r="AU434" s="7" t="str">
        <f t="shared" si="198"/>
        <v/>
      </c>
      <c r="AV434" s="7" t="str">
        <f t="shared" si="199"/>
        <v/>
      </c>
      <c r="AW434" s="7" t="str">
        <f t="shared" si="200"/>
        <v/>
      </c>
      <c r="AX434" s="97"/>
      <c r="BD434" s="453" t="s">
        <v>647</v>
      </c>
      <c r="CG434"/>
      <c r="CH434"/>
      <c r="CK434" s="592" t="str">
        <f t="shared" si="208"/>
        <v/>
      </c>
      <c r="CL434" s="421" t="str">
        <f t="shared" si="209"/>
        <v/>
      </c>
      <c r="CM434" s="594"/>
      <c r="CN434" s="594"/>
      <c r="CO434" s="594"/>
      <c r="CP434" s="594"/>
      <c r="CQ434" s="594"/>
      <c r="CR434" s="594"/>
    </row>
    <row r="435" spans="1:96" s="13" customFormat="1" ht="13.75" customHeight="1">
      <c r="A435" s="137">
        <v>420</v>
      </c>
      <c r="B435" s="138"/>
      <c r="C435" s="139"/>
      <c r="D435" s="140"/>
      <c r="E435" s="139"/>
      <c r="F435" s="139"/>
      <c r="G435" s="191"/>
      <c r="H435" s="139"/>
      <c r="I435" s="141"/>
      <c r="J435" s="142"/>
      <c r="K435" s="139"/>
      <c r="L435" s="147"/>
      <c r="M435" s="148"/>
      <c r="N435" s="139"/>
      <c r="O435" s="589"/>
      <c r="P435" s="229" t="str">
        <f t="shared" si="201"/>
        <v/>
      </c>
      <c r="Q435" s="229" t="str">
        <f t="shared" si="202"/>
        <v/>
      </c>
      <c r="R435" s="230" t="str">
        <f t="shared" si="203"/>
        <v/>
      </c>
      <c r="S435" s="230" t="str">
        <f t="shared" si="204"/>
        <v/>
      </c>
      <c r="T435" s="351"/>
      <c r="U435" s="43"/>
      <c r="V435" s="42" t="str">
        <f t="shared" si="180"/>
        <v/>
      </c>
      <c r="W435" s="42" t="e">
        <f>IF(#REF!="","",#REF!)</f>
        <v>#REF!</v>
      </c>
      <c r="X435" s="31" t="str">
        <f t="shared" si="181"/>
        <v/>
      </c>
      <c r="Y435" s="7" t="e">
        <f t="shared" si="182"/>
        <v>#N/A</v>
      </c>
      <c r="Z435" s="7" t="e">
        <f t="shared" si="183"/>
        <v>#N/A</v>
      </c>
      <c r="AA435" s="7" t="e">
        <f t="shared" si="184"/>
        <v>#N/A</v>
      </c>
      <c r="AB435" s="7" t="str">
        <f t="shared" si="185"/>
        <v/>
      </c>
      <c r="AC435" s="11">
        <f t="shared" si="186"/>
        <v>1</v>
      </c>
      <c r="AD435" s="7" t="e">
        <f t="shared" si="187"/>
        <v>#N/A</v>
      </c>
      <c r="AE435" s="7" t="e">
        <f t="shared" si="188"/>
        <v>#N/A</v>
      </c>
      <c r="AF435" s="7" t="e">
        <f t="shared" si="189"/>
        <v>#N/A</v>
      </c>
      <c r="AG435" s="472" t="e">
        <f>VLOOKUP(AI435,'排出係数(2017)'!$A$4:$I$1151,9,FALSE)</f>
        <v>#N/A</v>
      </c>
      <c r="AH435" s="12" t="str">
        <f t="shared" si="190"/>
        <v xml:space="preserve"> </v>
      </c>
      <c r="AI435" s="7" t="e">
        <f t="shared" si="205"/>
        <v>#N/A</v>
      </c>
      <c r="AJ435" s="7" t="e">
        <f t="shared" si="191"/>
        <v>#N/A</v>
      </c>
      <c r="AK435" s="472" t="e">
        <f>VLOOKUP(AI435,'排出係数(2017)'!$A$4:$I$1151,6,FALSE)</f>
        <v>#N/A</v>
      </c>
      <c r="AL435" s="7" t="e">
        <f t="shared" si="192"/>
        <v>#N/A</v>
      </c>
      <c r="AM435" s="7" t="e">
        <f t="shared" si="193"/>
        <v>#N/A</v>
      </c>
      <c r="AN435" s="472" t="e">
        <f>VLOOKUP(AI435,'排出係数(2017)'!$A$4:$I$1151,7,FALSE)</f>
        <v>#N/A</v>
      </c>
      <c r="AO435" s="7" t="e">
        <f t="shared" si="194"/>
        <v>#N/A</v>
      </c>
      <c r="AP435" s="7" t="e">
        <f t="shared" si="195"/>
        <v>#N/A</v>
      </c>
      <c r="AQ435" s="7" t="e">
        <f t="shared" si="206"/>
        <v>#N/A</v>
      </c>
      <c r="AR435" s="7">
        <f t="shared" si="196"/>
        <v>0</v>
      </c>
      <c r="AS435" s="7" t="e">
        <f t="shared" si="207"/>
        <v>#N/A</v>
      </c>
      <c r="AT435" s="7" t="str">
        <f t="shared" si="197"/>
        <v/>
      </c>
      <c r="AU435" s="7" t="str">
        <f t="shared" si="198"/>
        <v/>
      </c>
      <c r="AV435" s="7" t="str">
        <f t="shared" si="199"/>
        <v/>
      </c>
      <c r="AW435" s="7" t="str">
        <f t="shared" si="200"/>
        <v/>
      </c>
      <c r="AX435" s="97"/>
      <c r="BD435" s="467" t="s">
        <v>880</v>
      </c>
      <c r="CG435"/>
      <c r="CH435"/>
      <c r="CK435" s="592" t="str">
        <f t="shared" si="208"/>
        <v/>
      </c>
      <c r="CL435" s="421" t="str">
        <f t="shared" si="209"/>
        <v/>
      </c>
      <c r="CM435" s="594"/>
      <c r="CN435" s="594"/>
      <c r="CO435" s="594"/>
      <c r="CP435" s="594"/>
      <c r="CQ435" s="594"/>
      <c r="CR435" s="594"/>
    </row>
    <row r="436" spans="1:96" s="13" customFormat="1" ht="13.75" customHeight="1">
      <c r="A436" s="137">
        <v>421</v>
      </c>
      <c r="B436" s="138"/>
      <c r="C436" s="139"/>
      <c r="D436" s="140"/>
      <c r="E436" s="139"/>
      <c r="F436" s="139"/>
      <c r="G436" s="191"/>
      <c r="H436" s="139"/>
      <c r="I436" s="141"/>
      <c r="J436" s="142"/>
      <c r="K436" s="139"/>
      <c r="L436" s="147"/>
      <c r="M436" s="148"/>
      <c r="N436" s="139"/>
      <c r="O436" s="589"/>
      <c r="P436" s="229" t="str">
        <f t="shared" si="201"/>
        <v/>
      </c>
      <c r="Q436" s="229" t="str">
        <f t="shared" si="202"/>
        <v/>
      </c>
      <c r="R436" s="230" t="str">
        <f t="shared" si="203"/>
        <v/>
      </c>
      <c r="S436" s="230" t="str">
        <f t="shared" si="204"/>
        <v/>
      </c>
      <c r="T436" s="351"/>
      <c r="U436" s="43"/>
      <c r="V436" s="42" t="str">
        <f t="shared" si="180"/>
        <v/>
      </c>
      <c r="W436" s="42" t="e">
        <f>IF(#REF!="","",#REF!)</f>
        <v>#REF!</v>
      </c>
      <c r="X436" s="31" t="str">
        <f t="shared" si="181"/>
        <v/>
      </c>
      <c r="Y436" s="7" t="e">
        <f t="shared" si="182"/>
        <v>#N/A</v>
      </c>
      <c r="Z436" s="7" t="e">
        <f t="shared" si="183"/>
        <v>#N/A</v>
      </c>
      <c r="AA436" s="7" t="e">
        <f t="shared" si="184"/>
        <v>#N/A</v>
      </c>
      <c r="AB436" s="7" t="str">
        <f t="shared" si="185"/>
        <v/>
      </c>
      <c r="AC436" s="11">
        <f t="shared" si="186"/>
        <v>1</v>
      </c>
      <c r="AD436" s="7" t="e">
        <f t="shared" si="187"/>
        <v>#N/A</v>
      </c>
      <c r="AE436" s="7" t="e">
        <f t="shared" si="188"/>
        <v>#N/A</v>
      </c>
      <c r="AF436" s="7" t="e">
        <f t="shared" si="189"/>
        <v>#N/A</v>
      </c>
      <c r="AG436" s="472" t="e">
        <f>VLOOKUP(AI436,'排出係数(2017)'!$A$4:$I$1151,9,FALSE)</f>
        <v>#N/A</v>
      </c>
      <c r="AH436" s="12" t="str">
        <f t="shared" si="190"/>
        <v xml:space="preserve"> </v>
      </c>
      <c r="AI436" s="7" t="e">
        <f t="shared" si="205"/>
        <v>#N/A</v>
      </c>
      <c r="AJ436" s="7" t="e">
        <f t="shared" si="191"/>
        <v>#N/A</v>
      </c>
      <c r="AK436" s="472" t="e">
        <f>VLOOKUP(AI436,'排出係数(2017)'!$A$4:$I$1151,6,FALSE)</f>
        <v>#N/A</v>
      </c>
      <c r="AL436" s="7" t="e">
        <f t="shared" si="192"/>
        <v>#N/A</v>
      </c>
      <c r="AM436" s="7" t="e">
        <f t="shared" si="193"/>
        <v>#N/A</v>
      </c>
      <c r="AN436" s="472" t="e">
        <f>VLOOKUP(AI436,'排出係数(2017)'!$A$4:$I$1151,7,FALSE)</f>
        <v>#N/A</v>
      </c>
      <c r="AO436" s="7" t="e">
        <f t="shared" si="194"/>
        <v>#N/A</v>
      </c>
      <c r="AP436" s="7" t="e">
        <f t="shared" si="195"/>
        <v>#N/A</v>
      </c>
      <c r="AQ436" s="7" t="e">
        <f t="shared" si="206"/>
        <v>#N/A</v>
      </c>
      <c r="AR436" s="7">
        <f t="shared" si="196"/>
        <v>0</v>
      </c>
      <c r="AS436" s="7" t="e">
        <f t="shared" si="207"/>
        <v>#N/A</v>
      </c>
      <c r="AT436" s="7" t="str">
        <f t="shared" si="197"/>
        <v/>
      </c>
      <c r="AU436" s="7" t="str">
        <f t="shared" si="198"/>
        <v/>
      </c>
      <c r="AV436" s="7" t="str">
        <f t="shared" si="199"/>
        <v/>
      </c>
      <c r="AW436" s="7" t="str">
        <f t="shared" si="200"/>
        <v/>
      </c>
      <c r="AX436" s="97"/>
      <c r="BD436" s="473" t="s">
        <v>1087</v>
      </c>
      <c r="CG436"/>
      <c r="CH436"/>
      <c r="CK436" s="592" t="str">
        <f t="shared" si="208"/>
        <v/>
      </c>
      <c r="CL436" s="421" t="str">
        <f t="shared" si="209"/>
        <v/>
      </c>
      <c r="CM436" s="594"/>
      <c r="CN436" s="594"/>
      <c r="CO436" s="594"/>
      <c r="CP436" s="594"/>
      <c r="CQ436" s="594"/>
      <c r="CR436" s="594"/>
    </row>
    <row r="437" spans="1:96" s="13" customFormat="1" ht="13.75" customHeight="1">
      <c r="A437" s="137">
        <v>422</v>
      </c>
      <c r="B437" s="138"/>
      <c r="C437" s="139"/>
      <c r="D437" s="140"/>
      <c r="E437" s="139"/>
      <c r="F437" s="139"/>
      <c r="G437" s="191"/>
      <c r="H437" s="139"/>
      <c r="I437" s="141"/>
      <c r="J437" s="142"/>
      <c r="K437" s="139"/>
      <c r="L437" s="147"/>
      <c r="M437" s="148"/>
      <c r="N437" s="139"/>
      <c r="O437" s="589"/>
      <c r="P437" s="229" t="str">
        <f t="shared" si="201"/>
        <v/>
      </c>
      <c r="Q437" s="229" t="str">
        <f t="shared" si="202"/>
        <v/>
      </c>
      <c r="R437" s="230" t="str">
        <f t="shared" si="203"/>
        <v/>
      </c>
      <c r="S437" s="230" t="str">
        <f t="shared" si="204"/>
        <v/>
      </c>
      <c r="T437" s="351"/>
      <c r="U437" s="43"/>
      <c r="V437" s="42" t="str">
        <f t="shared" si="180"/>
        <v/>
      </c>
      <c r="W437" s="42" t="e">
        <f>IF(#REF!="","",#REF!)</f>
        <v>#REF!</v>
      </c>
      <c r="X437" s="31" t="str">
        <f t="shared" si="181"/>
        <v/>
      </c>
      <c r="Y437" s="7" t="e">
        <f t="shared" si="182"/>
        <v>#N/A</v>
      </c>
      <c r="Z437" s="7" t="e">
        <f t="shared" si="183"/>
        <v>#N/A</v>
      </c>
      <c r="AA437" s="7" t="e">
        <f t="shared" si="184"/>
        <v>#N/A</v>
      </c>
      <c r="AB437" s="7" t="str">
        <f t="shared" si="185"/>
        <v/>
      </c>
      <c r="AC437" s="11">
        <f t="shared" si="186"/>
        <v>1</v>
      </c>
      <c r="AD437" s="7" t="e">
        <f t="shared" si="187"/>
        <v>#N/A</v>
      </c>
      <c r="AE437" s="7" t="e">
        <f t="shared" si="188"/>
        <v>#N/A</v>
      </c>
      <c r="AF437" s="7" t="e">
        <f t="shared" si="189"/>
        <v>#N/A</v>
      </c>
      <c r="AG437" s="472" t="e">
        <f>VLOOKUP(AI437,'排出係数(2017)'!$A$4:$I$1151,9,FALSE)</f>
        <v>#N/A</v>
      </c>
      <c r="AH437" s="12" t="str">
        <f t="shared" si="190"/>
        <v xml:space="preserve"> </v>
      </c>
      <c r="AI437" s="7" t="e">
        <f t="shared" si="205"/>
        <v>#N/A</v>
      </c>
      <c r="AJ437" s="7" t="e">
        <f t="shared" si="191"/>
        <v>#N/A</v>
      </c>
      <c r="AK437" s="472" t="e">
        <f>VLOOKUP(AI437,'排出係数(2017)'!$A$4:$I$1151,6,FALSE)</f>
        <v>#N/A</v>
      </c>
      <c r="AL437" s="7" t="e">
        <f t="shared" si="192"/>
        <v>#N/A</v>
      </c>
      <c r="AM437" s="7" t="e">
        <f t="shared" si="193"/>
        <v>#N/A</v>
      </c>
      <c r="AN437" s="472" t="e">
        <f>VLOOKUP(AI437,'排出係数(2017)'!$A$4:$I$1151,7,FALSE)</f>
        <v>#N/A</v>
      </c>
      <c r="AO437" s="7" t="e">
        <f t="shared" si="194"/>
        <v>#N/A</v>
      </c>
      <c r="AP437" s="7" t="e">
        <f t="shared" si="195"/>
        <v>#N/A</v>
      </c>
      <c r="AQ437" s="7" t="e">
        <f t="shared" si="206"/>
        <v>#N/A</v>
      </c>
      <c r="AR437" s="7">
        <f t="shared" si="196"/>
        <v>0</v>
      </c>
      <c r="AS437" s="7" t="e">
        <f t="shared" si="207"/>
        <v>#N/A</v>
      </c>
      <c r="AT437" s="7" t="str">
        <f t="shared" si="197"/>
        <v/>
      </c>
      <c r="AU437" s="7" t="str">
        <f t="shared" si="198"/>
        <v/>
      </c>
      <c r="AV437" s="7" t="str">
        <f t="shared" si="199"/>
        <v/>
      </c>
      <c r="AW437" s="7" t="str">
        <f t="shared" si="200"/>
        <v/>
      </c>
      <c r="AX437" s="97"/>
      <c r="BD437" s="453" t="s">
        <v>1624</v>
      </c>
      <c r="CG437"/>
      <c r="CH437"/>
      <c r="CK437" s="592" t="str">
        <f t="shared" si="208"/>
        <v/>
      </c>
      <c r="CL437" s="421" t="str">
        <f t="shared" si="209"/>
        <v/>
      </c>
      <c r="CM437" s="594"/>
      <c r="CN437" s="594"/>
      <c r="CO437" s="594"/>
      <c r="CP437" s="594"/>
      <c r="CQ437" s="594"/>
      <c r="CR437" s="594"/>
    </row>
    <row r="438" spans="1:96" s="13" customFormat="1" ht="13.75" customHeight="1">
      <c r="A438" s="137">
        <v>423</v>
      </c>
      <c r="B438" s="138"/>
      <c r="C438" s="139"/>
      <c r="D438" s="140"/>
      <c r="E438" s="139"/>
      <c r="F438" s="139"/>
      <c r="G438" s="191"/>
      <c r="H438" s="139"/>
      <c r="I438" s="141"/>
      <c r="J438" s="142"/>
      <c r="K438" s="139"/>
      <c r="L438" s="147"/>
      <c r="M438" s="148"/>
      <c r="N438" s="139"/>
      <c r="O438" s="589"/>
      <c r="P438" s="229" t="str">
        <f t="shared" si="201"/>
        <v/>
      </c>
      <c r="Q438" s="229" t="str">
        <f t="shared" si="202"/>
        <v/>
      </c>
      <c r="R438" s="230" t="str">
        <f t="shared" si="203"/>
        <v/>
      </c>
      <c r="S438" s="230" t="str">
        <f t="shared" si="204"/>
        <v/>
      </c>
      <c r="T438" s="351"/>
      <c r="U438" s="43"/>
      <c r="V438" s="42" t="str">
        <f t="shared" si="180"/>
        <v/>
      </c>
      <c r="W438" s="42" t="e">
        <f>IF(#REF!="","",#REF!)</f>
        <v>#REF!</v>
      </c>
      <c r="X438" s="31" t="str">
        <f t="shared" si="181"/>
        <v/>
      </c>
      <c r="Y438" s="7" t="e">
        <f t="shared" si="182"/>
        <v>#N/A</v>
      </c>
      <c r="Z438" s="7" t="e">
        <f t="shared" si="183"/>
        <v>#N/A</v>
      </c>
      <c r="AA438" s="7" t="e">
        <f t="shared" si="184"/>
        <v>#N/A</v>
      </c>
      <c r="AB438" s="7" t="str">
        <f t="shared" si="185"/>
        <v/>
      </c>
      <c r="AC438" s="11">
        <f t="shared" si="186"/>
        <v>1</v>
      </c>
      <c r="AD438" s="7" t="e">
        <f t="shared" si="187"/>
        <v>#N/A</v>
      </c>
      <c r="AE438" s="7" t="e">
        <f t="shared" si="188"/>
        <v>#N/A</v>
      </c>
      <c r="AF438" s="7" t="e">
        <f t="shared" si="189"/>
        <v>#N/A</v>
      </c>
      <c r="AG438" s="472" t="e">
        <f>VLOOKUP(AI438,'排出係数(2017)'!$A$4:$I$1151,9,FALSE)</f>
        <v>#N/A</v>
      </c>
      <c r="AH438" s="12" t="str">
        <f t="shared" si="190"/>
        <v xml:space="preserve"> </v>
      </c>
      <c r="AI438" s="7" t="e">
        <f t="shared" si="205"/>
        <v>#N/A</v>
      </c>
      <c r="AJ438" s="7" t="e">
        <f t="shared" si="191"/>
        <v>#N/A</v>
      </c>
      <c r="AK438" s="472" t="e">
        <f>VLOOKUP(AI438,'排出係数(2017)'!$A$4:$I$1151,6,FALSE)</f>
        <v>#N/A</v>
      </c>
      <c r="AL438" s="7" t="e">
        <f t="shared" si="192"/>
        <v>#N/A</v>
      </c>
      <c r="AM438" s="7" t="e">
        <f t="shared" si="193"/>
        <v>#N/A</v>
      </c>
      <c r="AN438" s="472" t="e">
        <f>VLOOKUP(AI438,'排出係数(2017)'!$A$4:$I$1151,7,FALSE)</f>
        <v>#N/A</v>
      </c>
      <c r="AO438" s="7" t="e">
        <f t="shared" si="194"/>
        <v>#N/A</v>
      </c>
      <c r="AP438" s="7" t="e">
        <f t="shared" si="195"/>
        <v>#N/A</v>
      </c>
      <c r="AQ438" s="7" t="e">
        <f t="shared" si="206"/>
        <v>#N/A</v>
      </c>
      <c r="AR438" s="7">
        <f t="shared" si="196"/>
        <v>0</v>
      </c>
      <c r="AS438" s="7" t="e">
        <f t="shared" si="207"/>
        <v>#N/A</v>
      </c>
      <c r="AT438" s="7" t="str">
        <f t="shared" si="197"/>
        <v/>
      </c>
      <c r="AU438" s="7" t="str">
        <f t="shared" si="198"/>
        <v/>
      </c>
      <c r="AV438" s="7" t="str">
        <f t="shared" si="199"/>
        <v/>
      </c>
      <c r="AW438" s="7" t="str">
        <f t="shared" si="200"/>
        <v/>
      </c>
      <c r="AX438" s="97"/>
      <c r="BD438" s="467" t="s">
        <v>639</v>
      </c>
      <c r="CG438"/>
      <c r="CH438"/>
      <c r="CK438" s="592" t="str">
        <f t="shared" si="208"/>
        <v/>
      </c>
      <c r="CL438" s="421" t="str">
        <f t="shared" si="209"/>
        <v/>
      </c>
      <c r="CM438" s="594"/>
      <c r="CN438" s="594"/>
      <c r="CO438" s="594"/>
      <c r="CP438" s="594"/>
      <c r="CQ438" s="594"/>
      <c r="CR438" s="594"/>
    </row>
    <row r="439" spans="1:96" s="13" customFormat="1" ht="13.75" customHeight="1">
      <c r="A439" s="137">
        <v>424</v>
      </c>
      <c r="B439" s="138"/>
      <c r="C439" s="139"/>
      <c r="D439" s="140"/>
      <c r="E439" s="139"/>
      <c r="F439" s="139"/>
      <c r="G439" s="191"/>
      <c r="H439" s="139"/>
      <c r="I439" s="141"/>
      <c r="J439" s="142"/>
      <c r="K439" s="139"/>
      <c r="L439" s="147"/>
      <c r="M439" s="148"/>
      <c r="N439" s="139"/>
      <c r="O439" s="589"/>
      <c r="P439" s="229" t="str">
        <f t="shared" si="201"/>
        <v/>
      </c>
      <c r="Q439" s="229" t="str">
        <f t="shared" si="202"/>
        <v/>
      </c>
      <c r="R439" s="230" t="str">
        <f t="shared" si="203"/>
        <v/>
      </c>
      <c r="S439" s="230" t="str">
        <f t="shared" si="204"/>
        <v/>
      </c>
      <c r="T439" s="351"/>
      <c r="U439" s="43"/>
      <c r="V439" s="42" t="str">
        <f t="shared" si="180"/>
        <v/>
      </c>
      <c r="W439" s="42" t="e">
        <f>IF(#REF!="","",#REF!)</f>
        <v>#REF!</v>
      </c>
      <c r="X439" s="31" t="str">
        <f t="shared" si="181"/>
        <v/>
      </c>
      <c r="Y439" s="7" t="e">
        <f t="shared" si="182"/>
        <v>#N/A</v>
      </c>
      <c r="Z439" s="7" t="e">
        <f t="shared" si="183"/>
        <v>#N/A</v>
      </c>
      <c r="AA439" s="7" t="e">
        <f t="shared" si="184"/>
        <v>#N/A</v>
      </c>
      <c r="AB439" s="7" t="str">
        <f t="shared" si="185"/>
        <v/>
      </c>
      <c r="AC439" s="11">
        <f t="shared" si="186"/>
        <v>1</v>
      </c>
      <c r="AD439" s="7" t="e">
        <f t="shared" si="187"/>
        <v>#N/A</v>
      </c>
      <c r="AE439" s="7" t="e">
        <f t="shared" si="188"/>
        <v>#N/A</v>
      </c>
      <c r="AF439" s="7" t="e">
        <f t="shared" si="189"/>
        <v>#N/A</v>
      </c>
      <c r="AG439" s="472" t="e">
        <f>VLOOKUP(AI439,'排出係数(2017)'!$A$4:$I$1151,9,FALSE)</f>
        <v>#N/A</v>
      </c>
      <c r="AH439" s="12" t="str">
        <f t="shared" si="190"/>
        <v xml:space="preserve"> </v>
      </c>
      <c r="AI439" s="7" t="e">
        <f t="shared" si="205"/>
        <v>#N/A</v>
      </c>
      <c r="AJ439" s="7" t="e">
        <f t="shared" si="191"/>
        <v>#N/A</v>
      </c>
      <c r="AK439" s="472" t="e">
        <f>VLOOKUP(AI439,'排出係数(2017)'!$A$4:$I$1151,6,FALSE)</f>
        <v>#N/A</v>
      </c>
      <c r="AL439" s="7" t="e">
        <f t="shared" si="192"/>
        <v>#N/A</v>
      </c>
      <c r="AM439" s="7" t="e">
        <f t="shared" si="193"/>
        <v>#N/A</v>
      </c>
      <c r="AN439" s="472" t="e">
        <f>VLOOKUP(AI439,'排出係数(2017)'!$A$4:$I$1151,7,FALSE)</f>
        <v>#N/A</v>
      </c>
      <c r="AO439" s="7" t="e">
        <f t="shared" si="194"/>
        <v>#N/A</v>
      </c>
      <c r="AP439" s="7" t="e">
        <f t="shared" si="195"/>
        <v>#N/A</v>
      </c>
      <c r="AQ439" s="7" t="e">
        <f t="shared" si="206"/>
        <v>#N/A</v>
      </c>
      <c r="AR439" s="7">
        <f t="shared" si="196"/>
        <v>0</v>
      </c>
      <c r="AS439" s="7" t="e">
        <f t="shared" si="207"/>
        <v>#N/A</v>
      </c>
      <c r="AT439" s="7" t="str">
        <f t="shared" si="197"/>
        <v/>
      </c>
      <c r="AU439" s="7" t="str">
        <f t="shared" si="198"/>
        <v/>
      </c>
      <c r="AV439" s="7" t="str">
        <f t="shared" si="199"/>
        <v/>
      </c>
      <c r="AW439" s="7" t="str">
        <f t="shared" si="200"/>
        <v/>
      </c>
      <c r="AX439" s="97"/>
      <c r="BD439" s="467" t="s">
        <v>872</v>
      </c>
      <c r="CG439"/>
      <c r="CH439"/>
      <c r="CK439" s="592" t="str">
        <f t="shared" si="208"/>
        <v/>
      </c>
      <c r="CL439" s="421" t="str">
        <f t="shared" si="209"/>
        <v/>
      </c>
      <c r="CM439" s="594"/>
      <c r="CN439" s="594"/>
      <c r="CO439" s="594"/>
      <c r="CP439" s="594"/>
      <c r="CQ439" s="594"/>
      <c r="CR439" s="594"/>
    </row>
    <row r="440" spans="1:96" s="13" customFormat="1" ht="13.75" customHeight="1">
      <c r="A440" s="137">
        <v>425</v>
      </c>
      <c r="B440" s="138"/>
      <c r="C440" s="139"/>
      <c r="D440" s="140"/>
      <c r="E440" s="139"/>
      <c r="F440" s="139"/>
      <c r="G440" s="191"/>
      <c r="H440" s="139"/>
      <c r="I440" s="141"/>
      <c r="J440" s="142"/>
      <c r="K440" s="139"/>
      <c r="L440" s="147"/>
      <c r="M440" s="148"/>
      <c r="N440" s="139"/>
      <c r="O440" s="589"/>
      <c r="P440" s="229" t="str">
        <f t="shared" si="201"/>
        <v/>
      </c>
      <c r="Q440" s="229" t="str">
        <f t="shared" si="202"/>
        <v/>
      </c>
      <c r="R440" s="230" t="str">
        <f t="shared" si="203"/>
        <v/>
      </c>
      <c r="S440" s="230" t="str">
        <f t="shared" si="204"/>
        <v/>
      </c>
      <c r="T440" s="351"/>
      <c r="U440" s="43"/>
      <c r="V440" s="42" t="str">
        <f t="shared" si="180"/>
        <v/>
      </c>
      <c r="W440" s="42" t="e">
        <f>IF(#REF!="","",#REF!)</f>
        <v>#REF!</v>
      </c>
      <c r="X440" s="31" t="str">
        <f t="shared" si="181"/>
        <v/>
      </c>
      <c r="Y440" s="7" t="e">
        <f t="shared" si="182"/>
        <v>#N/A</v>
      </c>
      <c r="Z440" s="7" t="e">
        <f t="shared" si="183"/>
        <v>#N/A</v>
      </c>
      <c r="AA440" s="7" t="e">
        <f t="shared" si="184"/>
        <v>#N/A</v>
      </c>
      <c r="AB440" s="7" t="str">
        <f t="shared" si="185"/>
        <v/>
      </c>
      <c r="AC440" s="11">
        <f t="shared" si="186"/>
        <v>1</v>
      </c>
      <c r="AD440" s="7" t="e">
        <f t="shared" si="187"/>
        <v>#N/A</v>
      </c>
      <c r="AE440" s="7" t="e">
        <f t="shared" si="188"/>
        <v>#N/A</v>
      </c>
      <c r="AF440" s="7" t="e">
        <f t="shared" si="189"/>
        <v>#N/A</v>
      </c>
      <c r="AG440" s="472" t="e">
        <f>VLOOKUP(AI440,'排出係数(2017)'!$A$4:$I$1151,9,FALSE)</f>
        <v>#N/A</v>
      </c>
      <c r="AH440" s="12" t="str">
        <f t="shared" si="190"/>
        <v xml:space="preserve"> </v>
      </c>
      <c r="AI440" s="7" t="e">
        <f t="shared" si="205"/>
        <v>#N/A</v>
      </c>
      <c r="AJ440" s="7" t="e">
        <f t="shared" si="191"/>
        <v>#N/A</v>
      </c>
      <c r="AK440" s="472" t="e">
        <f>VLOOKUP(AI440,'排出係数(2017)'!$A$4:$I$1151,6,FALSE)</f>
        <v>#N/A</v>
      </c>
      <c r="AL440" s="7" t="e">
        <f t="shared" si="192"/>
        <v>#N/A</v>
      </c>
      <c r="AM440" s="7" t="e">
        <f t="shared" si="193"/>
        <v>#N/A</v>
      </c>
      <c r="AN440" s="472" t="e">
        <f>VLOOKUP(AI440,'排出係数(2017)'!$A$4:$I$1151,7,FALSE)</f>
        <v>#N/A</v>
      </c>
      <c r="AO440" s="7" t="e">
        <f t="shared" si="194"/>
        <v>#N/A</v>
      </c>
      <c r="AP440" s="7" t="e">
        <f t="shared" si="195"/>
        <v>#N/A</v>
      </c>
      <c r="AQ440" s="7" t="e">
        <f t="shared" si="206"/>
        <v>#N/A</v>
      </c>
      <c r="AR440" s="7">
        <f t="shared" si="196"/>
        <v>0</v>
      </c>
      <c r="AS440" s="7" t="e">
        <f t="shared" si="207"/>
        <v>#N/A</v>
      </c>
      <c r="AT440" s="7" t="str">
        <f t="shared" si="197"/>
        <v/>
      </c>
      <c r="AU440" s="7" t="str">
        <f t="shared" si="198"/>
        <v/>
      </c>
      <c r="AV440" s="7" t="str">
        <f t="shared" si="199"/>
        <v/>
      </c>
      <c r="AW440" s="7" t="str">
        <f t="shared" si="200"/>
        <v/>
      </c>
      <c r="AX440" s="97"/>
      <c r="BD440" s="473" t="s">
        <v>1079</v>
      </c>
      <c r="CG440"/>
      <c r="CH440"/>
      <c r="CK440" s="592" t="str">
        <f t="shared" si="208"/>
        <v/>
      </c>
      <c r="CL440" s="421" t="str">
        <f t="shared" si="209"/>
        <v/>
      </c>
      <c r="CM440" s="594"/>
      <c r="CN440" s="594"/>
      <c r="CO440" s="594"/>
      <c r="CP440" s="594"/>
      <c r="CQ440" s="594"/>
      <c r="CR440" s="594"/>
    </row>
    <row r="441" spans="1:96" s="13" customFormat="1" ht="13.75" customHeight="1">
      <c r="A441" s="137">
        <v>426</v>
      </c>
      <c r="B441" s="138"/>
      <c r="C441" s="139"/>
      <c r="D441" s="140"/>
      <c r="E441" s="139"/>
      <c r="F441" s="139"/>
      <c r="G441" s="191"/>
      <c r="H441" s="139"/>
      <c r="I441" s="141"/>
      <c r="J441" s="142"/>
      <c r="K441" s="139"/>
      <c r="L441" s="147"/>
      <c r="M441" s="148"/>
      <c r="N441" s="139"/>
      <c r="O441" s="589"/>
      <c r="P441" s="229" t="str">
        <f t="shared" si="201"/>
        <v/>
      </c>
      <c r="Q441" s="229" t="str">
        <f t="shared" si="202"/>
        <v/>
      </c>
      <c r="R441" s="230" t="str">
        <f t="shared" si="203"/>
        <v/>
      </c>
      <c r="S441" s="230" t="str">
        <f t="shared" si="204"/>
        <v/>
      </c>
      <c r="T441" s="351"/>
      <c r="U441" s="43"/>
      <c r="V441" s="42" t="str">
        <f t="shared" si="180"/>
        <v/>
      </c>
      <c r="W441" s="42" t="e">
        <f>IF(#REF!="","",#REF!)</f>
        <v>#REF!</v>
      </c>
      <c r="X441" s="31" t="str">
        <f t="shared" si="181"/>
        <v/>
      </c>
      <c r="Y441" s="7" t="e">
        <f t="shared" si="182"/>
        <v>#N/A</v>
      </c>
      <c r="Z441" s="7" t="e">
        <f t="shared" si="183"/>
        <v>#N/A</v>
      </c>
      <c r="AA441" s="7" t="e">
        <f t="shared" si="184"/>
        <v>#N/A</v>
      </c>
      <c r="AB441" s="7" t="str">
        <f t="shared" si="185"/>
        <v/>
      </c>
      <c r="AC441" s="11">
        <f t="shared" si="186"/>
        <v>1</v>
      </c>
      <c r="AD441" s="7" t="e">
        <f t="shared" si="187"/>
        <v>#N/A</v>
      </c>
      <c r="AE441" s="7" t="e">
        <f t="shared" si="188"/>
        <v>#N/A</v>
      </c>
      <c r="AF441" s="7" t="e">
        <f t="shared" si="189"/>
        <v>#N/A</v>
      </c>
      <c r="AG441" s="472" t="e">
        <f>VLOOKUP(AI441,'排出係数(2017)'!$A$4:$I$1151,9,FALSE)</f>
        <v>#N/A</v>
      </c>
      <c r="AH441" s="12" t="str">
        <f t="shared" si="190"/>
        <v xml:space="preserve"> </v>
      </c>
      <c r="AI441" s="7" t="e">
        <f t="shared" si="205"/>
        <v>#N/A</v>
      </c>
      <c r="AJ441" s="7" t="e">
        <f t="shared" si="191"/>
        <v>#N/A</v>
      </c>
      <c r="AK441" s="472" t="e">
        <f>VLOOKUP(AI441,'排出係数(2017)'!$A$4:$I$1151,6,FALSE)</f>
        <v>#N/A</v>
      </c>
      <c r="AL441" s="7" t="e">
        <f t="shared" si="192"/>
        <v>#N/A</v>
      </c>
      <c r="AM441" s="7" t="e">
        <f t="shared" si="193"/>
        <v>#N/A</v>
      </c>
      <c r="AN441" s="472" t="e">
        <f>VLOOKUP(AI441,'排出係数(2017)'!$A$4:$I$1151,7,FALSE)</f>
        <v>#N/A</v>
      </c>
      <c r="AO441" s="7" t="e">
        <f t="shared" si="194"/>
        <v>#N/A</v>
      </c>
      <c r="AP441" s="7" t="e">
        <f t="shared" si="195"/>
        <v>#N/A</v>
      </c>
      <c r="AQ441" s="7" t="e">
        <f t="shared" si="206"/>
        <v>#N/A</v>
      </c>
      <c r="AR441" s="7">
        <f t="shared" si="196"/>
        <v>0</v>
      </c>
      <c r="AS441" s="7" t="e">
        <f t="shared" si="207"/>
        <v>#N/A</v>
      </c>
      <c r="AT441" s="7" t="str">
        <f t="shared" si="197"/>
        <v/>
      </c>
      <c r="AU441" s="7" t="str">
        <f t="shared" si="198"/>
        <v/>
      </c>
      <c r="AV441" s="7" t="str">
        <f t="shared" si="199"/>
        <v/>
      </c>
      <c r="AW441" s="7" t="str">
        <f t="shared" si="200"/>
        <v/>
      </c>
      <c r="AX441" s="97"/>
      <c r="BD441" s="453" t="s">
        <v>1686</v>
      </c>
      <c r="CG441"/>
      <c r="CH441"/>
      <c r="CK441" s="592" t="str">
        <f t="shared" si="208"/>
        <v/>
      </c>
      <c r="CL441" s="421" t="str">
        <f t="shared" si="209"/>
        <v/>
      </c>
      <c r="CM441" s="594"/>
      <c r="CN441" s="594"/>
      <c r="CO441" s="594"/>
      <c r="CP441" s="594"/>
      <c r="CQ441" s="594"/>
      <c r="CR441" s="594"/>
    </row>
    <row r="442" spans="1:96" s="13" customFormat="1" ht="13.75" customHeight="1">
      <c r="A442" s="137">
        <v>427</v>
      </c>
      <c r="B442" s="138"/>
      <c r="C442" s="139"/>
      <c r="D442" s="140"/>
      <c r="E442" s="139"/>
      <c r="F442" s="139"/>
      <c r="G442" s="191"/>
      <c r="H442" s="139"/>
      <c r="I442" s="141"/>
      <c r="J442" s="142"/>
      <c r="K442" s="139"/>
      <c r="L442" s="147"/>
      <c r="M442" s="148"/>
      <c r="N442" s="139"/>
      <c r="O442" s="589"/>
      <c r="P442" s="229" t="str">
        <f t="shared" si="201"/>
        <v/>
      </c>
      <c r="Q442" s="229" t="str">
        <f t="shared" si="202"/>
        <v/>
      </c>
      <c r="R442" s="230" t="str">
        <f t="shared" si="203"/>
        <v/>
      </c>
      <c r="S442" s="230" t="str">
        <f t="shared" si="204"/>
        <v/>
      </c>
      <c r="T442" s="351"/>
      <c r="U442" s="43"/>
      <c r="V442" s="42" t="str">
        <f t="shared" si="180"/>
        <v/>
      </c>
      <c r="W442" s="42" t="e">
        <f>IF(#REF!="","",#REF!)</f>
        <v>#REF!</v>
      </c>
      <c r="X442" s="31" t="str">
        <f t="shared" si="181"/>
        <v/>
      </c>
      <c r="Y442" s="7" t="e">
        <f t="shared" si="182"/>
        <v>#N/A</v>
      </c>
      <c r="Z442" s="7" t="e">
        <f t="shared" si="183"/>
        <v>#N/A</v>
      </c>
      <c r="AA442" s="7" t="e">
        <f t="shared" si="184"/>
        <v>#N/A</v>
      </c>
      <c r="AB442" s="7" t="str">
        <f t="shared" si="185"/>
        <v/>
      </c>
      <c r="AC442" s="11">
        <f t="shared" si="186"/>
        <v>1</v>
      </c>
      <c r="AD442" s="7" t="e">
        <f t="shared" si="187"/>
        <v>#N/A</v>
      </c>
      <c r="AE442" s="7" t="e">
        <f t="shared" si="188"/>
        <v>#N/A</v>
      </c>
      <c r="AF442" s="7" t="e">
        <f t="shared" si="189"/>
        <v>#N/A</v>
      </c>
      <c r="AG442" s="472" t="e">
        <f>VLOOKUP(AI442,'排出係数(2017)'!$A$4:$I$1151,9,FALSE)</f>
        <v>#N/A</v>
      </c>
      <c r="AH442" s="12" t="str">
        <f t="shared" si="190"/>
        <v xml:space="preserve"> </v>
      </c>
      <c r="AI442" s="7" t="e">
        <f t="shared" si="205"/>
        <v>#N/A</v>
      </c>
      <c r="AJ442" s="7" t="e">
        <f t="shared" si="191"/>
        <v>#N/A</v>
      </c>
      <c r="AK442" s="472" t="e">
        <f>VLOOKUP(AI442,'排出係数(2017)'!$A$4:$I$1151,6,FALSE)</f>
        <v>#N/A</v>
      </c>
      <c r="AL442" s="7" t="e">
        <f t="shared" si="192"/>
        <v>#N/A</v>
      </c>
      <c r="AM442" s="7" t="e">
        <f t="shared" si="193"/>
        <v>#N/A</v>
      </c>
      <c r="AN442" s="472" t="e">
        <f>VLOOKUP(AI442,'排出係数(2017)'!$A$4:$I$1151,7,FALSE)</f>
        <v>#N/A</v>
      </c>
      <c r="AO442" s="7" t="e">
        <f t="shared" si="194"/>
        <v>#N/A</v>
      </c>
      <c r="AP442" s="7" t="e">
        <f t="shared" si="195"/>
        <v>#N/A</v>
      </c>
      <c r="AQ442" s="7" t="e">
        <f t="shared" si="206"/>
        <v>#N/A</v>
      </c>
      <c r="AR442" s="7">
        <f t="shared" si="196"/>
        <v>0</v>
      </c>
      <c r="AS442" s="7" t="e">
        <f t="shared" si="207"/>
        <v>#N/A</v>
      </c>
      <c r="AT442" s="7" t="str">
        <f t="shared" si="197"/>
        <v/>
      </c>
      <c r="AU442" s="7" t="str">
        <f t="shared" si="198"/>
        <v/>
      </c>
      <c r="AV442" s="7" t="str">
        <f t="shared" si="199"/>
        <v/>
      </c>
      <c r="AW442" s="7" t="str">
        <f t="shared" si="200"/>
        <v/>
      </c>
      <c r="AX442" s="97"/>
      <c r="BD442" s="473" t="s">
        <v>1155</v>
      </c>
      <c r="CG442"/>
      <c r="CH442"/>
      <c r="CK442" s="592" t="str">
        <f t="shared" si="208"/>
        <v/>
      </c>
      <c r="CL442" s="421" t="str">
        <f t="shared" si="209"/>
        <v/>
      </c>
      <c r="CM442" s="594"/>
      <c r="CN442" s="594"/>
      <c r="CO442" s="594"/>
      <c r="CP442" s="594"/>
      <c r="CQ442" s="594"/>
      <c r="CR442" s="594"/>
    </row>
    <row r="443" spans="1:96" s="13" customFormat="1" ht="13.75" customHeight="1">
      <c r="A443" s="137">
        <v>428</v>
      </c>
      <c r="B443" s="138"/>
      <c r="C443" s="139"/>
      <c r="D443" s="140"/>
      <c r="E443" s="139"/>
      <c r="F443" s="139"/>
      <c r="G443" s="191"/>
      <c r="H443" s="139"/>
      <c r="I443" s="141"/>
      <c r="J443" s="142"/>
      <c r="K443" s="139"/>
      <c r="L443" s="147"/>
      <c r="M443" s="148"/>
      <c r="N443" s="139"/>
      <c r="O443" s="589"/>
      <c r="P443" s="229" t="str">
        <f t="shared" si="201"/>
        <v/>
      </c>
      <c r="Q443" s="229" t="str">
        <f t="shared" si="202"/>
        <v/>
      </c>
      <c r="R443" s="230" t="str">
        <f t="shared" si="203"/>
        <v/>
      </c>
      <c r="S443" s="230" t="str">
        <f t="shared" si="204"/>
        <v/>
      </c>
      <c r="T443" s="351"/>
      <c r="U443" s="43"/>
      <c r="V443" s="42" t="str">
        <f t="shared" si="180"/>
        <v/>
      </c>
      <c r="W443" s="42" t="e">
        <f>IF(#REF!="","",#REF!)</f>
        <v>#REF!</v>
      </c>
      <c r="X443" s="31" t="str">
        <f t="shared" si="181"/>
        <v/>
      </c>
      <c r="Y443" s="7" t="e">
        <f t="shared" si="182"/>
        <v>#N/A</v>
      </c>
      <c r="Z443" s="7" t="e">
        <f t="shared" si="183"/>
        <v>#N/A</v>
      </c>
      <c r="AA443" s="7" t="e">
        <f t="shared" si="184"/>
        <v>#N/A</v>
      </c>
      <c r="AB443" s="7" t="str">
        <f t="shared" si="185"/>
        <v/>
      </c>
      <c r="AC443" s="11">
        <f t="shared" si="186"/>
        <v>1</v>
      </c>
      <c r="AD443" s="7" t="e">
        <f t="shared" si="187"/>
        <v>#N/A</v>
      </c>
      <c r="AE443" s="7" t="e">
        <f t="shared" si="188"/>
        <v>#N/A</v>
      </c>
      <c r="AF443" s="7" t="e">
        <f t="shared" si="189"/>
        <v>#N/A</v>
      </c>
      <c r="AG443" s="472" t="e">
        <f>VLOOKUP(AI443,'排出係数(2017)'!$A$4:$I$1151,9,FALSE)</f>
        <v>#N/A</v>
      </c>
      <c r="AH443" s="12" t="str">
        <f t="shared" si="190"/>
        <v xml:space="preserve"> </v>
      </c>
      <c r="AI443" s="7" t="e">
        <f t="shared" si="205"/>
        <v>#N/A</v>
      </c>
      <c r="AJ443" s="7" t="e">
        <f t="shared" si="191"/>
        <v>#N/A</v>
      </c>
      <c r="AK443" s="472" t="e">
        <f>VLOOKUP(AI443,'排出係数(2017)'!$A$4:$I$1151,6,FALSE)</f>
        <v>#N/A</v>
      </c>
      <c r="AL443" s="7" t="e">
        <f t="shared" si="192"/>
        <v>#N/A</v>
      </c>
      <c r="AM443" s="7" t="e">
        <f t="shared" si="193"/>
        <v>#N/A</v>
      </c>
      <c r="AN443" s="472" t="e">
        <f>VLOOKUP(AI443,'排出係数(2017)'!$A$4:$I$1151,7,FALSE)</f>
        <v>#N/A</v>
      </c>
      <c r="AO443" s="7" t="e">
        <f t="shared" si="194"/>
        <v>#N/A</v>
      </c>
      <c r="AP443" s="7" t="e">
        <f t="shared" si="195"/>
        <v>#N/A</v>
      </c>
      <c r="AQ443" s="7" t="e">
        <f t="shared" si="206"/>
        <v>#N/A</v>
      </c>
      <c r="AR443" s="7">
        <f t="shared" si="196"/>
        <v>0</v>
      </c>
      <c r="AS443" s="7" t="e">
        <f t="shared" si="207"/>
        <v>#N/A</v>
      </c>
      <c r="AT443" s="7" t="str">
        <f t="shared" si="197"/>
        <v/>
      </c>
      <c r="AU443" s="7" t="str">
        <f t="shared" si="198"/>
        <v/>
      </c>
      <c r="AV443" s="7" t="str">
        <f t="shared" si="199"/>
        <v/>
      </c>
      <c r="AW443" s="7" t="str">
        <f t="shared" si="200"/>
        <v/>
      </c>
      <c r="AX443" s="97"/>
      <c r="BD443" s="467" t="s">
        <v>1188</v>
      </c>
      <c r="CG443"/>
      <c r="CH443"/>
      <c r="CK443" s="592" t="str">
        <f t="shared" si="208"/>
        <v/>
      </c>
      <c r="CL443" s="421" t="str">
        <f t="shared" si="209"/>
        <v/>
      </c>
      <c r="CM443" s="594"/>
      <c r="CN443" s="594"/>
      <c r="CO443" s="594"/>
      <c r="CP443" s="594"/>
      <c r="CQ443" s="594"/>
      <c r="CR443" s="594"/>
    </row>
    <row r="444" spans="1:96" s="13" customFormat="1" ht="13.75" customHeight="1">
      <c r="A444" s="137">
        <v>429</v>
      </c>
      <c r="B444" s="138"/>
      <c r="C444" s="139"/>
      <c r="D444" s="140"/>
      <c r="E444" s="139"/>
      <c r="F444" s="139"/>
      <c r="G444" s="191"/>
      <c r="H444" s="139"/>
      <c r="I444" s="141"/>
      <c r="J444" s="142"/>
      <c r="K444" s="139"/>
      <c r="L444" s="147"/>
      <c r="M444" s="148"/>
      <c r="N444" s="139"/>
      <c r="O444" s="589"/>
      <c r="P444" s="229" t="str">
        <f t="shared" si="201"/>
        <v/>
      </c>
      <c r="Q444" s="229" t="str">
        <f t="shared" si="202"/>
        <v/>
      </c>
      <c r="R444" s="230" t="str">
        <f t="shared" si="203"/>
        <v/>
      </c>
      <c r="S444" s="230" t="str">
        <f t="shared" si="204"/>
        <v/>
      </c>
      <c r="T444" s="351"/>
      <c r="U444" s="43"/>
      <c r="V444" s="42" t="str">
        <f t="shared" si="180"/>
        <v/>
      </c>
      <c r="W444" s="42" t="e">
        <f>IF(#REF!="","",#REF!)</f>
        <v>#REF!</v>
      </c>
      <c r="X444" s="31" t="str">
        <f t="shared" si="181"/>
        <v/>
      </c>
      <c r="Y444" s="7" t="e">
        <f t="shared" si="182"/>
        <v>#N/A</v>
      </c>
      <c r="Z444" s="7" t="e">
        <f t="shared" si="183"/>
        <v>#N/A</v>
      </c>
      <c r="AA444" s="7" t="e">
        <f t="shared" si="184"/>
        <v>#N/A</v>
      </c>
      <c r="AB444" s="7" t="str">
        <f t="shared" si="185"/>
        <v/>
      </c>
      <c r="AC444" s="11">
        <f t="shared" si="186"/>
        <v>1</v>
      </c>
      <c r="AD444" s="7" t="e">
        <f t="shared" si="187"/>
        <v>#N/A</v>
      </c>
      <c r="AE444" s="7" t="e">
        <f t="shared" si="188"/>
        <v>#N/A</v>
      </c>
      <c r="AF444" s="7" t="e">
        <f t="shared" si="189"/>
        <v>#N/A</v>
      </c>
      <c r="AG444" s="472" t="e">
        <f>VLOOKUP(AI444,'排出係数(2017)'!$A$4:$I$1151,9,FALSE)</f>
        <v>#N/A</v>
      </c>
      <c r="AH444" s="12" t="str">
        <f t="shared" si="190"/>
        <v xml:space="preserve"> </v>
      </c>
      <c r="AI444" s="7" t="e">
        <f t="shared" si="205"/>
        <v>#N/A</v>
      </c>
      <c r="AJ444" s="7" t="e">
        <f t="shared" si="191"/>
        <v>#N/A</v>
      </c>
      <c r="AK444" s="472" t="e">
        <f>VLOOKUP(AI444,'排出係数(2017)'!$A$4:$I$1151,6,FALSE)</f>
        <v>#N/A</v>
      </c>
      <c r="AL444" s="7" t="e">
        <f t="shared" si="192"/>
        <v>#N/A</v>
      </c>
      <c r="AM444" s="7" t="e">
        <f t="shared" si="193"/>
        <v>#N/A</v>
      </c>
      <c r="AN444" s="472" t="e">
        <f>VLOOKUP(AI444,'排出係数(2017)'!$A$4:$I$1151,7,FALSE)</f>
        <v>#N/A</v>
      </c>
      <c r="AO444" s="7" t="e">
        <f t="shared" si="194"/>
        <v>#N/A</v>
      </c>
      <c r="AP444" s="7" t="e">
        <f t="shared" si="195"/>
        <v>#N/A</v>
      </c>
      <c r="AQ444" s="7" t="e">
        <f t="shared" si="206"/>
        <v>#N/A</v>
      </c>
      <c r="AR444" s="7">
        <f t="shared" si="196"/>
        <v>0</v>
      </c>
      <c r="AS444" s="7" t="e">
        <f t="shared" si="207"/>
        <v>#N/A</v>
      </c>
      <c r="AT444" s="7" t="str">
        <f t="shared" si="197"/>
        <v/>
      </c>
      <c r="AU444" s="7" t="str">
        <f t="shared" si="198"/>
        <v/>
      </c>
      <c r="AV444" s="7" t="str">
        <f t="shared" si="199"/>
        <v/>
      </c>
      <c r="AW444" s="7" t="str">
        <f t="shared" si="200"/>
        <v/>
      </c>
      <c r="AX444" s="97"/>
      <c r="BD444" s="453" t="s">
        <v>1249</v>
      </c>
      <c r="CG444"/>
      <c r="CH444"/>
      <c r="CK444" s="592" t="str">
        <f t="shared" si="208"/>
        <v/>
      </c>
      <c r="CL444" s="421" t="str">
        <f t="shared" si="209"/>
        <v/>
      </c>
      <c r="CM444" s="594"/>
      <c r="CN444" s="594"/>
      <c r="CO444" s="594"/>
      <c r="CP444" s="594"/>
      <c r="CQ444" s="594"/>
      <c r="CR444" s="594"/>
    </row>
    <row r="445" spans="1:96" s="13" customFormat="1" ht="13.75" customHeight="1">
      <c r="A445" s="137">
        <v>430</v>
      </c>
      <c r="B445" s="138"/>
      <c r="C445" s="139"/>
      <c r="D445" s="140"/>
      <c r="E445" s="139"/>
      <c r="F445" s="139"/>
      <c r="G445" s="191"/>
      <c r="H445" s="139"/>
      <c r="I445" s="141"/>
      <c r="J445" s="142"/>
      <c r="K445" s="139"/>
      <c r="L445" s="147"/>
      <c r="M445" s="148"/>
      <c r="N445" s="139"/>
      <c r="O445" s="589"/>
      <c r="P445" s="229" t="str">
        <f t="shared" si="201"/>
        <v/>
      </c>
      <c r="Q445" s="229" t="str">
        <f t="shared" si="202"/>
        <v/>
      </c>
      <c r="R445" s="230" t="str">
        <f t="shared" si="203"/>
        <v/>
      </c>
      <c r="S445" s="230" t="str">
        <f t="shared" si="204"/>
        <v/>
      </c>
      <c r="T445" s="351"/>
      <c r="U445" s="43"/>
      <c r="V445" s="42" t="str">
        <f t="shared" si="180"/>
        <v/>
      </c>
      <c r="W445" s="42" t="e">
        <f>IF(#REF!="","",#REF!)</f>
        <v>#REF!</v>
      </c>
      <c r="X445" s="31" t="str">
        <f t="shared" si="181"/>
        <v/>
      </c>
      <c r="Y445" s="7" t="e">
        <f t="shared" si="182"/>
        <v>#N/A</v>
      </c>
      <c r="Z445" s="7" t="e">
        <f t="shared" si="183"/>
        <v>#N/A</v>
      </c>
      <c r="AA445" s="7" t="e">
        <f t="shared" si="184"/>
        <v>#N/A</v>
      </c>
      <c r="AB445" s="7" t="str">
        <f t="shared" si="185"/>
        <v/>
      </c>
      <c r="AC445" s="11">
        <f t="shared" si="186"/>
        <v>1</v>
      </c>
      <c r="AD445" s="7" t="e">
        <f t="shared" si="187"/>
        <v>#N/A</v>
      </c>
      <c r="AE445" s="7" t="e">
        <f t="shared" si="188"/>
        <v>#N/A</v>
      </c>
      <c r="AF445" s="7" t="e">
        <f t="shared" si="189"/>
        <v>#N/A</v>
      </c>
      <c r="AG445" s="472" t="e">
        <f>VLOOKUP(AI445,'排出係数(2017)'!$A$4:$I$1151,9,FALSE)</f>
        <v>#N/A</v>
      </c>
      <c r="AH445" s="12" t="str">
        <f t="shared" si="190"/>
        <v xml:space="preserve"> </v>
      </c>
      <c r="AI445" s="7" t="e">
        <f t="shared" si="205"/>
        <v>#N/A</v>
      </c>
      <c r="AJ445" s="7" t="e">
        <f t="shared" si="191"/>
        <v>#N/A</v>
      </c>
      <c r="AK445" s="472" t="e">
        <f>VLOOKUP(AI445,'排出係数(2017)'!$A$4:$I$1151,6,FALSE)</f>
        <v>#N/A</v>
      </c>
      <c r="AL445" s="7" t="e">
        <f t="shared" si="192"/>
        <v>#N/A</v>
      </c>
      <c r="AM445" s="7" t="e">
        <f t="shared" si="193"/>
        <v>#N/A</v>
      </c>
      <c r="AN445" s="472" t="e">
        <f>VLOOKUP(AI445,'排出係数(2017)'!$A$4:$I$1151,7,FALSE)</f>
        <v>#N/A</v>
      </c>
      <c r="AO445" s="7" t="e">
        <f t="shared" si="194"/>
        <v>#N/A</v>
      </c>
      <c r="AP445" s="7" t="e">
        <f t="shared" si="195"/>
        <v>#N/A</v>
      </c>
      <c r="AQ445" s="7" t="e">
        <f t="shared" si="206"/>
        <v>#N/A</v>
      </c>
      <c r="AR445" s="7">
        <f t="shared" si="196"/>
        <v>0</v>
      </c>
      <c r="AS445" s="7" t="e">
        <f t="shared" si="207"/>
        <v>#N/A</v>
      </c>
      <c r="AT445" s="7" t="str">
        <f t="shared" si="197"/>
        <v/>
      </c>
      <c r="AU445" s="7" t="str">
        <f t="shared" si="198"/>
        <v/>
      </c>
      <c r="AV445" s="7" t="str">
        <f t="shared" si="199"/>
        <v/>
      </c>
      <c r="AW445" s="7" t="str">
        <f t="shared" si="200"/>
        <v/>
      </c>
      <c r="AX445" s="97"/>
      <c r="BD445" s="453" t="s">
        <v>1684</v>
      </c>
      <c r="CG445"/>
      <c r="CH445"/>
      <c r="CK445" s="592" t="str">
        <f t="shared" si="208"/>
        <v/>
      </c>
      <c r="CL445" s="421" t="str">
        <f t="shared" si="209"/>
        <v/>
      </c>
      <c r="CM445" s="594"/>
      <c r="CN445" s="594"/>
      <c r="CO445" s="594"/>
      <c r="CP445" s="594"/>
      <c r="CQ445" s="594"/>
      <c r="CR445" s="594"/>
    </row>
    <row r="446" spans="1:96" s="13" customFormat="1" ht="13.75" customHeight="1">
      <c r="A446" s="137">
        <v>431</v>
      </c>
      <c r="B446" s="138"/>
      <c r="C446" s="139"/>
      <c r="D446" s="140"/>
      <c r="E446" s="139"/>
      <c r="F446" s="139"/>
      <c r="G446" s="191"/>
      <c r="H446" s="139"/>
      <c r="I446" s="141"/>
      <c r="J446" s="142"/>
      <c r="K446" s="139"/>
      <c r="L446" s="147"/>
      <c r="M446" s="148"/>
      <c r="N446" s="139"/>
      <c r="O446" s="589"/>
      <c r="P446" s="229" t="str">
        <f t="shared" si="201"/>
        <v/>
      </c>
      <c r="Q446" s="229" t="str">
        <f t="shared" si="202"/>
        <v/>
      </c>
      <c r="R446" s="230" t="str">
        <f t="shared" si="203"/>
        <v/>
      </c>
      <c r="S446" s="230" t="str">
        <f t="shared" si="204"/>
        <v/>
      </c>
      <c r="T446" s="351"/>
      <c r="U446" s="43"/>
      <c r="V446" s="42" t="str">
        <f t="shared" si="180"/>
        <v/>
      </c>
      <c r="W446" s="42" t="e">
        <f>IF(#REF!="","",#REF!)</f>
        <v>#REF!</v>
      </c>
      <c r="X446" s="31" t="str">
        <f t="shared" si="181"/>
        <v/>
      </c>
      <c r="Y446" s="7" t="e">
        <f t="shared" si="182"/>
        <v>#N/A</v>
      </c>
      <c r="Z446" s="7" t="e">
        <f t="shared" si="183"/>
        <v>#N/A</v>
      </c>
      <c r="AA446" s="7" t="e">
        <f t="shared" si="184"/>
        <v>#N/A</v>
      </c>
      <c r="AB446" s="7" t="str">
        <f t="shared" si="185"/>
        <v/>
      </c>
      <c r="AC446" s="11">
        <f t="shared" si="186"/>
        <v>1</v>
      </c>
      <c r="AD446" s="7" t="e">
        <f t="shared" si="187"/>
        <v>#N/A</v>
      </c>
      <c r="AE446" s="7" t="e">
        <f t="shared" si="188"/>
        <v>#N/A</v>
      </c>
      <c r="AF446" s="7" t="e">
        <f t="shared" si="189"/>
        <v>#N/A</v>
      </c>
      <c r="AG446" s="472" t="e">
        <f>VLOOKUP(AI446,'排出係数(2017)'!$A$4:$I$1151,9,FALSE)</f>
        <v>#N/A</v>
      </c>
      <c r="AH446" s="12" t="str">
        <f t="shared" si="190"/>
        <v xml:space="preserve"> </v>
      </c>
      <c r="AI446" s="7" t="e">
        <f t="shared" si="205"/>
        <v>#N/A</v>
      </c>
      <c r="AJ446" s="7" t="e">
        <f t="shared" si="191"/>
        <v>#N/A</v>
      </c>
      <c r="AK446" s="472" t="e">
        <f>VLOOKUP(AI446,'排出係数(2017)'!$A$4:$I$1151,6,FALSE)</f>
        <v>#N/A</v>
      </c>
      <c r="AL446" s="7" t="e">
        <f t="shared" si="192"/>
        <v>#N/A</v>
      </c>
      <c r="AM446" s="7" t="e">
        <f t="shared" si="193"/>
        <v>#N/A</v>
      </c>
      <c r="AN446" s="472" t="e">
        <f>VLOOKUP(AI446,'排出係数(2017)'!$A$4:$I$1151,7,FALSE)</f>
        <v>#N/A</v>
      </c>
      <c r="AO446" s="7" t="e">
        <f t="shared" si="194"/>
        <v>#N/A</v>
      </c>
      <c r="AP446" s="7" t="e">
        <f t="shared" si="195"/>
        <v>#N/A</v>
      </c>
      <c r="AQ446" s="7" t="e">
        <f t="shared" si="206"/>
        <v>#N/A</v>
      </c>
      <c r="AR446" s="7">
        <f t="shared" si="196"/>
        <v>0</v>
      </c>
      <c r="AS446" s="7" t="e">
        <f t="shared" si="207"/>
        <v>#N/A</v>
      </c>
      <c r="AT446" s="7" t="str">
        <f t="shared" si="197"/>
        <v/>
      </c>
      <c r="AU446" s="7" t="str">
        <f t="shared" si="198"/>
        <v/>
      </c>
      <c r="AV446" s="7" t="str">
        <f t="shared" si="199"/>
        <v/>
      </c>
      <c r="AW446" s="7" t="str">
        <f t="shared" si="200"/>
        <v/>
      </c>
      <c r="AX446" s="97"/>
      <c r="BD446" s="473" t="s">
        <v>1153</v>
      </c>
      <c r="CG446"/>
      <c r="CH446"/>
      <c r="CK446" s="592" t="str">
        <f t="shared" si="208"/>
        <v/>
      </c>
      <c r="CL446" s="421" t="str">
        <f t="shared" si="209"/>
        <v/>
      </c>
      <c r="CM446" s="594"/>
      <c r="CN446" s="594"/>
      <c r="CO446" s="594"/>
      <c r="CP446" s="594"/>
      <c r="CQ446" s="594"/>
      <c r="CR446" s="594"/>
    </row>
    <row r="447" spans="1:96" s="13" customFormat="1" ht="13.75" customHeight="1">
      <c r="A447" s="137">
        <v>432</v>
      </c>
      <c r="B447" s="138"/>
      <c r="C447" s="139"/>
      <c r="D447" s="140"/>
      <c r="E447" s="139"/>
      <c r="F447" s="139"/>
      <c r="G447" s="191"/>
      <c r="H447" s="139"/>
      <c r="I447" s="141"/>
      <c r="J447" s="142"/>
      <c r="K447" s="139"/>
      <c r="L447" s="147"/>
      <c r="M447" s="148"/>
      <c r="N447" s="139"/>
      <c r="O447" s="589"/>
      <c r="P447" s="229" t="str">
        <f t="shared" si="201"/>
        <v/>
      </c>
      <c r="Q447" s="229" t="str">
        <f t="shared" si="202"/>
        <v/>
      </c>
      <c r="R447" s="230" t="str">
        <f t="shared" si="203"/>
        <v/>
      </c>
      <c r="S447" s="230" t="str">
        <f t="shared" si="204"/>
        <v/>
      </c>
      <c r="T447" s="351"/>
      <c r="U447" s="43"/>
      <c r="V447" s="42" t="str">
        <f t="shared" si="180"/>
        <v/>
      </c>
      <c r="W447" s="42" t="e">
        <f>IF(#REF!="","",#REF!)</f>
        <v>#REF!</v>
      </c>
      <c r="X447" s="31" t="str">
        <f t="shared" si="181"/>
        <v/>
      </c>
      <c r="Y447" s="7" t="e">
        <f t="shared" si="182"/>
        <v>#N/A</v>
      </c>
      <c r="Z447" s="7" t="e">
        <f t="shared" si="183"/>
        <v>#N/A</v>
      </c>
      <c r="AA447" s="7" t="e">
        <f t="shared" si="184"/>
        <v>#N/A</v>
      </c>
      <c r="AB447" s="7" t="str">
        <f t="shared" si="185"/>
        <v/>
      </c>
      <c r="AC447" s="11">
        <f t="shared" si="186"/>
        <v>1</v>
      </c>
      <c r="AD447" s="7" t="e">
        <f t="shared" si="187"/>
        <v>#N/A</v>
      </c>
      <c r="AE447" s="7" t="e">
        <f t="shared" si="188"/>
        <v>#N/A</v>
      </c>
      <c r="AF447" s="7" t="e">
        <f t="shared" si="189"/>
        <v>#N/A</v>
      </c>
      <c r="AG447" s="472" t="e">
        <f>VLOOKUP(AI447,'排出係数(2017)'!$A$4:$I$1151,9,FALSE)</f>
        <v>#N/A</v>
      </c>
      <c r="AH447" s="12" t="str">
        <f t="shared" si="190"/>
        <v xml:space="preserve"> </v>
      </c>
      <c r="AI447" s="7" t="e">
        <f t="shared" si="205"/>
        <v>#N/A</v>
      </c>
      <c r="AJ447" s="7" t="e">
        <f t="shared" si="191"/>
        <v>#N/A</v>
      </c>
      <c r="AK447" s="472" t="e">
        <f>VLOOKUP(AI447,'排出係数(2017)'!$A$4:$I$1151,6,FALSE)</f>
        <v>#N/A</v>
      </c>
      <c r="AL447" s="7" t="e">
        <f t="shared" si="192"/>
        <v>#N/A</v>
      </c>
      <c r="AM447" s="7" t="e">
        <f t="shared" si="193"/>
        <v>#N/A</v>
      </c>
      <c r="AN447" s="472" t="e">
        <f>VLOOKUP(AI447,'排出係数(2017)'!$A$4:$I$1151,7,FALSE)</f>
        <v>#N/A</v>
      </c>
      <c r="AO447" s="7" t="e">
        <f t="shared" si="194"/>
        <v>#N/A</v>
      </c>
      <c r="AP447" s="7" t="e">
        <f t="shared" si="195"/>
        <v>#N/A</v>
      </c>
      <c r="AQ447" s="7" t="e">
        <f t="shared" si="206"/>
        <v>#N/A</v>
      </c>
      <c r="AR447" s="7">
        <f t="shared" si="196"/>
        <v>0</v>
      </c>
      <c r="AS447" s="7" t="e">
        <f t="shared" si="207"/>
        <v>#N/A</v>
      </c>
      <c r="AT447" s="7" t="str">
        <f t="shared" si="197"/>
        <v/>
      </c>
      <c r="AU447" s="7" t="str">
        <f t="shared" si="198"/>
        <v/>
      </c>
      <c r="AV447" s="7" t="str">
        <f t="shared" si="199"/>
        <v/>
      </c>
      <c r="AW447" s="7" t="str">
        <f t="shared" si="200"/>
        <v/>
      </c>
      <c r="AX447" s="97"/>
      <c r="BD447" s="453" t="s">
        <v>1186</v>
      </c>
      <c r="CG447"/>
      <c r="CH447"/>
      <c r="CK447" s="592" t="str">
        <f t="shared" si="208"/>
        <v/>
      </c>
      <c r="CL447" s="421" t="str">
        <f t="shared" si="209"/>
        <v/>
      </c>
      <c r="CM447" s="594"/>
      <c r="CN447" s="594"/>
      <c r="CO447" s="594"/>
      <c r="CP447" s="594"/>
      <c r="CQ447" s="594"/>
      <c r="CR447" s="594"/>
    </row>
    <row r="448" spans="1:96" s="13" customFormat="1" ht="13.75" customHeight="1">
      <c r="A448" s="137">
        <v>433</v>
      </c>
      <c r="B448" s="138"/>
      <c r="C448" s="139"/>
      <c r="D448" s="140"/>
      <c r="E448" s="139"/>
      <c r="F448" s="139"/>
      <c r="G448" s="191"/>
      <c r="H448" s="139"/>
      <c r="I448" s="141"/>
      <c r="J448" s="142"/>
      <c r="K448" s="139"/>
      <c r="L448" s="147"/>
      <c r="M448" s="148"/>
      <c r="N448" s="139"/>
      <c r="O448" s="589"/>
      <c r="P448" s="229" t="str">
        <f t="shared" si="201"/>
        <v/>
      </c>
      <c r="Q448" s="229" t="str">
        <f t="shared" si="202"/>
        <v/>
      </c>
      <c r="R448" s="230" t="str">
        <f t="shared" si="203"/>
        <v/>
      </c>
      <c r="S448" s="230" t="str">
        <f t="shared" si="204"/>
        <v/>
      </c>
      <c r="T448" s="351"/>
      <c r="U448" s="43"/>
      <c r="V448" s="42" t="str">
        <f t="shared" si="180"/>
        <v/>
      </c>
      <c r="W448" s="42" t="e">
        <f>IF(#REF!="","",#REF!)</f>
        <v>#REF!</v>
      </c>
      <c r="X448" s="31" t="str">
        <f t="shared" si="181"/>
        <v/>
      </c>
      <c r="Y448" s="7" t="e">
        <f t="shared" si="182"/>
        <v>#N/A</v>
      </c>
      <c r="Z448" s="7" t="e">
        <f t="shared" si="183"/>
        <v>#N/A</v>
      </c>
      <c r="AA448" s="7" t="e">
        <f t="shared" si="184"/>
        <v>#N/A</v>
      </c>
      <c r="AB448" s="7" t="str">
        <f t="shared" si="185"/>
        <v/>
      </c>
      <c r="AC448" s="11">
        <f t="shared" si="186"/>
        <v>1</v>
      </c>
      <c r="AD448" s="7" t="e">
        <f t="shared" si="187"/>
        <v>#N/A</v>
      </c>
      <c r="AE448" s="7" t="e">
        <f t="shared" si="188"/>
        <v>#N/A</v>
      </c>
      <c r="AF448" s="7" t="e">
        <f t="shared" si="189"/>
        <v>#N/A</v>
      </c>
      <c r="AG448" s="472" t="e">
        <f>VLOOKUP(AI448,'排出係数(2017)'!$A$4:$I$1151,9,FALSE)</f>
        <v>#N/A</v>
      </c>
      <c r="AH448" s="12" t="str">
        <f t="shared" si="190"/>
        <v xml:space="preserve"> </v>
      </c>
      <c r="AI448" s="7" t="e">
        <f t="shared" si="205"/>
        <v>#N/A</v>
      </c>
      <c r="AJ448" s="7" t="e">
        <f t="shared" si="191"/>
        <v>#N/A</v>
      </c>
      <c r="AK448" s="472" t="e">
        <f>VLOOKUP(AI448,'排出係数(2017)'!$A$4:$I$1151,6,FALSE)</f>
        <v>#N/A</v>
      </c>
      <c r="AL448" s="7" t="e">
        <f t="shared" si="192"/>
        <v>#N/A</v>
      </c>
      <c r="AM448" s="7" t="e">
        <f t="shared" si="193"/>
        <v>#N/A</v>
      </c>
      <c r="AN448" s="472" t="e">
        <f>VLOOKUP(AI448,'排出係数(2017)'!$A$4:$I$1151,7,FALSE)</f>
        <v>#N/A</v>
      </c>
      <c r="AO448" s="7" t="e">
        <f t="shared" si="194"/>
        <v>#N/A</v>
      </c>
      <c r="AP448" s="7" t="e">
        <f t="shared" si="195"/>
        <v>#N/A</v>
      </c>
      <c r="AQ448" s="7" t="e">
        <f t="shared" si="206"/>
        <v>#N/A</v>
      </c>
      <c r="AR448" s="7">
        <f t="shared" si="196"/>
        <v>0</v>
      </c>
      <c r="AS448" s="7" t="e">
        <f t="shared" si="207"/>
        <v>#N/A</v>
      </c>
      <c r="AT448" s="7" t="str">
        <f t="shared" si="197"/>
        <v/>
      </c>
      <c r="AU448" s="7" t="str">
        <f t="shared" si="198"/>
        <v/>
      </c>
      <c r="AV448" s="7" t="str">
        <f t="shared" si="199"/>
        <v/>
      </c>
      <c r="AW448" s="7" t="str">
        <f t="shared" si="200"/>
        <v/>
      </c>
      <c r="AX448" s="97"/>
      <c r="BD448" s="453" t="s">
        <v>1247</v>
      </c>
      <c r="CG448"/>
      <c r="CH448"/>
      <c r="CK448" s="592" t="str">
        <f t="shared" si="208"/>
        <v/>
      </c>
      <c r="CL448" s="421" t="str">
        <f t="shared" si="209"/>
        <v/>
      </c>
      <c r="CM448" s="594"/>
      <c r="CN448" s="594"/>
      <c r="CO448" s="594"/>
      <c r="CP448" s="594"/>
      <c r="CQ448" s="594"/>
      <c r="CR448" s="594"/>
    </row>
    <row r="449" spans="1:96" s="13" customFormat="1" ht="13.75" customHeight="1">
      <c r="A449" s="137">
        <v>434</v>
      </c>
      <c r="B449" s="138"/>
      <c r="C449" s="139"/>
      <c r="D449" s="140"/>
      <c r="E449" s="139"/>
      <c r="F449" s="139"/>
      <c r="G449" s="191"/>
      <c r="H449" s="139"/>
      <c r="I449" s="141"/>
      <c r="J449" s="142"/>
      <c r="K449" s="139"/>
      <c r="L449" s="147"/>
      <c r="M449" s="148"/>
      <c r="N449" s="139"/>
      <c r="O449" s="589"/>
      <c r="P449" s="229" t="str">
        <f t="shared" si="201"/>
        <v/>
      </c>
      <c r="Q449" s="229" t="str">
        <f t="shared" si="202"/>
        <v/>
      </c>
      <c r="R449" s="230" t="str">
        <f t="shared" si="203"/>
        <v/>
      </c>
      <c r="S449" s="230" t="str">
        <f t="shared" si="204"/>
        <v/>
      </c>
      <c r="T449" s="351"/>
      <c r="U449" s="43"/>
      <c r="V449" s="42" t="str">
        <f t="shared" si="180"/>
        <v/>
      </c>
      <c r="W449" s="42" t="e">
        <f>IF(#REF!="","",#REF!)</f>
        <v>#REF!</v>
      </c>
      <c r="X449" s="31" t="str">
        <f t="shared" si="181"/>
        <v/>
      </c>
      <c r="Y449" s="7" t="e">
        <f t="shared" si="182"/>
        <v>#N/A</v>
      </c>
      <c r="Z449" s="7" t="e">
        <f t="shared" si="183"/>
        <v>#N/A</v>
      </c>
      <c r="AA449" s="7" t="e">
        <f t="shared" si="184"/>
        <v>#N/A</v>
      </c>
      <c r="AB449" s="7" t="str">
        <f t="shared" si="185"/>
        <v/>
      </c>
      <c r="AC449" s="11">
        <f t="shared" si="186"/>
        <v>1</v>
      </c>
      <c r="AD449" s="7" t="e">
        <f t="shared" si="187"/>
        <v>#N/A</v>
      </c>
      <c r="AE449" s="7" t="e">
        <f t="shared" si="188"/>
        <v>#N/A</v>
      </c>
      <c r="AF449" s="7" t="e">
        <f t="shared" si="189"/>
        <v>#N/A</v>
      </c>
      <c r="AG449" s="472" t="e">
        <f>VLOOKUP(AI449,'排出係数(2017)'!$A$4:$I$1151,9,FALSE)</f>
        <v>#N/A</v>
      </c>
      <c r="AH449" s="12" t="str">
        <f t="shared" si="190"/>
        <v xml:space="preserve"> </v>
      </c>
      <c r="AI449" s="7" t="e">
        <f t="shared" si="205"/>
        <v>#N/A</v>
      </c>
      <c r="AJ449" s="7" t="e">
        <f t="shared" si="191"/>
        <v>#N/A</v>
      </c>
      <c r="AK449" s="472" t="e">
        <f>VLOOKUP(AI449,'排出係数(2017)'!$A$4:$I$1151,6,FALSE)</f>
        <v>#N/A</v>
      </c>
      <c r="AL449" s="7" t="e">
        <f t="shared" si="192"/>
        <v>#N/A</v>
      </c>
      <c r="AM449" s="7" t="e">
        <f t="shared" si="193"/>
        <v>#N/A</v>
      </c>
      <c r="AN449" s="472" t="e">
        <f>VLOOKUP(AI449,'排出係数(2017)'!$A$4:$I$1151,7,FALSE)</f>
        <v>#N/A</v>
      </c>
      <c r="AO449" s="7" t="e">
        <f t="shared" si="194"/>
        <v>#N/A</v>
      </c>
      <c r="AP449" s="7" t="e">
        <f t="shared" si="195"/>
        <v>#N/A</v>
      </c>
      <c r="AQ449" s="7" t="e">
        <f t="shared" si="206"/>
        <v>#N/A</v>
      </c>
      <c r="AR449" s="7">
        <f t="shared" si="196"/>
        <v>0</v>
      </c>
      <c r="AS449" s="7" t="e">
        <f t="shared" si="207"/>
        <v>#N/A</v>
      </c>
      <c r="AT449" s="7" t="str">
        <f t="shared" si="197"/>
        <v/>
      </c>
      <c r="AU449" s="7" t="str">
        <f t="shared" si="198"/>
        <v/>
      </c>
      <c r="AV449" s="7" t="str">
        <f t="shared" si="199"/>
        <v/>
      </c>
      <c r="AW449" s="7" t="str">
        <f t="shared" si="200"/>
        <v/>
      </c>
      <c r="AX449" s="97"/>
      <c r="BD449" s="453" t="s">
        <v>1714</v>
      </c>
      <c r="CG449"/>
      <c r="CH449"/>
      <c r="CK449" s="592" t="str">
        <f t="shared" si="208"/>
        <v/>
      </c>
      <c r="CL449" s="421" t="str">
        <f t="shared" si="209"/>
        <v/>
      </c>
      <c r="CM449" s="594"/>
      <c r="CN449" s="594"/>
      <c r="CO449" s="594"/>
      <c r="CP449" s="594"/>
      <c r="CQ449" s="594"/>
      <c r="CR449" s="594"/>
    </row>
    <row r="450" spans="1:96" s="13" customFormat="1" ht="13.75" customHeight="1">
      <c r="A450" s="137">
        <v>435</v>
      </c>
      <c r="B450" s="138"/>
      <c r="C450" s="139"/>
      <c r="D450" s="140"/>
      <c r="E450" s="139"/>
      <c r="F450" s="139"/>
      <c r="G450" s="191"/>
      <c r="H450" s="139"/>
      <c r="I450" s="141"/>
      <c r="J450" s="142"/>
      <c r="K450" s="139"/>
      <c r="L450" s="147"/>
      <c r="M450" s="148"/>
      <c r="N450" s="139"/>
      <c r="O450" s="589"/>
      <c r="P450" s="229" t="str">
        <f t="shared" si="201"/>
        <v/>
      </c>
      <c r="Q450" s="229" t="str">
        <f t="shared" si="202"/>
        <v/>
      </c>
      <c r="R450" s="230" t="str">
        <f t="shared" si="203"/>
        <v/>
      </c>
      <c r="S450" s="230" t="str">
        <f t="shared" si="204"/>
        <v/>
      </c>
      <c r="T450" s="351"/>
      <c r="U450" s="43"/>
      <c r="V450" s="42" t="str">
        <f t="shared" si="180"/>
        <v/>
      </c>
      <c r="W450" s="42" t="e">
        <f>IF(#REF!="","",#REF!)</f>
        <v>#REF!</v>
      </c>
      <c r="X450" s="31" t="str">
        <f t="shared" si="181"/>
        <v/>
      </c>
      <c r="Y450" s="7" t="e">
        <f t="shared" si="182"/>
        <v>#N/A</v>
      </c>
      <c r="Z450" s="7" t="e">
        <f t="shared" si="183"/>
        <v>#N/A</v>
      </c>
      <c r="AA450" s="7" t="e">
        <f t="shared" si="184"/>
        <v>#N/A</v>
      </c>
      <c r="AB450" s="7" t="str">
        <f t="shared" si="185"/>
        <v/>
      </c>
      <c r="AC450" s="11">
        <f t="shared" si="186"/>
        <v>1</v>
      </c>
      <c r="AD450" s="7" t="e">
        <f t="shared" si="187"/>
        <v>#N/A</v>
      </c>
      <c r="AE450" s="7" t="e">
        <f t="shared" si="188"/>
        <v>#N/A</v>
      </c>
      <c r="AF450" s="7" t="e">
        <f t="shared" si="189"/>
        <v>#N/A</v>
      </c>
      <c r="AG450" s="472" t="e">
        <f>VLOOKUP(AI450,'排出係数(2017)'!$A$4:$I$1151,9,FALSE)</f>
        <v>#N/A</v>
      </c>
      <c r="AH450" s="12" t="str">
        <f t="shared" si="190"/>
        <v xml:space="preserve"> </v>
      </c>
      <c r="AI450" s="7" t="e">
        <f t="shared" si="205"/>
        <v>#N/A</v>
      </c>
      <c r="AJ450" s="7" t="e">
        <f t="shared" si="191"/>
        <v>#N/A</v>
      </c>
      <c r="AK450" s="472" t="e">
        <f>VLOOKUP(AI450,'排出係数(2017)'!$A$4:$I$1151,6,FALSE)</f>
        <v>#N/A</v>
      </c>
      <c r="AL450" s="7" t="e">
        <f t="shared" si="192"/>
        <v>#N/A</v>
      </c>
      <c r="AM450" s="7" t="e">
        <f t="shared" si="193"/>
        <v>#N/A</v>
      </c>
      <c r="AN450" s="472" t="e">
        <f>VLOOKUP(AI450,'排出係数(2017)'!$A$4:$I$1151,7,FALSE)</f>
        <v>#N/A</v>
      </c>
      <c r="AO450" s="7" t="e">
        <f t="shared" si="194"/>
        <v>#N/A</v>
      </c>
      <c r="AP450" s="7" t="e">
        <f t="shared" si="195"/>
        <v>#N/A</v>
      </c>
      <c r="AQ450" s="7" t="e">
        <f t="shared" si="206"/>
        <v>#N/A</v>
      </c>
      <c r="AR450" s="7">
        <f t="shared" si="196"/>
        <v>0</v>
      </c>
      <c r="AS450" s="7" t="e">
        <f t="shared" si="207"/>
        <v>#N/A</v>
      </c>
      <c r="AT450" s="7" t="str">
        <f t="shared" si="197"/>
        <v/>
      </c>
      <c r="AU450" s="7" t="str">
        <f t="shared" si="198"/>
        <v/>
      </c>
      <c r="AV450" s="7" t="str">
        <f t="shared" si="199"/>
        <v/>
      </c>
      <c r="AW450" s="7" t="str">
        <f t="shared" si="200"/>
        <v/>
      </c>
      <c r="AX450" s="97"/>
      <c r="BD450" s="467" t="s">
        <v>1290</v>
      </c>
      <c r="CG450"/>
      <c r="CH450"/>
      <c r="CK450" s="592" t="str">
        <f t="shared" si="208"/>
        <v/>
      </c>
      <c r="CL450" s="421" t="str">
        <f t="shared" si="209"/>
        <v/>
      </c>
      <c r="CM450" s="594"/>
      <c r="CN450" s="594"/>
      <c r="CO450" s="594"/>
      <c r="CP450" s="594"/>
      <c r="CQ450" s="594"/>
      <c r="CR450" s="594"/>
    </row>
    <row r="451" spans="1:96" s="13" customFormat="1" ht="13.75" customHeight="1">
      <c r="A451" s="137">
        <v>436</v>
      </c>
      <c r="B451" s="138"/>
      <c r="C451" s="139"/>
      <c r="D451" s="140"/>
      <c r="E451" s="139"/>
      <c r="F451" s="139"/>
      <c r="G451" s="191"/>
      <c r="H451" s="139"/>
      <c r="I451" s="141"/>
      <c r="J451" s="142"/>
      <c r="K451" s="139"/>
      <c r="L451" s="147"/>
      <c r="M451" s="148"/>
      <c r="N451" s="139"/>
      <c r="O451" s="589"/>
      <c r="P451" s="229" t="str">
        <f t="shared" si="201"/>
        <v/>
      </c>
      <c r="Q451" s="229" t="str">
        <f t="shared" si="202"/>
        <v/>
      </c>
      <c r="R451" s="230" t="str">
        <f t="shared" si="203"/>
        <v/>
      </c>
      <c r="S451" s="230" t="str">
        <f t="shared" si="204"/>
        <v/>
      </c>
      <c r="T451" s="351"/>
      <c r="U451" s="43"/>
      <c r="V451" s="42" t="str">
        <f t="shared" si="180"/>
        <v/>
      </c>
      <c r="W451" s="42" t="e">
        <f>IF(#REF!="","",#REF!)</f>
        <v>#REF!</v>
      </c>
      <c r="X451" s="31" t="str">
        <f t="shared" si="181"/>
        <v/>
      </c>
      <c r="Y451" s="7" t="e">
        <f t="shared" si="182"/>
        <v>#N/A</v>
      </c>
      <c r="Z451" s="7" t="e">
        <f t="shared" si="183"/>
        <v>#N/A</v>
      </c>
      <c r="AA451" s="7" t="e">
        <f t="shared" si="184"/>
        <v>#N/A</v>
      </c>
      <c r="AB451" s="7" t="str">
        <f t="shared" si="185"/>
        <v/>
      </c>
      <c r="AC451" s="11">
        <f t="shared" si="186"/>
        <v>1</v>
      </c>
      <c r="AD451" s="7" t="e">
        <f t="shared" si="187"/>
        <v>#N/A</v>
      </c>
      <c r="AE451" s="7" t="e">
        <f t="shared" si="188"/>
        <v>#N/A</v>
      </c>
      <c r="AF451" s="7" t="e">
        <f t="shared" si="189"/>
        <v>#N/A</v>
      </c>
      <c r="AG451" s="472" t="e">
        <f>VLOOKUP(AI451,'排出係数(2017)'!$A$4:$I$1151,9,FALSE)</f>
        <v>#N/A</v>
      </c>
      <c r="AH451" s="12" t="str">
        <f t="shared" si="190"/>
        <v xml:space="preserve"> </v>
      </c>
      <c r="AI451" s="7" t="e">
        <f t="shared" si="205"/>
        <v>#N/A</v>
      </c>
      <c r="AJ451" s="7" t="e">
        <f t="shared" si="191"/>
        <v>#N/A</v>
      </c>
      <c r="AK451" s="472" t="e">
        <f>VLOOKUP(AI451,'排出係数(2017)'!$A$4:$I$1151,6,FALSE)</f>
        <v>#N/A</v>
      </c>
      <c r="AL451" s="7" t="e">
        <f t="shared" si="192"/>
        <v>#N/A</v>
      </c>
      <c r="AM451" s="7" t="e">
        <f t="shared" si="193"/>
        <v>#N/A</v>
      </c>
      <c r="AN451" s="472" t="e">
        <f>VLOOKUP(AI451,'排出係数(2017)'!$A$4:$I$1151,7,FALSE)</f>
        <v>#N/A</v>
      </c>
      <c r="AO451" s="7" t="e">
        <f t="shared" si="194"/>
        <v>#N/A</v>
      </c>
      <c r="AP451" s="7" t="e">
        <f t="shared" si="195"/>
        <v>#N/A</v>
      </c>
      <c r="AQ451" s="7" t="e">
        <f t="shared" si="206"/>
        <v>#N/A</v>
      </c>
      <c r="AR451" s="7">
        <f t="shared" si="196"/>
        <v>0</v>
      </c>
      <c r="AS451" s="7" t="e">
        <f t="shared" si="207"/>
        <v>#N/A</v>
      </c>
      <c r="AT451" s="7" t="str">
        <f t="shared" si="197"/>
        <v/>
      </c>
      <c r="AU451" s="7" t="str">
        <f t="shared" si="198"/>
        <v/>
      </c>
      <c r="AV451" s="7" t="str">
        <f t="shared" si="199"/>
        <v/>
      </c>
      <c r="AW451" s="7" t="str">
        <f t="shared" si="200"/>
        <v/>
      </c>
      <c r="AX451" s="97"/>
      <c r="BD451" s="474" t="s">
        <v>1321</v>
      </c>
      <c r="CG451"/>
      <c r="CH451"/>
      <c r="CK451" s="592" t="str">
        <f t="shared" si="208"/>
        <v/>
      </c>
      <c r="CL451" s="421" t="str">
        <f t="shared" si="209"/>
        <v/>
      </c>
      <c r="CM451" s="594"/>
      <c r="CN451" s="594"/>
      <c r="CO451" s="594"/>
      <c r="CP451" s="594"/>
      <c r="CQ451" s="594"/>
      <c r="CR451" s="594"/>
    </row>
    <row r="452" spans="1:96" s="13" customFormat="1" ht="13.75" customHeight="1">
      <c r="A452" s="137">
        <v>437</v>
      </c>
      <c r="B452" s="138"/>
      <c r="C452" s="139"/>
      <c r="D452" s="140"/>
      <c r="E452" s="139"/>
      <c r="F452" s="139"/>
      <c r="G452" s="191"/>
      <c r="H452" s="139"/>
      <c r="I452" s="141"/>
      <c r="J452" s="142"/>
      <c r="K452" s="139"/>
      <c r="L452" s="147"/>
      <c r="M452" s="148"/>
      <c r="N452" s="139"/>
      <c r="O452" s="589"/>
      <c r="P452" s="229" t="str">
        <f t="shared" si="201"/>
        <v/>
      </c>
      <c r="Q452" s="229" t="str">
        <f t="shared" si="202"/>
        <v/>
      </c>
      <c r="R452" s="230" t="str">
        <f t="shared" si="203"/>
        <v/>
      </c>
      <c r="S452" s="230" t="str">
        <f t="shared" si="204"/>
        <v/>
      </c>
      <c r="T452" s="351"/>
      <c r="U452" s="43"/>
      <c r="V452" s="42" t="str">
        <f t="shared" si="180"/>
        <v/>
      </c>
      <c r="W452" s="42" t="e">
        <f>IF(#REF!="","",#REF!)</f>
        <v>#REF!</v>
      </c>
      <c r="X452" s="31" t="str">
        <f t="shared" si="181"/>
        <v/>
      </c>
      <c r="Y452" s="7" t="e">
        <f t="shared" si="182"/>
        <v>#N/A</v>
      </c>
      <c r="Z452" s="7" t="e">
        <f t="shared" si="183"/>
        <v>#N/A</v>
      </c>
      <c r="AA452" s="7" t="e">
        <f t="shared" si="184"/>
        <v>#N/A</v>
      </c>
      <c r="AB452" s="7" t="str">
        <f t="shared" si="185"/>
        <v/>
      </c>
      <c r="AC452" s="11">
        <f t="shared" si="186"/>
        <v>1</v>
      </c>
      <c r="AD452" s="7" t="e">
        <f t="shared" si="187"/>
        <v>#N/A</v>
      </c>
      <c r="AE452" s="7" t="e">
        <f t="shared" si="188"/>
        <v>#N/A</v>
      </c>
      <c r="AF452" s="7" t="e">
        <f t="shared" si="189"/>
        <v>#N/A</v>
      </c>
      <c r="AG452" s="472" t="e">
        <f>VLOOKUP(AI452,'排出係数(2017)'!$A$4:$I$1151,9,FALSE)</f>
        <v>#N/A</v>
      </c>
      <c r="AH452" s="12" t="str">
        <f t="shared" si="190"/>
        <v xml:space="preserve"> </v>
      </c>
      <c r="AI452" s="7" t="e">
        <f t="shared" si="205"/>
        <v>#N/A</v>
      </c>
      <c r="AJ452" s="7" t="e">
        <f t="shared" si="191"/>
        <v>#N/A</v>
      </c>
      <c r="AK452" s="472" t="e">
        <f>VLOOKUP(AI452,'排出係数(2017)'!$A$4:$I$1151,6,FALSE)</f>
        <v>#N/A</v>
      </c>
      <c r="AL452" s="7" t="e">
        <f t="shared" si="192"/>
        <v>#N/A</v>
      </c>
      <c r="AM452" s="7" t="e">
        <f t="shared" si="193"/>
        <v>#N/A</v>
      </c>
      <c r="AN452" s="472" t="e">
        <f>VLOOKUP(AI452,'排出係数(2017)'!$A$4:$I$1151,7,FALSE)</f>
        <v>#N/A</v>
      </c>
      <c r="AO452" s="7" t="e">
        <f t="shared" si="194"/>
        <v>#N/A</v>
      </c>
      <c r="AP452" s="7" t="e">
        <f t="shared" si="195"/>
        <v>#N/A</v>
      </c>
      <c r="AQ452" s="7" t="e">
        <f t="shared" si="206"/>
        <v>#N/A</v>
      </c>
      <c r="AR452" s="7">
        <f t="shared" si="196"/>
        <v>0</v>
      </c>
      <c r="AS452" s="7" t="e">
        <f t="shared" si="207"/>
        <v>#N/A</v>
      </c>
      <c r="AT452" s="7" t="str">
        <f t="shared" si="197"/>
        <v/>
      </c>
      <c r="AU452" s="7" t="str">
        <f t="shared" si="198"/>
        <v/>
      </c>
      <c r="AV452" s="7" t="str">
        <f t="shared" si="199"/>
        <v/>
      </c>
      <c r="AW452" s="7" t="str">
        <f t="shared" si="200"/>
        <v/>
      </c>
      <c r="AX452" s="97"/>
      <c r="BD452" s="453" t="s">
        <v>1371</v>
      </c>
      <c r="CG452"/>
      <c r="CH452"/>
      <c r="CK452" s="592" t="str">
        <f t="shared" si="208"/>
        <v/>
      </c>
      <c r="CL452" s="421" t="str">
        <f t="shared" si="209"/>
        <v/>
      </c>
      <c r="CM452" s="594"/>
      <c r="CN452" s="594"/>
      <c r="CO452" s="594"/>
      <c r="CP452" s="594"/>
      <c r="CQ452" s="594"/>
      <c r="CR452" s="594"/>
    </row>
    <row r="453" spans="1:96" s="13" customFormat="1" ht="13.75" customHeight="1">
      <c r="A453" s="137">
        <v>438</v>
      </c>
      <c r="B453" s="138"/>
      <c r="C453" s="139"/>
      <c r="D453" s="140"/>
      <c r="E453" s="139"/>
      <c r="F453" s="139"/>
      <c r="G453" s="191"/>
      <c r="H453" s="139"/>
      <c r="I453" s="141"/>
      <c r="J453" s="142"/>
      <c r="K453" s="139"/>
      <c r="L453" s="147"/>
      <c r="M453" s="148"/>
      <c r="N453" s="139"/>
      <c r="O453" s="589"/>
      <c r="P453" s="229" t="str">
        <f t="shared" si="201"/>
        <v/>
      </c>
      <c r="Q453" s="229" t="str">
        <f t="shared" si="202"/>
        <v/>
      </c>
      <c r="R453" s="230" t="str">
        <f t="shared" si="203"/>
        <v/>
      </c>
      <c r="S453" s="230" t="str">
        <f t="shared" si="204"/>
        <v/>
      </c>
      <c r="T453" s="351"/>
      <c r="U453" s="43"/>
      <c r="V453" s="42" t="str">
        <f t="shared" si="180"/>
        <v/>
      </c>
      <c r="W453" s="42" t="e">
        <f>IF(#REF!="","",#REF!)</f>
        <v>#REF!</v>
      </c>
      <c r="X453" s="31" t="str">
        <f t="shared" si="181"/>
        <v/>
      </c>
      <c r="Y453" s="7" t="e">
        <f t="shared" si="182"/>
        <v>#N/A</v>
      </c>
      <c r="Z453" s="7" t="e">
        <f t="shared" si="183"/>
        <v>#N/A</v>
      </c>
      <c r="AA453" s="7" t="e">
        <f t="shared" si="184"/>
        <v>#N/A</v>
      </c>
      <c r="AB453" s="7" t="str">
        <f t="shared" si="185"/>
        <v/>
      </c>
      <c r="AC453" s="11">
        <f t="shared" si="186"/>
        <v>1</v>
      </c>
      <c r="AD453" s="7" t="e">
        <f t="shared" si="187"/>
        <v>#N/A</v>
      </c>
      <c r="AE453" s="7" t="e">
        <f t="shared" si="188"/>
        <v>#N/A</v>
      </c>
      <c r="AF453" s="7" t="e">
        <f t="shared" si="189"/>
        <v>#N/A</v>
      </c>
      <c r="AG453" s="472" t="e">
        <f>VLOOKUP(AI453,'排出係数(2017)'!$A$4:$I$1151,9,FALSE)</f>
        <v>#N/A</v>
      </c>
      <c r="AH453" s="12" t="str">
        <f t="shared" si="190"/>
        <v xml:space="preserve"> </v>
      </c>
      <c r="AI453" s="7" t="e">
        <f t="shared" si="205"/>
        <v>#N/A</v>
      </c>
      <c r="AJ453" s="7" t="e">
        <f t="shared" si="191"/>
        <v>#N/A</v>
      </c>
      <c r="AK453" s="472" t="e">
        <f>VLOOKUP(AI453,'排出係数(2017)'!$A$4:$I$1151,6,FALSE)</f>
        <v>#N/A</v>
      </c>
      <c r="AL453" s="7" t="e">
        <f t="shared" si="192"/>
        <v>#N/A</v>
      </c>
      <c r="AM453" s="7" t="e">
        <f t="shared" si="193"/>
        <v>#N/A</v>
      </c>
      <c r="AN453" s="472" t="e">
        <f>VLOOKUP(AI453,'排出係数(2017)'!$A$4:$I$1151,7,FALSE)</f>
        <v>#N/A</v>
      </c>
      <c r="AO453" s="7" t="e">
        <f t="shared" si="194"/>
        <v>#N/A</v>
      </c>
      <c r="AP453" s="7" t="e">
        <f t="shared" si="195"/>
        <v>#N/A</v>
      </c>
      <c r="AQ453" s="7" t="e">
        <f t="shared" si="206"/>
        <v>#N/A</v>
      </c>
      <c r="AR453" s="7">
        <f t="shared" si="196"/>
        <v>0</v>
      </c>
      <c r="AS453" s="7" t="e">
        <f t="shared" si="207"/>
        <v>#N/A</v>
      </c>
      <c r="AT453" s="7" t="str">
        <f t="shared" si="197"/>
        <v/>
      </c>
      <c r="AU453" s="7" t="str">
        <f t="shared" si="198"/>
        <v/>
      </c>
      <c r="AV453" s="7" t="str">
        <f t="shared" si="199"/>
        <v/>
      </c>
      <c r="AW453" s="7" t="str">
        <f t="shared" si="200"/>
        <v/>
      </c>
      <c r="AX453" s="97"/>
      <c r="BD453" s="453" t="s">
        <v>1712</v>
      </c>
      <c r="CG453"/>
      <c r="CH453"/>
      <c r="CK453" s="592" t="str">
        <f t="shared" si="208"/>
        <v/>
      </c>
      <c r="CL453" s="421" t="str">
        <f t="shared" si="209"/>
        <v/>
      </c>
      <c r="CM453" s="594"/>
      <c r="CN453" s="594"/>
      <c r="CO453" s="594"/>
      <c r="CP453" s="594"/>
      <c r="CQ453" s="594"/>
      <c r="CR453" s="594"/>
    </row>
    <row r="454" spans="1:96" s="13" customFormat="1" ht="13.75" customHeight="1">
      <c r="A454" s="137">
        <v>439</v>
      </c>
      <c r="B454" s="138"/>
      <c r="C454" s="139"/>
      <c r="D454" s="140"/>
      <c r="E454" s="139"/>
      <c r="F454" s="139"/>
      <c r="G454" s="191"/>
      <c r="H454" s="139"/>
      <c r="I454" s="141"/>
      <c r="J454" s="142"/>
      <c r="K454" s="139"/>
      <c r="L454" s="147"/>
      <c r="M454" s="148"/>
      <c r="N454" s="139"/>
      <c r="O454" s="589"/>
      <c r="P454" s="229" t="str">
        <f t="shared" si="201"/>
        <v/>
      </c>
      <c r="Q454" s="229" t="str">
        <f t="shared" si="202"/>
        <v/>
      </c>
      <c r="R454" s="230" t="str">
        <f t="shared" si="203"/>
        <v/>
      </c>
      <c r="S454" s="230" t="str">
        <f t="shared" si="204"/>
        <v/>
      </c>
      <c r="T454" s="351"/>
      <c r="U454" s="43"/>
      <c r="V454" s="42" t="str">
        <f t="shared" si="180"/>
        <v/>
      </c>
      <c r="W454" s="42" t="e">
        <f>IF(#REF!="","",#REF!)</f>
        <v>#REF!</v>
      </c>
      <c r="X454" s="31" t="str">
        <f t="shared" si="181"/>
        <v/>
      </c>
      <c r="Y454" s="7" t="e">
        <f t="shared" si="182"/>
        <v>#N/A</v>
      </c>
      <c r="Z454" s="7" t="e">
        <f t="shared" si="183"/>
        <v>#N/A</v>
      </c>
      <c r="AA454" s="7" t="e">
        <f t="shared" si="184"/>
        <v>#N/A</v>
      </c>
      <c r="AB454" s="7" t="str">
        <f t="shared" si="185"/>
        <v/>
      </c>
      <c r="AC454" s="11">
        <f t="shared" si="186"/>
        <v>1</v>
      </c>
      <c r="AD454" s="7" t="e">
        <f t="shared" si="187"/>
        <v>#N/A</v>
      </c>
      <c r="AE454" s="7" t="e">
        <f t="shared" si="188"/>
        <v>#N/A</v>
      </c>
      <c r="AF454" s="7" t="e">
        <f t="shared" si="189"/>
        <v>#N/A</v>
      </c>
      <c r="AG454" s="472" t="e">
        <f>VLOOKUP(AI454,'排出係数(2017)'!$A$4:$I$1151,9,FALSE)</f>
        <v>#N/A</v>
      </c>
      <c r="AH454" s="12" t="str">
        <f t="shared" si="190"/>
        <v xml:space="preserve"> </v>
      </c>
      <c r="AI454" s="7" t="e">
        <f t="shared" si="205"/>
        <v>#N/A</v>
      </c>
      <c r="AJ454" s="7" t="e">
        <f t="shared" si="191"/>
        <v>#N/A</v>
      </c>
      <c r="AK454" s="472" t="e">
        <f>VLOOKUP(AI454,'排出係数(2017)'!$A$4:$I$1151,6,FALSE)</f>
        <v>#N/A</v>
      </c>
      <c r="AL454" s="7" t="e">
        <f t="shared" si="192"/>
        <v>#N/A</v>
      </c>
      <c r="AM454" s="7" t="e">
        <f t="shared" si="193"/>
        <v>#N/A</v>
      </c>
      <c r="AN454" s="472" t="e">
        <f>VLOOKUP(AI454,'排出係数(2017)'!$A$4:$I$1151,7,FALSE)</f>
        <v>#N/A</v>
      </c>
      <c r="AO454" s="7" t="e">
        <f t="shared" si="194"/>
        <v>#N/A</v>
      </c>
      <c r="AP454" s="7" t="e">
        <f t="shared" si="195"/>
        <v>#N/A</v>
      </c>
      <c r="AQ454" s="7" t="e">
        <f t="shared" si="206"/>
        <v>#N/A</v>
      </c>
      <c r="AR454" s="7">
        <f t="shared" si="196"/>
        <v>0</v>
      </c>
      <c r="AS454" s="7" t="e">
        <f t="shared" si="207"/>
        <v>#N/A</v>
      </c>
      <c r="AT454" s="7" t="str">
        <f t="shared" si="197"/>
        <v/>
      </c>
      <c r="AU454" s="7" t="str">
        <f t="shared" si="198"/>
        <v/>
      </c>
      <c r="AV454" s="7" t="str">
        <f t="shared" si="199"/>
        <v/>
      </c>
      <c r="AW454" s="7" t="str">
        <f t="shared" si="200"/>
        <v/>
      </c>
      <c r="AX454" s="97"/>
      <c r="BD454" s="473" t="s">
        <v>1288</v>
      </c>
      <c r="CG454"/>
      <c r="CH454"/>
      <c r="CK454" s="592" t="str">
        <f t="shared" si="208"/>
        <v/>
      </c>
      <c r="CL454" s="421" t="str">
        <f t="shared" si="209"/>
        <v/>
      </c>
      <c r="CM454" s="594"/>
      <c r="CN454" s="594"/>
      <c r="CO454" s="594"/>
      <c r="CP454" s="594"/>
      <c r="CQ454" s="594"/>
      <c r="CR454" s="594"/>
    </row>
    <row r="455" spans="1:96" s="13" customFormat="1" ht="13.75" customHeight="1">
      <c r="A455" s="137">
        <v>440</v>
      </c>
      <c r="B455" s="138"/>
      <c r="C455" s="139"/>
      <c r="D455" s="140"/>
      <c r="E455" s="139"/>
      <c r="F455" s="139"/>
      <c r="G455" s="191"/>
      <c r="H455" s="139"/>
      <c r="I455" s="141"/>
      <c r="J455" s="142"/>
      <c r="K455" s="139"/>
      <c r="L455" s="147"/>
      <c r="M455" s="148"/>
      <c r="N455" s="139"/>
      <c r="O455" s="589"/>
      <c r="P455" s="229" t="str">
        <f t="shared" si="201"/>
        <v/>
      </c>
      <c r="Q455" s="229" t="str">
        <f t="shared" si="202"/>
        <v/>
      </c>
      <c r="R455" s="230" t="str">
        <f t="shared" si="203"/>
        <v/>
      </c>
      <c r="S455" s="230" t="str">
        <f t="shared" si="204"/>
        <v/>
      </c>
      <c r="T455" s="351"/>
      <c r="U455" s="43"/>
      <c r="V455" s="42" t="str">
        <f t="shared" si="180"/>
        <v/>
      </c>
      <c r="W455" s="42" t="e">
        <f>IF(#REF!="","",#REF!)</f>
        <v>#REF!</v>
      </c>
      <c r="X455" s="31" t="str">
        <f t="shared" si="181"/>
        <v/>
      </c>
      <c r="Y455" s="7" t="e">
        <f t="shared" si="182"/>
        <v>#N/A</v>
      </c>
      <c r="Z455" s="7" t="e">
        <f t="shared" si="183"/>
        <v>#N/A</v>
      </c>
      <c r="AA455" s="7" t="e">
        <f t="shared" si="184"/>
        <v>#N/A</v>
      </c>
      <c r="AB455" s="7" t="str">
        <f t="shared" si="185"/>
        <v/>
      </c>
      <c r="AC455" s="11">
        <f t="shared" si="186"/>
        <v>1</v>
      </c>
      <c r="AD455" s="7" t="e">
        <f t="shared" si="187"/>
        <v>#N/A</v>
      </c>
      <c r="AE455" s="7" t="e">
        <f t="shared" si="188"/>
        <v>#N/A</v>
      </c>
      <c r="AF455" s="7" t="e">
        <f t="shared" si="189"/>
        <v>#N/A</v>
      </c>
      <c r="AG455" s="472" t="e">
        <f>VLOOKUP(AI455,'排出係数(2017)'!$A$4:$I$1151,9,FALSE)</f>
        <v>#N/A</v>
      </c>
      <c r="AH455" s="12" t="str">
        <f t="shared" si="190"/>
        <v xml:space="preserve"> </v>
      </c>
      <c r="AI455" s="7" t="e">
        <f t="shared" si="205"/>
        <v>#N/A</v>
      </c>
      <c r="AJ455" s="7" t="e">
        <f t="shared" si="191"/>
        <v>#N/A</v>
      </c>
      <c r="AK455" s="472" t="e">
        <f>VLOOKUP(AI455,'排出係数(2017)'!$A$4:$I$1151,6,FALSE)</f>
        <v>#N/A</v>
      </c>
      <c r="AL455" s="7" t="e">
        <f t="shared" si="192"/>
        <v>#N/A</v>
      </c>
      <c r="AM455" s="7" t="e">
        <f t="shared" si="193"/>
        <v>#N/A</v>
      </c>
      <c r="AN455" s="472" t="e">
        <f>VLOOKUP(AI455,'排出係数(2017)'!$A$4:$I$1151,7,FALSE)</f>
        <v>#N/A</v>
      </c>
      <c r="AO455" s="7" t="e">
        <f t="shared" si="194"/>
        <v>#N/A</v>
      </c>
      <c r="AP455" s="7" t="e">
        <f t="shared" si="195"/>
        <v>#N/A</v>
      </c>
      <c r="AQ455" s="7" t="e">
        <f t="shared" si="206"/>
        <v>#N/A</v>
      </c>
      <c r="AR455" s="7">
        <f t="shared" si="196"/>
        <v>0</v>
      </c>
      <c r="AS455" s="7" t="e">
        <f t="shared" si="207"/>
        <v>#N/A</v>
      </c>
      <c r="AT455" s="7" t="str">
        <f t="shared" si="197"/>
        <v/>
      </c>
      <c r="AU455" s="7" t="str">
        <f t="shared" si="198"/>
        <v/>
      </c>
      <c r="AV455" s="7" t="str">
        <f t="shared" si="199"/>
        <v/>
      </c>
      <c r="AW455" s="7" t="str">
        <f t="shared" si="200"/>
        <v/>
      </c>
      <c r="AX455" s="97"/>
      <c r="BD455" s="453" t="s">
        <v>1319</v>
      </c>
      <c r="CG455"/>
      <c r="CH455"/>
      <c r="CK455" s="592" t="str">
        <f t="shared" si="208"/>
        <v/>
      </c>
      <c r="CL455" s="421" t="str">
        <f t="shared" si="209"/>
        <v/>
      </c>
      <c r="CM455" s="594"/>
      <c r="CN455" s="594"/>
      <c r="CO455" s="594"/>
      <c r="CP455" s="594"/>
      <c r="CQ455" s="594"/>
      <c r="CR455" s="594"/>
    </row>
    <row r="456" spans="1:96" s="13" customFormat="1" ht="13.75" customHeight="1">
      <c r="A456" s="137">
        <v>441</v>
      </c>
      <c r="B456" s="138"/>
      <c r="C456" s="139"/>
      <c r="D456" s="140"/>
      <c r="E456" s="139"/>
      <c r="F456" s="139"/>
      <c r="G456" s="191"/>
      <c r="H456" s="139"/>
      <c r="I456" s="141"/>
      <c r="J456" s="142"/>
      <c r="K456" s="139"/>
      <c r="L456" s="147"/>
      <c r="M456" s="148"/>
      <c r="N456" s="139"/>
      <c r="O456" s="589"/>
      <c r="P456" s="229" t="str">
        <f t="shared" si="201"/>
        <v/>
      </c>
      <c r="Q456" s="229" t="str">
        <f t="shared" si="202"/>
        <v/>
      </c>
      <c r="R456" s="230" t="str">
        <f t="shared" si="203"/>
        <v/>
      </c>
      <c r="S456" s="230" t="str">
        <f t="shared" si="204"/>
        <v/>
      </c>
      <c r="T456" s="351"/>
      <c r="U456" s="43"/>
      <c r="V456" s="42" t="str">
        <f t="shared" si="180"/>
        <v/>
      </c>
      <c r="W456" s="42" t="e">
        <f>IF(#REF!="","",#REF!)</f>
        <v>#REF!</v>
      </c>
      <c r="X456" s="31" t="str">
        <f t="shared" si="181"/>
        <v/>
      </c>
      <c r="Y456" s="7" t="e">
        <f t="shared" si="182"/>
        <v>#N/A</v>
      </c>
      <c r="Z456" s="7" t="e">
        <f t="shared" si="183"/>
        <v>#N/A</v>
      </c>
      <c r="AA456" s="7" t="e">
        <f t="shared" si="184"/>
        <v>#N/A</v>
      </c>
      <c r="AB456" s="7" t="str">
        <f t="shared" si="185"/>
        <v/>
      </c>
      <c r="AC456" s="11">
        <f t="shared" si="186"/>
        <v>1</v>
      </c>
      <c r="AD456" s="7" t="e">
        <f t="shared" si="187"/>
        <v>#N/A</v>
      </c>
      <c r="AE456" s="7" t="e">
        <f t="shared" si="188"/>
        <v>#N/A</v>
      </c>
      <c r="AF456" s="7" t="e">
        <f t="shared" si="189"/>
        <v>#N/A</v>
      </c>
      <c r="AG456" s="472" t="e">
        <f>VLOOKUP(AI456,'排出係数(2017)'!$A$4:$I$1151,9,FALSE)</f>
        <v>#N/A</v>
      </c>
      <c r="AH456" s="12" t="str">
        <f t="shared" si="190"/>
        <v xml:space="preserve"> </v>
      </c>
      <c r="AI456" s="7" t="e">
        <f t="shared" si="205"/>
        <v>#N/A</v>
      </c>
      <c r="AJ456" s="7" t="e">
        <f t="shared" si="191"/>
        <v>#N/A</v>
      </c>
      <c r="AK456" s="472" t="e">
        <f>VLOOKUP(AI456,'排出係数(2017)'!$A$4:$I$1151,6,FALSE)</f>
        <v>#N/A</v>
      </c>
      <c r="AL456" s="7" t="e">
        <f t="shared" si="192"/>
        <v>#N/A</v>
      </c>
      <c r="AM456" s="7" t="e">
        <f t="shared" si="193"/>
        <v>#N/A</v>
      </c>
      <c r="AN456" s="472" t="e">
        <f>VLOOKUP(AI456,'排出係数(2017)'!$A$4:$I$1151,7,FALSE)</f>
        <v>#N/A</v>
      </c>
      <c r="AO456" s="7" t="e">
        <f t="shared" si="194"/>
        <v>#N/A</v>
      </c>
      <c r="AP456" s="7" t="e">
        <f t="shared" si="195"/>
        <v>#N/A</v>
      </c>
      <c r="AQ456" s="7" t="e">
        <f t="shared" si="206"/>
        <v>#N/A</v>
      </c>
      <c r="AR456" s="7">
        <f t="shared" si="196"/>
        <v>0</v>
      </c>
      <c r="AS456" s="7" t="e">
        <f t="shared" si="207"/>
        <v>#N/A</v>
      </c>
      <c r="AT456" s="7" t="str">
        <f t="shared" si="197"/>
        <v/>
      </c>
      <c r="AU456" s="7" t="str">
        <f t="shared" si="198"/>
        <v/>
      </c>
      <c r="AV456" s="7" t="str">
        <f t="shared" si="199"/>
        <v/>
      </c>
      <c r="AW456" s="7" t="str">
        <f t="shared" si="200"/>
        <v/>
      </c>
      <c r="AX456" s="97"/>
      <c r="BD456" s="453" t="s">
        <v>1369</v>
      </c>
      <c r="CG456"/>
      <c r="CH456"/>
      <c r="CK456" s="592" t="str">
        <f t="shared" si="208"/>
        <v/>
      </c>
      <c r="CL456" s="421" t="str">
        <f t="shared" si="209"/>
        <v/>
      </c>
      <c r="CM456" s="594"/>
      <c r="CN456" s="594"/>
      <c r="CO456" s="594"/>
      <c r="CP456" s="594"/>
      <c r="CQ456" s="594"/>
      <c r="CR456" s="594"/>
    </row>
    <row r="457" spans="1:96" s="13" customFormat="1" ht="13.75" customHeight="1">
      <c r="A457" s="137">
        <v>442</v>
      </c>
      <c r="B457" s="138"/>
      <c r="C457" s="139"/>
      <c r="D457" s="140"/>
      <c r="E457" s="139"/>
      <c r="F457" s="139"/>
      <c r="G457" s="191"/>
      <c r="H457" s="139"/>
      <c r="I457" s="141"/>
      <c r="J457" s="142"/>
      <c r="K457" s="139"/>
      <c r="L457" s="147"/>
      <c r="M457" s="148"/>
      <c r="N457" s="139"/>
      <c r="O457" s="589"/>
      <c r="P457" s="229" t="str">
        <f t="shared" si="201"/>
        <v/>
      </c>
      <c r="Q457" s="229" t="str">
        <f t="shared" si="202"/>
        <v/>
      </c>
      <c r="R457" s="230" t="str">
        <f t="shared" si="203"/>
        <v/>
      </c>
      <c r="S457" s="230" t="str">
        <f t="shared" si="204"/>
        <v/>
      </c>
      <c r="T457" s="351"/>
      <c r="U457" s="43"/>
      <c r="V457" s="42" t="str">
        <f t="shared" si="180"/>
        <v/>
      </c>
      <c r="W457" s="42" t="e">
        <f>IF(#REF!="","",#REF!)</f>
        <v>#REF!</v>
      </c>
      <c r="X457" s="31" t="str">
        <f t="shared" si="181"/>
        <v/>
      </c>
      <c r="Y457" s="7" t="e">
        <f t="shared" si="182"/>
        <v>#N/A</v>
      </c>
      <c r="Z457" s="7" t="e">
        <f t="shared" si="183"/>
        <v>#N/A</v>
      </c>
      <c r="AA457" s="7" t="e">
        <f t="shared" si="184"/>
        <v>#N/A</v>
      </c>
      <c r="AB457" s="7" t="str">
        <f t="shared" si="185"/>
        <v/>
      </c>
      <c r="AC457" s="11">
        <f t="shared" si="186"/>
        <v>1</v>
      </c>
      <c r="AD457" s="7" t="e">
        <f t="shared" si="187"/>
        <v>#N/A</v>
      </c>
      <c r="AE457" s="7" t="e">
        <f t="shared" si="188"/>
        <v>#N/A</v>
      </c>
      <c r="AF457" s="7" t="e">
        <f t="shared" si="189"/>
        <v>#N/A</v>
      </c>
      <c r="AG457" s="472" t="e">
        <f>VLOOKUP(AI457,'排出係数(2017)'!$A$4:$I$1151,9,FALSE)</f>
        <v>#N/A</v>
      </c>
      <c r="AH457" s="12" t="str">
        <f t="shared" si="190"/>
        <v xml:space="preserve"> </v>
      </c>
      <c r="AI457" s="7" t="e">
        <f t="shared" si="205"/>
        <v>#N/A</v>
      </c>
      <c r="AJ457" s="7" t="e">
        <f t="shared" si="191"/>
        <v>#N/A</v>
      </c>
      <c r="AK457" s="472" t="e">
        <f>VLOOKUP(AI457,'排出係数(2017)'!$A$4:$I$1151,6,FALSE)</f>
        <v>#N/A</v>
      </c>
      <c r="AL457" s="7" t="e">
        <f t="shared" si="192"/>
        <v>#N/A</v>
      </c>
      <c r="AM457" s="7" t="e">
        <f t="shared" si="193"/>
        <v>#N/A</v>
      </c>
      <c r="AN457" s="472" t="e">
        <f>VLOOKUP(AI457,'排出係数(2017)'!$A$4:$I$1151,7,FALSE)</f>
        <v>#N/A</v>
      </c>
      <c r="AO457" s="7" t="e">
        <f t="shared" si="194"/>
        <v>#N/A</v>
      </c>
      <c r="AP457" s="7" t="e">
        <f t="shared" si="195"/>
        <v>#N/A</v>
      </c>
      <c r="AQ457" s="7" t="e">
        <f t="shared" si="206"/>
        <v>#N/A</v>
      </c>
      <c r="AR457" s="7">
        <f t="shared" si="196"/>
        <v>0</v>
      </c>
      <c r="AS457" s="7" t="e">
        <f t="shared" si="207"/>
        <v>#N/A</v>
      </c>
      <c r="AT457" s="7" t="str">
        <f t="shared" si="197"/>
        <v/>
      </c>
      <c r="AU457" s="7" t="str">
        <f t="shared" si="198"/>
        <v/>
      </c>
      <c r="AV457" s="7" t="str">
        <f t="shared" si="199"/>
        <v/>
      </c>
      <c r="AW457" s="7" t="str">
        <f t="shared" si="200"/>
        <v/>
      </c>
      <c r="AX457" s="97"/>
      <c r="BD457" s="473" t="s">
        <v>1089</v>
      </c>
      <c r="CG457"/>
      <c r="CH457"/>
      <c r="CK457" s="592" t="str">
        <f t="shared" si="208"/>
        <v/>
      </c>
      <c r="CL457" s="421" t="str">
        <f t="shared" si="209"/>
        <v/>
      </c>
      <c r="CM457" s="594"/>
      <c r="CN457" s="594"/>
      <c r="CO457" s="594"/>
      <c r="CP457" s="594"/>
      <c r="CQ457" s="594"/>
      <c r="CR457" s="594"/>
    </row>
    <row r="458" spans="1:96" s="13" customFormat="1" ht="13.75" customHeight="1">
      <c r="A458" s="137">
        <v>443</v>
      </c>
      <c r="B458" s="138"/>
      <c r="C458" s="139"/>
      <c r="D458" s="140"/>
      <c r="E458" s="139"/>
      <c r="F458" s="139"/>
      <c r="G458" s="191"/>
      <c r="H458" s="139"/>
      <c r="I458" s="141"/>
      <c r="J458" s="142"/>
      <c r="K458" s="139"/>
      <c r="L458" s="147"/>
      <c r="M458" s="148"/>
      <c r="N458" s="139"/>
      <c r="O458" s="589"/>
      <c r="P458" s="229" t="str">
        <f t="shared" si="201"/>
        <v/>
      </c>
      <c r="Q458" s="229" t="str">
        <f t="shared" si="202"/>
        <v/>
      </c>
      <c r="R458" s="230" t="str">
        <f t="shared" si="203"/>
        <v/>
      </c>
      <c r="S458" s="230" t="str">
        <f t="shared" si="204"/>
        <v/>
      </c>
      <c r="T458" s="351"/>
      <c r="U458" s="43"/>
      <c r="V458" s="42" t="str">
        <f t="shared" si="180"/>
        <v/>
      </c>
      <c r="W458" s="42" t="e">
        <f>IF(#REF!="","",#REF!)</f>
        <v>#REF!</v>
      </c>
      <c r="X458" s="31" t="str">
        <f t="shared" si="181"/>
        <v/>
      </c>
      <c r="Y458" s="7" t="e">
        <f t="shared" si="182"/>
        <v>#N/A</v>
      </c>
      <c r="Z458" s="7" t="e">
        <f t="shared" si="183"/>
        <v>#N/A</v>
      </c>
      <c r="AA458" s="7" t="e">
        <f t="shared" si="184"/>
        <v>#N/A</v>
      </c>
      <c r="AB458" s="7" t="str">
        <f t="shared" si="185"/>
        <v/>
      </c>
      <c r="AC458" s="11">
        <f t="shared" si="186"/>
        <v>1</v>
      </c>
      <c r="AD458" s="7" t="e">
        <f t="shared" si="187"/>
        <v>#N/A</v>
      </c>
      <c r="AE458" s="7" t="e">
        <f t="shared" si="188"/>
        <v>#N/A</v>
      </c>
      <c r="AF458" s="7" t="e">
        <f t="shared" si="189"/>
        <v>#N/A</v>
      </c>
      <c r="AG458" s="472" t="e">
        <f>VLOOKUP(AI458,'排出係数(2017)'!$A$4:$I$1151,9,FALSE)</f>
        <v>#N/A</v>
      </c>
      <c r="AH458" s="12" t="str">
        <f t="shared" si="190"/>
        <v xml:space="preserve"> </v>
      </c>
      <c r="AI458" s="7" t="e">
        <f t="shared" si="205"/>
        <v>#N/A</v>
      </c>
      <c r="AJ458" s="7" t="e">
        <f t="shared" si="191"/>
        <v>#N/A</v>
      </c>
      <c r="AK458" s="472" t="e">
        <f>VLOOKUP(AI458,'排出係数(2017)'!$A$4:$I$1151,6,FALSE)</f>
        <v>#N/A</v>
      </c>
      <c r="AL458" s="7" t="e">
        <f t="shared" si="192"/>
        <v>#N/A</v>
      </c>
      <c r="AM458" s="7" t="e">
        <f t="shared" si="193"/>
        <v>#N/A</v>
      </c>
      <c r="AN458" s="472" t="e">
        <f>VLOOKUP(AI458,'排出係数(2017)'!$A$4:$I$1151,7,FALSE)</f>
        <v>#N/A</v>
      </c>
      <c r="AO458" s="7" t="e">
        <f t="shared" si="194"/>
        <v>#N/A</v>
      </c>
      <c r="AP458" s="7" t="e">
        <f t="shared" si="195"/>
        <v>#N/A</v>
      </c>
      <c r="AQ458" s="7" t="e">
        <f t="shared" si="206"/>
        <v>#N/A</v>
      </c>
      <c r="AR458" s="7">
        <f t="shared" si="196"/>
        <v>0</v>
      </c>
      <c r="AS458" s="7" t="e">
        <f t="shared" si="207"/>
        <v>#N/A</v>
      </c>
      <c r="AT458" s="7" t="str">
        <f t="shared" si="197"/>
        <v/>
      </c>
      <c r="AU458" s="7" t="str">
        <f t="shared" si="198"/>
        <v/>
      </c>
      <c r="AV458" s="7" t="str">
        <f t="shared" si="199"/>
        <v/>
      </c>
      <c r="AW458" s="7" t="str">
        <f t="shared" si="200"/>
        <v/>
      </c>
      <c r="AX458" s="97"/>
      <c r="BD458" s="473" t="s">
        <v>1081</v>
      </c>
      <c r="CG458"/>
      <c r="CH458"/>
      <c r="CK458" s="592" t="str">
        <f t="shared" si="208"/>
        <v/>
      </c>
      <c r="CL458" s="421" t="str">
        <f t="shared" si="209"/>
        <v/>
      </c>
      <c r="CM458" s="594"/>
      <c r="CN458" s="594"/>
      <c r="CO458" s="594"/>
      <c r="CP458" s="594"/>
      <c r="CQ458" s="594"/>
      <c r="CR458" s="594"/>
    </row>
    <row r="459" spans="1:96" s="13" customFormat="1" ht="13.75" customHeight="1">
      <c r="A459" s="137">
        <v>444</v>
      </c>
      <c r="B459" s="138"/>
      <c r="C459" s="139"/>
      <c r="D459" s="140"/>
      <c r="E459" s="139"/>
      <c r="F459" s="139"/>
      <c r="G459" s="191"/>
      <c r="H459" s="139"/>
      <c r="I459" s="141"/>
      <c r="J459" s="142"/>
      <c r="K459" s="139"/>
      <c r="L459" s="147"/>
      <c r="M459" s="148"/>
      <c r="N459" s="139"/>
      <c r="O459" s="589"/>
      <c r="P459" s="229" t="str">
        <f t="shared" si="201"/>
        <v/>
      </c>
      <c r="Q459" s="229" t="str">
        <f t="shared" si="202"/>
        <v/>
      </c>
      <c r="R459" s="230" t="str">
        <f t="shared" si="203"/>
        <v/>
      </c>
      <c r="S459" s="230" t="str">
        <f t="shared" si="204"/>
        <v/>
      </c>
      <c r="T459" s="351"/>
      <c r="U459" s="43"/>
      <c r="V459" s="42" t="str">
        <f t="shared" si="180"/>
        <v/>
      </c>
      <c r="W459" s="42" t="e">
        <f>IF(#REF!="","",#REF!)</f>
        <v>#REF!</v>
      </c>
      <c r="X459" s="31" t="str">
        <f t="shared" si="181"/>
        <v/>
      </c>
      <c r="Y459" s="7" t="e">
        <f t="shared" si="182"/>
        <v>#N/A</v>
      </c>
      <c r="Z459" s="7" t="e">
        <f t="shared" si="183"/>
        <v>#N/A</v>
      </c>
      <c r="AA459" s="7" t="e">
        <f t="shared" si="184"/>
        <v>#N/A</v>
      </c>
      <c r="AB459" s="7" t="str">
        <f t="shared" si="185"/>
        <v/>
      </c>
      <c r="AC459" s="11">
        <f t="shared" si="186"/>
        <v>1</v>
      </c>
      <c r="AD459" s="7" t="e">
        <f t="shared" si="187"/>
        <v>#N/A</v>
      </c>
      <c r="AE459" s="7" t="e">
        <f t="shared" si="188"/>
        <v>#N/A</v>
      </c>
      <c r="AF459" s="7" t="e">
        <f t="shared" si="189"/>
        <v>#N/A</v>
      </c>
      <c r="AG459" s="472" t="e">
        <f>VLOOKUP(AI459,'排出係数(2017)'!$A$4:$I$1151,9,FALSE)</f>
        <v>#N/A</v>
      </c>
      <c r="AH459" s="12" t="str">
        <f t="shared" si="190"/>
        <v xml:space="preserve"> </v>
      </c>
      <c r="AI459" s="7" t="e">
        <f t="shared" si="205"/>
        <v>#N/A</v>
      </c>
      <c r="AJ459" s="7" t="e">
        <f t="shared" si="191"/>
        <v>#N/A</v>
      </c>
      <c r="AK459" s="472" t="e">
        <f>VLOOKUP(AI459,'排出係数(2017)'!$A$4:$I$1151,6,FALSE)</f>
        <v>#N/A</v>
      </c>
      <c r="AL459" s="7" t="e">
        <f t="shared" si="192"/>
        <v>#N/A</v>
      </c>
      <c r="AM459" s="7" t="e">
        <f t="shared" si="193"/>
        <v>#N/A</v>
      </c>
      <c r="AN459" s="472" t="e">
        <f>VLOOKUP(AI459,'排出係数(2017)'!$A$4:$I$1151,7,FALSE)</f>
        <v>#N/A</v>
      </c>
      <c r="AO459" s="7" t="e">
        <f t="shared" si="194"/>
        <v>#N/A</v>
      </c>
      <c r="AP459" s="7" t="e">
        <f t="shared" si="195"/>
        <v>#N/A</v>
      </c>
      <c r="AQ459" s="7" t="e">
        <f t="shared" si="206"/>
        <v>#N/A</v>
      </c>
      <c r="AR459" s="7">
        <f t="shared" si="196"/>
        <v>0</v>
      </c>
      <c r="AS459" s="7" t="e">
        <f t="shared" si="207"/>
        <v>#N/A</v>
      </c>
      <c r="AT459" s="7" t="str">
        <f t="shared" si="197"/>
        <v/>
      </c>
      <c r="AU459" s="7" t="str">
        <f t="shared" si="198"/>
        <v/>
      </c>
      <c r="AV459" s="7" t="str">
        <f t="shared" si="199"/>
        <v/>
      </c>
      <c r="AW459" s="7" t="str">
        <f t="shared" si="200"/>
        <v/>
      </c>
      <c r="AX459" s="97"/>
      <c r="BD459" s="453" t="s">
        <v>1432</v>
      </c>
      <c r="CG459"/>
      <c r="CH459"/>
      <c r="CK459" s="592" t="str">
        <f t="shared" si="208"/>
        <v/>
      </c>
      <c r="CL459" s="421" t="str">
        <f t="shared" si="209"/>
        <v/>
      </c>
      <c r="CM459" s="594"/>
      <c r="CN459" s="594"/>
      <c r="CO459" s="594"/>
      <c r="CP459" s="594"/>
      <c r="CQ459" s="594"/>
      <c r="CR459" s="594"/>
    </row>
    <row r="460" spans="1:96" s="13" customFormat="1" ht="13.75" customHeight="1">
      <c r="A460" s="137">
        <v>445</v>
      </c>
      <c r="B460" s="138"/>
      <c r="C460" s="139"/>
      <c r="D460" s="140"/>
      <c r="E460" s="139"/>
      <c r="F460" s="139"/>
      <c r="G460" s="191"/>
      <c r="H460" s="139"/>
      <c r="I460" s="141"/>
      <c r="J460" s="142"/>
      <c r="K460" s="139"/>
      <c r="L460" s="147"/>
      <c r="M460" s="148"/>
      <c r="N460" s="139"/>
      <c r="O460" s="589"/>
      <c r="P460" s="229" t="str">
        <f t="shared" si="201"/>
        <v/>
      </c>
      <c r="Q460" s="229" t="str">
        <f t="shared" si="202"/>
        <v/>
      </c>
      <c r="R460" s="230" t="str">
        <f t="shared" si="203"/>
        <v/>
      </c>
      <c r="S460" s="230" t="str">
        <f t="shared" si="204"/>
        <v/>
      </c>
      <c r="T460" s="351"/>
      <c r="U460" s="43"/>
      <c r="V460" s="42" t="str">
        <f t="shared" si="180"/>
        <v/>
      </c>
      <c r="W460" s="42" t="e">
        <f>IF(#REF!="","",#REF!)</f>
        <v>#REF!</v>
      </c>
      <c r="X460" s="31" t="str">
        <f t="shared" si="181"/>
        <v/>
      </c>
      <c r="Y460" s="7" t="e">
        <f t="shared" si="182"/>
        <v>#N/A</v>
      </c>
      <c r="Z460" s="7" t="e">
        <f t="shared" si="183"/>
        <v>#N/A</v>
      </c>
      <c r="AA460" s="7" t="e">
        <f t="shared" si="184"/>
        <v>#N/A</v>
      </c>
      <c r="AB460" s="7" t="str">
        <f t="shared" si="185"/>
        <v/>
      </c>
      <c r="AC460" s="11">
        <f t="shared" si="186"/>
        <v>1</v>
      </c>
      <c r="AD460" s="7" t="e">
        <f t="shared" si="187"/>
        <v>#N/A</v>
      </c>
      <c r="AE460" s="7" t="e">
        <f t="shared" si="188"/>
        <v>#N/A</v>
      </c>
      <c r="AF460" s="7" t="e">
        <f t="shared" si="189"/>
        <v>#N/A</v>
      </c>
      <c r="AG460" s="472" t="e">
        <f>VLOOKUP(AI460,'排出係数(2017)'!$A$4:$I$1151,9,FALSE)</f>
        <v>#N/A</v>
      </c>
      <c r="AH460" s="12" t="str">
        <f t="shared" si="190"/>
        <v xml:space="preserve"> </v>
      </c>
      <c r="AI460" s="7" t="e">
        <f t="shared" si="205"/>
        <v>#N/A</v>
      </c>
      <c r="AJ460" s="7" t="e">
        <f t="shared" si="191"/>
        <v>#N/A</v>
      </c>
      <c r="AK460" s="472" t="e">
        <f>VLOOKUP(AI460,'排出係数(2017)'!$A$4:$I$1151,6,FALSE)</f>
        <v>#N/A</v>
      </c>
      <c r="AL460" s="7" t="e">
        <f t="shared" si="192"/>
        <v>#N/A</v>
      </c>
      <c r="AM460" s="7" t="e">
        <f t="shared" si="193"/>
        <v>#N/A</v>
      </c>
      <c r="AN460" s="472" t="e">
        <f>VLOOKUP(AI460,'排出係数(2017)'!$A$4:$I$1151,7,FALSE)</f>
        <v>#N/A</v>
      </c>
      <c r="AO460" s="7" t="e">
        <f t="shared" si="194"/>
        <v>#N/A</v>
      </c>
      <c r="AP460" s="7" t="e">
        <f t="shared" si="195"/>
        <v>#N/A</v>
      </c>
      <c r="AQ460" s="7" t="e">
        <f t="shared" si="206"/>
        <v>#N/A</v>
      </c>
      <c r="AR460" s="7">
        <f t="shared" si="196"/>
        <v>0</v>
      </c>
      <c r="AS460" s="7" t="e">
        <f t="shared" si="207"/>
        <v>#N/A</v>
      </c>
      <c r="AT460" s="7" t="str">
        <f t="shared" si="197"/>
        <v/>
      </c>
      <c r="AU460" s="7" t="str">
        <f t="shared" si="198"/>
        <v/>
      </c>
      <c r="AV460" s="7" t="str">
        <f t="shared" si="199"/>
        <v/>
      </c>
      <c r="AW460" s="7" t="str">
        <f t="shared" si="200"/>
        <v/>
      </c>
      <c r="AX460" s="97"/>
      <c r="BD460" s="453" t="s">
        <v>2549</v>
      </c>
      <c r="CG460"/>
      <c r="CH460"/>
      <c r="CK460" s="592" t="str">
        <f t="shared" si="208"/>
        <v/>
      </c>
      <c r="CL460" s="421" t="str">
        <f t="shared" si="209"/>
        <v/>
      </c>
      <c r="CM460" s="594"/>
      <c r="CN460" s="594"/>
      <c r="CO460" s="594"/>
      <c r="CP460" s="594"/>
      <c r="CQ460" s="594"/>
      <c r="CR460" s="594"/>
    </row>
    <row r="461" spans="1:96" s="13" customFormat="1" ht="13.75" customHeight="1">
      <c r="A461" s="137">
        <v>446</v>
      </c>
      <c r="B461" s="138"/>
      <c r="C461" s="139"/>
      <c r="D461" s="140"/>
      <c r="E461" s="139"/>
      <c r="F461" s="139"/>
      <c r="G461" s="191"/>
      <c r="H461" s="139"/>
      <c r="I461" s="141"/>
      <c r="J461" s="142"/>
      <c r="K461" s="139"/>
      <c r="L461" s="147"/>
      <c r="M461" s="148"/>
      <c r="N461" s="139"/>
      <c r="O461" s="589"/>
      <c r="P461" s="229" t="str">
        <f t="shared" si="201"/>
        <v/>
      </c>
      <c r="Q461" s="229" t="str">
        <f t="shared" si="202"/>
        <v/>
      </c>
      <c r="R461" s="230" t="str">
        <f t="shared" si="203"/>
        <v/>
      </c>
      <c r="S461" s="230" t="str">
        <f t="shared" si="204"/>
        <v/>
      </c>
      <c r="T461" s="351"/>
      <c r="U461" s="43"/>
      <c r="V461" s="42" t="str">
        <f t="shared" si="180"/>
        <v/>
      </c>
      <c r="W461" s="42" t="e">
        <f>IF(#REF!="","",#REF!)</f>
        <v>#REF!</v>
      </c>
      <c r="X461" s="31" t="str">
        <f t="shared" si="181"/>
        <v/>
      </c>
      <c r="Y461" s="7" t="e">
        <f t="shared" si="182"/>
        <v>#N/A</v>
      </c>
      <c r="Z461" s="7" t="e">
        <f t="shared" si="183"/>
        <v>#N/A</v>
      </c>
      <c r="AA461" s="7" t="e">
        <f t="shared" si="184"/>
        <v>#N/A</v>
      </c>
      <c r="AB461" s="7" t="str">
        <f t="shared" si="185"/>
        <v/>
      </c>
      <c r="AC461" s="11">
        <f t="shared" si="186"/>
        <v>1</v>
      </c>
      <c r="AD461" s="7" t="e">
        <f t="shared" si="187"/>
        <v>#N/A</v>
      </c>
      <c r="AE461" s="7" t="e">
        <f t="shared" si="188"/>
        <v>#N/A</v>
      </c>
      <c r="AF461" s="7" t="e">
        <f t="shared" si="189"/>
        <v>#N/A</v>
      </c>
      <c r="AG461" s="472" t="e">
        <f>VLOOKUP(AI461,'排出係数(2017)'!$A$4:$I$1151,9,FALSE)</f>
        <v>#N/A</v>
      </c>
      <c r="AH461" s="12" t="str">
        <f t="shared" si="190"/>
        <v xml:space="preserve"> </v>
      </c>
      <c r="AI461" s="7" t="e">
        <f t="shared" si="205"/>
        <v>#N/A</v>
      </c>
      <c r="AJ461" s="7" t="e">
        <f t="shared" si="191"/>
        <v>#N/A</v>
      </c>
      <c r="AK461" s="472" t="e">
        <f>VLOOKUP(AI461,'排出係数(2017)'!$A$4:$I$1151,6,FALSE)</f>
        <v>#N/A</v>
      </c>
      <c r="AL461" s="7" t="e">
        <f t="shared" si="192"/>
        <v>#N/A</v>
      </c>
      <c r="AM461" s="7" t="e">
        <f t="shared" si="193"/>
        <v>#N/A</v>
      </c>
      <c r="AN461" s="472" t="e">
        <f>VLOOKUP(AI461,'排出係数(2017)'!$A$4:$I$1151,7,FALSE)</f>
        <v>#N/A</v>
      </c>
      <c r="AO461" s="7" t="e">
        <f t="shared" si="194"/>
        <v>#N/A</v>
      </c>
      <c r="AP461" s="7" t="e">
        <f t="shared" si="195"/>
        <v>#N/A</v>
      </c>
      <c r="AQ461" s="7" t="e">
        <f t="shared" si="206"/>
        <v>#N/A</v>
      </c>
      <c r="AR461" s="7">
        <f t="shared" si="196"/>
        <v>0</v>
      </c>
      <c r="AS461" s="7" t="e">
        <f t="shared" si="207"/>
        <v>#N/A</v>
      </c>
      <c r="AT461" s="7" t="str">
        <f t="shared" si="197"/>
        <v/>
      </c>
      <c r="AU461" s="7" t="str">
        <f t="shared" si="198"/>
        <v/>
      </c>
      <c r="AV461" s="7" t="str">
        <f t="shared" si="199"/>
        <v/>
      </c>
      <c r="AW461" s="7" t="str">
        <f t="shared" si="200"/>
        <v/>
      </c>
      <c r="AX461" s="97"/>
      <c r="BD461" s="453" t="s">
        <v>2550</v>
      </c>
      <c r="CG461"/>
      <c r="CH461"/>
      <c r="CK461" s="592" t="str">
        <f t="shared" si="208"/>
        <v/>
      </c>
      <c r="CL461" s="421" t="str">
        <f t="shared" si="209"/>
        <v/>
      </c>
      <c r="CM461" s="594"/>
      <c r="CN461" s="594"/>
      <c r="CO461" s="594"/>
      <c r="CP461" s="594"/>
      <c r="CQ461" s="594"/>
      <c r="CR461" s="594"/>
    </row>
    <row r="462" spans="1:96" s="13" customFormat="1" ht="13.75" customHeight="1">
      <c r="A462" s="137">
        <v>447</v>
      </c>
      <c r="B462" s="138"/>
      <c r="C462" s="139"/>
      <c r="D462" s="140"/>
      <c r="E462" s="139"/>
      <c r="F462" s="139"/>
      <c r="G462" s="191"/>
      <c r="H462" s="139"/>
      <c r="I462" s="141"/>
      <c r="J462" s="142"/>
      <c r="K462" s="139"/>
      <c r="L462" s="147"/>
      <c r="M462" s="148"/>
      <c r="N462" s="139"/>
      <c r="O462" s="589"/>
      <c r="P462" s="229" t="str">
        <f t="shared" si="201"/>
        <v/>
      </c>
      <c r="Q462" s="229" t="str">
        <f t="shared" si="202"/>
        <v/>
      </c>
      <c r="R462" s="230" t="str">
        <f t="shared" si="203"/>
        <v/>
      </c>
      <c r="S462" s="230" t="str">
        <f t="shared" si="204"/>
        <v/>
      </c>
      <c r="T462" s="351"/>
      <c r="U462" s="43"/>
      <c r="V462" s="42" t="str">
        <f t="shared" si="180"/>
        <v/>
      </c>
      <c r="W462" s="42" t="e">
        <f>IF(#REF!="","",#REF!)</f>
        <v>#REF!</v>
      </c>
      <c r="X462" s="31" t="str">
        <f t="shared" si="181"/>
        <v/>
      </c>
      <c r="Y462" s="7" t="e">
        <f t="shared" si="182"/>
        <v>#N/A</v>
      </c>
      <c r="Z462" s="7" t="e">
        <f t="shared" si="183"/>
        <v>#N/A</v>
      </c>
      <c r="AA462" s="7" t="e">
        <f t="shared" si="184"/>
        <v>#N/A</v>
      </c>
      <c r="AB462" s="7" t="str">
        <f t="shared" si="185"/>
        <v/>
      </c>
      <c r="AC462" s="11">
        <f t="shared" si="186"/>
        <v>1</v>
      </c>
      <c r="AD462" s="7" t="e">
        <f t="shared" si="187"/>
        <v>#N/A</v>
      </c>
      <c r="AE462" s="7" t="e">
        <f t="shared" si="188"/>
        <v>#N/A</v>
      </c>
      <c r="AF462" s="7" t="e">
        <f t="shared" si="189"/>
        <v>#N/A</v>
      </c>
      <c r="AG462" s="472" t="e">
        <f>VLOOKUP(AI462,'排出係数(2017)'!$A$4:$I$1151,9,FALSE)</f>
        <v>#N/A</v>
      </c>
      <c r="AH462" s="12" t="str">
        <f t="shared" si="190"/>
        <v xml:space="preserve"> </v>
      </c>
      <c r="AI462" s="7" t="e">
        <f t="shared" si="205"/>
        <v>#N/A</v>
      </c>
      <c r="AJ462" s="7" t="e">
        <f t="shared" si="191"/>
        <v>#N/A</v>
      </c>
      <c r="AK462" s="472" t="e">
        <f>VLOOKUP(AI462,'排出係数(2017)'!$A$4:$I$1151,6,FALSE)</f>
        <v>#N/A</v>
      </c>
      <c r="AL462" s="7" t="e">
        <f t="shared" si="192"/>
        <v>#N/A</v>
      </c>
      <c r="AM462" s="7" t="e">
        <f t="shared" si="193"/>
        <v>#N/A</v>
      </c>
      <c r="AN462" s="472" t="e">
        <f>VLOOKUP(AI462,'排出係数(2017)'!$A$4:$I$1151,7,FALSE)</f>
        <v>#N/A</v>
      </c>
      <c r="AO462" s="7" t="e">
        <f t="shared" si="194"/>
        <v>#N/A</v>
      </c>
      <c r="AP462" s="7" t="e">
        <f t="shared" si="195"/>
        <v>#N/A</v>
      </c>
      <c r="AQ462" s="7" t="e">
        <f t="shared" si="206"/>
        <v>#N/A</v>
      </c>
      <c r="AR462" s="7">
        <f t="shared" si="196"/>
        <v>0</v>
      </c>
      <c r="AS462" s="7" t="e">
        <f t="shared" si="207"/>
        <v>#N/A</v>
      </c>
      <c r="AT462" s="7" t="str">
        <f t="shared" si="197"/>
        <v/>
      </c>
      <c r="AU462" s="7" t="str">
        <f t="shared" si="198"/>
        <v/>
      </c>
      <c r="AV462" s="7" t="str">
        <f t="shared" si="199"/>
        <v/>
      </c>
      <c r="AW462" s="7" t="str">
        <f t="shared" si="200"/>
        <v/>
      </c>
      <c r="AX462" s="97"/>
      <c r="BD462" s="453" t="s">
        <v>2551</v>
      </c>
      <c r="CG462"/>
      <c r="CH462"/>
      <c r="CK462" s="592" t="str">
        <f t="shared" si="208"/>
        <v/>
      </c>
      <c r="CL462" s="421" t="str">
        <f t="shared" si="209"/>
        <v/>
      </c>
      <c r="CM462" s="594"/>
      <c r="CN462" s="594"/>
      <c r="CO462" s="594"/>
      <c r="CP462" s="594"/>
      <c r="CQ462" s="594"/>
      <c r="CR462" s="594"/>
    </row>
    <row r="463" spans="1:96" s="13" customFormat="1" ht="13.75" customHeight="1">
      <c r="A463" s="137">
        <v>448</v>
      </c>
      <c r="B463" s="138"/>
      <c r="C463" s="139"/>
      <c r="D463" s="140"/>
      <c r="E463" s="139"/>
      <c r="F463" s="139"/>
      <c r="G463" s="191"/>
      <c r="H463" s="139"/>
      <c r="I463" s="141"/>
      <c r="J463" s="142"/>
      <c r="K463" s="139"/>
      <c r="L463" s="147"/>
      <c r="M463" s="148"/>
      <c r="N463" s="139"/>
      <c r="O463" s="589"/>
      <c r="P463" s="229" t="str">
        <f t="shared" si="201"/>
        <v/>
      </c>
      <c r="Q463" s="229" t="str">
        <f t="shared" si="202"/>
        <v/>
      </c>
      <c r="R463" s="230" t="str">
        <f t="shared" si="203"/>
        <v/>
      </c>
      <c r="S463" s="230" t="str">
        <f t="shared" si="204"/>
        <v/>
      </c>
      <c r="T463" s="351"/>
      <c r="U463" s="43"/>
      <c r="V463" s="42" t="str">
        <f t="shared" si="180"/>
        <v/>
      </c>
      <c r="W463" s="42" t="e">
        <f>IF(#REF!="","",#REF!)</f>
        <v>#REF!</v>
      </c>
      <c r="X463" s="31" t="str">
        <f t="shared" si="181"/>
        <v/>
      </c>
      <c r="Y463" s="7" t="e">
        <f t="shared" si="182"/>
        <v>#N/A</v>
      </c>
      <c r="Z463" s="7" t="e">
        <f t="shared" si="183"/>
        <v>#N/A</v>
      </c>
      <c r="AA463" s="7" t="e">
        <f t="shared" si="184"/>
        <v>#N/A</v>
      </c>
      <c r="AB463" s="7" t="str">
        <f t="shared" si="185"/>
        <v/>
      </c>
      <c r="AC463" s="11">
        <f t="shared" si="186"/>
        <v>1</v>
      </c>
      <c r="AD463" s="7" t="e">
        <f t="shared" si="187"/>
        <v>#N/A</v>
      </c>
      <c r="AE463" s="7" t="e">
        <f t="shared" si="188"/>
        <v>#N/A</v>
      </c>
      <c r="AF463" s="7" t="e">
        <f t="shared" si="189"/>
        <v>#N/A</v>
      </c>
      <c r="AG463" s="472" t="e">
        <f>VLOOKUP(AI463,'排出係数(2017)'!$A$4:$I$1151,9,FALSE)</f>
        <v>#N/A</v>
      </c>
      <c r="AH463" s="12" t="str">
        <f t="shared" si="190"/>
        <v xml:space="preserve"> </v>
      </c>
      <c r="AI463" s="7" t="e">
        <f t="shared" si="205"/>
        <v>#N/A</v>
      </c>
      <c r="AJ463" s="7" t="e">
        <f t="shared" si="191"/>
        <v>#N/A</v>
      </c>
      <c r="AK463" s="472" t="e">
        <f>VLOOKUP(AI463,'排出係数(2017)'!$A$4:$I$1151,6,FALSE)</f>
        <v>#N/A</v>
      </c>
      <c r="AL463" s="7" t="e">
        <f t="shared" si="192"/>
        <v>#N/A</v>
      </c>
      <c r="AM463" s="7" t="e">
        <f t="shared" si="193"/>
        <v>#N/A</v>
      </c>
      <c r="AN463" s="472" t="e">
        <f>VLOOKUP(AI463,'排出係数(2017)'!$A$4:$I$1151,7,FALSE)</f>
        <v>#N/A</v>
      </c>
      <c r="AO463" s="7" t="e">
        <f t="shared" si="194"/>
        <v>#N/A</v>
      </c>
      <c r="AP463" s="7" t="e">
        <f t="shared" si="195"/>
        <v>#N/A</v>
      </c>
      <c r="AQ463" s="7" t="e">
        <f t="shared" si="206"/>
        <v>#N/A</v>
      </c>
      <c r="AR463" s="7">
        <f t="shared" si="196"/>
        <v>0</v>
      </c>
      <c r="AS463" s="7" t="e">
        <f t="shared" si="207"/>
        <v>#N/A</v>
      </c>
      <c r="AT463" s="7" t="str">
        <f t="shared" si="197"/>
        <v/>
      </c>
      <c r="AU463" s="7" t="str">
        <f t="shared" si="198"/>
        <v/>
      </c>
      <c r="AV463" s="7" t="str">
        <f t="shared" si="199"/>
        <v/>
      </c>
      <c r="AW463" s="7" t="str">
        <f t="shared" si="200"/>
        <v/>
      </c>
      <c r="AX463" s="97"/>
      <c r="BD463" s="453" t="s">
        <v>1636</v>
      </c>
      <c r="CG463"/>
      <c r="CH463"/>
      <c r="CK463" s="592" t="str">
        <f t="shared" si="208"/>
        <v/>
      </c>
      <c r="CL463" s="421" t="str">
        <f t="shared" si="209"/>
        <v/>
      </c>
      <c r="CM463" s="594"/>
      <c r="CN463" s="594"/>
      <c r="CO463" s="594"/>
      <c r="CP463" s="594"/>
      <c r="CQ463" s="594"/>
      <c r="CR463" s="594"/>
    </row>
    <row r="464" spans="1:96" s="13" customFormat="1" ht="13.75" customHeight="1">
      <c r="A464" s="137">
        <v>449</v>
      </c>
      <c r="B464" s="138"/>
      <c r="C464" s="139"/>
      <c r="D464" s="140"/>
      <c r="E464" s="139"/>
      <c r="F464" s="139"/>
      <c r="G464" s="191"/>
      <c r="H464" s="139"/>
      <c r="I464" s="141"/>
      <c r="J464" s="142"/>
      <c r="K464" s="139"/>
      <c r="L464" s="147"/>
      <c r="M464" s="148"/>
      <c r="N464" s="139"/>
      <c r="O464" s="589"/>
      <c r="P464" s="229" t="str">
        <f t="shared" si="201"/>
        <v/>
      </c>
      <c r="Q464" s="229" t="str">
        <f t="shared" si="202"/>
        <v/>
      </c>
      <c r="R464" s="230" t="str">
        <f t="shared" si="203"/>
        <v/>
      </c>
      <c r="S464" s="230" t="str">
        <f t="shared" si="204"/>
        <v/>
      </c>
      <c r="T464" s="351"/>
      <c r="U464" s="43"/>
      <c r="V464" s="42" t="str">
        <f t="shared" ref="V464:V515" si="210">IF(O464="","",O464)</f>
        <v/>
      </c>
      <c r="W464" s="42" t="e">
        <f>IF(#REF!="","",#REF!)</f>
        <v>#REF!</v>
      </c>
      <c r="X464" s="31" t="str">
        <f t="shared" ref="X464:X515" si="211">IF(ISBLANK(H464)=TRUE,"",IF(OR(ISBLANK(B464)=TRUE),1,""))</f>
        <v/>
      </c>
      <c r="Y464" s="7" t="e">
        <f t="shared" ref="Y464:Y515" si="212">VLOOKUP(H464,$AY$17:$BB$23,2,FALSE)</f>
        <v>#N/A</v>
      </c>
      <c r="Z464" s="7" t="e">
        <f t="shared" ref="Z464:Z515" si="213">VLOOKUP(H464,$AY$17:$BB$23,3,FALSE)</f>
        <v>#N/A</v>
      </c>
      <c r="AA464" s="7" t="e">
        <f t="shared" ref="AA464:AA515" si="214">VLOOKUP(H464,$AY$17:$BB$23,4,FALSE)</f>
        <v>#N/A</v>
      </c>
      <c r="AB464" s="7" t="str">
        <f t="shared" ref="AB464:AB515" si="215">IF(ISERROR(SEARCH("-",I464,1))=TRUE,ASC(UPPER(I464)),ASC(UPPER(LEFT(I464,SEARCH("-",I464,1)-1))))</f>
        <v/>
      </c>
      <c r="AC464" s="11">
        <f t="shared" ref="AC464:AC515" si="216">IF(J464&gt;3500,J464/1000,1)</f>
        <v>1</v>
      </c>
      <c r="AD464" s="7" t="e">
        <f t="shared" ref="AD464:AD515" si="217">IF(AA464=9,0,IF(J464&lt;=1700,1,IF(J464&lt;=2500,2,IF(J464&lt;=3500,3,4))))</f>
        <v>#N/A</v>
      </c>
      <c r="AE464" s="7" t="e">
        <f t="shared" ref="AE464:AE515" si="218">IF(AA464=5,0,IF(AA464=9,0,IF(J464&lt;=1700,1,IF(J464&lt;=2500,2,IF(J464&lt;=3500,3,4)))))</f>
        <v>#N/A</v>
      </c>
      <c r="AF464" s="7" t="e">
        <f t="shared" ref="AF464:AF515" si="219">VLOOKUP(K464,$BG$17:$BH$25,2,FALSE)</f>
        <v>#N/A</v>
      </c>
      <c r="AG464" s="472" t="e">
        <f>VLOOKUP(AI464,'排出係数(2017)'!$A$4:$I$1151,9,FALSE)</f>
        <v>#N/A</v>
      </c>
      <c r="AH464" s="12" t="str">
        <f t="shared" ref="AH464:AH515" si="220">IF(OR(ISBLANK(K464)=TRUE,ISBLANK(B464)=TRUE)," ",CONCATENATE(B464,AA464,AD464))</f>
        <v xml:space="preserve"> </v>
      </c>
      <c r="AI464" s="7" t="e">
        <f t="shared" si="205"/>
        <v>#N/A</v>
      </c>
      <c r="AJ464" s="7" t="e">
        <f t="shared" ref="AJ464:AJ515" si="221">IF(AND(L464="あり",AF464="軽"),AL464,AK464)</f>
        <v>#N/A</v>
      </c>
      <c r="AK464" s="472" t="e">
        <f>VLOOKUP(AI464,'排出係数(2017)'!$A$4:$I$1151,6,FALSE)</f>
        <v>#N/A</v>
      </c>
      <c r="AL464" s="7" t="e">
        <f t="shared" ref="AL464:AL515" si="222">VLOOKUP(AE464,$BU$17:$BY$21,2,FALSE)</f>
        <v>#N/A</v>
      </c>
      <c r="AM464" s="7" t="e">
        <f t="shared" ref="AM464:AM515" si="223">IF(AND(L464="あり",M464="なし",AF464="軽"),AO464,IF(AND(L464="あり",M464="あり(H17なし)",AF464="軽"),AO464,IF(AND(L464="あり",M464="",AF464="軽"),AO464,IF(AND(L464="なし",M464="あり(H17なし)",AF464="軽"),AP464,IF(AND(L464="",M464="あり(H17なし)",AF464="軽"),AP464,IF(AND(M464="あり(H17あり)",AF464="軽"),AQ464,AN464))))))</f>
        <v>#N/A</v>
      </c>
      <c r="AN464" s="472" t="e">
        <f>VLOOKUP(AI464,'排出係数(2017)'!$A$4:$I$1151,7,FALSE)</f>
        <v>#N/A</v>
      </c>
      <c r="AO464" s="7" t="e">
        <f t="shared" ref="AO464:AO515" si="224">VLOOKUP(AE464,$BU$17:$BY$21,3,FALSE)</f>
        <v>#N/A</v>
      </c>
      <c r="AP464" s="7" t="e">
        <f t="shared" ref="AP464:AP515" si="225">VLOOKUP(AE464,$BU$17:$BY$21,4,FALSE)</f>
        <v>#N/A</v>
      </c>
      <c r="AQ464" s="7" t="e">
        <f t="shared" si="206"/>
        <v>#N/A</v>
      </c>
      <c r="AR464" s="7">
        <f t="shared" ref="AR464:AR515" si="226">IF(AND(L464="なし",M464="なし"),0,IF(AND(L464="",M464=""),0,IF(AND(L464="",M464="なし"),0,IF(AND(L464="なし",M464=""),0,1))))</f>
        <v>0</v>
      </c>
      <c r="AS464" s="7" t="e">
        <f t="shared" si="207"/>
        <v>#N/A</v>
      </c>
      <c r="AT464" s="7" t="str">
        <f t="shared" ref="AT464:AT515" si="227">IF(H464="","",VLOOKUP(H464,$AY$17:$BC$25,5,FALSE))</f>
        <v/>
      </c>
      <c r="AU464" s="7" t="str">
        <f t="shared" ref="AU464:AU515" si="228">IF(D464="","",VLOOKUP(CONCATENATE("A",LEFT(D464)),$BR$17:$BS$26,2,FALSE))</f>
        <v/>
      </c>
      <c r="AV464" s="7" t="str">
        <f t="shared" ref="AV464:AV515" si="229">IF(AT464=AU464,"",1)</f>
        <v/>
      </c>
      <c r="AW464" s="7" t="str">
        <f t="shared" ref="AW464:AW515" si="230">CONCATENATE(C464,D464,E464,F464)</f>
        <v/>
      </c>
      <c r="AX464" s="97"/>
      <c r="BD464" s="467" t="s">
        <v>2552</v>
      </c>
      <c r="CG464"/>
      <c r="CH464"/>
      <c r="CK464" s="592" t="str">
        <f t="shared" si="208"/>
        <v/>
      </c>
      <c r="CL464" s="421" t="str">
        <f t="shared" si="209"/>
        <v/>
      </c>
      <c r="CM464" s="594"/>
      <c r="CN464" s="594"/>
      <c r="CO464" s="594"/>
      <c r="CP464" s="594"/>
      <c r="CQ464" s="594"/>
      <c r="CR464" s="594"/>
    </row>
    <row r="465" spans="1:96" s="13" customFormat="1" ht="13.75" customHeight="1">
      <c r="A465" s="137">
        <v>450</v>
      </c>
      <c r="B465" s="138"/>
      <c r="C465" s="139"/>
      <c r="D465" s="140"/>
      <c r="E465" s="139"/>
      <c r="F465" s="139"/>
      <c r="G465" s="191"/>
      <c r="H465" s="139"/>
      <c r="I465" s="141"/>
      <c r="J465" s="142"/>
      <c r="K465" s="139"/>
      <c r="L465" s="147"/>
      <c r="M465" s="148"/>
      <c r="N465" s="139"/>
      <c r="O465" s="589"/>
      <c r="P465" s="229" t="str">
        <f t="shared" ref="P465:P515" si="231">IF(ISBLANK(K465)=TRUE,"",IF(ISNUMBER(AJ465)=TRUE,AJ465,"0"))</f>
        <v/>
      </c>
      <c r="Q465" s="229" t="str">
        <f t="shared" ref="Q465:Q515" si="232">IF(ISBLANK(K465)=TRUE,"",IF(ISNUMBER(AM465)=TRUE,AM465,"0"))</f>
        <v/>
      </c>
      <c r="R465" s="230" t="str">
        <f t="shared" ref="R465:R515" si="233">IF(P465="","",IF(ISERROR(P465*V465*AC465),"0",IF(ISBLANK(V465)=TRUE,"0",IF(ISBLANK(P465)=TRUE,"0",IF(AV465=1,"0",P465*AC465*V465/1000)))))</f>
        <v/>
      </c>
      <c r="S465" s="230" t="str">
        <f t="shared" ref="S465:S515" si="234">IF(Q465="","",IF(ISERROR(Q465*V465*AC465),"0",IF(ISBLANK(V465)=TRUE,"0",IF(ISBLANK(Q465)=TRUE,"0",IF(AV465=1,"0",Q465*AC465*V465/1000)))))</f>
        <v/>
      </c>
      <c r="T465" s="351"/>
      <c r="U465" s="43"/>
      <c r="V465" s="42" t="str">
        <f t="shared" si="210"/>
        <v/>
      </c>
      <c r="W465" s="42" t="e">
        <f>IF(#REF!="","",#REF!)</f>
        <v>#REF!</v>
      </c>
      <c r="X465" s="31" t="str">
        <f t="shared" si="211"/>
        <v/>
      </c>
      <c r="Y465" s="7" t="e">
        <f t="shared" si="212"/>
        <v>#N/A</v>
      </c>
      <c r="Z465" s="7" t="e">
        <f t="shared" si="213"/>
        <v>#N/A</v>
      </c>
      <c r="AA465" s="7" t="e">
        <f t="shared" si="214"/>
        <v>#N/A</v>
      </c>
      <c r="AB465" s="7" t="str">
        <f t="shared" si="215"/>
        <v/>
      </c>
      <c r="AC465" s="11">
        <f t="shared" si="216"/>
        <v>1</v>
      </c>
      <c r="AD465" s="7" t="e">
        <f t="shared" si="217"/>
        <v>#N/A</v>
      </c>
      <c r="AE465" s="7" t="e">
        <f t="shared" si="218"/>
        <v>#N/A</v>
      </c>
      <c r="AF465" s="7" t="e">
        <f t="shared" si="219"/>
        <v>#N/A</v>
      </c>
      <c r="AG465" s="472" t="e">
        <f>VLOOKUP(AI465,'排出係数(2017)'!$A$4:$I$1151,9,FALSE)</f>
        <v>#N/A</v>
      </c>
      <c r="AH465" s="12" t="str">
        <f t="shared" si="220"/>
        <v xml:space="preserve"> </v>
      </c>
      <c r="AI465" s="7" t="e">
        <f t="shared" ref="AI465:AI515" si="235">CONCATENATE(Y465,AE465,AF465,AB465)</f>
        <v>#N/A</v>
      </c>
      <c r="AJ465" s="7" t="e">
        <f t="shared" si="221"/>
        <v>#N/A</v>
      </c>
      <c r="AK465" s="472" t="e">
        <f>VLOOKUP(AI465,'排出係数(2017)'!$A$4:$I$1151,6,FALSE)</f>
        <v>#N/A</v>
      </c>
      <c r="AL465" s="7" t="e">
        <f t="shared" si="222"/>
        <v>#N/A</v>
      </c>
      <c r="AM465" s="7" t="e">
        <f t="shared" si="223"/>
        <v>#N/A</v>
      </c>
      <c r="AN465" s="472" t="e">
        <f>VLOOKUP(AI465,'排出係数(2017)'!$A$4:$I$1151,7,FALSE)</f>
        <v>#N/A</v>
      </c>
      <c r="AO465" s="7" t="e">
        <f t="shared" si="224"/>
        <v>#N/A</v>
      </c>
      <c r="AP465" s="7" t="e">
        <f t="shared" si="225"/>
        <v>#N/A</v>
      </c>
      <c r="AQ465" s="7" t="e">
        <f t="shared" ref="AQ465:AQ515" si="236">VLOOKUP(AE465,$BU$17:$BY$21,5,FALSE)</f>
        <v>#N/A</v>
      </c>
      <c r="AR465" s="7">
        <f t="shared" si="226"/>
        <v>0</v>
      </c>
      <c r="AS465" s="7" t="e">
        <f t="shared" ref="AS465:AS515" si="237">VLOOKUP(AI465,排出係数表,8,FALSE)</f>
        <v>#N/A</v>
      </c>
      <c r="AT465" s="7" t="str">
        <f t="shared" si="227"/>
        <v/>
      </c>
      <c r="AU465" s="7" t="str">
        <f t="shared" si="228"/>
        <v/>
      </c>
      <c r="AV465" s="7" t="str">
        <f t="shared" si="229"/>
        <v/>
      </c>
      <c r="AW465" s="7" t="str">
        <f t="shared" si="230"/>
        <v/>
      </c>
      <c r="AX465" s="97"/>
      <c r="BD465" s="467" t="s">
        <v>2553</v>
      </c>
      <c r="CG465"/>
      <c r="CH465"/>
      <c r="CK465" s="592" t="str">
        <f t="shared" ref="CK465:CK515" si="238">IF(COUNTA(B465:F465,H465:K465)&gt;0,IF(OR(ISNUMBER(AK465)=FALSE,ISNUMBER(AN465)=FALSE,COUNTA(B465:F465,H465:K465)&lt;9),"×","〇"),"")</f>
        <v/>
      </c>
      <c r="CL465" s="421" t="str">
        <f t="shared" ref="CL465:CL515" si="239">IF(T465="廃止","※前年度に「廃止」報告をした自動車はその行を空白にしてください。",IF(T465="新規かつ廃止","※「新規」と「廃止」の両方に該当する自動車かご確認ください。",""))</f>
        <v/>
      </c>
      <c r="CM465" s="594"/>
      <c r="CN465" s="594"/>
      <c r="CO465" s="594"/>
      <c r="CP465" s="594"/>
      <c r="CQ465" s="594"/>
      <c r="CR465" s="594"/>
    </row>
    <row r="466" spans="1:96" s="13" customFormat="1" ht="13.75" customHeight="1">
      <c r="A466" s="137">
        <v>451</v>
      </c>
      <c r="B466" s="138"/>
      <c r="C466" s="139"/>
      <c r="D466" s="140"/>
      <c r="E466" s="139"/>
      <c r="F466" s="139"/>
      <c r="G466" s="191"/>
      <c r="H466" s="139"/>
      <c r="I466" s="141"/>
      <c r="J466" s="142"/>
      <c r="K466" s="139"/>
      <c r="L466" s="147"/>
      <c r="M466" s="148"/>
      <c r="N466" s="139"/>
      <c r="O466" s="589"/>
      <c r="P466" s="229" t="str">
        <f t="shared" si="231"/>
        <v/>
      </c>
      <c r="Q466" s="229" t="str">
        <f t="shared" si="232"/>
        <v/>
      </c>
      <c r="R466" s="230" t="str">
        <f t="shared" si="233"/>
        <v/>
      </c>
      <c r="S466" s="230" t="str">
        <f t="shared" si="234"/>
        <v/>
      </c>
      <c r="T466" s="351"/>
      <c r="U466" s="43"/>
      <c r="V466" s="42" t="str">
        <f t="shared" si="210"/>
        <v/>
      </c>
      <c r="W466" s="42" t="e">
        <f>IF(#REF!="","",#REF!)</f>
        <v>#REF!</v>
      </c>
      <c r="X466" s="31" t="str">
        <f t="shared" si="211"/>
        <v/>
      </c>
      <c r="Y466" s="7" t="e">
        <f t="shared" si="212"/>
        <v>#N/A</v>
      </c>
      <c r="Z466" s="7" t="e">
        <f t="shared" si="213"/>
        <v>#N/A</v>
      </c>
      <c r="AA466" s="7" t="e">
        <f t="shared" si="214"/>
        <v>#N/A</v>
      </c>
      <c r="AB466" s="7" t="str">
        <f t="shared" si="215"/>
        <v/>
      </c>
      <c r="AC466" s="11">
        <f t="shared" si="216"/>
        <v>1</v>
      </c>
      <c r="AD466" s="7" t="e">
        <f t="shared" si="217"/>
        <v>#N/A</v>
      </c>
      <c r="AE466" s="7" t="e">
        <f t="shared" si="218"/>
        <v>#N/A</v>
      </c>
      <c r="AF466" s="7" t="e">
        <f t="shared" si="219"/>
        <v>#N/A</v>
      </c>
      <c r="AG466" s="472" t="e">
        <f>VLOOKUP(AI466,'排出係数(2017)'!$A$4:$I$1151,9,FALSE)</f>
        <v>#N/A</v>
      </c>
      <c r="AH466" s="12" t="str">
        <f t="shared" si="220"/>
        <v xml:space="preserve"> </v>
      </c>
      <c r="AI466" s="7" t="e">
        <f t="shared" si="235"/>
        <v>#N/A</v>
      </c>
      <c r="AJ466" s="7" t="e">
        <f t="shared" si="221"/>
        <v>#N/A</v>
      </c>
      <c r="AK466" s="472" t="e">
        <f>VLOOKUP(AI466,'排出係数(2017)'!$A$4:$I$1151,6,FALSE)</f>
        <v>#N/A</v>
      </c>
      <c r="AL466" s="7" t="e">
        <f t="shared" si="222"/>
        <v>#N/A</v>
      </c>
      <c r="AM466" s="7" t="e">
        <f t="shared" si="223"/>
        <v>#N/A</v>
      </c>
      <c r="AN466" s="472" t="e">
        <f>VLOOKUP(AI466,'排出係数(2017)'!$A$4:$I$1151,7,FALSE)</f>
        <v>#N/A</v>
      </c>
      <c r="AO466" s="7" t="e">
        <f t="shared" si="224"/>
        <v>#N/A</v>
      </c>
      <c r="AP466" s="7" t="e">
        <f t="shared" si="225"/>
        <v>#N/A</v>
      </c>
      <c r="AQ466" s="7" t="e">
        <f t="shared" si="236"/>
        <v>#N/A</v>
      </c>
      <c r="AR466" s="7">
        <f t="shared" si="226"/>
        <v>0</v>
      </c>
      <c r="AS466" s="7" t="e">
        <f t="shared" si="237"/>
        <v>#N/A</v>
      </c>
      <c r="AT466" s="7" t="str">
        <f t="shared" si="227"/>
        <v/>
      </c>
      <c r="AU466" s="7" t="str">
        <f t="shared" si="228"/>
        <v/>
      </c>
      <c r="AV466" s="7" t="str">
        <f t="shared" si="229"/>
        <v/>
      </c>
      <c r="AW466" s="7" t="str">
        <f t="shared" si="230"/>
        <v/>
      </c>
      <c r="AX466" s="97"/>
      <c r="BD466" s="453" t="s">
        <v>2554</v>
      </c>
      <c r="CG466"/>
      <c r="CH466"/>
      <c r="CK466" s="592" t="str">
        <f t="shared" si="238"/>
        <v/>
      </c>
      <c r="CL466" s="421" t="str">
        <f t="shared" si="239"/>
        <v/>
      </c>
      <c r="CM466" s="594"/>
      <c r="CN466" s="594"/>
      <c r="CO466" s="594"/>
      <c r="CP466" s="594"/>
      <c r="CQ466" s="594"/>
      <c r="CR466" s="594"/>
    </row>
    <row r="467" spans="1:96" s="13" customFormat="1" ht="13.75" customHeight="1">
      <c r="A467" s="137">
        <v>452</v>
      </c>
      <c r="B467" s="138"/>
      <c r="C467" s="139"/>
      <c r="D467" s="140"/>
      <c r="E467" s="139"/>
      <c r="F467" s="139"/>
      <c r="G467" s="191"/>
      <c r="H467" s="139"/>
      <c r="I467" s="141"/>
      <c r="J467" s="142"/>
      <c r="K467" s="139"/>
      <c r="L467" s="147"/>
      <c r="M467" s="148"/>
      <c r="N467" s="139"/>
      <c r="O467" s="589"/>
      <c r="P467" s="229" t="str">
        <f t="shared" si="231"/>
        <v/>
      </c>
      <c r="Q467" s="229" t="str">
        <f t="shared" si="232"/>
        <v/>
      </c>
      <c r="R467" s="230" t="str">
        <f t="shared" si="233"/>
        <v/>
      </c>
      <c r="S467" s="230" t="str">
        <f t="shared" si="234"/>
        <v/>
      </c>
      <c r="T467" s="351"/>
      <c r="U467" s="43"/>
      <c r="V467" s="42" t="str">
        <f t="shared" si="210"/>
        <v/>
      </c>
      <c r="W467" s="42" t="e">
        <f>IF(#REF!="","",#REF!)</f>
        <v>#REF!</v>
      </c>
      <c r="X467" s="31" t="str">
        <f t="shared" si="211"/>
        <v/>
      </c>
      <c r="Y467" s="7" t="e">
        <f t="shared" si="212"/>
        <v>#N/A</v>
      </c>
      <c r="Z467" s="7" t="e">
        <f t="shared" si="213"/>
        <v>#N/A</v>
      </c>
      <c r="AA467" s="7" t="e">
        <f t="shared" si="214"/>
        <v>#N/A</v>
      </c>
      <c r="AB467" s="7" t="str">
        <f t="shared" si="215"/>
        <v/>
      </c>
      <c r="AC467" s="11">
        <f t="shared" si="216"/>
        <v>1</v>
      </c>
      <c r="AD467" s="7" t="e">
        <f t="shared" si="217"/>
        <v>#N/A</v>
      </c>
      <c r="AE467" s="7" t="e">
        <f t="shared" si="218"/>
        <v>#N/A</v>
      </c>
      <c r="AF467" s="7" t="e">
        <f t="shared" si="219"/>
        <v>#N/A</v>
      </c>
      <c r="AG467" s="472" t="e">
        <f>VLOOKUP(AI467,'排出係数(2017)'!$A$4:$I$1151,9,FALSE)</f>
        <v>#N/A</v>
      </c>
      <c r="AH467" s="12" t="str">
        <f t="shared" si="220"/>
        <v xml:space="preserve"> </v>
      </c>
      <c r="AI467" s="7" t="e">
        <f t="shared" si="235"/>
        <v>#N/A</v>
      </c>
      <c r="AJ467" s="7" t="e">
        <f t="shared" si="221"/>
        <v>#N/A</v>
      </c>
      <c r="AK467" s="472" t="e">
        <f>VLOOKUP(AI467,'排出係数(2017)'!$A$4:$I$1151,6,FALSE)</f>
        <v>#N/A</v>
      </c>
      <c r="AL467" s="7" t="e">
        <f t="shared" si="222"/>
        <v>#N/A</v>
      </c>
      <c r="AM467" s="7" t="e">
        <f t="shared" si="223"/>
        <v>#N/A</v>
      </c>
      <c r="AN467" s="472" t="e">
        <f>VLOOKUP(AI467,'排出係数(2017)'!$A$4:$I$1151,7,FALSE)</f>
        <v>#N/A</v>
      </c>
      <c r="AO467" s="7" t="e">
        <f t="shared" si="224"/>
        <v>#N/A</v>
      </c>
      <c r="AP467" s="7" t="e">
        <f t="shared" si="225"/>
        <v>#N/A</v>
      </c>
      <c r="AQ467" s="7" t="e">
        <f t="shared" si="236"/>
        <v>#N/A</v>
      </c>
      <c r="AR467" s="7">
        <f t="shared" si="226"/>
        <v>0</v>
      </c>
      <c r="AS467" s="7" t="e">
        <f t="shared" si="237"/>
        <v>#N/A</v>
      </c>
      <c r="AT467" s="7" t="str">
        <f t="shared" si="227"/>
        <v/>
      </c>
      <c r="AU467" s="7" t="str">
        <f t="shared" si="228"/>
        <v/>
      </c>
      <c r="AV467" s="7" t="str">
        <f t="shared" si="229"/>
        <v/>
      </c>
      <c r="AW467" s="7" t="str">
        <f t="shared" si="230"/>
        <v/>
      </c>
      <c r="AX467" s="97"/>
      <c r="BD467" s="453" t="s">
        <v>1091</v>
      </c>
      <c r="CG467"/>
      <c r="CH467"/>
      <c r="CK467" s="592" t="str">
        <f t="shared" si="238"/>
        <v/>
      </c>
      <c r="CL467" s="421" t="str">
        <f t="shared" si="239"/>
        <v/>
      </c>
      <c r="CM467" s="594"/>
      <c r="CN467" s="594"/>
      <c r="CO467" s="594"/>
      <c r="CP467" s="594"/>
      <c r="CQ467" s="594"/>
      <c r="CR467" s="594"/>
    </row>
    <row r="468" spans="1:96" s="13" customFormat="1" ht="13.75" customHeight="1">
      <c r="A468" s="137">
        <v>453</v>
      </c>
      <c r="B468" s="138"/>
      <c r="C468" s="139"/>
      <c r="D468" s="140"/>
      <c r="E468" s="139"/>
      <c r="F468" s="139"/>
      <c r="G468" s="191"/>
      <c r="H468" s="139"/>
      <c r="I468" s="141"/>
      <c r="J468" s="142"/>
      <c r="K468" s="139"/>
      <c r="L468" s="147"/>
      <c r="M468" s="148"/>
      <c r="N468" s="139"/>
      <c r="O468" s="589"/>
      <c r="P468" s="229" t="str">
        <f t="shared" si="231"/>
        <v/>
      </c>
      <c r="Q468" s="229" t="str">
        <f t="shared" si="232"/>
        <v/>
      </c>
      <c r="R468" s="230" t="str">
        <f t="shared" si="233"/>
        <v/>
      </c>
      <c r="S468" s="230" t="str">
        <f t="shared" si="234"/>
        <v/>
      </c>
      <c r="T468" s="351"/>
      <c r="U468" s="43"/>
      <c r="V468" s="42" t="str">
        <f t="shared" si="210"/>
        <v/>
      </c>
      <c r="W468" s="42" t="e">
        <f>IF(#REF!="","",#REF!)</f>
        <v>#REF!</v>
      </c>
      <c r="X468" s="31" t="str">
        <f t="shared" si="211"/>
        <v/>
      </c>
      <c r="Y468" s="7" t="e">
        <f t="shared" si="212"/>
        <v>#N/A</v>
      </c>
      <c r="Z468" s="7" t="e">
        <f t="shared" si="213"/>
        <v>#N/A</v>
      </c>
      <c r="AA468" s="7" t="e">
        <f t="shared" si="214"/>
        <v>#N/A</v>
      </c>
      <c r="AB468" s="7" t="str">
        <f t="shared" si="215"/>
        <v/>
      </c>
      <c r="AC468" s="11">
        <f t="shared" si="216"/>
        <v>1</v>
      </c>
      <c r="AD468" s="7" t="e">
        <f t="shared" si="217"/>
        <v>#N/A</v>
      </c>
      <c r="AE468" s="7" t="e">
        <f t="shared" si="218"/>
        <v>#N/A</v>
      </c>
      <c r="AF468" s="7" t="e">
        <f t="shared" si="219"/>
        <v>#N/A</v>
      </c>
      <c r="AG468" s="472" t="e">
        <f>VLOOKUP(AI468,'排出係数(2017)'!$A$4:$I$1151,9,FALSE)</f>
        <v>#N/A</v>
      </c>
      <c r="AH468" s="12" t="str">
        <f t="shared" si="220"/>
        <v xml:space="preserve"> </v>
      </c>
      <c r="AI468" s="7" t="e">
        <f t="shared" si="235"/>
        <v>#N/A</v>
      </c>
      <c r="AJ468" s="7" t="e">
        <f t="shared" si="221"/>
        <v>#N/A</v>
      </c>
      <c r="AK468" s="472" t="e">
        <f>VLOOKUP(AI468,'排出係数(2017)'!$A$4:$I$1151,6,FALSE)</f>
        <v>#N/A</v>
      </c>
      <c r="AL468" s="7" t="e">
        <f t="shared" si="222"/>
        <v>#N/A</v>
      </c>
      <c r="AM468" s="7" t="e">
        <f t="shared" si="223"/>
        <v>#N/A</v>
      </c>
      <c r="AN468" s="472" t="e">
        <f>VLOOKUP(AI468,'排出係数(2017)'!$A$4:$I$1151,7,FALSE)</f>
        <v>#N/A</v>
      </c>
      <c r="AO468" s="7" t="e">
        <f t="shared" si="224"/>
        <v>#N/A</v>
      </c>
      <c r="AP468" s="7" t="e">
        <f t="shared" si="225"/>
        <v>#N/A</v>
      </c>
      <c r="AQ468" s="7" t="e">
        <f t="shared" si="236"/>
        <v>#N/A</v>
      </c>
      <c r="AR468" s="7">
        <f t="shared" si="226"/>
        <v>0</v>
      </c>
      <c r="AS468" s="7" t="e">
        <f t="shared" si="237"/>
        <v>#N/A</v>
      </c>
      <c r="AT468" s="7" t="str">
        <f t="shared" si="227"/>
        <v/>
      </c>
      <c r="AU468" s="7" t="str">
        <f t="shared" si="228"/>
        <v/>
      </c>
      <c r="AV468" s="7" t="str">
        <f t="shared" si="229"/>
        <v/>
      </c>
      <c r="AW468" s="7" t="str">
        <f t="shared" si="230"/>
        <v/>
      </c>
      <c r="AX468" s="97"/>
      <c r="BD468" s="473" t="s">
        <v>1083</v>
      </c>
      <c r="CG468"/>
      <c r="CH468"/>
      <c r="CK468" s="592" t="str">
        <f t="shared" si="238"/>
        <v/>
      </c>
      <c r="CL468" s="421" t="str">
        <f t="shared" si="239"/>
        <v/>
      </c>
      <c r="CM468" s="594"/>
      <c r="CN468" s="594"/>
      <c r="CO468" s="594"/>
      <c r="CP468" s="594"/>
      <c r="CQ468" s="594"/>
      <c r="CR468" s="594"/>
    </row>
    <row r="469" spans="1:96" s="13" customFormat="1" ht="13.75" customHeight="1">
      <c r="A469" s="137">
        <v>454</v>
      </c>
      <c r="B469" s="138"/>
      <c r="C469" s="139"/>
      <c r="D469" s="140"/>
      <c r="E469" s="139"/>
      <c r="F469" s="139"/>
      <c r="G469" s="191"/>
      <c r="H469" s="139"/>
      <c r="I469" s="141"/>
      <c r="J469" s="142"/>
      <c r="K469" s="139"/>
      <c r="L469" s="147"/>
      <c r="M469" s="148"/>
      <c r="N469" s="139"/>
      <c r="O469" s="589"/>
      <c r="P469" s="229" t="str">
        <f t="shared" si="231"/>
        <v/>
      </c>
      <c r="Q469" s="229" t="str">
        <f t="shared" si="232"/>
        <v/>
      </c>
      <c r="R469" s="230" t="str">
        <f t="shared" si="233"/>
        <v/>
      </c>
      <c r="S469" s="230" t="str">
        <f t="shared" si="234"/>
        <v/>
      </c>
      <c r="T469" s="351"/>
      <c r="U469" s="43"/>
      <c r="V469" s="42" t="str">
        <f t="shared" si="210"/>
        <v/>
      </c>
      <c r="W469" s="42" t="e">
        <f>IF(#REF!="","",#REF!)</f>
        <v>#REF!</v>
      </c>
      <c r="X469" s="31" t="str">
        <f t="shared" si="211"/>
        <v/>
      </c>
      <c r="Y469" s="7" t="e">
        <f t="shared" si="212"/>
        <v>#N/A</v>
      </c>
      <c r="Z469" s="7" t="e">
        <f t="shared" si="213"/>
        <v>#N/A</v>
      </c>
      <c r="AA469" s="7" t="e">
        <f t="shared" si="214"/>
        <v>#N/A</v>
      </c>
      <c r="AB469" s="7" t="str">
        <f t="shared" si="215"/>
        <v/>
      </c>
      <c r="AC469" s="11">
        <f t="shared" si="216"/>
        <v>1</v>
      </c>
      <c r="AD469" s="7" t="e">
        <f t="shared" si="217"/>
        <v>#N/A</v>
      </c>
      <c r="AE469" s="7" t="e">
        <f t="shared" si="218"/>
        <v>#N/A</v>
      </c>
      <c r="AF469" s="7" t="e">
        <f t="shared" si="219"/>
        <v>#N/A</v>
      </c>
      <c r="AG469" s="472" t="e">
        <f>VLOOKUP(AI469,'排出係数(2017)'!$A$4:$I$1151,9,FALSE)</f>
        <v>#N/A</v>
      </c>
      <c r="AH469" s="12" t="str">
        <f t="shared" si="220"/>
        <v xml:space="preserve"> </v>
      </c>
      <c r="AI469" s="7" t="e">
        <f t="shared" si="235"/>
        <v>#N/A</v>
      </c>
      <c r="AJ469" s="7" t="e">
        <f t="shared" si="221"/>
        <v>#N/A</v>
      </c>
      <c r="AK469" s="472" t="e">
        <f>VLOOKUP(AI469,'排出係数(2017)'!$A$4:$I$1151,6,FALSE)</f>
        <v>#N/A</v>
      </c>
      <c r="AL469" s="7" t="e">
        <f t="shared" si="222"/>
        <v>#N/A</v>
      </c>
      <c r="AM469" s="7" t="e">
        <f t="shared" si="223"/>
        <v>#N/A</v>
      </c>
      <c r="AN469" s="472" t="e">
        <f>VLOOKUP(AI469,'排出係数(2017)'!$A$4:$I$1151,7,FALSE)</f>
        <v>#N/A</v>
      </c>
      <c r="AO469" s="7" t="e">
        <f t="shared" si="224"/>
        <v>#N/A</v>
      </c>
      <c r="AP469" s="7" t="e">
        <f t="shared" si="225"/>
        <v>#N/A</v>
      </c>
      <c r="AQ469" s="7" t="e">
        <f t="shared" si="236"/>
        <v>#N/A</v>
      </c>
      <c r="AR469" s="7">
        <f t="shared" si="226"/>
        <v>0</v>
      </c>
      <c r="AS469" s="7" t="e">
        <f t="shared" si="237"/>
        <v>#N/A</v>
      </c>
      <c r="AT469" s="7" t="str">
        <f t="shared" si="227"/>
        <v/>
      </c>
      <c r="AU469" s="7" t="str">
        <f t="shared" si="228"/>
        <v/>
      </c>
      <c r="AV469" s="7" t="str">
        <f t="shared" si="229"/>
        <v/>
      </c>
      <c r="AW469" s="7" t="str">
        <f t="shared" si="230"/>
        <v/>
      </c>
      <c r="AX469" s="97"/>
      <c r="BD469" s="453" t="s">
        <v>1093</v>
      </c>
      <c r="CG469"/>
      <c r="CH469"/>
      <c r="CK469" s="592" t="str">
        <f t="shared" si="238"/>
        <v/>
      </c>
      <c r="CL469" s="421" t="str">
        <f t="shared" si="239"/>
        <v/>
      </c>
      <c r="CM469" s="594"/>
      <c r="CN469" s="594"/>
      <c r="CO469" s="594"/>
      <c r="CP469" s="594"/>
      <c r="CQ469" s="594"/>
      <c r="CR469" s="594"/>
    </row>
    <row r="470" spans="1:96" s="13" customFormat="1" ht="13.75" customHeight="1">
      <c r="A470" s="137">
        <v>455</v>
      </c>
      <c r="B470" s="138"/>
      <c r="C470" s="139"/>
      <c r="D470" s="140"/>
      <c r="E470" s="139"/>
      <c r="F470" s="139"/>
      <c r="G470" s="191"/>
      <c r="H470" s="139"/>
      <c r="I470" s="141"/>
      <c r="J470" s="142"/>
      <c r="K470" s="139"/>
      <c r="L470" s="147"/>
      <c r="M470" s="148"/>
      <c r="N470" s="139"/>
      <c r="O470" s="589"/>
      <c r="P470" s="229" t="str">
        <f t="shared" si="231"/>
        <v/>
      </c>
      <c r="Q470" s="229" t="str">
        <f t="shared" si="232"/>
        <v/>
      </c>
      <c r="R470" s="230" t="str">
        <f t="shared" si="233"/>
        <v/>
      </c>
      <c r="S470" s="230" t="str">
        <f t="shared" si="234"/>
        <v/>
      </c>
      <c r="T470" s="351"/>
      <c r="U470" s="43"/>
      <c r="V470" s="42" t="str">
        <f t="shared" si="210"/>
        <v/>
      </c>
      <c r="W470" s="42" t="e">
        <f>IF(#REF!="","",#REF!)</f>
        <v>#REF!</v>
      </c>
      <c r="X470" s="31" t="str">
        <f t="shared" si="211"/>
        <v/>
      </c>
      <c r="Y470" s="7" t="e">
        <f t="shared" si="212"/>
        <v>#N/A</v>
      </c>
      <c r="Z470" s="7" t="e">
        <f t="shared" si="213"/>
        <v>#N/A</v>
      </c>
      <c r="AA470" s="7" t="e">
        <f t="shared" si="214"/>
        <v>#N/A</v>
      </c>
      <c r="AB470" s="7" t="str">
        <f t="shared" si="215"/>
        <v/>
      </c>
      <c r="AC470" s="11">
        <f t="shared" si="216"/>
        <v>1</v>
      </c>
      <c r="AD470" s="7" t="e">
        <f t="shared" si="217"/>
        <v>#N/A</v>
      </c>
      <c r="AE470" s="7" t="e">
        <f t="shared" si="218"/>
        <v>#N/A</v>
      </c>
      <c r="AF470" s="7" t="e">
        <f t="shared" si="219"/>
        <v>#N/A</v>
      </c>
      <c r="AG470" s="472" t="e">
        <f>VLOOKUP(AI470,'排出係数(2017)'!$A$4:$I$1151,9,FALSE)</f>
        <v>#N/A</v>
      </c>
      <c r="AH470" s="12" t="str">
        <f t="shared" si="220"/>
        <v xml:space="preserve"> </v>
      </c>
      <c r="AI470" s="7" t="e">
        <f t="shared" si="235"/>
        <v>#N/A</v>
      </c>
      <c r="AJ470" s="7" t="e">
        <f t="shared" si="221"/>
        <v>#N/A</v>
      </c>
      <c r="AK470" s="472" t="e">
        <f>VLOOKUP(AI470,'排出係数(2017)'!$A$4:$I$1151,6,FALSE)</f>
        <v>#N/A</v>
      </c>
      <c r="AL470" s="7" t="e">
        <f t="shared" si="222"/>
        <v>#N/A</v>
      </c>
      <c r="AM470" s="7" t="e">
        <f t="shared" si="223"/>
        <v>#N/A</v>
      </c>
      <c r="AN470" s="472" t="e">
        <f>VLOOKUP(AI470,'排出係数(2017)'!$A$4:$I$1151,7,FALSE)</f>
        <v>#N/A</v>
      </c>
      <c r="AO470" s="7" t="e">
        <f t="shared" si="224"/>
        <v>#N/A</v>
      </c>
      <c r="AP470" s="7" t="e">
        <f t="shared" si="225"/>
        <v>#N/A</v>
      </c>
      <c r="AQ470" s="7" t="e">
        <f t="shared" si="236"/>
        <v>#N/A</v>
      </c>
      <c r="AR470" s="7">
        <f t="shared" si="226"/>
        <v>0</v>
      </c>
      <c r="AS470" s="7" t="e">
        <f t="shared" si="237"/>
        <v>#N/A</v>
      </c>
      <c r="AT470" s="7" t="str">
        <f t="shared" si="227"/>
        <v/>
      </c>
      <c r="AU470" s="7" t="str">
        <f t="shared" si="228"/>
        <v/>
      </c>
      <c r="AV470" s="7" t="str">
        <f t="shared" si="229"/>
        <v/>
      </c>
      <c r="AW470" s="7" t="str">
        <f t="shared" si="230"/>
        <v/>
      </c>
      <c r="AX470" s="97"/>
      <c r="BD470" s="473" t="s">
        <v>1085</v>
      </c>
      <c r="CG470"/>
      <c r="CH470"/>
      <c r="CK470" s="592" t="str">
        <f t="shared" si="238"/>
        <v/>
      </c>
      <c r="CL470" s="421" t="str">
        <f t="shared" si="239"/>
        <v/>
      </c>
      <c r="CM470" s="594"/>
      <c r="CN470" s="594"/>
      <c r="CO470" s="594"/>
      <c r="CP470" s="594"/>
      <c r="CQ470" s="594"/>
      <c r="CR470" s="594"/>
    </row>
    <row r="471" spans="1:96" s="13" customFormat="1" ht="13.75" customHeight="1">
      <c r="A471" s="137">
        <v>456</v>
      </c>
      <c r="B471" s="138"/>
      <c r="C471" s="139"/>
      <c r="D471" s="140"/>
      <c r="E471" s="139"/>
      <c r="F471" s="139"/>
      <c r="G471" s="191"/>
      <c r="H471" s="139"/>
      <c r="I471" s="141"/>
      <c r="J471" s="142"/>
      <c r="K471" s="139"/>
      <c r="L471" s="147"/>
      <c r="M471" s="148"/>
      <c r="N471" s="139"/>
      <c r="O471" s="589"/>
      <c r="P471" s="229" t="str">
        <f t="shared" si="231"/>
        <v/>
      </c>
      <c r="Q471" s="229" t="str">
        <f t="shared" si="232"/>
        <v/>
      </c>
      <c r="R471" s="230" t="str">
        <f t="shared" si="233"/>
        <v/>
      </c>
      <c r="S471" s="230" t="str">
        <f t="shared" si="234"/>
        <v/>
      </c>
      <c r="T471" s="351"/>
      <c r="U471" s="43"/>
      <c r="V471" s="42" t="str">
        <f t="shared" si="210"/>
        <v/>
      </c>
      <c r="W471" s="42" t="e">
        <f>IF(#REF!="","",#REF!)</f>
        <v>#REF!</v>
      </c>
      <c r="X471" s="31" t="str">
        <f t="shared" si="211"/>
        <v/>
      </c>
      <c r="Y471" s="7" t="e">
        <f t="shared" si="212"/>
        <v>#N/A</v>
      </c>
      <c r="Z471" s="7" t="e">
        <f t="shared" si="213"/>
        <v>#N/A</v>
      </c>
      <c r="AA471" s="7" t="e">
        <f t="shared" si="214"/>
        <v>#N/A</v>
      </c>
      <c r="AB471" s="7" t="str">
        <f t="shared" si="215"/>
        <v/>
      </c>
      <c r="AC471" s="11">
        <f t="shared" si="216"/>
        <v>1</v>
      </c>
      <c r="AD471" s="7" t="e">
        <f t="shared" si="217"/>
        <v>#N/A</v>
      </c>
      <c r="AE471" s="7" t="e">
        <f t="shared" si="218"/>
        <v>#N/A</v>
      </c>
      <c r="AF471" s="7" t="e">
        <f t="shared" si="219"/>
        <v>#N/A</v>
      </c>
      <c r="AG471" s="472" t="e">
        <f>VLOOKUP(AI471,'排出係数(2017)'!$A$4:$I$1151,9,FALSE)</f>
        <v>#N/A</v>
      </c>
      <c r="AH471" s="12" t="str">
        <f t="shared" si="220"/>
        <v xml:space="preserve"> </v>
      </c>
      <c r="AI471" s="7" t="e">
        <f t="shared" si="235"/>
        <v>#N/A</v>
      </c>
      <c r="AJ471" s="7" t="e">
        <f t="shared" si="221"/>
        <v>#N/A</v>
      </c>
      <c r="AK471" s="472" t="e">
        <f>VLOOKUP(AI471,'排出係数(2017)'!$A$4:$I$1151,6,FALSE)</f>
        <v>#N/A</v>
      </c>
      <c r="AL471" s="7" t="e">
        <f t="shared" si="222"/>
        <v>#N/A</v>
      </c>
      <c r="AM471" s="7" t="e">
        <f t="shared" si="223"/>
        <v>#N/A</v>
      </c>
      <c r="AN471" s="472" t="e">
        <f>VLOOKUP(AI471,'排出係数(2017)'!$A$4:$I$1151,7,FALSE)</f>
        <v>#N/A</v>
      </c>
      <c r="AO471" s="7" t="e">
        <f t="shared" si="224"/>
        <v>#N/A</v>
      </c>
      <c r="AP471" s="7" t="e">
        <f t="shared" si="225"/>
        <v>#N/A</v>
      </c>
      <c r="AQ471" s="7" t="e">
        <f t="shared" si="236"/>
        <v>#N/A</v>
      </c>
      <c r="AR471" s="7">
        <f t="shared" si="226"/>
        <v>0</v>
      </c>
      <c r="AS471" s="7" t="e">
        <f t="shared" si="237"/>
        <v>#N/A</v>
      </c>
      <c r="AT471" s="7" t="str">
        <f t="shared" si="227"/>
        <v/>
      </c>
      <c r="AU471" s="7" t="str">
        <f t="shared" si="228"/>
        <v/>
      </c>
      <c r="AV471" s="7" t="str">
        <f t="shared" si="229"/>
        <v/>
      </c>
      <c r="AW471" s="7" t="str">
        <f t="shared" si="230"/>
        <v/>
      </c>
      <c r="AX471" s="97"/>
      <c r="BD471" s="453" t="s">
        <v>12</v>
      </c>
      <c r="CG471"/>
      <c r="CH471"/>
      <c r="CK471" s="592" t="str">
        <f t="shared" si="238"/>
        <v/>
      </c>
      <c r="CL471" s="421" t="str">
        <f t="shared" si="239"/>
        <v/>
      </c>
      <c r="CM471" s="594"/>
      <c r="CN471" s="594"/>
      <c r="CO471" s="594"/>
      <c r="CP471" s="594"/>
      <c r="CQ471" s="594"/>
      <c r="CR471" s="594"/>
    </row>
    <row r="472" spans="1:96" s="13" customFormat="1" ht="13.75" customHeight="1">
      <c r="A472" s="137">
        <v>457</v>
      </c>
      <c r="B472" s="138"/>
      <c r="C472" s="139"/>
      <c r="D472" s="140"/>
      <c r="E472" s="139"/>
      <c r="F472" s="139"/>
      <c r="G472" s="191"/>
      <c r="H472" s="139"/>
      <c r="I472" s="141"/>
      <c r="J472" s="142"/>
      <c r="K472" s="139"/>
      <c r="L472" s="147"/>
      <c r="M472" s="148"/>
      <c r="N472" s="139"/>
      <c r="O472" s="589"/>
      <c r="P472" s="229" t="str">
        <f t="shared" si="231"/>
        <v/>
      </c>
      <c r="Q472" s="229" t="str">
        <f t="shared" si="232"/>
        <v/>
      </c>
      <c r="R472" s="230" t="str">
        <f t="shared" si="233"/>
        <v/>
      </c>
      <c r="S472" s="230" t="str">
        <f t="shared" si="234"/>
        <v/>
      </c>
      <c r="T472" s="351"/>
      <c r="U472" s="43"/>
      <c r="V472" s="42" t="str">
        <f t="shared" si="210"/>
        <v/>
      </c>
      <c r="W472" s="42" t="e">
        <f>IF(#REF!="","",#REF!)</f>
        <v>#REF!</v>
      </c>
      <c r="X472" s="31" t="str">
        <f t="shared" si="211"/>
        <v/>
      </c>
      <c r="Y472" s="7" t="e">
        <f t="shared" si="212"/>
        <v>#N/A</v>
      </c>
      <c r="Z472" s="7" t="e">
        <f t="shared" si="213"/>
        <v>#N/A</v>
      </c>
      <c r="AA472" s="7" t="e">
        <f t="shared" si="214"/>
        <v>#N/A</v>
      </c>
      <c r="AB472" s="7" t="str">
        <f t="shared" si="215"/>
        <v/>
      </c>
      <c r="AC472" s="11">
        <f t="shared" si="216"/>
        <v>1</v>
      </c>
      <c r="AD472" s="7" t="e">
        <f t="shared" si="217"/>
        <v>#N/A</v>
      </c>
      <c r="AE472" s="7" t="e">
        <f t="shared" si="218"/>
        <v>#N/A</v>
      </c>
      <c r="AF472" s="7" t="e">
        <f t="shared" si="219"/>
        <v>#N/A</v>
      </c>
      <c r="AG472" s="472" t="e">
        <f>VLOOKUP(AI472,'排出係数(2017)'!$A$4:$I$1151,9,FALSE)</f>
        <v>#N/A</v>
      </c>
      <c r="AH472" s="12" t="str">
        <f t="shared" si="220"/>
        <v xml:space="preserve"> </v>
      </c>
      <c r="AI472" s="7" t="e">
        <f t="shared" si="235"/>
        <v>#N/A</v>
      </c>
      <c r="AJ472" s="7" t="e">
        <f t="shared" si="221"/>
        <v>#N/A</v>
      </c>
      <c r="AK472" s="472" t="e">
        <f>VLOOKUP(AI472,'排出係数(2017)'!$A$4:$I$1151,6,FALSE)</f>
        <v>#N/A</v>
      </c>
      <c r="AL472" s="7" t="e">
        <f t="shared" si="222"/>
        <v>#N/A</v>
      </c>
      <c r="AM472" s="7" t="e">
        <f t="shared" si="223"/>
        <v>#N/A</v>
      </c>
      <c r="AN472" s="472" t="e">
        <f>VLOOKUP(AI472,'排出係数(2017)'!$A$4:$I$1151,7,FALSE)</f>
        <v>#N/A</v>
      </c>
      <c r="AO472" s="7" t="e">
        <f t="shared" si="224"/>
        <v>#N/A</v>
      </c>
      <c r="AP472" s="7" t="e">
        <f t="shared" si="225"/>
        <v>#N/A</v>
      </c>
      <c r="AQ472" s="7" t="e">
        <f t="shared" si="236"/>
        <v>#N/A</v>
      </c>
      <c r="AR472" s="7">
        <f t="shared" si="226"/>
        <v>0</v>
      </c>
      <c r="AS472" s="7" t="e">
        <f t="shared" si="237"/>
        <v>#N/A</v>
      </c>
      <c r="AT472" s="7" t="str">
        <f t="shared" si="227"/>
        <v/>
      </c>
      <c r="AU472" s="7" t="str">
        <f t="shared" si="228"/>
        <v/>
      </c>
      <c r="AV472" s="7" t="str">
        <f t="shared" si="229"/>
        <v/>
      </c>
      <c r="AW472" s="7" t="str">
        <f t="shared" si="230"/>
        <v/>
      </c>
      <c r="AX472" s="97"/>
      <c r="BD472" s="453" t="s">
        <v>763</v>
      </c>
      <c r="CG472"/>
      <c r="CH472"/>
      <c r="CK472" s="592" t="str">
        <f t="shared" si="238"/>
        <v/>
      </c>
      <c r="CL472" s="421" t="str">
        <f t="shared" si="239"/>
        <v/>
      </c>
      <c r="CM472" s="594"/>
      <c r="CN472" s="594"/>
      <c r="CO472" s="594"/>
      <c r="CP472" s="594"/>
      <c r="CQ472" s="594"/>
      <c r="CR472" s="594"/>
    </row>
    <row r="473" spans="1:96" s="13" customFormat="1" ht="13.75" customHeight="1">
      <c r="A473" s="137">
        <v>458</v>
      </c>
      <c r="B473" s="138"/>
      <c r="C473" s="139"/>
      <c r="D473" s="140"/>
      <c r="E473" s="139"/>
      <c r="F473" s="139"/>
      <c r="G473" s="191"/>
      <c r="H473" s="139"/>
      <c r="I473" s="141"/>
      <c r="J473" s="142"/>
      <c r="K473" s="139"/>
      <c r="L473" s="147"/>
      <c r="M473" s="148"/>
      <c r="N473" s="139"/>
      <c r="O473" s="589"/>
      <c r="P473" s="229" t="str">
        <f t="shared" si="231"/>
        <v/>
      </c>
      <c r="Q473" s="229" t="str">
        <f t="shared" si="232"/>
        <v/>
      </c>
      <c r="R473" s="230" t="str">
        <f t="shared" si="233"/>
        <v/>
      </c>
      <c r="S473" s="230" t="str">
        <f t="shared" si="234"/>
        <v/>
      </c>
      <c r="T473" s="351"/>
      <c r="U473" s="43"/>
      <c r="V473" s="42" t="str">
        <f t="shared" si="210"/>
        <v/>
      </c>
      <c r="W473" s="42" t="e">
        <f>IF(#REF!="","",#REF!)</f>
        <v>#REF!</v>
      </c>
      <c r="X473" s="31" t="str">
        <f t="shared" si="211"/>
        <v/>
      </c>
      <c r="Y473" s="7" t="e">
        <f t="shared" si="212"/>
        <v>#N/A</v>
      </c>
      <c r="Z473" s="7" t="e">
        <f t="shared" si="213"/>
        <v>#N/A</v>
      </c>
      <c r="AA473" s="7" t="e">
        <f t="shared" si="214"/>
        <v>#N/A</v>
      </c>
      <c r="AB473" s="7" t="str">
        <f t="shared" si="215"/>
        <v/>
      </c>
      <c r="AC473" s="11">
        <f t="shared" si="216"/>
        <v>1</v>
      </c>
      <c r="AD473" s="7" t="e">
        <f t="shared" si="217"/>
        <v>#N/A</v>
      </c>
      <c r="AE473" s="7" t="e">
        <f t="shared" si="218"/>
        <v>#N/A</v>
      </c>
      <c r="AF473" s="7" t="e">
        <f t="shared" si="219"/>
        <v>#N/A</v>
      </c>
      <c r="AG473" s="472" t="e">
        <f>VLOOKUP(AI473,'排出係数(2017)'!$A$4:$I$1151,9,FALSE)</f>
        <v>#N/A</v>
      </c>
      <c r="AH473" s="12" t="str">
        <f t="shared" si="220"/>
        <v xml:space="preserve"> </v>
      </c>
      <c r="AI473" s="7" t="e">
        <f t="shared" si="235"/>
        <v>#N/A</v>
      </c>
      <c r="AJ473" s="7" t="e">
        <f t="shared" si="221"/>
        <v>#N/A</v>
      </c>
      <c r="AK473" s="472" t="e">
        <f>VLOOKUP(AI473,'排出係数(2017)'!$A$4:$I$1151,6,FALSE)</f>
        <v>#N/A</v>
      </c>
      <c r="AL473" s="7" t="e">
        <f t="shared" si="222"/>
        <v>#N/A</v>
      </c>
      <c r="AM473" s="7" t="e">
        <f t="shared" si="223"/>
        <v>#N/A</v>
      </c>
      <c r="AN473" s="472" t="e">
        <f>VLOOKUP(AI473,'排出係数(2017)'!$A$4:$I$1151,7,FALSE)</f>
        <v>#N/A</v>
      </c>
      <c r="AO473" s="7" t="e">
        <f t="shared" si="224"/>
        <v>#N/A</v>
      </c>
      <c r="AP473" s="7" t="e">
        <f t="shared" si="225"/>
        <v>#N/A</v>
      </c>
      <c r="AQ473" s="7" t="e">
        <f t="shared" si="236"/>
        <v>#N/A</v>
      </c>
      <c r="AR473" s="7">
        <f t="shared" si="226"/>
        <v>0</v>
      </c>
      <c r="AS473" s="7" t="e">
        <f t="shared" si="237"/>
        <v>#N/A</v>
      </c>
      <c r="AT473" s="7" t="str">
        <f t="shared" si="227"/>
        <v/>
      </c>
      <c r="AU473" s="7" t="str">
        <f t="shared" si="228"/>
        <v/>
      </c>
      <c r="AV473" s="7" t="str">
        <f t="shared" si="229"/>
        <v/>
      </c>
      <c r="AW473" s="7" t="str">
        <f t="shared" si="230"/>
        <v/>
      </c>
      <c r="AX473" s="97"/>
      <c r="BD473" s="453" t="s">
        <v>1103</v>
      </c>
      <c r="CG473"/>
      <c r="CH473"/>
      <c r="CK473" s="592" t="str">
        <f t="shared" si="238"/>
        <v/>
      </c>
      <c r="CL473" s="421" t="str">
        <f t="shared" si="239"/>
        <v/>
      </c>
      <c r="CM473" s="594"/>
      <c r="CN473" s="594"/>
      <c r="CO473" s="594"/>
      <c r="CP473" s="594"/>
      <c r="CQ473" s="594"/>
      <c r="CR473" s="594"/>
    </row>
    <row r="474" spans="1:96" s="13" customFormat="1" ht="13.75" customHeight="1">
      <c r="A474" s="137">
        <v>459</v>
      </c>
      <c r="B474" s="138"/>
      <c r="C474" s="139"/>
      <c r="D474" s="140"/>
      <c r="E474" s="139"/>
      <c r="F474" s="139"/>
      <c r="G474" s="191"/>
      <c r="H474" s="139"/>
      <c r="I474" s="141"/>
      <c r="J474" s="142"/>
      <c r="K474" s="139"/>
      <c r="L474" s="147"/>
      <c r="M474" s="148"/>
      <c r="N474" s="139"/>
      <c r="O474" s="589"/>
      <c r="P474" s="229" t="str">
        <f t="shared" si="231"/>
        <v/>
      </c>
      <c r="Q474" s="229" t="str">
        <f t="shared" si="232"/>
        <v/>
      </c>
      <c r="R474" s="230" t="str">
        <f t="shared" si="233"/>
        <v/>
      </c>
      <c r="S474" s="230" t="str">
        <f t="shared" si="234"/>
        <v/>
      </c>
      <c r="T474" s="351"/>
      <c r="U474" s="43"/>
      <c r="V474" s="42" t="str">
        <f t="shared" si="210"/>
        <v/>
      </c>
      <c r="W474" s="42" t="e">
        <f>IF(#REF!="","",#REF!)</f>
        <v>#REF!</v>
      </c>
      <c r="X474" s="31" t="str">
        <f t="shared" si="211"/>
        <v/>
      </c>
      <c r="Y474" s="7" t="e">
        <f t="shared" si="212"/>
        <v>#N/A</v>
      </c>
      <c r="Z474" s="7" t="e">
        <f t="shared" si="213"/>
        <v>#N/A</v>
      </c>
      <c r="AA474" s="7" t="e">
        <f t="shared" si="214"/>
        <v>#N/A</v>
      </c>
      <c r="AB474" s="7" t="str">
        <f t="shared" si="215"/>
        <v/>
      </c>
      <c r="AC474" s="11">
        <f t="shared" si="216"/>
        <v>1</v>
      </c>
      <c r="AD474" s="7" t="e">
        <f t="shared" si="217"/>
        <v>#N/A</v>
      </c>
      <c r="AE474" s="7" t="e">
        <f t="shared" si="218"/>
        <v>#N/A</v>
      </c>
      <c r="AF474" s="7" t="e">
        <f t="shared" si="219"/>
        <v>#N/A</v>
      </c>
      <c r="AG474" s="472" t="e">
        <f>VLOOKUP(AI474,'排出係数(2017)'!$A$4:$I$1151,9,FALSE)</f>
        <v>#N/A</v>
      </c>
      <c r="AH474" s="12" t="str">
        <f t="shared" si="220"/>
        <v xml:space="preserve"> </v>
      </c>
      <c r="AI474" s="7" t="e">
        <f t="shared" si="235"/>
        <v>#N/A</v>
      </c>
      <c r="AJ474" s="7" t="e">
        <f t="shared" si="221"/>
        <v>#N/A</v>
      </c>
      <c r="AK474" s="472" t="e">
        <f>VLOOKUP(AI474,'排出係数(2017)'!$A$4:$I$1151,6,FALSE)</f>
        <v>#N/A</v>
      </c>
      <c r="AL474" s="7" t="e">
        <f t="shared" si="222"/>
        <v>#N/A</v>
      </c>
      <c r="AM474" s="7" t="e">
        <f t="shared" si="223"/>
        <v>#N/A</v>
      </c>
      <c r="AN474" s="472" t="e">
        <f>VLOOKUP(AI474,'排出係数(2017)'!$A$4:$I$1151,7,FALSE)</f>
        <v>#N/A</v>
      </c>
      <c r="AO474" s="7" t="e">
        <f t="shared" si="224"/>
        <v>#N/A</v>
      </c>
      <c r="AP474" s="7" t="e">
        <f t="shared" si="225"/>
        <v>#N/A</v>
      </c>
      <c r="AQ474" s="7" t="e">
        <f t="shared" si="236"/>
        <v>#N/A</v>
      </c>
      <c r="AR474" s="7">
        <f t="shared" si="226"/>
        <v>0</v>
      </c>
      <c r="AS474" s="7" t="e">
        <f t="shared" si="237"/>
        <v>#N/A</v>
      </c>
      <c r="AT474" s="7" t="str">
        <f t="shared" si="227"/>
        <v/>
      </c>
      <c r="AU474" s="7" t="str">
        <f t="shared" si="228"/>
        <v/>
      </c>
      <c r="AV474" s="7" t="str">
        <f t="shared" si="229"/>
        <v/>
      </c>
      <c r="AW474" s="7" t="str">
        <f t="shared" si="230"/>
        <v/>
      </c>
      <c r="AX474" s="97"/>
      <c r="BD474" s="453" t="s">
        <v>755</v>
      </c>
      <c r="CG474"/>
      <c r="CH474"/>
      <c r="CK474" s="592" t="str">
        <f t="shared" si="238"/>
        <v/>
      </c>
      <c r="CL474" s="421" t="str">
        <f t="shared" si="239"/>
        <v/>
      </c>
      <c r="CM474" s="594"/>
      <c r="CN474" s="594"/>
      <c r="CO474" s="594"/>
      <c r="CP474" s="594"/>
      <c r="CQ474" s="594"/>
      <c r="CR474" s="594"/>
    </row>
    <row r="475" spans="1:96" s="13" customFormat="1" ht="13.75" customHeight="1">
      <c r="A475" s="137">
        <v>460</v>
      </c>
      <c r="B475" s="138"/>
      <c r="C475" s="139"/>
      <c r="D475" s="140"/>
      <c r="E475" s="139"/>
      <c r="F475" s="139"/>
      <c r="G475" s="191"/>
      <c r="H475" s="139"/>
      <c r="I475" s="141"/>
      <c r="J475" s="142"/>
      <c r="K475" s="139"/>
      <c r="L475" s="147"/>
      <c r="M475" s="148"/>
      <c r="N475" s="139"/>
      <c r="O475" s="589"/>
      <c r="P475" s="229" t="str">
        <f t="shared" si="231"/>
        <v/>
      </c>
      <c r="Q475" s="229" t="str">
        <f t="shared" si="232"/>
        <v/>
      </c>
      <c r="R475" s="230" t="str">
        <f t="shared" si="233"/>
        <v/>
      </c>
      <c r="S475" s="230" t="str">
        <f t="shared" si="234"/>
        <v/>
      </c>
      <c r="T475" s="351"/>
      <c r="U475" s="43"/>
      <c r="V475" s="42" t="str">
        <f t="shared" si="210"/>
        <v/>
      </c>
      <c r="W475" s="42" t="e">
        <f>IF(#REF!="","",#REF!)</f>
        <v>#REF!</v>
      </c>
      <c r="X475" s="31" t="str">
        <f t="shared" si="211"/>
        <v/>
      </c>
      <c r="Y475" s="7" t="e">
        <f t="shared" si="212"/>
        <v>#N/A</v>
      </c>
      <c r="Z475" s="7" t="e">
        <f t="shared" si="213"/>
        <v>#N/A</v>
      </c>
      <c r="AA475" s="7" t="e">
        <f t="shared" si="214"/>
        <v>#N/A</v>
      </c>
      <c r="AB475" s="7" t="str">
        <f t="shared" si="215"/>
        <v/>
      </c>
      <c r="AC475" s="11">
        <f t="shared" si="216"/>
        <v>1</v>
      </c>
      <c r="AD475" s="7" t="e">
        <f t="shared" si="217"/>
        <v>#N/A</v>
      </c>
      <c r="AE475" s="7" t="e">
        <f t="shared" si="218"/>
        <v>#N/A</v>
      </c>
      <c r="AF475" s="7" t="e">
        <f t="shared" si="219"/>
        <v>#N/A</v>
      </c>
      <c r="AG475" s="472" t="e">
        <f>VLOOKUP(AI475,'排出係数(2017)'!$A$4:$I$1151,9,FALSE)</f>
        <v>#N/A</v>
      </c>
      <c r="AH475" s="12" t="str">
        <f t="shared" si="220"/>
        <v xml:space="preserve"> </v>
      </c>
      <c r="AI475" s="7" t="e">
        <f t="shared" si="235"/>
        <v>#N/A</v>
      </c>
      <c r="AJ475" s="7" t="e">
        <f t="shared" si="221"/>
        <v>#N/A</v>
      </c>
      <c r="AK475" s="472" t="e">
        <f>VLOOKUP(AI475,'排出係数(2017)'!$A$4:$I$1151,6,FALSE)</f>
        <v>#N/A</v>
      </c>
      <c r="AL475" s="7" t="e">
        <f t="shared" si="222"/>
        <v>#N/A</v>
      </c>
      <c r="AM475" s="7" t="e">
        <f t="shared" si="223"/>
        <v>#N/A</v>
      </c>
      <c r="AN475" s="472" t="e">
        <f>VLOOKUP(AI475,'排出係数(2017)'!$A$4:$I$1151,7,FALSE)</f>
        <v>#N/A</v>
      </c>
      <c r="AO475" s="7" t="e">
        <f t="shared" si="224"/>
        <v>#N/A</v>
      </c>
      <c r="AP475" s="7" t="e">
        <f t="shared" si="225"/>
        <v>#N/A</v>
      </c>
      <c r="AQ475" s="7" t="e">
        <f t="shared" si="236"/>
        <v>#N/A</v>
      </c>
      <c r="AR475" s="7">
        <f t="shared" si="226"/>
        <v>0</v>
      </c>
      <c r="AS475" s="7" t="e">
        <f t="shared" si="237"/>
        <v>#N/A</v>
      </c>
      <c r="AT475" s="7" t="str">
        <f t="shared" si="227"/>
        <v/>
      </c>
      <c r="AU475" s="7" t="str">
        <f t="shared" si="228"/>
        <v/>
      </c>
      <c r="AV475" s="7" t="str">
        <f t="shared" si="229"/>
        <v/>
      </c>
      <c r="AW475" s="7" t="str">
        <f t="shared" si="230"/>
        <v/>
      </c>
      <c r="AX475" s="97"/>
      <c r="BD475" s="473" t="s">
        <v>1095</v>
      </c>
      <c r="CG475"/>
      <c r="CH475"/>
      <c r="CK475" s="592" t="str">
        <f t="shared" si="238"/>
        <v/>
      </c>
      <c r="CL475" s="421" t="str">
        <f t="shared" si="239"/>
        <v/>
      </c>
      <c r="CM475" s="594"/>
      <c r="CN475" s="594"/>
      <c r="CO475" s="594"/>
      <c r="CP475" s="594"/>
      <c r="CQ475" s="594"/>
      <c r="CR475" s="594"/>
    </row>
    <row r="476" spans="1:96" s="13" customFormat="1" ht="13.75" customHeight="1">
      <c r="A476" s="137">
        <v>461</v>
      </c>
      <c r="B476" s="138"/>
      <c r="C476" s="139"/>
      <c r="D476" s="140"/>
      <c r="E476" s="139"/>
      <c r="F476" s="139"/>
      <c r="G476" s="191"/>
      <c r="H476" s="139"/>
      <c r="I476" s="141"/>
      <c r="J476" s="142"/>
      <c r="K476" s="139"/>
      <c r="L476" s="147"/>
      <c r="M476" s="148"/>
      <c r="N476" s="139"/>
      <c r="O476" s="589"/>
      <c r="P476" s="229" t="str">
        <f t="shared" si="231"/>
        <v/>
      </c>
      <c r="Q476" s="229" t="str">
        <f t="shared" si="232"/>
        <v/>
      </c>
      <c r="R476" s="230" t="str">
        <f t="shared" si="233"/>
        <v/>
      </c>
      <c r="S476" s="230" t="str">
        <f t="shared" si="234"/>
        <v/>
      </c>
      <c r="T476" s="351"/>
      <c r="U476" s="43"/>
      <c r="V476" s="42" t="str">
        <f t="shared" si="210"/>
        <v/>
      </c>
      <c r="W476" s="42" t="e">
        <f>IF(#REF!="","",#REF!)</f>
        <v>#REF!</v>
      </c>
      <c r="X476" s="31" t="str">
        <f t="shared" si="211"/>
        <v/>
      </c>
      <c r="Y476" s="7" t="e">
        <f t="shared" si="212"/>
        <v>#N/A</v>
      </c>
      <c r="Z476" s="7" t="e">
        <f t="shared" si="213"/>
        <v>#N/A</v>
      </c>
      <c r="AA476" s="7" t="e">
        <f t="shared" si="214"/>
        <v>#N/A</v>
      </c>
      <c r="AB476" s="7" t="str">
        <f t="shared" si="215"/>
        <v/>
      </c>
      <c r="AC476" s="11">
        <f t="shared" si="216"/>
        <v>1</v>
      </c>
      <c r="AD476" s="7" t="e">
        <f t="shared" si="217"/>
        <v>#N/A</v>
      </c>
      <c r="AE476" s="7" t="e">
        <f t="shared" si="218"/>
        <v>#N/A</v>
      </c>
      <c r="AF476" s="7" t="e">
        <f t="shared" si="219"/>
        <v>#N/A</v>
      </c>
      <c r="AG476" s="472" t="e">
        <f>VLOOKUP(AI476,'排出係数(2017)'!$A$4:$I$1151,9,FALSE)</f>
        <v>#N/A</v>
      </c>
      <c r="AH476" s="12" t="str">
        <f t="shared" si="220"/>
        <v xml:space="preserve"> </v>
      </c>
      <c r="AI476" s="7" t="e">
        <f t="shared" si="235"/>
        <v>#N/A</v>
      </c>
      <c r="AJ476" s="7" t="e">
        <f t="shared" si="221"/>
        <v>#N/A</v>
      </c>
      <c r="AK476" s="472" t="e">
        <f>VLOOKUP(AI476,'排出係数(2017)'!$A$4:$I$1151,6,FALSE)</f>
        <v>#N/A</v>
      </c>
      <c r="AL476" s="7" t="e">
        <f t="shared" si="222"/>
        <v>#N/A</v>
      </c>
      <c r="AM476" s="7" t="e">
        <f t="shared" si="223"/>
        <v>#N/A</v>
      </c>
      <c r="AN476" s="472" t="e">
        <f>VLOOKUP(AI476,'排出係数(2017)'!$A$4:$I$1151,7,FALSE)</f>
        <v>#N/A</v>
      </c>
      <c r="AO476" s="7" t="e">
        <f t="shared" si="224"/>
        <v>#N/A</v>
      </c>
      <c r="AP476" s="7" t="e">
        <f t="shared" si="225"/>
        <v>#N/A</v>
      </c>
      <c r="AQ476" s="7" t="e">
        <f t="shared" si="236"/>
        <v>#N/A</v>
      </c>
      <c r="AR476" s="7">
        <f t="shared" si="226"/>
        <v>0</v>
      </c>
      <c r="AS476" s="7" t="e">
        <f t="shared" si="237"/>
        <v>#N/A</v>
      </c>
      <c r="AT476" s="7" t="str">
        <f t="shared" si="227"/>
        <v/>
      </c>
      <c r="AU476" s="7" t="str">
        <f t="shared" si="228"/>
        <v/>
      </c>
      <c r="AV476" s="7" t="str">
        <f t="shared" si="229"/>
        <v/>
      </c>
      <c r="AW476" s="7" t="str">
        <f t="shared" si="230"/>
        <v/>
      </c>
      <c r="AX476" s="97"/>
      <c r="BD476" s="453" t="s">
        <v>1253</v>
      </c>
      <c r="CG476"/>
      <c r="CH476"/>
      <c r="CK476" s="592" t="str">
        <f t="shared" si="238"/>
        <v/>
      </c>
      <c r="CL476" s="421" t="str">
        <f t="shared" si="239"/>
        <v/>
      </c>
      <c r="CM476" s="594"/>
      <c r="CN476" s="594"/>
      <c r="CO476" s="594"/>
      <c r="CP476" s="594"/>
      <c r="CQ476" s="594"/>
      <c r="CR476" s="594"/>
    </row>
    <row r="477" spans="1:96" s="13" customFormat="1" ht="13.75" customHeight="1">
      <c r="A477" s="137">
        <v>462</v>
      </c>
      <c r="B477" s="138"/>
      <c r="C477" s="139"/>
      <c r="D477" s="140"/>
      <c r="E477" s="139"/>
      <c r="F477" s="139"/>
      <c r="G477" s="191"/>
      <c r="H477" s="139"/>
      <c r="I477" s="141"/>
      <c r="J477" s="142"/>
      <c r="K477" s="139"/>
      <c r="L477" s="147"/>
      <c r="M477" s="148"/>
      <c r="N477" s="139"/>
      <c r="O477" s="589"/>
      <c r="P477" s="229" t="str">
        <f t="shared" si="231"/>
        <v/>
      </c>
      <c r="Q477" s="229" t="str">
        <f t="shared" si="232"/>
        <v/>
      </c>
      <c r="R477" s="230" t="str">
        <f t="shared" si="233"/>
        <v/>
      </c>
      <c r="S477" s="230" t="str">
        <f t="shared" si="234"/>
        <v/>
      </c>
      <c r="T477" s="351"/>
      <c r="U477" s="43"/>
      <c r="V477" s="42" t="str">
        <f t="shared" si="210"/>
        <v/>
      </c>
      <c r="W477" s="42" t="e">
        <f>IF(#REF!="","",#REF!)</f>
        <v>#REF!</v>
      </c>
      <c r="X477" s="31" t="str">
        <f t="shared" si="211"/>
        <v/>
      </c>
      <c r="Y477" s="7" t="e">
        <f t="shared" si="212"/>
        <v>#N/A</v>
      </c>
      <c r="Z477" s="7" t="e">
        <f t="shared" si="213"/>
        <v>#N/A</v>
      </c>
      <c r="AA477" s="7" t="e">
        <f t="shared" si="214"/>
        <v>#N/A</v>
      </c>
      <c r="AB477" s="7" t="str">
        <f t="shared" si="215"/>
        <v/>
      </c>
      <c r="AC477" s="11">
        <f t="shared" si="216"/>
        <v>1</v>
      </c>
      <c r="AD477" s="7" t="e">
        <f t="shared" si="217"/>
        <v>#N/A</v>
      </c>
      <c r="AE477" s="7" t="e">
        <f t="shared" si="218"/>
        <v>#N/A</v>
      </c>
      <c r="AF477" s="7" t="e">
        <f t="shared" si="219"/>
        <v>#N/A</v>
      </c>
      <c r="AG477" s="472" t="e">
        <f>VLOOKUP(AI477,'排出係数(2017)'!$A$4:$I$1151,9,FALSE)</f>
        <v>#N/A</v>
      </c>
      <c r="AH477" s="12" t="str">
        <f t="shared" si="220"/>
        <v xml:space="preserve"> </v>
      </c>
      <c r="AI477" s="7" t="e">
        <f t="shared" si="235"/>
        <v>#N/A</v>
      </c>
      <c r="AJ477" s="7" t="e">
        <f t="shared" si="221"/>
        <v>#N/A</v>
      </c>
      <c r="AK477" s="472" t="e">
        <f>VLOOKUP(AI477,'排出係数(2017)'!$A$4:$I$1151,6,FALSE)</f>
        <v>#N/A</v>
      </c>
      <c r="AL477" s="7" t="e">
        <f t="shared" si="222"/>
        <v>#N/A</v>
      </c>
      <c r="AM477" s="7" t="e">
        <f t="shared" si="223"/>
        <v>#N/A</v>
      </c>
      <c r="AN477" s="472" t="e">
        <f>VLOOKUP(AI477,'排出係数(2017)'!$A$4:$I$1151,7,FALSE)</f>
        <v>#N/A</v>
      </c>
      <c r="AO477" s="7" t="e">
        <f t="shared" si="224"/>
        <v>#N/A</v>
      </c>
      <c r="AP477" s="7" t="e">
        <f t="shared" si="225"/>
        <v>#N/A</v>
      </c>
      <c r="AQ477" s="7" t="e">
        <f t="shared" si="236"/>
        <v>#N/A</v>
      </c>
      <c r="AR477" s="7">
        <f t="shared" si="226"/>
        <v>0</v>
      </c>
      <c r="AS477" s="7" t="e">
        <f t="shared" si="237"/>
        <v>#N/A</v>
      </c>
      <c r="AT477" s="7" t="str">
        <f t="shared" si="227"/>
        <v/>
      </c>
      <c r="AU477" s="7" t="str">
        <f t="shared" si="228"/>
        <v/>
      </c>
      <c r="AV477" s="7" t="str">
        <f t="shared" si="229"/>
        <v/>
      </c>
      <c r="AW477" s="7" t="str">
        <f t="shared" si="230"/>
        <v/>
      </c>
      <c r="AX477" s="97"/>
      <c r="BD477" s="453" t="s">
        <v>1251</v>
      </c>
      <c r="CG477"/>
      <c r="CH477"/>
      <c r="CK477" s="592" t="str">
        <f t="shared" si="238"/>
        <v/>
      </c>
      <c r="CL477" s="421" t="str">
        <f t="shared" si="239"/>
        <v/>
      </c>
      <c r="CM477" s="594"/>
      <c r="CN477" s="594"/>
      <c r="CO477" s="594"/>
      <c r="CP477" s="594"/>
      <c r="CQ477" s="594"/>
      <c r="CR477" s="594"/>
    </row>
    <row r="478" spans="1:96" s="13" customFormat="1" ht="13.75" customHeight="1">
      <c r="A478" s="137">
        <v>463</v>
      </c>
      <c r="B478" s="138"/>
      <c r="C478" s="139"/>
      <c r="D478" s="140"/>
      <c r="E478" s="139"/>
      <c r="F478" s="139"/>
      <c r="G478" s="191"/>
      <c r="H478" s="139"/>
      <c r="I478" s="141"/>
      <c r="J478" s="142"/>
      <c r="K478" s="139"/>
      <c r="L478" s="147"/>
      <c r="M478" s="148"/>
      <c r="N478" s="139"/>
      <c r="O478" s="589"/>
      <c r="P478" s="229" t="str">
        <f t="shared" si="231"/>
        <v/>
      </c>
      <c r="Q478" s="229" t="str">
        <f t="shared" si="232"/>
        <v/>
      </c>
      <c r="R478" s="230" t="str">
        <f t="shared" si="233"/>
        <v/>
      </c>
      <c r="S478" s="230" t="str">
        <f t="shared" si="234"/>
        <v/>
      </c>
      <c r="T478" s="351"/>
      <c r="U478" s="43"/>
      <c r="V478" s="42" t="str">
        <f t="shared" si="210"/>
        <v/>
      </c>
      <c r="W478" s="42" t="e">
        <f>IF(#REF!="","",#REF!)</f>
        <v>#REF!</v>
      </c>
      <c r="X478" s="31" t="str">
        <f t="shared" si="211"/>
        <v/>
      </c>
      <c r="Y478" s="7" t="e">
        <f t="shared" si="212"/>
        <v>#N/A</v>
      </c>
      <c r="Z478" s="7" t="e">
        <f t="shared" si="213"/>
        <v>#N/A</v>
      </c>
      <c r="AA478" s="7" t="e">
        <f t="shared" si="214"/>
        <v>#N/A</v>
      </c>
      <c r="AB478" s="7" t="str">
        <f t="shared" si="215"/>
        <v/>
      </c>
      <c r="AC478" s="11">
        <f t="shared" si="216"/>
        <v>1</v>
      </c>
      <c r="AD478" s="7" t="e">
        <f t="shared" si="217"/>
        <v>#N/A</v>
      </c>
      <c r="AE478" s="7" t="e">
        <f t="shared" si="218"/>
        <v>#N/A</v>
      </c>
      <c r="AF478" s="7" t="e">
        <f t="shared" si="219"/>
        <v>#N/A</v>
      </c>
      <c r="AG478" s="472" t="e">
        <f>VLOOKUP(AI478,'排出係数(2017)'!$A$4:$I$1151,9,FALSE)</f>
        <v>#N/A</v>
      </c>
      <c r="AH478" s="12" t="str">
        <f t="shared" si="220"/>
        <v xml:space="preserve"> </v>
      </c>
      <c r="AI478" s="7" t="e">
        <f t="shared" si="235"/>
        <v>#N/A</v>
      </c>
      <c r="AJ478" s="7" t="e">
        <f t="shared" si="221"/>
        <v>#N/A</v>
      </c>
      <c r="AK478" s="472" t="e">
        <f>VLOOKUP(AI478,'排出係数(2017)'!$A$4:$I$1151,6,FALSE)</f>
        <v>#N/A</v>
      </c>
      <c r="AL478" s="7" t="e">
        <f t="shared" si="222"/>
        <v>#N/A</v>
      </c>
      <c r="AM478" s="7" t="e">
        <f t="shared" si="223"/>
        <v>#N/A</v>
      </c>
      <c r="AN478" s="472" t="e">
        <f>VLOOKUP(AI478,'排出係数(2017)'!$A$4:$I$1151,7,FALSE)</f>
        <v>#N/A</v>
      </c>
      <c r="AO478" s="7" t="e">
        <f t="shared" si="224"/>
        <v>#N/A</v>
      </c>
      <c r="AP478" s="7" t="e">
        <f t="shared" si="225"/>
        <v>#N/A</v>
      </c>
      <c r="AQ478" s="7" t="e">
        <f t="shared" si="236"/>
        <v>#N/A</v>
      </c>
      <c r="AR478" s="7">
        <f t="shared" si="226"/>
        <v>0</v>
      </c>
      <c r="AS478" s="7" t="e">
        <f t="shared" si="237"/>
        <v>#N/A</v>
      </c>
      <c r="AT478" s="7" t="str">
        <f t="shared" si="227"/>
        <v/>
      </c>
      <c r="AU478" s="7" t="str">
        <f t="shared" si="228"/>
        <v/>
      </c>
      <c r="AV478" s="7" t="str">
        <f t="shared" si="229"/>
        <v/>
      </c>
      <c r="AW478" s="7" t="str">
        <f t="shared" si="230"/>
        <v/>
      </c>
      <c r="AX478" s="97"/>
      <c r="BD478" s="453" t="s">
        <v>1379</v>
      </c>
      <c r="CG478"/>
      <c r="CH478"/>
      <c r="CK478" s="592" t="str">
        <f t="shared" si="238"/>
        <v/>
      </c>
      <c r="CL478" s="421" t="str">
        <f t="shared" si="239"/>
        <v/>
      </c>
      <c r="CM478" s="594"/>
      <c r="CN478" s="594"/>
      <c r="CO478" s="594"/>
      <c r="CP478" s="594"/>
      <c r="CQ478" s="594"/>
      <c r="CR478" s="594"/>
    </row>
    <row r="479" spans="1:96" s="13" customFormat="1" ht="13.75" customHeight="1">
      <c r="A479" s="137">
        <v>464</v>
      </c>
      <c r="B479" s="138"/>
      <c r="C479" s="139"/>
      <c r="D479" s="140"/>
      <c r="E479" s="139"/>
      <c r="F479" s="139"/>
      <c r="G479" s="191"/>
      <c r="H479" s="139"/>
      <c r="I479" s="141"/>
      <c r="J479" s="142"/>
      <c r="K479" s="139"/>
      <c r="L479" s="147"/>
      <c r="M479" s="148"/>
      <c r="N479" s="139"/>
      <c r="O479" s="589"/>
      <c r="P479" s="229" t="str">
        <f t="shared" si="231"/>
        <v/>
      </c>
      <c r="Q479" s="229" t="str">
        <f t="shared" si="232"/>
        <v/>
      </c>
      <c r="R479" s="230" t="str">
        <f t="shared" si="233"/>
        <v/>
      </c>
      <c r="S479" s="230" t="str">
        <f t="shared" si="234"/>
        <v/>
      </c>
      <c r="T479" s="351"/>
      <c r="U479" s="43"/>
      <c r="V479" s="42" t="str">
        <f t="shared" si="210"/>
        <v/>
      </c>
      <c r="W479" s="42" t="e">
        <f>IF(#REF!="","",#REF!)</f>
        <v>#REF!</v>
      </c>
      <c r="X479" s="31" t="str">
        <f t="shared" si="211"/>
        <v/>
      </c>
      <c r="Y479" s="7" t="e">
        <f t="shared" si="212"/>
        <v>#N/A</v>
      </c>
      <c r="Z479" s="7" t="e">
        <f t="shared" si="213"/>
        <v>#N/A</v>
      </c>
      <c r="AA479" s="7" t="e">
        <f t="shared" si="214"/>
        <v>#N/A</v>
      </c>
      <c r="AB479" s="7" t="str">
        <f t="shared" si="215"/>
        <v/>
      </c>
      <c r="AC479" s="11">
        <f t="shared" si="216"/>
        <v>1</v>
      </c>
      <c r="AD479" s="7" t="e">
        <f t="shared" si="217"/>
        <v>#N/A</v>
      </c>
      <c r="AE479" s="7" t="e">
        <f t="shared" si="218"/>
        <v>#N/A</v>
      </c>
      <c r="AF479" s="7" t="e">
        <f t="shared" si="219"/>
        <v>#N/A</v>
      </c>
      <c r="AG479" s="472" t="e">
        <f>VLOOKUP(AI479,'排出係数(2017)'!$A$4:$I$1151,9,FALSE)</f>
        <v>#N/A</v>
      </c>
      <c r="AH479" s="12" t="str">
        <f t="shared" si="220"/>
        <v xml:space="preserve"> </v>
      </c>
      <c r="AI479" s="7" t="e">
        <f t="shared" si="235"/>
        <v>#N/A</v>
      </c>
      <c r="AJ479" s="7" t="e">
        <f t="shared" si="221"/>
        <v>#N/A</v>
      </c>
      <c r="AK479" s="472" t="e">
        <f>VLOOKUP(AI479,'排出係数(2017)'!$A$4:$I$1151,6,FALSE)</f>
        <v>#N/A</v>
      </c>
      <c r="AL479" s="7" t="e">
        <f t="shared" si="222"/>
        <v>#N/A</v>
      </c>
      <c r="AM479" s="7" t="e">
        <f t="shared" si="223"/>
        <v>#N/A</v>
      </c>
      <c r="AN479" s="472" t="e">
        <f>VLOOKUP(AI479,'排出係数(2017)'!$A$4:$I$1151,7,FALSE)</f>
        <v>#N/A</v>
      </c>
      <c r="AO479" s="7" t="e">
        <f t="shared" si="224"/>
        <v>#N/A</v>
      </c>
      <c r="AP479" s="7" t="e">
        <f t="shared" si="225"/>
        <v>#N/A</v>
      </c>
      <c r="AQ479" s="7" t="e">
        <f t="shared" si="236"/>
        <v>#N/A</v>
      </c>
      <c r="AR479" s="7">
        <f t="shared" si="226"/>
        <v>0</v>
      </c>
      <c r="AS479" s="7" t="e">
        <f t="shared" si="237"/>
        <v>#N/A</v>
      </c>
      <c r="AT479" s="7" t="str">
        <f t="shared" si="227"/>
        <v/>
      </c>
      <c r="AU479" s="7" t="str">
        <f t="shared" si="228"/>
        <v/>
      </c>
      <c r="AV479" s="7" t="str">
        <f t="shared" si="229"/>
        <v/>
      </c>
      <c r="AW479" s="7" t="str">
        <f t="shared" si="230"/>
        <v/>
      </c>
      <c r="AX479" s="97"/>
      <c r="BD479" s="453" t="s">
        <v>1377</v>
      </c>
      <c r="CG479"/>
      <c r="CH479"/>
      <c r="CK479" s="592" t="str">
        <f t="shared" si="238"/>
        <v/>
      </c>
      <c r="CL479" s="421" t="str">
        <f t="shared" si="239"/>
        <v/>
      </c>
      <c r="CM479" s="594"/>
      <c r="CN479" s="594"/>
      <c r="CO479" s="594"/>
      <c r="CP479" s="594"/>
      <c r="CQ479" s="594"/>
      <c r="CR479" s="594"/>
    </row>
    <row r="480" spans="1:96" s="13" customFormat="1" ht="13.75" customHeight="1">
      <c r="A480" s="137">
        <v>465</v>
      </c>
      <c r="B480" s="138"/>
      <c r="C480" s="139"/>
      <c r="D480" s="140"/>
      <c r="E480" s="139"/>
      <c r="F480" s="139"/>
      <c r="G480" s="191"/>
      <c r="H480" s="139"/>
      <c r="I480" s="141"/>
      <c r="J480" s="142"/>
      <c r="K480" s="139"/>
      <c r="L480" s="147"/>
      <c r="M480" s="148"/>
      <c r="N480" s="139"/>
      <c r="O480" s="589"/>
      <c r="P480" s="229" t="str">
        <f t="shared" si="231"/>
        <v/>
      </c>
      <c r="Q480" s="229" t="str">
        <f t="shared" si="232"/>
        <v/>
      </c>
      <c r="R480" s="230" t="str">
        <f t="shared" si="233"/>
        <v/>
      </c>
      <c r="S480" s="230" t="str">
        <f t="shared" si="234"/>
        <v/>
      </c>
      <c r="T480" s="351"/>
      <c r="U480" s="43"/>
      <c r="V480" s="42" t="str">
        <f t="shared" si="210"/>
        <v/>
      </c>
      <c r="W480" s="42" t="e">
        <f>IF(#REF!="","",#REF!)</f>
        <v>#REF!</v>
      </c>
      <c r="X480" s="31" t="str">
        <f t="shared" si="211"/>
        <v/>
      </c>
      <c r="Y480" s="7" t="e">
        <f t="shared" si="212"/>
        <v>#N/A</v>
      </c>
      <c r="Z480" s="7" t="e">
        <f t="shared" si="213"/>
        <v>#N/A</v>
      </c>
      <c r="AA480" s="7" t="e">
        <f t="shared" si="214"/>
        <v>#N/A</v>
      </c>
      <c r="AB480" s="7" t="str">
        <f t="shared" si="215"/>
        <v/>
      </c>
      <c r="AC480" s="11">
        <f t="shared" si="216"/>
        <v>1</v>
      </c>
      <c r="AD480" s="7" t="e">
        <f t="shared" si="217"/>
        <v>#N/A</v>
      </c>
      <c r="AE480" s="7" t="e">
        <f t="shared" si="218"/>
        <v>#N/A</v>
      </c>
      <c r="AF480" s="7" t="e">
        <f t="shared" si="219"/>
        <v>#N/A</v>
      </c>
      <c r="AG480" s="472" t="e">
        <f>VLOOKUP(AI480,'排出係数(2017)'!$A$4:$I$1151,9,FALSE)</f>
        <v>#N/A</v>
      </c>
      <c r="AH480" s="12" t="str">
        <f t="shared" si="220"/>
        <v xml:space="preserve"> </v>
      </c>
      <c r="AI480" s="7" t="e">
        <f t="shared" si="235"/>
        <v>#N/A</v>
      </c>
      <c r="AJ480" s="7" t="e">
        <f t="shared" si="221"/>
        <v>#N/A</v>
      </c>
      <c r="AK480" s="472" t="e">
        <f>VLOOKUP(AI480,'排出係数(2017)'!$A$4:$I$1151,6,FALSE)</f>
        <v>#N/A</v>
      </c>
      <c r="AL480" s="7" t="e">
        <f t="shared" si="222"/>
        <v>#N/A</v>
      </c>
      <c r="AM480" s="7" t="e">
        <f t="shared" si="223"/>
        <v>#N/A</v>
      </c>
      <c r="AN480" s="472" t="e">
        <f>VLOOKUP(AI480,'排出係数(2017)'!$A$4:$I$1151,7,FALSE)</f>
        <v>#N/A</v>
      </c>
      <c r="AO480" s="7" t="e">
        <f t="shared" si="224"/>
        <v>#N/A</v>
      </c>
      <c r="AP480" s="7" t="e">
        <f t="shared" si="225"/>
        <v>#N/A</v>
      </c>
      <c r="AQ480" s="7" t="e">
        <f t="shared" si="236"/>
        <v>#N/A</v>
      </c>
      <c r="AR480" s="7">
        <f t="shared" si="226"/>
        <v>0</v>
      </c>
      <c r="AS480" s="7" t="e">
        <f t="shared" si="237"/>
        <v>#N/A</v>
      </c>
      <c r="AT480" s="7" t="str">
        <f t="shared" si="227"/>
        <v/>
      </c>
      <c r="AU480" s="7" t="str">
        <f t="shared" si="228"/>
        <v/>
      </c>
      <c r="AV480" s="7" t="str">
        <f t="shared" si="229"/>
        <v/>
      </c>
      <c r="AW480" s="7" t="str">
        <f t="shared" si="230"/>
        <v/>
      </c>
      <c r="AX480" s="97"/>
      <c r="BD480" s="453" t="s">
        <v>1105</v>
      </c>
      <c r="CG480"/>
      <c r="CH480"/>
      <c r="CK480" s="592" t="str">
        <f t="shared" si="238"/>
        <v/>
      </c>
      <c r="CL480" s="421" t="str">
        <f t="shared" si="239"/>
        <v/>
      </c>
      <c r="CM480" s="594"/>
      <c r="CN480" s="594"/>
      <c r="CO480" s="594"/>
      <c r="CP480" s="594"/>
      <c r="CQ480" s="594"/>
      <c r="CR480" s="594"/>
    </row>
    <row r="481" spans="1:96" s="13" customFormat="1" ht="13.75" customHeight="1">
      <c r="A481" s="137">
        <v>466</v>
      </c>
      <c r="B481" s="138"/>
      <c r="C481" s="139"/>
      <c r="D481" s="140"/>
      <c r="E481" s="139"/>
      <c r="F481" s="139"/>
      <c r="G481" s="191"/>
      <c r="H481" s="139"/>
      <c r="I481" s="141"/>
      <c r="J481" s="142"/>
      <c r="K481" s="139"/>
      <c r="L481" s="147"/>
      <c r="M481" s="148"/>
      <c r="N481" s="139"/>
      <c r="O481" s="589"/>
      <c r="P481" s="229" t="str">
        <f t="shared" si="231"/>
        <v/>
      </c>
      <c r="Q481" s="229" t="str">
        <f t="shared" si="232"/>
        <v/>
      </c>
      <c r="R481" s="230" t="str">
        <f t="shared" si="233"/>
        <v/>
      </c>
      <c r="S481" s="230" t="str">
        <f t="shared" si="234"/>
        <v/>
      </c>
      <c r="T481" s="351"/>
      <c r="U481" s="43"/>
      <c r="V481" s="42" t="str">
        <f t="shared" si="210"/>
        <v/>
      </c>
      <c r="W481" s="42" t="e">
        <f>IF(#REF!="","",#REF!)</f>
        <v>#REF!</v>
      </c>
      <c r="X481" s="31" t="str">
        <f t="shared" si="211"/>
        <v/>
      </c>
      <c r="Y481" s="7" t="e">
        <f t="shared" si="212"/>
        <v>#N/A</v>
      </c>
      <c r="Z481" s="7" t="e">
        <f t="shared" si="213"/>
        <v>#N/A</v>
      </c>
      <c r="AA481" s="7" t="e">
        <f t="shared" si="214"/>
        <v>#N/A</v>
      </c>
      <c r="AB481" s="7" t="str">
        <f t="shared" si="215"/>
        <v/>
      </c>
      <c r="AC481" s="11">
        <f t="shared" si="216"/>
        <v>1</v>
      </c>
      <c r="AD481" s="7" t="e">
        <f t="shared" si="217"/>
        <v>#N/A</v>
      </c>
      <c r="AE481" s="7" t="e">
        <f t="shared" si="218"/>
        <v>#N/A</v>
      </c>
      <c r="AF481" s="7" t="e">
        <f t="shared" si="219"/>
        <v>#N/A</v>
      </c>
      <c r="AG481" s="472" t="e">
        <f>VLOOKUP(AI481,'排出係数(2017)'!$A$4:$I$1151,9,FALSE)</f>
        <v>#N/A</v>
      </c>
      <c r="AH481" s="12" t="str">
        <f t="shared" si="220"/>
        <v xml:space="preserve"> </v>
      </c>
      <c r="AI481" s="7" t="e">
        <f t="shared" si="235"/>
        <v>#N/A</v>
      </c>
      <c r="AJ481" s="7" t="e">
        <f t="shared" si="221"/>
        <v>#N/A</v>
      </c>
      <c r="AK481" s="472" t="e">
        <f>VLOOKUP(AI481,'排出係数(2017)'!$A$4:$I$1151,6,FALSE)</f>
        <v>#N/A</v>
      </c>
      <c r="AL481" s="7" t="e">
        <f t="shared" si="222"/>
        <v>#N/A</v>
      </c>
      <c r="AM481" s="7" t="e">
        <f t="shared" si="223"/>
        <v>#N/A</v>
      </c>
      <c r="AN481" s="472" t="e">
        <f>VLOOKUP(AI481,'排出係数(2017)'!$A$4:$I$1151,7,FALSE)</f>
        <v>#N/A</v>
      </c>
      <c r="AO481" s="7" t="e">
        <f t="shared" si="224"/>
        <v>#N/A</v>
      </c>
      <c r="AP481" s="7" t="e">
        <f t="shared" si="225"/>
        <v>#N/A</v>
      </c>
      <c r="AQ481" s="7" t="e">
        <f t="shared" si="236"/>
        <v>#N/A</v>
      </c>
      <c r="AR481" s="7">
        <f t="shared" si="226"/>
        <v>0</v>
      </c>
      <c r="AS481" s="7" t="e">
        <f t="shared" si="237"/>
        <v>#N/A</v>
      </c>
      <c r="AT481" s="7" t="str">
        <f t="shared" si="227"/>
        <v/>
      </c>
      <c r="AU481" s="7" t="str">
        <f t="shared" si="228"/>
        <v/>
      </c>
      <c r="AV481" s="7" t="str">
        <f t="shared" si="229"/>
        <v/>
      </c>
      <c r="AW481" s="7" t="str">
        <f t="shared" si="230"/>
        <v/>
      </c>
      <c r="AX481" s="97"/>
      <c r="BD481" s="473" t="s">
        <v>1097</v>
      </c>
      <c r="CG481"/>
      <c r="CH481"/>
      <c r="CK481" s="592" t="str">
        <f t="shared" si="238"/>
        <v/>
      </c>
      <c r="CL481" s="421" t="str">
        <f t="shared" si="239"/>
        <v/>
      </c>
      <c r="CM481" s="594"/>
      <c r="CN481" s="594"/>
      <c r="CO481" s="594"/>
      <c r="CP481" s="594"/>
      <c r="CQ481" s="594"/>
      <c r="CR481" s="594"/>
    </row>
    <row r="482" spans="1:96" s="13" customFormat="1" ht="13.75" customHeight="1">
      <c r="A482" s="137">
        <v>467</v>
      </c>
      <c r="B482" s="138"/>
      <c r="C482" s="139"/>
      <c r="D482" s="140"/>
      <c r="E482" s="139"/>
      <c r="F482" s="139"/>
      <c r="G482" s="191"/>
      <c r="H482" s="139"/>
      <c r="I482" s="141"/>
      <c r="J482" s="142"/>
      <c r="K482" s="139"/>
      <c r="L482" s="147"/>
      <c r="M482" s="148"/>
      <c r="N482" s="139"/>
      <c r="O482" s="589"/>
      <c r="P482" s="229" t="str">
        <f t="shared" si="231"/>
        <v/>
      </c>
      <c r="Q482" s="229" t="str">
        <f t="shared" si="232"/>
        <v/>
      </c>
      <c r="R482" s="230" t="str">
        <f t="shared" si="233"/>
        <v/>
      </c>
      <c r="S482" s="230" t="str">
        <f t="shared" si="234"/>
        <v/>
      </c>
      <c r="T482" s="351"/>
      <c r="U482" s="43"/>
      <c r="V482" s="42" t="str">
        <f t="shared" si="210"/>
        <v/>
      </c>
      <c r="W482" s="42" t="e">
        <f>IF(#REF!="","",#REF!)</f>
        <v>#REF!</v>
      </c>
      <c r="X482" s="31" t="str">
        <f t="shared" si="211"/>
        <v/>
      </c>
      <c r="Y482" s="7" t="e">
        <f t="shared" si="212"/>
        <v>#N/A</v>
      </c>
      <c r="Z482" s="7" t="e">
        <f t="shared" si="213"/>
        <v>#N/A</v>
      </c>
      <c r="AA482" s="7" t="e">
        <f t="shared" si="214"/>
        <v>#N/A</v>
      </c>
      <c r="AB482" s="7" t="str">
        <f t="shared" si="215"/>
        <v/>
      </c>
      <c r="AC482" s="11">
        <f t="shared" si="216"/>
        <v>1</v>
      </c>
      <c r="AD482" s="7" t="e">
        <f t="shared" si="217"/>
        <v>#N/A</v>
      </c>
      <c r="AE482" s="7" t="e">
        <f t="shared" si="218"/>
        <v>#N/A</v>
      </c>
      <c r="AF482" s="7" t="e">
        <f t="shared" si="219"/>
        <v>#N/A</v>
      </c>
      <c r="AG482" s="472" t="e">
        <f>VLOOKUP(AI482,'排出係数(2017)'!$A$4:$I$1151,9,FALSE)</f>
        <v>#N/A</v>
      </c>
      <c r="AH482" s="12" t="str">
        <f t="shared" si="220"/>
        <v xml:space="preserve"> </v>
      </c>
      <c r="AI482" s="7" t="e">
        <f t="shared" si="235"/>
        <v>#N/A</v>
      </c>
      <c r="AJ482" s="7" t="e">
        <f t="shared" si="221"/>
        <v>#N/A</v>
      </c>
      <c r="AK482" s="472" t="e">
        <f>VLOOKUP(AI482,'排出係数(2017)'!$A$4:$I$1151,6,FALSE)</f>
        <v>#N/A</v>
      </c>
      <c r="AL482" s="7" t="e">
        <f t="shared" si="222"/>
        <v>#N/A</v>
      </c>
      <c r="AM482" s="7" t="e">
        <f t="shared" si="223"/>
        <v>#N/A</v>
      </c>
      <c r="AN482" s="472" t="e">
        <f>VLOOKUP(AI482,'排出係数(2017)'!$A$4:$I$1151,7,FALSE)</f>
        <v>#N/A</v>
      </c>
      <c r="AO482" s="7" t="e">
        <f t="shared" si="224"/>
        <v>#N/A</v>
      </c>
      <c r="AP482" s="7" t="e">
        <f t="shared" si="225"/>
        <v>#N/A</v>
      </c>
      <c r="AQ482" s="7" t="e">
        <f t="shared" si="236"/>
        <v>#N/A</v>
      </c>
      <c r="AR482" s="7">
        <f t="shared" si="226"/>
        <v>0</v>
      </c>
      <c r="AS482" s="7" t="e">
        <f t="shared" si="237"/>
        <v>#N/A</v>
      </c>
      <c r="AT482" s="7" t="str">
        <f t="shared" si="227"/>
        <v/>
      </c>
      <c r="AU482" s="7" t="str">
        <f t="shared" si="228"/>
        <v/>
      </c>
      <c r="AV482" s="7" t="str">
        <f t="shared" si="229"/>
        <v/>
      </c>
      <c r="AW482" s="7" t="str">
        <f t="shared" si="230"/>
        <v/>
      </c>
      <c r="AX482" s="97"/>
      <c r="BD482" s="453" t="s">
        <v>2555</v>
      </c>
      <c r="CG482"/>
      <c r="CH482"/>
      <c r="CK482" s="592" t="str">
        <f t="shared" si="238"/>
        <v/>
      </c>
      <c r="CL482" s="421" t="str">
        <f t="shared" si="239"/>
        <v/>
      </c>
      <c r="CM482" s="594"/>
      <c r="CN482" s="594"/>
      <c r="CO482" s="594"/>
      <c r="CP482" s="594"/>
      <c r="CQ482" s="594"/>
      <c r="CR482" s="594"/>
    </row>
    <row r="483" spans="1:96" s="13" customFormat="1" ht="13.75" customHeight="1">
      <c r="A483" s="137">
        <v>468</v>
      </c>
      <c r="B483" s="138"/>
      <c r="C483" s="139"/>
      <c r="D483" s="140"/>
      <c r="E483" s="139"/>
      <c r="F483" s="139"/>
      <c r="G483" s="191"/>
      <c r="H483" s="139"/>
      <c r="I483" s="141"/>
      <c r="J483" s="142"/>
      <c r="K483" s="139"/>
      <c r="L483" s="147"/>
      <c r="M483" s="148"/>
      <c r="N483" s="139"/>
      <c r="O483" s="589"/>
      <c r="P483" s="229" t="str">
        <f t="shared" si="231"/>
        <v/>
      </c>
      <c r="Q483" s="229" t="str">
        <f t="shared" si="232"/>
        <v/>
      </c>
      <c r="R483" s="230" t="str">
        <f t="shared" si="233"/>
        <v/>
      </c>
      <c r="S483" s="230" t="str">
        <f t="shared" si="234"/>
        <v/>
      </c>
      <c r="T483" s="351"/>
      <c r="U483" s="43"/>
      <c r="V483" s="42" t="str">
        <f t="shared" si="210"/>
        <v/>
      </c>
      <c r="W483" s="42" t="e">
        <f>IF(#REF!="","",#REF!)</f>
        <v>#REF!</v>
      </c>
      <c r="X483" s="31" t="str">
        <f t="shared" si="211"/>
        <v/>
      </c>
      <c r="Y483" s="7" t="e">
        <f t="shared" si="212"/>
        <v>#N/A</v>
      </c>
      <c r="Z483" s="7" t="e">
        <f t="shared" si="213"/>
        <v>#N/A</v>
      </c>
      <c r="AA483" s="7" t="e">
        <f t="shared" si="214"/>
        <v>#N/A</v>
      </c>
      <c r="AB483" s="7" t="str">
        <f t="shared" si="215"/>
        <v/>
      </c>
      <c r="AC483" s="11">
        <f t="shared" si="216"/>
        <v>1</v>
      </c>
      <c r="AD483" s="7" t="e">
        <f t="shared" si="217"/>
        <v>#N/A</v>
      </c>
      <c r="AE483" s="7" t="e">
        <f t="shared" si="218"/>
        <v>#N/A</v>
      </c>
      <c r="AF483" s="7" t="e">
        <f t="shared" si="219"/>
        <v>#N/A</v>
      </c>
      <c r="AG483" s="472" t="e">
        <f>VLOOKUP(AI483,'排出係数(2017)'!$A$4:$I$1151,9,FALSE)</f>
        <v>#N/A</v>
      </c>
      <c r="AH483" s="12" t="str">
        <f t="shared" si="220"/>
        <v xml:space="preserve"> </v>
      </c>
      <c r="AI483" s="7" t="e">
        <f t="shared" si="235"/>
        <v>#N/A</v>
      </c>
      <c r="AJ483" s="7" t="e">
        <f t="shared" si="221"/>
        <v>#N/A</v>
      </c>
      <c r="AK483" s="472" t="e">
        <f>VLOOKUP(AI483,'排出係数(2017)'!$A$4:$I$1151,6,FALSE)</f>
        <v>#N/A</v>
      </c>
      <c r="AL483" s="7" t="e">
        <f t="shared" si="222"/>
        <v>#N/A</v>
      </c>
      <c r="AM483" s="7" t="e">
        <f t="shared" si="223"/>
        <v>#N/A</v>
      </c>
      <c r="AN483" s="472" t="e">
        <f>VLOOKUP(AI483,'排出係数(2017)'!$A$4:$I$1151,7,FALSE)</f>
        <v>#N/A</v>
      </c>
      <c r="AO483" s="7" t="e">
        <f t="shared" si="224"/>
        <v>#N/A</v>
      </c>
      <c r="AP483" s="7" t="e">
        <f t="shared" si="225"/>
        <v>#N/A</v>
      </c>
      <c r="AQ483" s="7" t="e">
        <f t="shared" si="236"/>
        <v>#N/A</v>
      </c>
      <c r="AR483" s="7">
        <f t="shared" si="226"/>
        <v>0</v>
      </c>
      <c r="AS483" s="7" t="e">
        <f t="shared" si="237"/>
        <v>#N/A</v>
      </c>
      <c r="AT483" s="7" t="str">
        <f t="shared" si="227"/>
        <v/>
      </c>
      <c r="AU483" s="7" t="str">
        <f t="shared" si="228"/>
        <v/>
      </c>
      <c r="AV483" s="7" t="str">
        <f t="shared" si="229"/>
        <v/>
      </c>
      <c r="AW483" s="7" t="str">
        <f t="shared" si="230"/>
        <v/>
      </c>
      <c r="AX483" s="97"/>
      <c r="BD483" s="453" t="s">
        <v>2556</v>
      </c>
      <c r="CG483"/>
      <c r="CH483"/>
      <c r="CK483" s="592" t="str">
        <f t="shared" si="238"/>
        <v/>
      </c>
      <c r="CL483" s="421" t="str">
        <f t="shared" si="239"/>
        <v/>
      </c>
      <c r="CM483" s="594"/>
      <c r="CN483" s="594"/>
      <c r="CO483" s="594"/>
      <c r="CP483" s="594"/>
      <c r="CQ483" s="594"/>
      <c r="CR483" s="594"/>
    </row>
    <row r="484" spans="1:96" s="13" customFormat="1" ht="13.75" customHeight="1">
      <c r="A484" s="137">
        <v>469</v>
      </c>
      <c r="B484" s="138"/>
      <c r="C484" s="139"/>
      <c r="D484" s="140"/>
      <c r="E484" s="139"/>
      <c r="F484" s="139"/>
      <c r="G484" s="191"/>
      <c r="H484" s="139"/>
      <c r="I484" s="141"/>
      <c r="J484" s="142"/>
      <c r="K484" s="139"/>
      <c r="L484" s="147"/>
      <c r="M484" s="148"/>
      <c r="N484" s="139"/>
      <c r="O484" s="589"/>
      <c r="P484" s="229" t="str">
        <f t="shared" si="231"/>
        <v/>
      </c>
      <c r="Q484" s="229" t="str">
        <f t="shared" si="232"/>
        <v/>
      </c>
      <c r="R484" s="230" t="str">
        <f t="shared" si="233"/>
        <v/>
      </c>
      <c r="S484" s="230" t="str">
        <f t="shared" si="234"/>
        <v/>
      </c>
      <c r="T484" s="351"/>
      <c r="U484" s="43"/>
      <c r="V484" s="42" t="str">
        <f t="shared" si="210"/>
        <v/>
      </c>
      <c r="W484" s="42" t="e">
        <f>IF(#REF!="","",#REF!)</f>
        <v>#REF!</v>
      </c>
      <c r="X484" s="31" t="str">
        <f t="shared" si="211"/>
        <v/>
      </c>
      <c r="Y484" s="7" t="e">
        <f t="shared" si="212"/>
        <v>#N/A</v>
      </c>
      <c r="Z484" s="7" t="e">
        <f t="shared" si="213"/>
        <v>#N/A</v>
      </c>
      <c r="AA484" s="7" t="e">
        <f t="shared" si="214"/>
        <v>#N/A</v>
      </c>
      <c r="AB484" s="7" t="str">
        <f t="shared" si="215"/>
        <v/>
      </c>
      <c r="AC484" s="11">
        <f t="shared" si="216"/>
        <v>1</v>
      </c>
      <c r="AD484" s="7" t="e">
        <f t="shared" si="217"/>
        <v>#N/A</v>
      </c>
      <c r="AE484" s="7" t="e">
        <f t="shared" si="218"/>
        <v>#N/A</v>
      </c>
      <c r="AF484" s="7" t="e">
        <f t="shared" si="219"/>
        <v>#N/A</v>
      </c>
      <c r="AG484" s="472" t="e">
        <f>VLOOKUP(AI484,'排出係数(2017)'!$A$4:$I$1151,9,FALSE)</f>
        <v>#N/A</v>
      </c>
      <c r="AH484" s="12" t="str">
        <f t="shared" si="220"/>
        <v xml:space="preserve"> </v>
      </c>
      <c r="AI484" s="7" t="e">
        <f t="shared" si="235"/>
        <v>#N/A</v>
      </c>
      <c r="AJ484" s="7" t="e">
        <f t="shared" si="221"/>
        <v>#N/A</v>
      </c>
      <c r="AK484" s="472" t="e">
        <f>VLOOKUP(AI484,'排出係数(2017)'!$A$4:$I$1151,6,FALSE)</f>
        <v>#N/A</v>
      </c>
      <c r="AL484" s="7" t="e">
        <f t="shared" si="222"/>
        <v>#N/A</v>
      </c>
      <c r="AM484" s="7" t="e">
        <f t="shared" si="223"/>
        <v>#N/A</v>
      </c>
      <c r="AN484" s="472" t="e">
        <f>VLOOKUP(AI484,'排出係数(2017)'!$A$4:$I$1151,7,FALSE)</f>
        <v>#N/A</v>
      </c>
      <c r="AO484" s="7" t="e">
        <f t="shared" si="224"/>
        <v>#N/A</v>
      </c>
      <c r="AP484" s="7" t="e">
        <f t="shared" si="225"/>
        <v>#N/A</v>
      </c>
      <c r="AQ484" s="7" t="e">
        <f t="shared" si="236"/>
        <v>#N/A</v>
      </c>
      <c r="AR484" s="7">
        <f t="shared" si="226"/>
        <v>0</v>
      </c>
      <c r="AS484" s="7" t="e">
        <f t="shared" si="237"/>
        <v>#N/A</v>
      </c>
      <c r="AT484" s="7" t="str">
        <f t="shared" si="227"/>
        <v/>
      </c>
      <c r="AU484" s="7" t="str">
        <f t="shared" si="228"/>
        <v/>
      </c>
      <c r="AV484" s="7" t="str">
        <f t="shared" si="229"/>
        <v/>
      </c>
      <c r="AW484" s="7" t="str">
        <f t="shared" si="230"/>
        <v/>
      </c>
      <c r="AX484" s="97"/>
      <c r="BD484" s="453" t="s">
        <v>1107</v>
      </c>
      <c r="CG484"/>
      <c r="CH484"/>
      <c r="CK484" s="592" t="str">
        <f t="shared" si="238"/>
        <v/>
      </c>
      <c r="CL484" s="421" t="str">
        <f t="shared" si="239"/>
        <v/>
      </c>
      <c r="CM484" s="594"/>
      <c r="CN484" s="594"/>
      <c r="CO484" s="594"/>
      <c r="CP484" s="594"/>
      <c r="CQ484" s="594"/>
      <c r="CR484" s="594"/>
    </row>
    <row r="485" spans="1:96" s="13" customFormat="1" ht="13.75" customHeight="1">
      <c r="A485" s="137">
        <v>470</v>
      </c>
      <c r="B485" s="138"/>
      <c r="C485" s="139"/>
      <c r="D485" s="140"/>
      <c r="E485" s="139"/>
      <c r="F485" s="139"/>
      <c r="G485" s="191"/>
      <c r="H485" s="139"/>
      <c r="I485" s="141"/>
      <c r="J485" s="142"/>
      <c r="K485" s="139"/>
      <c r="L485" s="147"/>
      <c r="M485" s="148"/>
      <c r="N485" s="139"/>
      <c r="O485" s="589"/>
      <c r="P485" s="229" t="str">
        <f t="shared" si="231"/>
        <v/>
      </c>
      <c r="Q485" s="229" t="str">
        <f t="shared" si="232"/>
        <v/>
      </c>
      <c r="R485" s="230" t="str">
        <f t="shared" si="233"/>
        <v/>
      </c>
      <c r="S485" s="230" t="str">
        <f t="shared" si="234"/>
        <v/>
      </c>
      <c r="T485" s="351"/>
      <c r="U485" s="43"/>
      <c r="V485" s="42" t="str">
        <f t="shared" si="210"/>
        <v/>
      </c>
      <c r="W485" s="42" t="e">
        <f>IF(#REF!="","",#REF!)</f>
        <v>#REF!</v>
      </c>
      <c r="X485" s="31" t="str">
        <f t="shared" si="211"/>
        <v/>
      </c>
      <c r="Y485" s="7" t="e">
        <f t="shared" si="212"/>
        <v>#N/A</v>
      </c>
      <c r="Z485" s="7" t="e">
        <f t="shared" si="213"/>
        <v>#N/A</v>
      </c>
      <c r="AA485" s="7" t="e">
        <f t="shared" si="214"/>
        <v>#N/A</v>
      </c>
      <c r="AB485" s="7" t="str">
        <f t="shared" si="215"/>
        <v/>
      </c>
      <c r="AC485" s="11">
        <f t="shared" si="216"/>
        <v>1</v>
      </c>
      <c r="AD485" s="7" t="e">
        <f t="shared" si="217"/>
        <v>#N/A</v>
      </c>
      <c r="AE485" s="7" t="e">
        <f t="shared" si="218"/>
        <v>#N/A</v>
      </c>
      <c r="AF485" s="7" t="e">
        <f t="shared" si="219"/>
        <v>#N/A</v>
      </c>
      <c r="AG485" s="472" t="e">
        <f>VLOOKUP(AI485,'排出係数(2017)'!$A$4:$I$1151,9,FALSE)</f>
        <v>#N/A</v>
      </c>
      <c r="AH485" s="12" t="str">
        <f t="shared" si="220"/>
        <v xml:space="preserve"> </v>
      </c>
      <c r="AI485" s="7" t="e">
        <f t="shared" si="235"/>
        <v>#N/A</v>
      </c>
      <c r="AJ485" s="7" t="e">
        <f t="shared" si="221"/>
        <v>#N/A</v>
      </c>
      <c r="AK485" s="472" t="e">
        <f>VLOOKUP(AI485,'排出係数(2017)'!$A$4:$I$1151,6,FALSE)</f>
        <v>#N/A</v>
      </c>
      <c r="AL485" s="7" t="e">
        <f t="shared" si="222"/>
        <v>#N/A</v>
      </c>
      <c r="AM485" s="7" t="e">
        <f t="shared" si="223"/>
        <v>#N/A</v>
      </c>
      <c r="AN485" s="472" t="e">
        <f>VLOOKUP(AI485,'排出係数(2017)'!$A$4:$I$1151,7,FALSE)</f>
        <v>#N/A</v>
      </c>
      <c r="AO485" s="7" t="e">
        <f t="shared" si="224"/>
        <v>#N/A</v>
      </c>
      <c r="AP485" s="7" t="e">
        <f t="shared" si="225"/>
        <v>#N/A</v>
      </c>
      <c r="AQ485" s="7" t="e">
        <f t="shared" si="236"/>
        <v>#N/A</v>
      </c>
      <c r="AR485" s="7">
        <f t="shared" si="226"/>
        <v>0</v>
      </c>
      <c r="AS485" s="7" t="e">
        <f t="shared" si="237"/>
        <v>#N/A</v>
      </c>
      <c r="AT485" s="7" t="str">
        <f t="shared" si="227"/>
        <v/>
      </c>
      <c r="AU485" s="7" t="str">
        <f t="shared" si="228"/>
        <v/>
      </c>
      <c r="AV485" s="7" t="str">
        <f t="shared" si="229"/>
        <v/>
      </c>
      <c r="AW485" s="7" t="str">
        <f t="shared" si="230"/>
        <v/>
      </c>
      <c r="AX485" s="97"/>
      <c r="BD485" s="473" t="s">
        <v>1099</v>
      </c>
      <c r="CG485"/>
      <c r="CH485"/>
      <c r="CK485" s="592" t="str">
        <f t="shared" si="238"/>
        <v/>
      </c>
      <c r="CL485" s="421" t="str">
        <f t="shared" si="239"/>
        <v/>
      </c>
      <c r="CM485" s="594"/>
      <c r="CN485" s="594"/>
      <c r="CO485" s="594"/>
      <c r="CP485" s="594"/>
      <c r="CQ485" s="594"/>
      <c r="CR485" s="594"/>
    </row>
    <row r="486" spans="1:96" s="13" customFormat="1" ht="13.75" customHeight="1">
      <c r="A486" s="137">
        <v>471</v>
      </c>
      <c r="B486" s="138"/>
      <c r="C486" s="139"/>
      <c r="D486" s="140"/>
      <c r="E486" s="139"/>
      <c r="F486" s="139"/>
      <c r="G486" s="191"/>
      <c r="H486" s="139"/>
      <c r="I486" s="141"/>
      <c r="J486" s="142"/>
      <c r="K486" s="139"/>
      <c r="L486" s="147"/>
      <c r="M486" s="148"/>
      <c r="N486" s="139"/>
      <c r="O486" s="589"/>
      <c r="P486" s="229" t="str">
        <f t="shared" si="231"/>
        <v/>
      </c>
      <c r="Q486" s="229" t="str">
        <f t="shared" si="232"/>
        <v/>
      </c>
      <c r="R486" s="230" t="str">
        <f t="shared" si="233"/>
        <v/>
      </c>
      <c r="S486" s="230" t="str">
        <f t="shared" si="234"/>
        <v/>
      </c>
      <c r="T486" s="351"/>
      <c r="U486" s="43"/>
      <c r="V486" s="42" t="str">
        <f t="shared" si="210"/>
        <v/>
      </c>
      <c r="W486" s="42" t="e">
        <f>IF(#REF!="","",#REF!)</f>
        <v>#REF!</v>
      </c>
      <c r="X486" s="31" t="str">
        <f t="shared" si="211"/>
        <v/>
      </c>
      <c r="Y486" s="7" t="e">
        <f t="shared" si="212"/>
        <v>#N/A</v>
      </c>
      <c r="Z486" s="7" t="e">
        <f t="shared" si="213"/>
        <v>#N/A</v>
      </c>
      <c r="AA486" s="7" t="e">
        <f t="shared" si="214"/>
        <v>#N/A</v>
      </c>
      <c r="AB486" s="7" t="str">
        <f t="shared" si="215"/>
        <v/>
      </c>
      <c r="AC486" s="11">
        <f t="shared" si="216"/>
        <v>1</v>
      </c>
      <c r="AD486" s="7" t="e">
        <f t="shared" si="217"/>
        <v>#N/A</v>
      </c>
      <c r="AE486" s="7" t="e">
        <f t="shared" si="218"/>
        <v>#N/A</v>
      </c>
      <c r="AF486" s="7" t="e">
        <f t="shared" si="219"/>
        <v>#N/A</v>
      </c>
      <c r="AG486" s="472" t="e">
        <f>VLOOKUP(AI486,'排出係数(2017)'!$A$4:$I$1151,9,FALSE)</f>
        <v>#N/A</v>
      </c>
      <c r="AH486" s="12" t="str">
        <f t="shared" si="220"/>
        <v xml:space="preserve"> </v>
      </c>
      <c r="AI486" s="7" t="e">
        <f t="shared" si="235"/>
        <v>#N/A</v>
      </c>
      <c r="AJ486" s="7" t="e">
        <f t="shared" si="221"/>
        <v>#N/A</v>
      </c>
      <c r="AK486" s="472" t="e">
        <f>VLOOKUP(AI486,'排出係数(2017)'!$A$4:$I$1151,6,FALSE)</f>
        <v>#N/A</v>
      </c>
      <c r="AL486" s="7" t="e">
        <f t="shared" si="222"/>
        <v>#N/A</v>
      </c>
      <c r="AM486" s="7" t="e">
        <f t="shared" si="223"/>
        <v>#N/A</v>
      </c>
      <c r="AN486" s="472" t="e">
        <f>VLOOKUP(AI486,'排出係数(2017)'!$A$4:$I$1151,7,FALSE)</f>
        <v>#N/A</v>
      </c>
      <c r="AO486" s="7" t="e">
        <f t="shared" si="224"/>
        <v>#N/A</v>
      </c>
      <c r="AP486" s="7" t="e">
        <f t="shared" si="225"/>
        <v>#N/A</v>
      </c>
      <c r="AQ486" s="7" t="e">
        <f t="shared" si="236"/>
        <v>#N/A</v>
      </c>
      <c r="AR486" s="7">
        <f t="shared" si="226"/>
        <v>0</v>
      </c>
      <c r="AS486" s="7" t="e">
        <f t="shared" si="237"/>
        <v>#N/A</v>
      </c>
      <c r="AT486" s="7" t="str">
        <f t="shared" si="227"/>
        <v/>
      </c>
      <c r="AU486" s="7" t="str">
        <f t="shared" si="228"/>
        <v/>
      </c>
      <c r="AV486" s="7" t="str">
        <f t="shared" si="229"/>
        <v/>
      </c>
      <c r="AW486" s="7" t="str">
        <f t="shared" si="230"/>
        <v/>
      </c>
      <c r="AX486" s="97"/>
      <c r="BD486" s="453" t="s">
        <v>1109</v>
      </c>
      <c r="CG486"/>
      <c r="CH486"/>
      <c r="CK486" s="592" t="str">
        <f t="shared" si="238"/>
        <v/>
      </c>
      <c r="CL486" s="421" t="str">
        <f t="shared" si="239"/>
        <v/>
      </c>
      <c r="CM486" s="594"/>
      <c r="CN486" s="594"/>
      <c r="CO486" s="594"/>
      <c r="CP486" s="594"/>
      <c r="CQ486" s="594"/>
      <c r="CR486" s="594"/>
    </row>
    <row r="487" spans="1:96" s="13" customFormat="1" ht="13.75" customHeight="1">
      <c r="A487" s="137">
        <v>472</v>
      </c>
      <c r="B487" s="138"/>
      <c r="C487" s="139"/>
      <c r="D487" s="140"/>
      <c r="E487" s="139"/>
      <c r="F487" s="139"/>
      <c r="G487" s="191"/>
      <c r="H487" s="139"/>
      <c r="I487" s="141"/>
      <c r="J487" s="142"/>
      <c r="K487" s="139"/>
      <c r="L487" s="147"/>
      <c r="M487" s="148"/>
      <c r="N487" s="139"/>
      <c r="O487" s="589"/>
      <c r="P487" s="229" t="str">
        <f t="shared" si="231"/>
        <v/>
      </c>
      <c r="Q487" s="229" t="str">
        <f t="shared" si="232"/>
        <v/>
      </c>
      <c r="R487" s="230" t="str">
        <f t="shared" si="233"/>
        <v/>
      </c>
      <c r="S487" s="230" t="str">
        <f t="shared" si="234"/>
        <v/>
      </c>
      <c r="T487" s="351"/>
      <c r="U487" s="43"/>
      <c r="V487" s="42" t="str">
        <f t="shared" si="210"/>
        <v/>
      </c>
      <c r="W487" s="42" t="e">
        <f>IF(#REF!="","",#REF!)</f>
        <v>#REF!</v>
      </c>
      <c r="X487" s="31" t="str">
        <f t="shared" si="211"/>
        <v/>
      </c>
      <c r="Y487" s="7" t="e">
        <f t="shared" si="212"/>
        <v>#N/A</v>
      </c>
      <c r="Z487" s="7" t="e">
        <f t="shared" si="213"/>
        <v>#N/A</v>
      </c>
      <c r="AA487" s="7" t="e">
        <f t="shared" si="214"/>
        <v>#N/A</v>
      </c>
      <c r="AB487" s="7" t="str">
        <f t="shared" si="215"/>
        <v/>
      </c>
      <c r="AC487" s="11">
        <f t="shared" si="216"/>
        <v>1</v>
      </c>
      <c r="AD487" s="7" t="e">
        <f t="shared" si="217"/>
        <v>#N/A</v>
      </c>
      <c r="AE487" s="7" t="e">
        <f t="shared" si="218"/>
        <v>#N/A</v>
      </c>
      <c r="AF487" s="7" t="e">
        <f t="shared" si="219"/>
        <v>#N/A</v>
      </c>
      <c r="AG487" s="472" t="e">
        <f>VLOOKUP(AI487,'排出係数(2017)'!$A$4:$I$1151,9,FALSE)</f>
        <v>#N/A</v>
      </c>
      <c r="AH487" s="12" t="str">
        <f t="shared" si="220"/>
        <v xml:space="preserve"> </v>
      </c>
      <c r="AI487" s="7" t="e">
        <f t="shared" si="235"/>
        <v>#N/A</v>
      </c>
      <c r="AJ487" s="7" t="e">
        <f t="shared" si="221"/>
        <v>#N/A</v>
      </c>
      <c r="AK487" s="472" t="e">
        <f>VLOOKUP(AI487,'排出係数(2017)'!$A$4:$I$1151,6,FALSE)</f>
        <v>#N/A</v>
      </c>
      <c r="AL487" s="7" t="e">
        <f t="shared" si="222"/>
        <v>#N/A</v>
      </c>
      <c r="AM487" s="7" t="e">
        <f t="shared" si="223"/>
        <v>#N/A</v>
      </c>
      <c r="AN487" s="472" t="e">
        <f>VLOOKUP(AI487,'排出係数(2017)'!$A$4:$I$1151,7,FALSE)</f>
        <v>#N/A</v>
      </c>
      <c r="AO487" s="7" t="e">
        <f t="shared" si="224"/>
        <v>#N/A</v>
      </c>
      <c r="AP487" s="7" t="e">
        <f t="shared" si="225"/>
        <v>#N/A</v>
      </c>
      <c r="AQ487" s="7" t="e">
        <f t="shared" si="236"/>
        <v>#N/A</v>
      </c>
      <c r="AR487" s="7">
        <f t="shared" si="226"/>
        <v>0</v>
      </c>
      <c r="AS487" s="7" t="e">
        <f t="shared" si="237"/>
        <v>#N/A</v>
      </c>
      <c r="AT487" s="7" t="str">
        <f t="shared" si="227"/>
        <v/>
      </c>
      <c r="AU487" s="7" t="str">
        <f t="shared" si="228"/>
        <v/>
      </c>
      <c r="AV487" s="7" t="str">
        <f t="shared" si="229"/>
        <v/>
      </c>
      <c r="AW487" s="7" t="str">
        <f t="shared" si="230"/>
        <v/>
      </c>
      <c r="AX487" s="97"/>
      <c r="BD487" s="453" t="s">
        <v>1101</v>
      </c>
      <c r="CG487"/>
      <c r="CH487"/>
      <c r="CK487" s="592" t="str">
        <f t="shared" si="238"/>
        <v/>
      </c>
      <c r="CL487" s="421" t="str">
        <f t="shared" si="239"/>
        <v/>
      </c>
      <c r="CM487" s="594"/>
      <c r="CN487" s="594"/>
      <c r="CO487" s="594"/>
      <c r="CP487" s="594"/>
      <c r="CQ487" s="594"/>
      <c r="CR487" s="594"/>
    </row>
    <row r="488" spans="1:96" s="13" customFormat="1" ht="13.75" customHeight="1">
      <c r="A488" s="137">
        <v>473</v>
      </c>
      <c r="B488" s="138"/>
      <c r="C488" s="139"/>
      <c r="D488" s="140"/>
      <c r="E488" s="139"/>
      <c r="F488" s="139"/>
      <c r="G488" s="191"/>
      <c r="H488" s="139"/>
      <c r="I488" s="141"/>
      <c r="J488" s="142"/>
      <c r="K488" s="139"/>
      <c r="L488" s="147"/>
      <c r="M488" s="148"/>
      <c r="N488" s="139"/>
      <c r="O488" s="589"/>
      <c r="P488" s="229" t="str">
        <f t="shared" si="231"/>
        <v/>
      </c>
      <c r="Q488" s="229" t="str">
        <f t="shared" si="232"/>
        <v/>
      </c>
      <c r="R488" s="230" t="str">
        <f t="shared" si="233"/>
        <v/>
      </c>
      <c r="S488" s="230" t="str">
        <f t="shared" si="234"/>
        <v/>
      </c>
      <c r="T488" s="351"/>
      <c r="U488" s="43"/>
      <c r="V488" s="42" t="str">
        <f t="shared" si="210"/>
        <v/>
      </c>
      <c r="W488" s="42" t="e">
        <f>IF(#REF!="","",#REF!)</f>
        <v>#REF!</v>
      </c>
      <c r="X488" s="31" t="str">
        <f t="shared" si="211"/>
        <v/>
      </c>
      <c r="Y488" s="7" t="e">
        <f t="shared" si="212"/>
        <v>#N/A</v>
      </c>
      <c r="Z488" s="7" t="e">
        <f t="shared" si="213"/>
        <v>#N/A</v>
      </c>
      <c r="AA488" s="7" t="e">
        <f t="shared" si="214"/>
        <v>#N/A</v>
      </c>
      <c r="AB488" s="7" t="str">
        <f t="shared" si="215"/>
        <v/>
      </c>
      <c r="AC488" s="11">
        <f t="shared" si="216"/>
        <v>1</v>
      </c>
      <c r="AD488" s="7" t="e">
        <f t="shared" si="217"/>
        <v>#N/A</v>
      </c>
      <c r="AE488" s="7" t="e">
        <f t="shared" si="218"/>
        <v>#N/A</v>
      </c>
      <c r="AF488" s="7" t="e">
        <f t="shared" si="219"/>
        <v>#N/A</v>
      </c>
      <c r="AG488" s="472" t="e">
        <f>VLOOKUP(AI488,'排出係数(2017)'!$A$4:$I$1151,9,FALSE)</f>
        <v>#N/A</v>
      </c>
      <c r="AH488" s="12" t="str">
        <f t="shared" si="220"/>
        <v xml:space="preserve"> </v>
      </c>
      <c r="AI488" s="7" t="e">
        <f t="shared" si="235"/>
        <v>#N/A</v>
      </c>
      <c r="AJ488" s="7" t="e">
        <f t="shared" si="221"/>
        <v>#N/A</v>
      </c>
      <c r="AK488" s="472" t="e">
        <f>VLOOKUP(AI488,'排出係数(2017)'!$A$4:$I$1151,6,FALSE)</f>
        <v>#N/A</v>
      </c>
      <c r="AL488" s="7" t="e">
        <f t="shared" si="222"/>
        <v>#N/A</v>
      </c>
      <c r="AM488" s="7" t="e">
        <f t="shared" si="223"/>
        <v>#N/A</v>
      </c>
      <c r="AN488" s="472" t="e">
        <f>VLOOKUP(AI488,'排出係数(2017)'!$A$4:$I$1151,7,FALSE)</f>
        <v>#N/A</v>
      </c>
      <c r="AO488" s="7" t="e">
        <f t="shared" si="224"/>
        <v>#N/A</v>
      </c>
      <c r="AP488" s="7" t="e">
        <f t="shared" si="225"/>
        <v>#N/A</v>
      </c>
      <c r="AQ488" s="7" t="e">
        <f t="shared" si="236"/>
        <v>#N/A</v>
      </c>
      <c r="AR488" s="7">
        <f t="shared" si="226"/>
        <v>0</v>
      </c>
      <c r="AS488" s="7" t="e">
        <f t="shared" si="237"/>
        <v>#N/A</v>
      </c>
      <c r="AT488" s="7" t="str">
        <f t="shared" si="227"/>
        <v/>
      </c>
      <c r="AU488" s="7" t="str">
        <f t="shared" si="228"/>
        <v/>
      </c>
      <c r="AV488" s="7" t="str">
        <f t="shared" si="229"/>
        <v/>
      </c>
      <c r="AW488" s="7" t="str">
        <f t="shared" si="230"/>
        <v/>
      </c>
      <c r="AX488" s="97"/>
      <c r="BD488" s="453" t="s">
        <v>2557</v>
      </c>
      <c r="CG488"/>
      <c r="CH488"/>
      <c r="CK488" s="592" t="str">
        <f t="shared" si="238"/>
        <v/>
      </c>
      <c r="CL488" s="421" t="str">
        <f t="shared" si="239"/>
        <v/>
      </c>
      <c r="CM488" s="594"/>
      <c r="CN488" s="594"/>
      <c r="CO488" s="594"/>
      <c r="CP488" s="594"/>
      <c r="CQ488" s="594"/>
      <c r="CR488" s="594"/>
    </row>
    <row r="489" spans="1:96" s="13" customFormat="1" ht="13.75" customHeight="1">
      <c r="A489" s="137">
        <v>474</v>
      </c>
      <c r="B489" s="138"/>
      <c r="C489" s="139"/>
      <c r="D489" s="140"/>
      <c r="E489" s="139"/>
      <c r="F489" s="139"/>
      <c r="G489" s="191"/>
      <c r="H489" s="139"/>
      <c r="I489" s="141"/>
      <c r="J489" s="142"/>
      <c r="K489" s="139"/>
      <c r="L489" s="147"/>
      <c r="M489" s="148"/>
      <c r="N489" s="139"/>
      <c r="O489" s="589"/>
      <c r="P489" s="229" t="str">
        <f t="shared" si="231"/>
        <v/>
      </c>
      <c r="Q489" s="229" t="str">
        <f t="shared" si="232"/>
        <v/>
      </c>
      <c r="R489" s="230" t="str">
        <f t="shared" si="233"/>
        <v/>
      </c>
      <c r="S489" s="230" t="str">
        <f t="shared" si="234"/>
        <v/>
      </c>
      <c r="T489" s="351"/>
      <c r="U489" s="43"/>
      <c r="V489" s="42" t="str">
        <f t="shared" si="210"/>
        <v/>
      </c>
      <c r="W489" s="42" t="e">
        <f>IF(#REF!="","",#REF!)</f>
        <v>#REF!</v>
      </c>
      <c r="X489" s="31" t="str">
        <f t="shared" si="211"/>
        <v/>
      </c>
      <c r="Y489" s="7" t="e">
        <f t="shared" si="212"/>
        <v>#N/A</v>
      </c>
      <c r="Z489" s="7" t="e">
        <f t="shared" si="213"/>
        <v>#N/A</v>
      </c>
      <c r="AA489" s="7" t="e">
        <f t="shared" si="214"/>
        <v>#N/A</v>
      </c>
      <c r="AB489" s="7" t="str">
        <f t="shared" si="215"/>
        <v/>
      </c>
      <c r="AC489" s="11">
        <f t="shared" si="216"/>
        <v>1</v>
      </c>
      <c r="AD489" s="7" t="e">
        <f t="shared" si="217"/>
        <v>#N/A</v>
      </c>
      <c r="AE489" s="7" t="e">
        <f t="shared" si="218"/>
        <v>#N/A</v>
      </c>
      <c r="AF489" s="7" t="e">
        <f t="shared" si="219"/>
        <v>#N/A</v>
      </c>
      <c r="AG489" s="472" t="e">
        <f>VLOOKUP(AI489,'排出係数(2017)'!$A$4:$I$1151,9,FALSE)</f>
        <v>#N/A</v>
      </c>
      <c r="AH489" s="12" t="str">
        <f t="shared" si="220"/>
        <v xml:space="preserve"> </v>
      </c>
      <c r="AI489" s="7" t="e">
        <f t="shared" si="235"/>
        <v>#N/A</v>
      </c>
      <c r="AJ489" s="7" t="e">
        <f t="shared" si="221"/>
        <v>#N/A</v>
      </c>
      <c r="AK489" s="472" t="e">
        <f>VLOOKUP(AI489,'排出係数(2017)'!$A$4:$I$1151,6,FALSE)</f>
        <v>#N/A</v>
      </c>
      <c r="AL489" s="7" t="e">
        <f t="shared" si="222"/>
        <v>#N/A</v>
      </c>
      <c r="AM489" s="7" t="e">
        <f t="shared" si="223"/>
        <v>#N/A</v>
      </c>
      <c r="AN489" s="472" t="e">
        <f>VLOOKUP(AI489,'排出係数(2017)'!$A$4:$I$1151,7,FALSE)</f>
        <v>#N/A</v>
      </c>
      <c r="AO489" s="7" t="e">
        <f t="shared" si="224"/>
        <v>#N/A</v>
      </c>
      <c r="AP489" s="7" t="e">
        <f t="shared" si="225"/>
        <v>#N/A</v>
      </c>
      <c r="AQ489" s="7" t="e">
        <f t="shared" si="236"/>
        <v>#N/A</v>
      </c>
      <c r="AR489" s="7">
        <f t="shared" si="226"/>
        <v>0</v>
      </c>
      <c r="AS489" s="7" t="e">
        <f t="shared" si="237"/>
        <v>#N/A</v>
      </c>
      <c r="AT489" s="7" t="str">
        <f t="shared" si="227"/>
        <v/>
      </c>
      <c r="AU489" s="7" t="str">
        <f t="shared" si="228"/>
        <v/>
      </c>
      <c r="AV489" s="7" t="str">
        <f t="shared" si="229"/>
        <v/>
      </c>
      <c r="AW489" s="7" t="str">
        <f t="shared" si="230"/>
        <v/>
      </c>
      <c r="AX489" s="97"/>
      <c r="BD489" s="453" t="s">
        <v>2558</v>
      </c>
      <c r="CG489"/>
      <c r="CH489"/>
      <c r="CK489" s="592" t="str">
        <f t="shared" si="238"/>
        <v/>
      </c>
      <c r="CL489" s="421" t="str">
        <f t="shared" si="239"/>
        <v/>
      </c>
      <c r="CM489" s="594"/>
      <c r="CN489" s="594"/>
      <c r="CO489" s="594"/>
      <c r="CP489" s="594"/>
      <c r="CQ489" s="594"/>
      <c r="CR489" s="594"/>
    </row>
    <row r="490" spans="1:96" s="13" customFormat="1" ht="13.75" customHeight="1">
      <c r="A490" s="137">
        <v>475</v>
      </c>
      <c r="B490" s="138"/>
      <c r="C490" s="139"/>
      <c r="D490" s="140"/>
      <c r="E490" s="139"/>
      <c r="F490" s="139"/>
      <c r="G490" s="191"/>
      <c r="H490" s="139"/>
      <c r="I490" s="141"/>
      <c r="J490" s="142"/>
      <c r="K490" s="139"/>
      <c r="L490" s="147"/>
      <c r="M490" s="148"/>
      <c r="N490" s="139"/>
      <c r="O490" s="589"/>
      <c r="P490" s="229" t="str">
        <f t="shared" si="231"/>
        <v/>
      </c>
      <c r="Q490" s="229" t="str">
        <f t="shared" si="232"/>
        <v/>
      </c>
      <c r="R490" s="230" t="str">
        <f t="shared" si="233"/>
        <v/>
      </c>
      <c r="S490" s="230" t="str">
        <f t="shared" si="234"/>
        <v/>
      </c>
      <c r="T490" s="351"/>
      <c r="U490" s="43"/>
      <c r="V490" s="42" t="str">
        <f t="shared" si="210"/>
        <v/>
      </c>
      <c r="W490" s="42" t="e">
        <f>IF(#REF!="","",#REF!)</f>
        <v>#REF!</v>
      </c>
      <c r="X490" s="31" t="str">
        <f t="shared" si="211"/>
        <v/>
      </c>
      <c r="Y490" s="7" t="e">
        <f t="shared" si="212"/>
        <v>#N/A</v>
      </c>
      <c r="Z490" s="7" t="e">
        <f t="shared" si="213"/>
        <v>#N/A</v>
      </c>
      <c r="AA490" s="7" t="e">
        <f t="shared" si="214"/>
        <v>#N/A</v>
      </c>
      <c r="AB490" s="7" t="str">
        <f t="shared" si="215"/>
        <v/>
      </c>
      <c r="AC490" s="11">
        <f t="shared" si="216"/>
        <v>1</v>
      </c>
      <c r="AD490" s="7" t="e">
        <f t="shared" si="217"/>
        <v>#N/A</v>
      </c>
      <c r="AE490" s="7" t="e">
        <f t="shared" si="218"/>
        <v>#N/A</v>
      </c>
      <c r="AF490" s="7" t="e">
        <f t="shared" si="219"/>
        <v>#N/A</v>
      </c>
      <c r="AG490" s="472" t="e">
        <f>VLOOKUP(AI490,'排出係数(2017)'!$A$4:$I$1151,9,FALSE)</f>
        <v>#N/A</v>
      </c>
      <c r="AH490" s="12" t="str">
        <f t="shared" si="220"/>
        <v xml:space="preserve"> </v>
      </c>
      <c r="AI490" s="7" t="e">
        <f t="shared" si="235"/>
        <v>#N/A</v>
      </c>
      <c r="AJ490" s="7" t="e">
        <f t="shared" si="221"/>
        <v>#N/A</v>
      </c>
      <c r="AK490" s="472" t="e">
        <f>VLOOKUP(AI490,'排出係数(2017)'!$A$4:$I$1151,6,FALSE)</f>
        <v>#N/A</v>
      </c>
      <c r="AL490" s="7" t="e">
        <f t="shared" si="222"/>
        <v>#N/A</v>
      </c>
      <c r="AM490" s="7" t="e">
        <f t="shared" si="223"/>
        <v>#N/A</v>
      </c>
      <c r="AN490" s="472" t="e">
        <f>VLOOKUP(AI490,'排出係数(2017)'!$A$4:$I$1151,7,FALSE)</f>
        <v>#N/A</v>
      </c>
      <c r="AO490" s="7" t="e">
        <f t="shared" si="224"/>
        <v>#N/A</v>
      </c>
      <c r="AP490" s="7" t="e">
        <f t="shared" si="225"/>
        <v>#N/A</v>
      </c>
      <c r="AQ490" s="7" t="e">
        <f t="shared" si="236"/>
        <v>#N/A</v>
      </c>
      <c r="AR490" s="7">
        <f t="shared" si="226"/>
        <v>0</v>
      </c>
      <c r="AS490" s="7" t="e">
        <f t="shared" si="237"/>
        <v>#N/A</v>
      </c>
      <c r="AT490" s="7" t="str">
        <f t="shared" si="227"/>
        <v/>
      </c>
      <c r="AU490" s="7" t="str">
        <f t="shared" si="228"/>
        <v/>
      </c>
      <c r="AV490" s="7" t="str">
        <f t="shared" si="229"/>
        <v/>
      </c>
      <c r="AW490" s="7" t="str">
        <f t="shared" si="230"/>
        <v/>
      </c>
      <c r="AX490" s="97"/>
      <c r="BD490" s="453" t="s">
        <v>19</v>
      </c>
      <c r="CG490"/>
      <c r="CH490"/>
      <c r="CK490" s="592" t="str">
        <f t="shared" si="238"/>
        <v/>
      </c>
      <c r="CL490" s="421" t="str">
        <f t="shared" si="239"/>
        <v/>
      </c>
      <c r="CM490" s="594"/>
      <c r="CN490" s="594"/>
      <c r="CO490" s="594"/>
      <c r="CP490" s="594"/>
      <c r="CQ490" s="594"/>
      <c r="CR490" s="594"/>
    </row>
    <row r="491" spans="1:96" s="13" customFormat="1" ht="13.75" customHeight="1">
      <c r="A491" s="137">
        <v>476</v>
      </c>
      <c r="B491" s="138"/>
      <c r="C491" s="139"/>
      <c r="D491" s="140"/>
      <c r="E491" s="139"/>
      <c r="F491" s="139"/>
      <c r="G491" s="191"/>
      <c r="H491" s="139"/>
      <c r="I491" s="141"/>
      <c r="J491" s="142"/>
      <c r="K491" s="139"/>
      <c r="L491" s="147"/>
      <c r="M491" s="148"/>
      <c r="N491" s="139"/>
      <c r="O491" s="589"/>
      <c r="P491" s="229" t="str">
        <f t="shared" si="231"/>
        <v/>
      </c>
      <c r="Q491" s="229" t="str">
        <f t="shared" si="232"/>
        <v/>
      </c>
      <c r="R491" s="230" t="str">
        <f t="shared" si="233"/>
        <v/>
      </c>
      <c r="S491" s="230" t="str">
        <f t="shared" si="234"/>
        <v/>
      </c>
      <c r="T491" s="351"/>
      <c r="U491" s="43"/>
      <c r="V491" s="42" t="str">
        <f t="shared" si="210"/>
        <v/>
      </c>
      <c r="W491" s="42" t="e">
        <f>IF(#REF!="","",#REF!)</f>
        <v>#REF!</v>
      </c>
      <c r="X491" s="31" t="str">
        <f t="shared" si="211"/>
        <v/>
      </c>
      <c r="Y491" s="7" t="e">
        <f t="shared" si="212"/>
        <v>#N/A</v>
      </c>
      <c r="Z491" s="7" t="e">
        <f t="shared" si="213"/>
        <v>#N/A</v>
      </c>
      <c r="AA491" s="7" t="e">
        <f t="shared" si="214"/>
        <v>#N/A</v>
      </c>
      <c r="AB491" s="7" t="str">
        <f t="shared" si="215"/>
        <v/>
      </c>
      <c r="AC491" s="11">
        <f t="shared" si="216"/>
        <v>1</v>
      </c>
      <c r="AD491" s="7" t="e">
        <f t="shared" si="217"/>
        <v>#N/A</v>
      </c>
      <c r="AE491" s="7" t="e">
        <f t="shared" si="218"/>
        <v>#N/A</v>
      </c>
      <c r="AF491" s="7" t="e">
        <f t="shared" si="219"/>
        <v>#N/A</v>
      </c>
      <c r="AG491" s="472" t="e">
        <f>VLOOKUP(AI491,'排出係数(2017)'!$A$4:$I$1151,9,FALSE)</f>
        <v>#N/A</v>
      </c>
      <c r="AH491" s="12" t="str">
        <f t="shared" si="220"/>
        <v xml:space="preserve"> </v>
      </c>
      <c r="AI491" s="7" t="e">
        <f t="shared" si="235"/>
        <v>#N/A</v>
      </c>
      <c r="AJ491" s="7" t="e">
        <f t="shared" si="221"/>
        <v>#N/A</v>
      </c>
      <c r="AK491" s="472" t="e">
        <f>VLOOKUP(AI491,'排出係数(2017)'!$A$4:$I$1151,6,FALSE)</f>
        <v>#N/A</v>
      </c>
      <c r="AL491" s="7" t="e">
        <f t="shared" si="222"/>
        <v>#N/A</v>
      </c>
      <c r="AM491" s="7" t="e">
        <f t="shared" si="223"/>
        <v>#N/A</v>
      </c>
      <c r="AN491" s="472" t="e">
        <f>VLOOKUP(AI491,'排出係数(2017)'!$A$4:$I$1151,7,FALSE)</f>
        <v>#N/A</v>
      </c>
      <c r="AO491" s="7" t="e">
        <f t="shared" si="224"/>
        <v>#N/A</v>
      </c>
      <c r="AP491" s="7" t="e">
        <f t="shared" si="225"/>
        <v>#N/A</v>
      </c>
      <c r="AQ491" s="7" t="e">
        <f t="shared" si="236"/>
        <v>#N/A</v>
      </c>
      <c r="AR491" s="7">
        <f t="shared" si="226"/>
        <v>0</v>
      </c>
      <c r="AS491" s="7" t="e">
        <f t="shared" si="237"/>
        <v>#N/A</v>
      </c>
      <c r="AT491" s="7" t="str">
        <f t="shared" si="227"/>
        <v/>
      </c>
      <c r="AU491" s="7" t="str">
        <f t="shared" si="228"/>
        <v/>
      </c>
      <c r="AV491" s="7" t="str">
        <f t="shared" si="229"/>
        <v/>
      </c>
      <c r="AW491" s="7" t="str">
        <f t="shared" si="230"/>
        <v/>
      </c>
      <c r="AX491" s="97"/>
      <c r="BD491" s="453" t="s">
        <v>79</v>
      </c>
      <c r="CG491"/>
      <c r="CH491"/>
      <c r="CK491" s="592" t="str">
        <f t="shared" si="238"/>
        <v/>
      </c>
      <c r="CL491" s="421" t="str">
        <f t="shared" si="239"/>
        <v/>
      </c>
      <c r="CM491" s="594"/>
      <c r="CN491" s="594"/>
      <c r="CO491" s="594"/>
      <c r="CP491" s="594"/>
      <c r="CQ491" s="594"/>
      <c r="CR491" s="594"/>
    </row>
    <row r="492" spans="1:96" s="13" customFormat="1" ht="13.75" customHeight="1">
      <c r="A492" s="137">
        <v>477</v>
      </c>
      <c r="B492" s="138"/>
      <c r="C492" s="139"/>
      <c r="D492" s="140"/>
      <c r="E492" s="139"/>
      <c r="F492" s="139"/>
      <c r="G492" s="191"/>
      <c r="H492" s="139"/>
      <c r="I492" s="141"/>
      <c r="J492" s="142"/>
      <c r="K492" s="139"/>
      <c r="L492" s="147"/>
      <c r="M492" s="148"/>
      <c r="N492" s="139"/>
      <c r="O492" s="589"/>
      <c r="P492" s="229" t="str">
        <f t="shared" si="231"/>
        <v/>
      </c>
      <c r="Q492" s="229" t="str">
        <f t="shared" si="232"/>
        <v/>
      </c>
      <c r="R492" s="230" t="str">
        <f t="shared" si="233"/>
        <v/>
      </c>
      <c r="S492" s="230" t="str">
        <f t="shared" si="234"/>
        <v/>
      </c>
      <c r="T492" s="351"/>
      <c r="U492" s="43"/>
      <c r="V492" s="42" t="str">
        <f t="shared" si="210"/>
        <v/>
      </c>
      <c r="W492" s="42" t="e">
        <f>IF(#REF!="","",#REF!)</f>
        <v>#REF!</v>
      </c>
      <c r="X492" s="31" t="str">
        <f t="shared" si="211"/>
        <v/>
      </c>
      <c r="Y492" s="7" t="e">
        <f t="shared" si="212"/>
        <v>#N/A</v>
      </c>
      <c r="Z492" s="7" t="e">
        <f t="shared" si="213"/>
        <v>#N/A</v>
      </c>
      <c r="AA492" s="7" t="e">
        <f t="shared" si="214"/>
        <v>#N/A</v>
      </c>
      <c r="AB492" s="7" t="str">
        <f t="shared" si="215"/>
        <v/>
      </c>
      <c r="AC492" s="11">
        <f t="shared" si="216"/>
        <v>1</v>
      </c>
      <c r="AD492" s="7" t="e">
        <f t="shared" si="217"/>
        <v>#N/A</v>
      </c>
      <c r="AE492" s="7" t="e">
        <f t="shared" si="218"/>
        <v>#N/A</v>
      </c>
      <c r="AF492" s="7" t="e">
        <f t="shared" si="219"/>
        <v>#N/A</v>
      </c>
      <c r="AG492" s="472" t="e">
        <f>VLOOKUP(AI492,'排出係数(2017)'!$A$4:$I$1151,9,FALSE)</f>
        <v>#N/A</v>
      </c>
      <c r="AH492" s="12" t="str">
        <f t="shared" si="220"/>
        <v xml:space="preserve"> </v>
      </c>
      <c r="AI492" s="7" t="e">
        <f t="shared" si="235"/>
        <v>#N/A</v>
      </c>
      <c r="AJ492" s="7" t="e">
        <f t="shared" si="221"/>
        <v>#N/A</v>
      </c>
      <c r="AK492" s="472" t="e">
        <f>VLOOKUP(AI492,'排出係数(2017)'!$A$4:$I$1151,6,FALSE)</f>
        <v>#N/A</v>
      </c>
      <c r="AL492" s="7" t="e">
        <f t="shared" si="222"/>
        <v>#N/A</v>
      </c>
      <c r="AM492" s="7" t="e">
        <f t="shared" si="223"/>
        <v>#N/A</v>
      </c>
      <c r="AN492" s="472" t="e">
        <f>VLOOKUP(AI492,'排出係数(2017)'!$A$4:$I$1151,7,FALSE)</f>
        <v>#N/A</v>
      </c>
      <c r="AO492" s="7" t="e">
        <f t="shared" si="224"/>
        <v>#N/A</v>
      </c>
      <c r="AP492" s="7" t="e">
        <f t="shared" si="225"/>
        <v>#N/A</v>
      </c>
      <c r="AQ492" s="7" t="e">
        <f t="shared" si="236"/>
        <v>#N/A</v>
      </c>
      <c r="AR492" s="7">
        <f t="shared" si="226"/>
        <v>0</v>
      </c>
      <c r="AS492" s="7" t="e">
        <f t="shared" si="237"/>
        <v>#N/A</v>
      </c>
      <c r="AT492" s="7" t="str">
        <f t="shared" si="227"/>
        <v/>
      </c>
      <c r="AU492" s="7" t="str">
        <f t="shared" si="228"/>
        <v/>
      </c>
      <c r="AV492" s="7" t="str">
        <f t="shared" si="229"/>
        <v/>
      </c>
      <c r="AW492" s="7" t="str">
        <f t="shared" si="230"/>
        <v/>
      </c>
      <c r="AX492" s="97"/>
      <c r="BD492" s="453" t="s">
        <v>80</v>
      </c>
      <c r="CG492"/>
      <c r="CH492"/>
      <c r="CK492" s="592" t="str">
        <f t="shared" si="238"/>
        <v/>
      </c>
      <c r="CL492" s="421" t="str">
        <f t="shared" si="239"/>
        <v/>
      </c>
      <c r="CM492" s="594"/>
      <c r="CN492" s="594"/>
      <c r="CO492" s="594"/>
      <c r="CP492" s="594"/>
      <c r="CQ492" s="594"/>
      <c r="CR492" s="594"/>
    </row>
    <row r="493" spans="1:96" s="13" customFormat="1" ht="13.75" customHeight="1">
      <c r="A493" s="137">
        <v>478</v>
      </c>
      <c r="B493" s="138"/>
      <c r="C493" s="139"/>
      <c r="D493" s="140"/>
      <c r="E493" s="139"/>
      <c r="F493" s="139"/>
      <c r="G493" s="191"/>
      <c r="H493" s="139"/>
      <c r="I493" s="141"/>
      <c r="J493" s="142"/>
      <c r="K493" s="139"/>
      <c r="L493" s="147"/>
      <c r="M493" s="148"/>
      <c r="N493" s="139"/>
      <c r="O493" s="589"/>
      <c r="P493" s="229" t="str">
        <f t="shared" si="231"/>
        <v/>
      </c>
      <c r="Q493" s="229" t="str">
        <f t="shared" si="232"/>
        <v/>
      </c>
      <c r="R493" s="230" t="str">
        <f t="shared" si="233"/>
        <v/>
      </c>
      <c r="S493" s="230" t="str">
        <f t="shared" si="234"/>
        <v/>
      </c>
      <c r="T493" s="351"/>
      <c r="U493" s="43"/>
      <c r="V493" s="42" t="str">
        <f t="shared" si="210"/>
        <v/>
      </c>
      <c r="W493" s="42" t="e">
        <f>IF(#REF!="","",#REF!)</f>
        <v>#REF!</v>
      </c>
      <c r="X493" s="31" t="str">
        <f t="shared" si="211"/>
        <v/>
      </c>
      <c r="Y493" s="7" t="e">
        <f t="shared" si="212"/>
        <v>#N/A</v>
      </c>
      <c r="Z493" s="7" t="e">
        <f t="shared" si="213"/>
        <v>#N/A</v>
      </c>
      <c r="AA493" s="7" t="e">
        <f t="shared" si="214"/>
        <v>#N/A</v>
      </c>
      <c r="AB493" s="7" t="str">
        <f t="shared" si="215"/>
        <v/>
      </c>
      <c r="AC493" s="11">
        <f t="shared" si="216"/>
        <v>1</v>
      </c>
      <c r="AD493" s="7" t="e">
        <f t="shared" si="217"/>
        <v>#N/A</v>
      </c>
      <c r="AE493" s="7" t="e">
        <f t="shared" si="218"/>
        <v>#N/A</v>
      </c>
      <c r="AF493" s="7" t="e">
        <f t="shared" si="219"/>
        <v>#N/A</v>
      </c>
      <c r="AG493" s="472" t="e">
        <f>VLOOKUP(AI493,'排出係数(2017)'!$A$4:$I$1151,9,FALSE)</f>
        <v>#N/A</v>
      </c>
      <c r="AH493" s="12" t="str">
        <f t="shared" si="220"/>
        <v xml:space="preserve"> </v>
      </c>
      <c r="AI493" s="7" t="e">
        <f t="shared" si="235"/>
        <v>#N/A</v>
      </c>
      <c r="AJ493" s="7" t="e">
        <f t="shared" si="221"/>
        <v>#N/A</v>
      </c>
      <c r="AK493" s="472" t="e">
        <f>VLOOKUP(AI493,'排出係数(2017)'!$A$4:$I$1151,6,FALSE)</f>
        <v>#N/A</v>
      </c>
      <c r="AL493" s="7" t="e">
        <f t="shared" si="222"/>
        <v>#N/A</v>
      </c>
      <c r="AM493" s="7" t="e">
        <f t="shared" si="223"/>
        <v>#N/A</v>
      </c>
      <c r="AN493" s="472" t="e">
        <f>VLOOKUP(AI493,'排出係数(2017)'!$A$4:$I$1151,7,FALSE)</f>
        <v>#N/A</v>
      </c>
      <c r="AO493" s="7" t="e">
        <f t="shared" si="224"/>
        <v>#N/A</v>
      </c>
      <c r="AP493" s="7" t="e">
        <f t="shared" si="225"/>
        <v>#N/A</v>
      </c>
      <c r="AQ493" s="7" t="e">
        <f t="shared" si="236"/>
        <v>#N/A</v>
      </c>
      <c r="AR493" s="7">
        <f t="shared" si="226"/>
        <v>0</v>
      </c>
      <c r="AS493" s="7" t="e">
        <f t="shared" si="237"/>
        <v>#N/A</v>
      </c>
      <c r="AT493" s="7" t="str">
        <f t="shared" si="227"/>
        <v/>
      </c>
      <c r="AU493" s="7" t="str">
        <f t="shared" si="228"/>
        <v/>
      </c>
      <c r="AV493" s="7" t="str">
        <f t="shared" si="229"/>
        <v/>
      </c>
      <c r="AW493" s="7" t="str">
        <f t="shared" si="230"/>
        <v/>
      </c>
      <c r="AX493" s="97"/>
      <c r="BD493" s="473" t="s">
        <v>81</v>
      </c>
      <c r="CG493"/>
      <c r="CH493"/>
      <c r="CK493" s="592" t="str">
        <f t="shared" si="238"/>
        <v/>
      </c>
      <c r="CL493" s="421" t="str">
        <f t="shared" si="239"/>
        <v/>
      </c>
      <c r="CM493" s="594"/>
      <c r="CN493" s="594"/>
      <c r="CO493" s="594"/>
      <c r="CP493" s="594"/>
      <c r="CQ493" s="594"/>
      <c r="CR493" s="594"/>
    </row>
    <row r="494" spans="1:96" s="13" customFormat="1" ht="13.75" customHeight="1">
      <c r="A494" s="137">
        <v>479</v>
      </c>
      <c r="B494" s="138"/>
      <c r="C494" s="139"/>
      <c r="D494" s="140"/>
      <c r="E494" s="139"/>
      <c r="F494" s="139"/>
      <c r="G494" s="191"/>
      <c r="H494" s="139"/>
      <c r="I494" s="141"/>
      <c r="J494" s="142"/>
      <c r="K494" s="139"/>
      <c r="L494" s="147"/>
      <c r="M494" s="148"/>
      <c r="N494" s="139"/>
      <c r="O494" s="589"/>
      <c r="P494" s="229" t="str">
        <f t="shared" si="231"/>
        <v/>
      </c>
      <c r="Q494" s="229" t="str">
        <f t="shared" si="232"/>
        <v/>
      </c>
      <c r="R494" s="230" t="str">
        <f t="shared" si="233"/>
        <v/>
      </c>
      <c r="S494" s="230" t="str">
        <f t="shared" si="234"/>
        <v/>
      </c>
      <c r="T494" s="351"/>
      <c r="U494" s="43"/>
      <c r="V494" s="42" t="str">
        <f t="shared" si="210"/>
        <v/>
      </c>
      <c r="W494" s="42" t="e">
        <f>IF(#REF!="","",#REF!)</f>
        <v>#REF!</v>
      </c>
      <c r="X494" s="31" t="str">
        <f t="shared" si="211"/>
        <v/>
      </c>
      <c r="Y494" s="7" t="e">
        <f t="shared" si="212"/>
        <v>#N/A</v>
      </c>
      <c r="Z494" s="7" t="e">
        <f t="shared" si="213"/>
        <v>#N/A</v>
      </c>
      <c r="AA494" s="7" t="e">
        <f t="shared" si="214"/>
        <v>#N/A</v>
      </c>
      <c r="AB494" s="7" t="str">
        <f t="shared" si="215"/>
        <v/>
      </c>
      <c r="AC494" s="11">
        <f t="shared" si="216"/>
        <v>1</v>
      </c>
      <c r="AD494" s="7" t="e">
        <f t="shared" si="217"/>
        <v>#N/A</v>
      </c>
      <c r="AE494" s="7" t="e">
        <f t="shared" si="218"/>
        <v>#N/A</v>
      </c>
      <c r="AF494" s="7" t="e">
        <f t="shared" si="219"/>
        <v>#N/A</v>
      </c>
      <c r="AG494" s="472" t="e">
        <f>VLOOKUP(AI494,'排出係数(2017)'!$A$4:$I$1151,9,FALSE)</f>
        <v>#N/A</v>
      </c>
      <c r="AH494" s="12" t="str">
        <f t="shared" si="220"/>
        <v xml:space="preserve"> </v>
      </c>
      <c r="AI494" s="7" t="e">
        <f t="shared" si="235"/>
        <v>#N/A</v>
      </c>
      <c r="AJ494" s="7" t="e">
        <f t="shared" si="221"/>
        <v>#N/A</v>
      </c>
      <c r="AK494" s="472" t="e">
        <f>VLOOKUP(AI494,'排出係数(2017)'!$A$4:$I$1151,6,FALSE)</f>
        <v>#N/A</v>
      </c>
      <c r="AL494" s="7" t="e">
        <f t="shared" si="222"/>
        <v>#N/A</v>
      </c>
      <c r="AM494" s="7" t="e">
        <f t="shared" si="223"/>
        <v>#N/A</v>
      </c>
      <c r="AN494" s="472" t="e">
        <f>VLOOKUP(AI494,'排出係数(2017)'!$A$4:$I$1151,7,FALSE)</f>
        <v>#N/A</v>
      </c>
      <c r="AO494" s="7" t="e">
        <f t="shared" si="224"/>
        <v>#N/A</v>
      </c>
      <c r="AP494" s="7" t="e">
        <f t="shared" si="225"/>
        <v>#N/A</v>
      </c>
      <c r="AQ494" s="7" t="e">
        <f t="shared" si="236"/>
        <v>#N/A</v>
      </c>
      <c r="AR494" s="7">
        <f t="shared" si="226"/>
        <v>0</v>
      </c>
      <c r="AS494" s="7" t="e">
        <f t="shared" si="237"/>
        <v>#N/A</v>
      </c>
      <c r="AT494" s="7" t="str">
        <f t="shared" si="227"/>
        <v/>
      </c>
      <c r="AU494" s="7" t="str">
        <f t="shared" si="228"/>
        <v/>
      </c>
      <c r="AV494" s="7" t="str">
        <f t="shared" si="229"/>
        <v/>
      </c>
      <c r="AW494" s="7" t="str">
        <f t="shared" si="230"/>
        <v/>
      </c>
      <c r="AX494" s="97"/>
      <c r="BD494" s="453" t="s">
        <v>779</v>
      </c>
      <c r="CG494"/>
      <c r="CH494"/>
      <c r="CK494" s="592" t="str">
        <f t="shared" si="238"/>
        <v/>
      </c>
      <c r="CL494" s="421" t="str">
        <f t="shared" si="239"/>
        <v/>
      </c>
      <c r="CM494" s="594"/>
      <c r="CN494" s="594"/>
      <c r="CO494" s="594"/>
      <c r="CP494" s="594"/>
      <c r="CQ494" s="594"/>
      <c r="CR494" s="594"/>
    </row>
    <row r="495" spans="1:96" s="13" customFormat="1" ht="13.75" customHeight="1">
      <c r="A495" s="137">
        <v>480</v>
      </c>
      <c r="B495" s="138"/>
      <c r="C495" s="139"/>
      <c r="D495" s="140"/>
      <c r="E495" s="139"/>
      <c r="F495" s="139"/>
      <c r="G495" s="191"/>
      <c r="H495" s="139"/>
      <c r="I495" s="141"/>
      <c r="J495" s="142"/>
      <c r="K495" s="139"/>
      <c r="L495" s="147"/>
      <c r="M495" s="148"/>
      <c r="N495" s="139"/>
      <c r="O495" s="589"/>
      <c r="P495" s="229" t="str">
        <f t="shared" si="231"/>
        <v/>
      </c>
      <c r="Q495" s="229" t="str">
        <f t="shared" si="232"/>
        <v/>
      </c>
      <c r="R495" s="230" t="str">
        <f t="shared" si="233"/>
        <v/>
      </c>
      <c r="S495" s="230" t="str">
        <f t="shared" si="234"/>
        <v/>
      </c>
      <c r="T495" s="351"/>
      <c r="U495" s="43"/>
      <c r="V495" s="42" t="str">
        <f t="shared" si="210"/>
        <v/>
      </c>
      <c r="W495" s="42" t="e">
        <f>IF(#REF!="","",#REF!)</f>
        <v>#REF!</v>
      </c>
      <c r="X495" s="31" t="str">
        <f t="shared" si="211"/>
        <v/>
      </c>
      <c r="Y495" s="7" t="e">
        <f t="shared" si="212"/>
        <v>#N/A</v>
      </c>
      <c r="Z495" s="7" t="e">
        <f t="shared" si="213"/>
        <v>#N/A</v>
      </c>
      <c r="AA495" s="7" t="e">
        <f t="shared" si="214"/>
        <v>#N/A</v>
      </c>
      <c r="AB495" s="7" t="str">
        <f t="shared" si="215"/>
        <v/>
      </c>
      <c r="AC495" s="11">
        <f t="shared" si="216"/>
        <v>1</v>
      </c>
      <c r="AD495" s="7" t="e">
        <f t="shared" si="217"/>
        <v>#N/A</v>
      </c>
      <c r="AE495" s="7" t="e">
        <f t="shared" si="218"/>
        <v>#N/A</v>
      </c>
      <c r="AF495" s="7" t="e">
        <f t="shared" si="219"/>
        <v>#N/A</v>
      </c>
      <c r="AG495" s="472" t="e">
        <f>VLOOKUP(AI495,'排出係数(2017)'!$A$4:$I$1151,9,FALSE)</f>
        <v>#N/A</v>
      </c>
      <c r="AH495" s="12" t="str">
        <f t="shared" si="220"/>
        <v xml:space="preserve"> </v>
      </c>
      <c r="AI495" s="7" t="e">
        <f t="shared" si="235"/>
        <v>#N/A</v>
      </c>
      <c r="AJ495" s="7" t="e">
        <f t="shared" si="221"/>
        <v>#N/A</v>
      </c>
      <c r="AK495" s="472" t="e">
        <f>VLOOKUP(AI495,'排出係数(2017)'!$A$4:$I$1151,6,FALSE)</f>
        <v>#N/A</v>
      </c>
      <c r="AL495" s="7" t="e">
        <f t="shared" si="222"/>
        <v>#N/A</v>
      </c>
      <c r="AM495" s="7" t="e">
        <f t="shared" si="223"/>
        <v>#N/A</v>
      </c>
      <c r="AN495" s="472" t="e">
        <f>VLOOKUP(AI495,'排出係数(2017)'!$A$4:$I$1151,7,FALSE)</f>
        <v>#N/A</v>
      </c>
      <c r="AO495" s="7" t="e">
        <f t="shared" si="224"/>
        <v>#N/A</v>
      </c>
      <c r="AP495" s="7" t="e">
        <f t="shared" si="225"/>
        <v>#N/A</v>
      </c>
      <c r="AQ495" s="7" t="e">
        <f t="shared" si="236"/>
        <v>#N/A</v>
      </c>
      <c r="AR495" s="7">
        <f t="shared" si="226"/>
        <v>0</v>
      </c>
      <c r="AS495" s="7" t="e">
        <f t="shared" si="237"/>
        <v>#N/A</v>
      </c>
      <c r="AT495" s="7" t="str">
        <f t="shared" si="227"/>
        <v/>
      </c>
      <c r="AU495" s="7" t="str">
        <f t="shared" si="228"/>
        <v/>
      </c>
      <c r="AV495" s="7" t="str">
        <f t="shared" si="229"/>
        <v/>
      </c>
      <c r="AW495" s="7" t="str">
        <f t="shared" si="230"/>
        <v/>
      </c>
      <c r="AX495" s="97"/>
      <c r="BD495" s="473" t="s">
        <v>1119</v>
      </c>
      <c r="CG495"/>
      <c r="CH495"/>
      <c r="CK495" s="592" t="str">
        <f t="shared" si="238"/>
        <v/>
      </c>
      <c r="CL495" s="421" t="str">
        <f t="shared" si="239"/>
        <v/>
      </c>
      <c r="CM495" s="594"/>
      <c r="CN495" s="594"/>
      <c r="CO495" s="594"/>
      <c r="CP495" s="594"/>
      <c r="CQ495" s="594"/>
      <c r="CR495" s="594"/>
    </row>
    <row r="496" spans="1:96" s="13" customFormat="1" ht="13.75" customHeight="1">
      <c r="A496" s="137">
        <v>481</v>
      </c>
      <c r="B496" s="138"/>
      <c r="C496" s="139"/>
      <c r="D496" s="140"/>
      <c r="E496" s="139"/>
      <c r="F496" s="139"/>
      <c r="G496" s="191"/>
      <c r="H496" s="139"/>
      <c r="I496" s="141"/>
      <c r="J496" s="142"/>
      <c r="K496" s="139"/>
      <c r="L496" s="147"/>
      <c r="M496" s="148"/>
      <c r="N496" s="139"/>
      <c r="O496" s="589"/>
      <c r="P496" s="229" t="str">
        <f t="shared" si="231"/>
        <v/>
      </c>
      <c r="Q496" s="229" t="str">
        <f t="shared" si="232"/>
        <v/>
      </c>
      <c r="R496" s="230" t="str">
        <f t="shared" si="233"/>
        <v/>
      </c>
      <c r="S496" s="230" t="str">
        <f t="shared" si="234"/>
        <v/>
      </c>
      <c r="T496" s="351"/>
      <c r="U496" s="43"/>
      <c r="V496" s="42" t="str">
        <f t="shared" si="210"/>
        <v/>
      </c>
      <c r="W496" s="42" t="e">
        <f>IF(#REF!="","",#REF!)</f>
        <v>#REF!</v>
      </c>
      <c r="X496" s="31" t="str">
        <f t="shared" si="211"/>
        <v/>
      </c>
      <c r="Y496" s="7" t="e">
        <f t="shared" si="212"/>
        <v>#N/A</v>
      </c>
      <c r="Z496" s="7" t="e">
        <f t="shared" si="213"/>
        <v>#N/A</v>
      </c>
      <c r="AA496" s="7" t="e">
        <f t="shared" si="214"/>
        <v>#N/A</v>
      </c>
      <c r="AB496" s="7" t="str">
        <f t="shared" si="215"/>
        <v/>
      </c>
      <c r="AC496" s="11">
        <f t="shared" si="216"/>
        <v>1</v>
      </c>
      <c r="AD496" s="7" t="e">
        <f t="shared" si="217"/>
        <v>#N/A</v>
      </c>
      <c r="AE496" s="7" t="e">
        <f t="shared" si="218"/>
        <v>#N/A</v>
      </c>
      <c r="AF496" s="7" t="e">
        <f t="shared" si="219"/>
        <v>#N/A</v>
      </c>
      <c r="AG496" s="472" t="e">
        <f>VLOOKUP(AI496,'排出係数(2017)'!$A$4:$I$1151,9,FALSE)</f>
        <v>#N/A</v>
      </c>
      <c r="AH496" s="12" t="str">
        <f t="shared" si="220"/>
        <v xml:space="preserve"> </v>
      </c>
      <c r="AI496" s="7" t="e">
        <f t="shared" si="235"/>
        <v>#N/A</v>
      </c>
      <c r="AJ496" s="7" t="e">
        <f t="shared" si="221"/>
        <v>#N/A</v>
      </c>
      <c r="AK496" s="472" t="e">
        <f>VLOOKUP(AI496,'排出係数(2017)'!$A$4:$I$1151,6,FALSE)</f>
        <v>#N/A</v>
      </c>
      <c r="AL496" s="7" t="e">
        <f t="shared" si="222"/>
        <v>#N/A</v>
      </c>
      <c r="AM496" s="7" t="e">
        <f t="shared" si="223"/>
        <v>#N/A</v>
      </c>
      <c r="AN496" s="472" t="e">
        <f>VLOOKUP(AI496,'排出係数(2017)'!$A$4:$I$1151,7,FALSE)</f>
        <v>#N/A</v>
      </c>
      <c r="AO496" s="7" t="e">
        <f t="shared" si="224"/>
        <v>#N/A</v>
      </c>
      <c r="AP496" s="7" t="e">
        <f t="shared" si="225"/>
        <v>#N/A</v>
      </c>
      <c r="AQ496" s="7" t="e">
        <f t="shared" si="236"/>
        <v>#N/A</v>
      </c>
      <c r="AR496" s="7">
        <f t="shared" si="226"/>
        <v>0</v>
      </c>
      <c r="AS496" s="7" t="e">
        <f t="shared" si="237"/>
        <v>#N/A</v>
      </c>
      <c r="AT496" s="7" t="str">
        <f t="shared" si="227"/>
        <v/>
      </c>
      <c r="AU496" s="7" t="str">
        <f t="shared" si="228"/>
        <v/>
      </c>
      <c r="AV496" s="7" t="str">
        <f t="shared" si="229"/>
        <v/>
      </c>
      <c r="AW496" s="7" t="str">
        <f t="shared" si="230"/>
        <v/>
      </c>
      <c r="AX496" s="97"/>
      <c r="BD496" s="473" t="s">
        <v>82</v>
      </c>
      <c r="CG496"/>
      <c r="CH496"/>
      <c r="CK496" s="592" t="str">
        <f t="shared" si="238"/>
        <v/>
      </c>
      <c r="CL496" s="421" t="str">
        <f t="shared" si="239"/>
        <v/>
      </c>
      <c r="CM496" s="594"/>
      <c r="CN496" s="594"/>
      <c r="CO496" s="594"/>
      <c r="CP496" s="594"/>
      <c r="CQ496" s="594"/>
      <c r="CR496" s="594"/>
    </row>
    <row r="497" spans="1:96" s="13" customFormat="1" ht="13.75" customHeight="1">
      <c r="A497" s="137">
        <v>482</v>
      </c>
      <c r="B497" s="138"/>
      <c r="C497" s="139"/>
      <c r="D497" s="140"/>
      <c r="E497" s="139"/>
      <c r="F497" s="139"/>
      <c r="G497" s="191"/>
      <c r="H497" s="139"/>
      <c r="I497" s="141"/>
      <c r="J497" s="142"/>
      <c r="K497" s="139"/>
      <c r="L497" s="147"/>
      <c r="M497" s="148"/>
      <c r="N497" s="139"/>
      <c r="O497" s="589"/>
      <c r="P497" s="229" t="str">
        <f t="shared" si="231"/>
        <v/>
      </c>
      <c r="Q497" s="229" t="str">
        <f t="shared" si="232"/>
        <v/>
      </c>
      <c r="R497" s="230" t="str">
        <f t="shared" si="233"/>
        <v/>
      </c>
      <c r="S497" s="230" t="str">
        <f t="shared" si="234"/>
        <v/>
      </c>
      <c r="T497" s="351"/>
      <c r="U497" s="43"/>
      <c r="V497" s="42" t="str">
        <f t="shared" si="210"/>
        <v/>
      </c>
      <c r="W497" s="42" t="e">
        <f>IF(#REF!="","",#REF!)</f>
        <v>#REF!</v>
      </c>
      <c r="X497" s="31" t="str">
        <f t="shared" si="211"/>
        <v/>
      </c>
      <c r="Y497" s="7" t="e">
        <f t="shared" si="212"/>
        <v>#N/A</v>
      </c>
      <c r="Z497" s="7" t="e">
        <f t="shared" si="213"/>
        <v>#N/A</v>
      </c>
      <c r="AA497" s="7" t="e">
        <f t="shared" si="214"/>
        <v>#N/A</v>
      </c>
      <c r="AB497" s="7" t="str">
        <f t="shared" si="215"/>
        <v/>
      </c>
      <c r="AC497" s="11">
        <f t="shared" si="216"/>
        <v>1</v>
      </c>
      <c r="AD497" s="7" t="e">
        <f t="shared" si="217"/>
        <v>#N/A</v>
      </c>
      <c r="AE497" s="7" t="e">
        <f t="shared" si="218"/>
        <v>#N/A</v>
      </c>
      <c r="AF497" s="7" t="e">
        <f t="shared" si="219"/>
        <v>#N/A</v>
      </c>
      <c r="AG497" s="472" t="e">
        <f>VLOOKUP(AI497,'排出係数(2017)'!$A$4:$I$1151,9,FALSE)</f>
        <v>#N/A</v>
      </c>
      <c r="AH497" s="12" t="str">
        <f t="shared" si="220"/>
        <v xml:space="preserve"> </v>
      </c>
      <c r="AI497" s="7" t="e">
        <f t="shared" si="235"/>
        <v>#N/A</v>
      </c>
      <c r="AJ497" s="7" t="e">
        <f t="shared" si="221"/>
        <v>#N/A</v>
      </c>
      <c r="AK497" s="472" t="e">
        <f>VLOOKUP(AI497,'排出係数(2017)'!$A$4:$I$1151,6,FALSE)</f>
        <v>#N/A</v>
      </c>
      <c r="AL497" s="7" t="e">
        <f t="shared" si="222"/>
        <v>#N/A</v>
      </c>
      <c r="AM497" s="7" t="e">
        <f t="shared" si="223"/>
        <v>#N/A</v>
      </c>
      <c r="AN497" s="472" t="e">
        <f>VLOOKUP(AI497,'排出係数(2017)'!$A$4:$I$1151,7,FALSE)</f>
        <v>#N/A</v>
      </c>
      <c r="AO497" s="7" t="e">
        <f t="shared" si="224"/>
        <v>#N/A</v>
      </c>
      <c r="AP497" s="7" t="e">
        <f t="shared" si="225"/>
        <v>#N/A</v>
      </c>
      <c r="AQ497" s="7" t="e">
        <f t="shared" si="236"/>
        <v>#N/A</v>
      </c>
      <c r="AR497" s="7">
        <f t="shared" si="226"/>
        <v>0</v>
      </c>
      <c r="AS497" s="7" t="e">
        <f t="shared" si="237"/>
        <v>#N/A</v>
      </c>
      <c r="AT497" s="7" t="str">
        <f t="shared" si="227"/>
        <v/>
      </c>
      <c r="AU497" s="7" t="str">
        <f t="shared" si="228"/>
        <v/>
      </c>
      <c r="AV497" s="7" t="str">
        <f t="shared" si="229"/>
        <v/>
      </c>
      <c r="AW497" s="7" t="str">
        <f t="shared" si="230"/>
        <v/>
      </c>
      <c r="AX497" s="97"/>
      <c r="BD497" s="453" t="s">
        <v>771</v>
      </c>
      <c r="CG497"/>
      <c r="CH497"/>
      <c r="CK497" s="592" t="str">
        <f t="shared" si="238"/>
        <v/>
      </c>
      <c r="CL497" s="421" t="str">
        <f t="shared" si="239"/>
        <v/>
      </c>
      <c r="CM497" s="594"/>
      <c r="CN497" s="594"/>
      <c r="CO497" s="594"/>
      <c r="CP497" s="594"/>
      <c r="CQ497" s="594"/>
      <c r="CR497" s="594"/>
    </row>
    <row r="498" spans="1:96" s="13" customFormat="1" ht="13.75" customHeight="1">
      <c r="A498" s="137">
        <v>483</v>
      </c>
      <c r="B498" s="138"/>
      <c r="C498" s="139"/>
      <c r="D498" s="140"/>
      <c r="E498" s="139"/>
      <c r="F498" s="139"/>
      <c r="G498" s="191"/>
      <c r="H498" s="139"/>
      <c r="I498" s="141"/>
      <c r="J498" s="142"/>
      <c r="K498" s="139"/>
      <c r="L498" s="147"/>
      <c r="M498" s="148"/>
      <c r="N498" s="139"/>
      <c r="O498" s="589"/>
      <c r="P498" s="229" t="str">
        <f t="shared" si="231"/>
        <v/>
      </c>
      <c r="Q498" s="229" t="str">
        <f t="shared" si="232"/>
        <v/>
      </c>
      <c r="R498" s="230" t="str">
        <f t="shared" si="233"/>
        <v/>
      </c>
      <c r="S498" s="230" t="str">
        <f t="shared" si="234"/>
        <v/>
      </c>
      <c r="T498" s="351"/>
      <c r="U498" s="43"/>
      <c r="V498" s="42" t="str">
        <f t="shared" si="210"/>
        <v/>
      </c>
      <c r="W498" s="42" t="e">
        <f>IF(#REF!="","",#REF!)</f>
        <v>#REF!</v>
      </c>
      <c r="X498" s="31" t="str">
        <f t="shared" si="211"/>
        <v/>
      </c>
      <c r="Y498" s="7" t="e">
        <f t="shared" si="212"/>
        <v>#N/A</v>
      </c>
      <c r="Z498" s="7" t="e">
        <f t="shared" si="213"/>
        <v>#N/A</v>
      </c>
      <c r="AA498" s="7" t="e">
        <f t="shared" si="214"/>
        <v>#N/A</v>
      </c>
      <c r="AB498" s="7" t="str">
        <f t="shared" si="215"/>
        <v/>
      </c>
      <c r="AC498" s="11">
        <f t="shared" si="216"/>
        <v>1</v>
      </c>
      <c r="AD498" s="7" t="e">
        <f t="shared" si="217"/>
        <v>#N/A</v>
      </c>
      <c r="AE498" s="7" t="e">
        <f t="shared" si="218"/>
        <v>#N/A</v>
      </c>
      <c r="AF498" s="7" t="e">
        <f t="shared" si="219"/>
        <v>#N/A</v>
      </c>
      <c r="AG498" s="472" t="e">
        <f>VLOOKUP(AI498,'排出係数(2017)'!$A$4:$I$1151,9,FALSE)</f>
        <v>#N/A</v>
      </c>
      <c r="AH498" s="12" t="str">
        <f t="shared" si="220"/>
        <v xml:space="preserve"> </v>
      </c>
      <c r="AI498" s="7" t="e">
        <f t="shared" si="235"/>
        <v>#N/A</v>
      </c>
      <c r="AJ498" s="7" t="e">
        <f t="shared" si="221"/>
        <v>#N/A</v>
      </c>
      <c r="AK498" s="472" t="e">
        <f>VLOOKUP(AI498,'排出係数(2017)'!$A$4:$I$1151,6,FALSE)</f>
        <v>#N/A</v>
      </c>
      <c r="AL498" s="7" t="e">
        <f t="shared" si="222"/>
        <v>#N/A</v>
      </c>
      <c r="AM498" s="7" t="e">
        <f t="shared" si="223"/>
        <v>#N/A</v>
      </c>
      <c r="AN498" s="472" t="e">
        <f>VLOOKUP(AI498,'排出係数(2017)'!$A$4:$I$1151,7,FALSE)</f>
        <v>#N/A</v>
      </c>
      <c r="AO498" s="7" t="e">
        <f t="shared" si="224"/>
        <v>#N/A</v>
      </c>
      <c r="AP498" s="7" t="e">
        <f t="shared" si="225"/>
        <v>#N/A</v>
      </c>
      <c r="AQ498" s="7" t="e">
        <f t="shared" si="236"/>
        <v>#N/A</v>
      </c>
      <c r="AR498" s="7">
        <f t="shared" si="226"/>
        <v>0</v>
      </c>
      <c r="AS498" s="7" t="e">
        <f t="shared" si="237"/>
        <v>#N/A</v>
      </c>
      <c r="AT498" s="7" t="str">
        <f t="shared" si="227"/>
        <v/>
      </c>
      <c r="AU498" s="7" t="str">
        <f t="shared" si="228"/>
        <v/>
      </c>
      <c r="AV498" s="7" t="str">
        <f t="shared" si="229"/>
        <v/>
      </c>
      <c r="AW498" s="7" t="str">
        <f t="shared" si="230"/>
        <v/>
      </c>
      <c r="AX498" s="97"/>
      <c r="BD498" s="453" t="s">
        <v>1111</v>
      </c>
      <c r="CG498"/>
      <c r="CH498"/>
      <c r="CK498" s="592" t="str">
        <f t="shared" si="238"/>
        <v/>
      </c>
      <c r="CL498" s="421" t="str">
        <f t="shared" si="239"/>
        <v/>
      </c>
      <c r="CM498" s="594"/>
      <c r="CN498" s="594"/>
      <c r="CO498" s="594"/>
      <c r="CP498" s="594"/>
      <c r="CQ498" s="594"/>
      <c r="CR498" s="594"/>
    </row>
    <row r="499" spans="1:96" s="13" customFormat="1" ht="13.75" customHeight="1">
      <c r="A499" s="137">
        <v>484</v>
      </c>
      <c r="B499" s="138"/>
      <c r="C499" s="139"/>
      <c r="D499" s="140"/>
      <c r="E499" s="139"/>
      <c r="F499" s="139"/>
      <c r="G499" s="191"/>
      <c r="H499" s="139"/>
      <c r="I499" s="141"/>
      <c r="J499" s="142"/>
      <c r="K499" s="139"/>
      <c r="L499" s="147"/>
      <c r="M499" s="148"/>
      <c r="N499" s="139"/>
      <c r="O499" s="589"/>
      <c r="P499" s="229" t="str">
        <f t="shared" si="231"/>
        <v/>
      </c>
      <c r="Q499" s="229" t="str">
        <f t="shared" si="232"/>
        <v/>
      </c>
      <c r="R499" s="230" t="str">
        <f t="shared" si="233"/>
        <v/>
      </c>
      <c r="S499" s="230" t="str">
        <f t="shared" si="234"/>
        <v/>
      </c>
      <c r="T499" s="351"/>
      <c r="U499" s="43"/>
      <c r="V499" s="42" t="str">
        <f t="shared" si="210"/>
        <v/>
      </c>
      <c r="W499" s="42" t="e">
        <f>IF(#REF!="","",#REF!)</f>
        <v>#REF!</v>
      </c>
      <c r="X499" s="31" t="str">
        <f t="shared" si="211"/>
        <v/>
      </c>
      <c r="Y499" s="7" t="e">
        <f t="shared" si="212"/>
        <v>#N/A</v>
      </c>
      <c r="Z499" s="7" t="e">
        <f t="shared" si="213"/>
        <v>#N/A</v>
      </c>
      <c r="AA499" s="7" t="e">
        <f t="shared" si="214"/>
        <v>#N/A</v>
      </c>
      <c r="AB499" s="7" t="str">
        <f t="shared" si="215"/>
        <v/>
      </c>
      <c r="AC499" s="11">
        <f t="shared" si="216"/>
        <v>1</v>
      </c>
      <c r="AD499" s="7" t="e">
        <f t="shared" si="217"/>
        <v>#N/A</v>
      </c>
      <c r="AE499" s="7" t="e">
        <f t="shared" si="218"/>
        <v>#N/A</v>
      </c>
      <c r="AF499" s="7" t="e">
        <f t="shared" si="219"/>
        <v>#N/A</v>
      </c>
      <c r="AG499" s="472" t="e">
        <f>VLOOKUP(AI499,'排出係数(2017)'!$A$4:$I$1151,9,FALSE)</f>
        <v>#N/A</v>
      </c>
      <c r="AH499" s="12" t="str">
        <f t="shared" si="220"/>
        <v xml:space="preserve"> </v>
      </c>
      <c r="AI499" s="7" t="e">
        <f t="shared" si="235"/>
        <v>#N/A</v>
      </c>
      <c r="AJ499" s="7" t="e">
        <f t="shared" si="221"/>
        <v>#N/A</v>
      </c>
      <c r="AK499" s="472" t="e">
        <f>VLOOKUP(AI499,'排出係数(2017)'!$A$4:$I$1151,6,FALSE)</f>
        <v>#N/A</v>
      </c>
      <c r="AL499" s="7" t="e">
        <f t="shared" si="222"/>
        <v>#N/A</v>
      </c>
      <c r="AM499" s="7" t="e">
        <f t="shared" si="223"/>
        <v>#N/A</v>
      </c>
      <c r="AN499" s="472" t="e">
        <f>VLOOKUP(AI499,'排出係数(2017)'!$A$4:$I$1151,7,FALSE)</f>
        <v>#N/A</v>
      </c>
      <c r="AO499" s="7" t="e">
        <f t="shared" si="224"/>
        <v>#N/A</v>
      </c>
      <c r="AP499" s="7" t="e">
        <f t="shared" si="225"/>
        <v>#N/A</v>
      </c>
      <c r="AQ499" s="7" t="e">
        <f t="shared" si="236"/>
        <v>#N/A</v>
      </c>
      <c r="AR499" s="7">
        <f t="shared" si="226"/>
        <v>0</v>
      </c>
      <c r="AS499" s="7" t="e">
        <f t="shared" si="237"/>
        <v>#N/A</v>
      </c>
      <c r="AT499" s="7" t="str">
        <f t="shared" si="227"/>
        <v/>
      </c>
      <c r="AU499" s="7" t="str">
        <f t="shared" si="228"/>
        <v/>
      </c>
      <c r="AV499" s="7" t="str">
        <f t="shared" si="229"/>
        <v/>
      </c>
      <c r="AW499" s="7" t="str">
        <f t="shared" si="230"/>
        <v/>
      </c>
      <c r="AX499" s="97"/>
      <c r="BD499" s="453" t="s">
        <v>1257</v>
      </c>
      <c r="CG499"/>
      <c r="CH499"/>
      <c r="CK499" s="592" t="str">
        <f t="shared" si="238"/>
        <v/>
      </c>
      <c r="CL499" s="421" t="str">
        <f t="shared" si="239"/>
        <v/>
      </c>
      <c r="CM499" s="594"/>
      <c r="CN499" s="594"/>
      <c r="CO499" s="594"/>
      <c r="CP499" s="594"/>
      <c r="CQ499" s="594"/>
      <c r="CR499" s="594"/>
    </row>
    <row r="500" spans="1:96" s="13" customFormat="1" ht="13.75" customHeight="1">
      <c r="A500" s="137">
        <v>485</v>
      </c>
      <c r="B500" s="138"/>
      <c r="C500" s="139"/>
      <c r="D500" s="140"/>
      <c r="E500" s="139"/>
      <c r="F500" s="139"/>
      <c r="G500" s="191"/>
      <c r="H500" s="139"/>
      <c r="I500" s="141"/>
      <c r="J500" s="142"/>
      <c r="K500" s="139"/>
      <c r="L500" s="147"/>
      <c r="M500" s="148"/>
      <c r="N500" s="139"/>
      <c r="O500" s="589"/>
      <c r="P500" s="229" t="str">
        <f t="shared" si="231"/>
        <v/>
      </c>
      <c r="Q500" s="229" t="str">
        <f t="shared" si="232"/>
        <v/>
      </c>
      <c r="R500" s="230" t="str">
        <f t="shared" si="233"/>
        <v/>
      </c>
      <c r="S500" s="230" t="str">
        <f t="shared" si="234"/>
        <v/>
      </c>
      <c r="T500" s="351"/>
      <c r="U500" s="43"/>
      <c r="V500" s="42" t="str">
        <f t="shared" si="210"/>
        <v/>
      </c>
      <c r="W500" s="42" t="e">
        <f>IF(#REF!="","",#REF!)</f>
        <v>#REF!</v>
      </c>
      <c r="X500" s="31" t="str">
        <f t="shared" si="211"/>
        <v/>
      </c>
      <c r="Y500" s="7" t="e">
        <f t="shared" si="212"/>
        <v>#N/A</v>
      </c>
      <c r="Z500" s="7" t="e">
        <f t="shared" si="213"/>
        <v>#N/A</v>
      </c>
      <c r="AA500" s="7" t="e">
        <f t="shared" si="214"/>
        <v>#N/A</v>
      </c>
      <c r="AB500" s="7" t="str">
        <f t="shared" si="215"/>
        <v/>
      </c>
      <c r="AC500" s="11">
        <f t="shared" si="216"/>
        <v>1</v>
      </c>
      <c r="AD500" s="7" t="e">
        <f t="shared" si="217"/>
        <v>#N/A</v>
      </c>
      <c r="AE500" s="7" t="e">
        <f t="shared" si="218"/>
        <v>#N/A</v>
      </c>
      <c r="AF500" s="7" t="e">
        <f t="shared" si="219"/>
        <v>#N/A</v>
      </c>
      <c r="AG500" s="472" t="e">
        <f>VLOOKUP(AI500,'排出係数(2017)'!$A$4:$I$1151,9,FALSE)</f>
        <v>#N/A</v>
      </c>
      <c r="AH500" s="12" t="str">
        <f t="shared" si="220"/>
        <v xml:space="preserve"> </v>
      </c>
      <c r="AI500" s="7" t="e">
        <f t="shared" si="235"/>
        <v>#N/A</v>
      </c>
      <c r="AJ500" s="7" t="e">
        <f t="shared" si="221"/>
        <v>#N/A</v>
      </c>
      <c r="AK500" s="472" t="e">
        <f>VLOOKUP(AI500,'排出係数(2017)'!$A$4:$I$1151,6,FALSE)</f>
        <v>#N/A</v>
      </c>
      <c r="AL500" s="7" t="e">
        <f t="shared" si="222"/>
        <v>#N/A</v>
      </c>
      <c r="AM500" s="7" t="e">
        <f t="shared" si="223"/>
        <v>#N/A</v>
      </c>
      <c r="AN500" s="472" t="e">
        <f>VLOOKUP(AI500,'排出係数(2017)'!$A$4:$I$1151,7,FALSE)</f>
        <v>#N/A</v>
      </c>
      <c r="AO500" s="7" t="e">
        <f t="shared" si="224"/>
        <v>#N/A</v>
      </c>
      <c r="AP500" s="7" t="e">
        <f t="shared" si="225"/>
        <v>#N/A</v>
      </c>
      <c r="AQ500" s="7" t="e">
        <f t="shared" si="236"/>
        <v>#N/A</v>
      </c>
      <c r="AR500" s="7">
        <f t="shared" si="226"/>
        <v>0</v>
      </c>
      <c r="AS500" s="7" t="e">
        <f t="shared" si="237"/>
        <v>#N/A</v>
      </c>
      <c r="AT500" s="7" t="str">
        <f t="shared" si="227"/>
        <v/>
      </c>
      <c r="AU500" s="7" t="str">
        <f t="shared" si="228"/>
        <v/>
      </c>
      <c r="AV500" s="7" t="str">
        <f t="shared" si="229"/>
        <v/>
      </c>
      <c r="AW500" s="7" t="str">
        <f t="shared" si="230"/>
        <v/>
      </c>
      <c r="AX500" s="97"/>
      <c r="BD500" s="453" t="s">
        <v>1518</v>
      </c>
      <c r="CG500"/>
      <c r="CH500"/>
      <c r="CK500" s="592" t="str">
        <f t="shared" si="238"/>
        <v/>
      </c>
      <c r="CL500" s="421" t="str">
        <f t="shared" si="239"/>
        <v/>
      </c>
      <c r="CM500" s="594"/>
      <c r="CN500" s="594"/>
      <c r="CO500" s="594"/>
      <c r="CP500" s="594"/>
      <c r="CQ500" s="594"/>
      <c r="CR500" s="594"/>
    </row>
    <row r="501" spans="1:96" s="13" customFormat="1" ht="13.75" customHeight="1">
      <c r="A501" s="137">
        <v>486</v>
      </c>
      <c r="B501" s="138"/>
      <c r="C501" s="139"/>
      <c r="D501" s="140"/>
      <c r="E501" s="139"/>
      <c r="F501" s="139"/>
      <c r="G501" s="191"/>
      <c r="H501" s="139"/>
      <c r="I501" s="141"/>
      <c r="J501" s="142"/>
      <c r="K501" s="139"/>
      <c r="L501" s="147"/>
      <c r="M501" s="148"/>
      <c r="N501" s="139"/>
      <c r="O501" s="589"/>
      <c r="P501" s="229" t="str">
        <f t="shared" si="231"/>
        <v/>
      </c>
      <c r="Q501" s="229" t="str">
        <f t="shared" si="232"/>
        <v/>
      </c>
      <c r="R501" s="230" t="str">
        <f t="shared" si="233"/>
        <v/>
      </c>
      <c r="S501" s="230" t="str">
        <f t="shared" si="234"/>
        <v/>
      </c>
      <c r="T501" s="351"/>
      <c r="U501" s="43"/>
      <c r="V501" s="42" t="str">
        <f t="shared" si="210"/>
        <v/>
      </c>
      <c r="W501" s="42" t="e">
        <f>IF(#REF!="","",#REF!)</f>
        <v>#REF!</v>
      </c>
      <c r="X501" s="31" t="str">
        <f t="shared" si="211"/>
        <v/>
      </c>
      <c r="Y501" s="7" t="e">
        <f t="shared" si="212"/>
        <v>#N/A</v>
      </c>
      <c r="Z501" s="7" t="e">
        <f t="shared" si="213"/>
        <v>#N/A</v>
      </c>
      <c r="AA501" s="7" t="e">
        <f t="shared" si="214"/>
        <v>#N/A</v>
      </c>
      <c r="AB501" s="7" t="str">
        <f t="shared" si="215"/>
        <v/>
      </c>
      <c r="AC501" s="11">
        <f t="shared" si="216"/>
        <v>1</v>
      </c>
      <c r="AD501" s="7" t="e">
        <f t="shared" si="217"/>
        <v>#N/A</v>
      </c>
      <c r="AE501" s="7" t="e">
        <f t="shared" si="218"/>
        <v>#N/A</v>
      </c>
      <c r="AF501" s="7" t="e">
        <f t="shared" si="219"/>
        <v>#N/A</v>
      </c>
      <c r="AG501" s="472" t="e">
        <f>VLOOKUP(AI501,'排出係数(2017)'!$A$4:$I$1151,9,FALSE)</f>
        <v>#N/A</v>
      </c>
      <c r="AH501" s="12" t="str">
        <f t="shared" si="220"/>
        <v xml:space="preserve"> </v>
      </c>
      <c r="AI501" s="7" t="e">
        <f t="shared" si="235"/>
        <v>#N/A</v>
      </c>
      <c r="AJ501" s="7" t="e">
        <f t="shared" si="221"/>
        <v>#N/A</v>
      </c>
      <c r="AK501" s="472" t="e">
        <f>VLOOKUP(AI501,'排出係数(2017)'!$A$4:$I$1151,6,FALSE)</f>
        <v>#N/A</v>
      </c>
      <c r="AL501" s="7" t="e">
        <f t="shared" si="222"/>
        <v>#N/A</v>
      </c>
      <c r="AM501" s="7" t="e">
        <f t="shared" si="223"/>
        <v>#N/A</v>
      </c>
      <c r="AN501" s="472" t="e">
        <f>VLOOKUP(AI501,'排出係数(2017)'!$A$4:$I$1151,7,FALSE)</f>
        <v>#N/A</v>
      </c>
      <c r="AO501" s="7" t="e">
        <f t="shared" si="224"/>
        <v>#N/A</v>
      </c>
      <c r="AP501" s="7" t="e">
        <f t="shared" si="225"/>
        <v>#N/A</v>
      </c>
      <c r="AQ501" s="7" t="e">
        <f t="shared" si="236"/>
        <v>#N/A</v>
      </c>
      <c r="AR501" s="7">
        <f t="shared" si="226"/>
        <v>0</v>
      </c>
      <c r="AS501" s="7" t="e">
        <f t="shared" si="237"/>
        <v>#N/A</v>
      </c>
      <c r="AT501" s="7" t="str">
        <f t="shared" si="227"/>
        <v/>
      </c>
      <c r="AU501" s="7" t="str">
        <f t="shared" si="228"/>
        <v/>
      </c>
      <c r="AV501" s="7" t="str">
        <f t="shared" si="229"/>
        <v/>
      </c>
      <c r="AW501" s="7" t="str">
        <f t="shared" si="230"/>
        <v/>
      </c>
      <c r="AX501" s="97"/>
      <c r="BD501" s="453" t="s">
        <v>1255</v>
      </c>
      <c r="CG501"/>
      <c r="CH501"/>
      <c r="CK501" s="592" t="str">
        <f t="shared" si="238"/>
        <v/>
      </c>
      <c r="CL501" s="421" t="str">
        <f t="shared" si="239"/>
        <v/>
      </c>
      <c r="CM501" s="594"/>
      <c r="CN501" s="594"/>
      <c r="CO501" s="594"/>
      <c r="CP501" s="594"/>
      <c r="CQ501" s="594"/>
      <c r="CR501" s="594"/>
    </row>
    <row r="502" spans="1:96" s="13" customFormat="1" ht="13.75" customHeight="1">
      <c r="A502" s="137">
        <v>487</v>
      </c>
      <c r="B502" s="138"/>
      <c r="C502" s="139"/>
      <c r="D502" s="140"/>
      <c r="E502" s="139"/>
      <c r="F502" s="139"/>
      <c r="G502" s="191"/>
      <c r="H502" s="139"/>
      <c r="I502" s="141"/>
      <c r="J502" s="142"/>
      <c r="K502" s="139"/>
      <c r="L502" s="147"/>
      <c r="M502" s="148"/>
      <c r="N502" s="139"/>
      <c r="O502" s="589"/>
      <c r="P502" s="229" t="str">
        <f t="shared" si="231"/>
        <v/>
      </c>
      <c r="Q502" s="229" t="str">
        <f t="shared" si="232"/>
        <v/>
      </c>
      <c r="R502" s="230" t="str">
        <f t="shared" si="233"/>
        <v/>
      </c>
      <c r="S502" s="230" t="str">
        <f t="shared" si="234"/>
        <v/>
      </c>
      <c r="T502" s="351"/>
      <c r="U502" s="43"/>
      <c r="V502" s="42" t="str">
        <f t="shared" si="210"/>
        <v/>
      </c>
      <c r="W502" s="42" t="e">
        <f>IF(#REF!="","",#REF!)</f>
        <v>#REF!</v>
      </c>
      <c r="X502" s="31" t="str">
        <f t="shared" si="211"/>
        <v/>
      </c>
      <c r="Y502" s="7" t="e">
        <f t="shared" si="212"/>
        <v>#N/A</v>
      </c>
      <c r="Z502" s="7" t="e">
        <f t="shared" si="213"/>
        <v>#N/A</v>
      </c>
      <c r="AA502" s="7" t="e">
        <f t="shared" si="214"/>
        <v>#N/A</v>
      </c>
      <c r="AB502" s="7" t="str">
        <f t="shared" si="215"/>
        <v/>
      </c>
      <c r="AC502" s="11">
        <f t="shared" si="216"/>
        <v>1</v>
      </c>
      <c r="AD502" s="7" t="e">
        <f t="shared" si="217"/>
        <v>#N/A</v>
      </c>
      <c r="AE502" s="7" t="e">
        <f t="shared" si="218"/>
        <v>#N/A</v>
      </c>
      <c r="AF502" s="7" t="e">
        <f t="shared" si="219"/>
        <v>#N/A</v>
      </c>
      <c r="AG502" s="472" t="e">
        <f>VLOOKUP(AI502,'排出係数(2017)'!$A$4:$I$1151,9,FALSE)</f>
        <v>#N/A</v>
      </c>
      <c r="AH502" s="12" t="str">
        <f t="shared" si="220"/>
        <v xml:space="preserve"> </v>
      </c>
      <c r="AI502" s="7" t="e">
        <f t="shared" si="235"/>
        <v>#N/A</v>
      </c>
      <c r="AJ502" s="7" t="e">
        <f t="shared" si="221"/>
        <v>#N/A</v>
      </c>
      <c r="AK502" s="472" t="e">
        <f>VLOOKUP(AI502,'排出係数(2017)'!$A$4:$I$1151,6,FALSE)</f>
        <v>#N/A</v>
      </c>
      <c r="AL502" s="7" t="e">
        <f t="shared" si="222"/>
        <v>#N/A</v>
      </c>
      <c r="AM502" s="7" t="e">
        <f t="shared" si="223"/>
        <v>#N/A</v>
      </c>
      <c r="AN502" s="472" t="e">
        <f>VLOOKUP(AI502,'排出係数(2017)'!$A$4:$I$1151,7,FALSE)</f>
        <v>#N/A</v>
      </c>
      <c r="AO502" s="7" t="e">
        <f t="shared" si="224"/>
        <v>#N/A</v>
      </c>
      <c r="AP502" s="7" t="e">
        <f t="shared" si="225"/>
        <v>#N/A</v>
      </c>
      <c r="AQ502" s="7" t="e">
        <f t="shared" si="236"/>
        <v>#N/A</v>
      </c>
      <c r="AR502" s="7">
        <f t="shared" si="226"/>
        <v>0</v>
      </c>
      <c r="AS502" s="7" t="e">
        <f t="shared" si="237"/>
        <v>#N/A</v>
      </c>
      <c r="AT502" s="7" t="str">
        <f t="shared" si="227"/>
        <v/>
      </c>
      <c r="AU502" s="7" t="str">
        <f t="shared" si="228"/>
        <v/>
      </c>
      <c r="AV502" s="7" t="str">
        <f t="shared" si="229"/>
        <v/>
      </c>
      <c r="AW502" s="7" t="str">
        <f t="shared" si="230"/>
        <v/>
      </c>
      <c r="AX502" s="97"/>
      <c r="BD502" s="453" t="s">
        <v>1522</v>
      </c>
      <c r="CG502"/>
      <c r="CH502"/>
      <c r="CK502" s="592" t="str">
        <f t="shared" si="238"/>
        <v/>
      </c>
      <c r="CL502" s="421" t="str">
        <f t="shared" si="239"/>
        <v/>
      </c>
      <c r="CM502" s="594"/>
      <c r="CN502" s="594"/>
      <c r="CO502" s="594"/>
      <c r="CP502" s="594"/>
      <c r="CQ502" s="594"/>
      <c r="CR502" s="594"/>
    </row>
    <row r="503" spans="1:96" s="13" customFormat="1" ht="13.75" customHeight="1">
      <c r="A503" s="137">
        <v>488</v>
      </c>
      <c r="B503" s="138"/>
      <c r="C503" s="139"/>
      <c r="D503" s="140"/>
      <c r="E503" s="139"/>
      <c r="F503" s="139"/>
      <c r="G503" s="191"/>
      <c r="H503" s="139"/>
      <c r="I503" s="141"/>
      <c r="J503" s="142"/>
      <c r="K503" s="139"/>
      <c r="L503" s="147"/>
      <c r="M503" s="148"/>
      <c r="N503" s="139"/>
      <c r="O503" s="589"/>
      <c r="P503" s="229" t="str">
        <f t="shared" si="231"/>
        <v/>
      </c>
      <c r="Q503" s="229" t="str">
        <f t="shared" si="232"/>
        <v/>
      </c>
      <c r="R503" s="230" t="str">
        <f t="shared" si="233"/>
        <v/>
      </c>
      <c r="S503" s="230" t="str">
        <f t="shared" si="234"/>
        <v/>
      </c>
      <c r="T503" s="351"/>
      <c r="U503" s="43"/>
      <c r="V503" s="42" t="str">
        <f t="shared" si="210"/>
        <v/>
      </c>
      <c r="W503" s="42" t="e">
        <f>IF(#REF!="","",#REF!)</f>
        <v>#REF!</v>
      </c>
      <c r="X503" s="31" t="str">
        <f t="shared" si="211"/>
        <v/>
      </c>
      <c r="Y503" s="7" t="e">
        <f t="shared" si="212"/>
        <v>#N/A</v>
      </c>
      <c r="Z503" s="7" t="e">
        <f t="shared" si="213"/>
        <v>#N/A</v>
      </c>
      <c r="AA503" s="7" t="e">
        <f t="shared" si="214"/>
        <v>#N/A</v>
      </c>
      <c r="AB503" s="7" t="str">
        <f t="shared" si="215"/>
        <v/>
      </c>
      <c r="AC503" s="11">
        <f t="shared" si="216"/>
        <v>1</v>
      </c>
      <c r="AD503" s="7" t="e">
        <f t="shared" si="217"/>
        <v>#N/A</v>
      </c>
      <c r="AE503" s="7" t="e">
        <f t="shared" si="218"/>
        <v>#N/A</v>
      </c>
      <c r="AF503" s="7" t="e">
        <f t="shared" si="219"/>
        <v>#N/A</v>
      </c>
      <c r="AG503" s="472" t="e">
        <f>VLOOKUP(AI503,'排出係数(2017)'!$A$4:$I$1151,9,FALSE)</f>
        <v>#N/A</v>
      </c>
      <c r="AH503" s="12" t="str">
        <f t="shared" si="220"/>
        <v xml:space="preserve"> </v>
      </c>
      <c r="AI503" s="7" t="e">
        <f t="shared" si="235"/>
        <v>#N/A</v>
      </c>
      <c r="AJ503" s="7" t="e">
        <f t="shared" si="221"/>
        <v>#N/A</v>
      </c>
      <c r="AK503" s="472" t="e">
        <f>VLOOKUP(AI503,'排出係数(2017)'!$A$4:$I$1151,6,FALSE)</f>
        <v>#N/A</v>
      </c>
      <c r="AL503" s="7" t="e">
        <f t="shared" si="222"/>
        <v>#N/A</v>
      </c>
      <c r="AM503" s="7" t="e">
        <f t="shared" si="223"/>
        <v>#N/A</v>
      </c>
      <c r="AN503" s="472" t="e">
        <f>VLOOKUP(AI503,'排出係数(2017)'!$A$4:$I$1151,7,FALSE)</f>
        <v>#N/A</v>
      </c>
      <c r="AO503" s="7" t="e">
        <f t="shared" si="224"/>
        <v>#N/A</v>
      </c>
      <c r="AP503" s="7" t="e">
        <f t="shared" si="225"/>
        <v>#N/A</v>
      </c>
      <c r="AQ503" s="7" t="e">
        <f t="shared" si="236"/>
        <v>#N/A</v>
      </c>
      <c r="AR503" s="7">
        <f t="shared" si="226"/>
        <v>0</v>
      </c>
      <c r="AS503" s="7" t="e">
        <f t="shared" si="237"/>
        <v>#N/A</v>
      </c>
      <c r="AT503" s="7" t="str">
        <f t="shared" si="227"/>
        <v/>
      </c>
      <c r="AU503" s="7" t="str">
        <f t="shared" si="228"/>
        <v/>
      </c>
      <c r="AV503" s="7" t="str">
        <f t="shared" si="229"/>
        <v/>
      </c>
      <c r="AW503" s="7" t="str">
        <f t="shared" si="230"/>
        <v/>
      </c>
      <c r="AX503" s="97"/>
      <c r="BD503" s="453" t="s">
        <v>1383</v>
      </c>
      <c r="CG503"/>
      <c r="CH503"/>
      <c r="CK503" s="592" t="str">
        <f t="shared" si="238"/>
        <v/>
      </c>
      <c r="CL503" s="421" t="str">
        <f t="shared" si="239"/>
        <v/>
      </c>
      <c r="CM503" s="594"/>
      <c r="CN503" s="594"/>
      <c r="CO503" s="594"/>
      <c r="CP503" s="594"/>
      <c r="CQ503" s="594"/>
      <c r="CR503" s="594"/>
    </row>
    <row r="504" spans="1:96" s="13" customFormat="1" ht="13.75" customHeight="1">
      <c r="A504" s="137">
        <v>489</v>
      </c>
      <c r="B504" s="138"/>
      <c r="C504" s="139"/>
      <c r="D504" s="140"/>
      <c r="E504" s="139"/>
      <c r="F504" s="139"/>
      <c r="G504" s="191"/>
      <c r="H504" s="139"/>
      <c r="I504" s="141"/>
      <c r="J504" s="142"/>
      <c r="K504" s="139"/>
      <c r="L504" s="147"/>
      <c r="M504" s="148"/>
      <c r="N504" s="139"/>
      <c r="O504" s="589"/>
      <c r="P504" s="229" t="str">
        <f t="shared" si="231"/>
        <v/>
      </c>
      <c r="Q504" s="229" t="str">
        <f t="shared" si="232"/>
        <v/>
      </c>
      <c r="R504" s="230" t="str">
        <f t="shared" si="233"/>
        <v/>
      </c>
      <c r="S504" s="230" t="str">
        <f t="shared" si="234"/>
        <v/>
      </c>
      <c r="T504" s="351"/>
      <c r="U504" s="43"/>
      <c r="V504" s="42" t="str">
        <f t="shared" si="210"/>
        <v/>
      </c>
      <c r="W504" s="42" t="e">
        <f>IF(#REF!="","",#REF!)</f>
        <v>#REF!</v>
      </c>
      <c r="X504" s="31" t="str">
        <f t="shared" si="211"/>
        <v/>
      </c>
      <c r="Y504" s="7" t="e">
        <f t="shared" si="212"/>
        <v>#N/A</v>
      </c>
      <c r="Z504" s="7" t="e">
        <f t="shared" si="213"/>
        <v>#N/A</v>
      </c>
      <c r="AA504" s="7" t="e">
        <f t="shared" si="214"/>
        <v>#N/A</v>
      </c>
      <c r="AB504" s="7" t="str">
        <f t="shared" si="215"/>
        <v/>
      </c>
      <c r="AC504" s="11">
        <f t="shared" si="216"/>
        <v>1</v>
      </c>
      <c r="AD504" s="7" t="e">
        <f t="shared" si="217"/>
        <v>#N/A</v>
      </c>
      <c r="AE504" s="7" t="e">
        <f t="shared" si="218"/>
        <v>#N/A</v>
      </c>
      <c r="AF504" s="7" t="e">
        <f t="shared" si="219"/>
        <v>#N/A</v>
      </c>
      <c r="AG504" s="472" t="e">
        <f>VLOOKUP(AI504,'排出係数(2017)'!$A$4:$I$1151,9,FALSE)</f>
        <v>#N/A</v>
      </c>
      <c r="AH504" s="12" t="str">
        <f t="shared" si="220"/>
        <v xml:space="preserve"> </v>
      </c>
      <c r="AI504" s="7" t="e">
        <f t="shared" si="235"/>
        <v>#N/A</v>
      </c>
      <c r="AJ504" s="7" t="e">
        <f t="shared" si="221"/>
        <v>#N/A</v>
      </c>
      <c r="AK504" s="472" t="e">
        <f>VLOOKUP(AI504,'排出係数(2017)'!$A$4:$I$1151,6,FALSE)</f>
        <v>#N/A</v>
      </c>
      <c r="AL504" s="7" t="e">
        <f t="shared" si="222"/>
        <v>#N/A</v>
      </c>
      <c r="AM504" s="7" t="e">
        <f t="shared" si="223"/>
        <v>#N/A</v>
      </c>
      <c r="AN504" s="472" t="e">
        <f>VLOOKUP(AI504,'排出係数(2017)'!$A$4:$I$1151,7,FALSE)</f>
        <v>#N/A</v>
      </c>
      <c r="AO504" s="7" t="e">
        <f t="shared" si="224"/>
        <v>#N/A</v>
      </c>
      <c r="AP504" s="7" t="e">
        <f t="shared" si="225"/>
        <v>#N/A</v>
      </c>
      <c r="AQ504" s="7" t="e">
        <f t="shared" si="236"/>
        <v>#N/A</v>
      </c>
      <c r="AR504" s="7">
        <f t="shared" si="226"/>
        <v>0</v>
      </c>
      <c r="AS504" s="7" t="e">
        <f t="shared" si="237"/>
        <v>#N/A</v>
      </c>
      <c r="AT504" s="7" t="str">
        <f t="shared" si="227"/>
        <v/>
      </c>
      <c r="AU504" s="7" t="str">
        <f t="shared" si="228"/>
        <v/>
      </c>
      <c r="AV504" s="7" t="str">
        <f t="shared" si="229"/>
        <v/>
      </c>
      <c r="AW504" s="7" t="str">
        <f t="shared" si="230"/>
        <v/>
      </c>
      <c r="AX504" s="97"/>
      <c r="BD504" s="453" t="s">
        <v>154</v>
      </c>
      <c r="CG504"/>
      <c r="CH504"/>
      <c r="CK504" s="592" t="str">
        <f t="shared" si="238"/>
        <v/>
      </c>
      <c r="CL504" s="421" t="str">
        <f t="shared" si="239"/>
        <v/>
      </c>
      <c r="CM504" s="594"/>
      <c r="CN504" s="594"/>
      <c r="CO504" s="594"/>
      <c r="CP504" s="594"/>
      <c r="CQ504" s="594"/>
      <c r="CR504" s="594"/>
    </row>
    <row r="505" spans="1:96" s="13" customFormat="1" ht="13.75" customHeight="1">
      <c r="A505" s="137">
        <v>490</v>
      </c>
      <c r="B505" s="138"/>
      <c r="C505" s="139"/>
      <c r="D505" s="140"/>
      <c r="E505" s="139"/>
      <c r="F505" s="139"/>
      <c r="G505" s="191"/>
      <c r="H505" s="139"/>
      <c r="I505" s="141"/>
      <c r="J505" s="142"/>
      <c r="K505" s="139"/>
      <c r="L505" s="147"/>
      <c r="M505" s="148"/>
      <c r="N505" s="139"/>
      <c r="O505" s="589"/>
      <c r="P505" s="229" t="str">
        <f t="shared" si="231"/>
        <v/>
      </c>
      <c r="Q505" s="229" t="str">
        <f t="shared" si="232"/>
        <v/>
      </c>
      <c r="R505" s="230" t="str">
        <f t="shared" si="233"/>
        <v/>
      </c>
      <c r="S505" s="230" t="str">
        <f t="shared" si="234"/>
        <v/>
      </c>
      <c r="T505" s="351"/>
      <c r="U505" s="43"/>
      <c r="V505" s="42" t="str">
        <f t="shared" si="210"/>
        <v/>
      </c>
      <c r="W505" s="42" t="e">
        <f>IF(#REF!="","",#REF!)</f>
        <v>#REF!</v>
      </c>
      <c r="X505" s="31" t="str">
        <f t="shared" si="211"/>
        <v/>
      </c>
      <c r="Y505" s="7" t="e">
        <f t="shared" si="212"/>
        <v>#N/A</v>
      </c>
      <c r="Z505" s="7" t="e">
        <f t="shared" si="213"/>
        <v>#N/A</v>
      </c>
      <c r="AA505" s="7" t="e">
        <f t="shared" si="214"/>
        <v>#N/A</v>
      </c>
      <c r="AB505" s="7" t="str">
        <f t="shared" si="215"/>
        <v/>
      </c>
      <c r="AC505" s="11">
        <f t="shared" si="216"/>
        <v>1</v>
      </c>
      <c r="AD505" s="7" t="e">
        <f t="shared" si="217"/>
        <v>#N/A</v>
      </c>
      <c r="AE505" s="7" t="e">
        <f t="shared" si="218"/>
        <v>#N/A</v>
      </c>
      <c r="AF505" s="7" t="e">
        <f t="shared" si="219"/>
        <v>#N/A</v>
      </c>
      <c r="AG505" s="472" t="e">
        <f>VLOOKUP(AI505,'排出係数(2017)'!$A$4:$I$1151,9,FALSE)</f>
        <v>#N/A</v>
      </c>
      <c r="AH505" s="12" t="str">
        <f t="shared" si="220"/>
        <v xml:space="preserve"> </v>
      </c>
      <c r="AI505" s="7" t="e">
        <f t="shared" si="235"/>
        <v>#N/A</v>
      </c>
      <c r="AJ505" s="7" t="e">
        <f t="shared" si="221"/>
        <v>#N/A</v>
      </c>
      <c r="AK505" s="472" t="e">
        <f>VLOOKUP(AI505,'排出係数(2017)'!$A$4:$I$1151,6,FALSE)</f>
        <v>#N/A</v>
      </c>
      <c r="AL505" s="7" t="e">
        <f t="shared" si="222"/>
        <v>#N/A</v>
      </c>
      <c r="AM505" s="7" t="e">
        <f t="shared" si="223"/>
        <v>#N/A</v>
      </c>
      <c r="AN505" s="472" t="e">
        <f>VLOOKUP(AI505,'排出係数(2017)'!$A$4:$I$1151,7,FALSE)</f>
        <v>#N/A</v>
      </c>
      <c r="AO505" s="7" t="e">
        <f t="shared" si="224"/>
        <v>#N/A</v>
      </c>
      <c r="AP505" s="7" t="e">
        <f t="shared" si="225"/>
        <v>#N/A</v>
      </c>
      <c r="AQ505" s="7" t="e">
        <f t="shared" si="236"/>
        <v>#N/A</v>
      </c>
      <c r="AR505" s="7">
        <f t="shared" si="226"/>
        <v>0</v>
      </c>
      <c r="AS505" s="7" t="e">
        <f t="shared" si="237"/>
        <v>#N/A</v>
      </c>
      <c r="AT505" s="7" t="str">
        <f t="shared" si="227"/>
        <v/>
      </c>
      <c r="AU505" s="7" t="str">
        <f t="shared" si="228"/>
        <v/>
      </c>
      <c r="AV505" s="7" t="str">
        <f t="shared" si="229"/>
        <v/>
      </c>
      <c r="AW505" s="7" t="str">
        <f t="shared" si="230"/>
        <v/>
      </c>
      <c r="AX505" s="97"/>
      <c r="BD505" s="453" t="s">
        <v>1381</v>
      </c>
      <c r="CG505"/>
      <c r="CH505"/>
      <c r="CK505" s="592" t="str">
        <f t="shared" si="238"/>
        <v/>
      </c>
      <c r="CL505" s="421" t="str">
        <f t="shared" si="239"/>
        <v/>
      </c>
      <c r="CM505" s="594"/>
      <c r="CN505" s="594"/>
      <c r="CO505" s="594"/>
      <c r="CP505" s="594"/>
      <c r="CQ505" s="594"/>
      <c r="CR505" s="594"/>
    </row>
    <row r="506" spans="1:96" s="13" customFormat="1" ht="13.75" customHeight="1">
      <c r="A506" s="137">
        <v>491</v>
      </c>
      <c r="B506" s="138"/>
      <c r="C506" s="139"/>
      <c r="D506" s="140"/>
      <c r="E506" s="139"/>
      <c r="F506" s="139"/>
      <c r="G506" s="191"/>
      <c r="H506" s="139"/>
      <c r="I506" s="141"/>
      <c r="J506" s="142"/>
      <c r="K506" s="139"/>
      <c r="L506" s="147"/>
      <c r="M506" s="148"/>
      <c r="N506" s="139"/>
      <c r="O506" s="589"/>
      <c r="P506" s="229" t="str">
        <f t="shared" si="231"/>
        <v/>
      </c>
      <c r="Q506" s="229" t="str">
        <f t="shared" si="232"/>
        <v/>
      </c>
      <c r="R506" s="230" t="str">
        <f t="shared" si="233"/>
        <v/>
      </c>
      <c r="S506" s="230" t="str">
        <f t="shared" si="234"/>
        <v/>
      </c>
      <c r="T506" s="351"/>
      <c r="U506" s="43"/>
      <c r="V506" s="42" t="str">
        <f t="shared" si="210"/>
        <v/>
      </c>
      <c r="W506" s="42" t="e">
        <f>IF(#REF!="","",#REF!)</f>
        <v>#REF!</v>
      </c>
      <c r="X506" s="31" t="str">
        <f t="shared" si="211"/>
        <v/>
      </c>
      <c r="Y506" s="7" t="e">
        <f t="shared" si="212"/>
        <v>#N/A</v>
      </c>
      <c r="Z506" s="7" t="e">
        <f t="shared" si="213"/>
        <v>#N/A</v>
      </c>
      <c r="AA506" s="7" t="e">
        <f t="shared" si="214"/>
        <v>#N/A</v>
      </c>
      <c r="AB506" s="7" t="str">
        <f t="shared" si="215"/>
        <v/>
      </c>
      <c r="AC506" s="11">
        <f t="shared" si="216"/>
        <v>1</v>
      </c>
      <c r="AD506" s="7" t="e">
        <f t="shared" si="217"/>
        <v>#N/A</v>
      </c>
      <c r="AE506" s="7" t="e">
        <f t="shared" si="218"/>
        <v>#N/A</v>
      </c>
      <c r="AF506" s="7" t="e">
        <f t="shared" si="219"/>
        <v>#N/A</v>
      </c>
      <c r="AG506" s="472" t="e">
        <f>VLOOKUP(AI506,'排出係数(2017)'!$A$4:$I$1151,9,FALSE)</f>
        <v>#N/A</v>
      </c>
      <c r="AH506" s="12" t="str">
        <f t="shared" si="220"/>
        <v xml:space="preserve"> </v>
      </c>
      <c r="AI506" s="7" t="e">
        <f t="shared" si="235"/>
        <v>#N/A</v>
      </c>
      <c r="AJ506" s="7" t="e">
        <f t="shared" si="221"/>
        <v>#N/A</v>
      </c>
      <c r="AK506" s="472" t="e">
        <f>VLOOKUP(AI506,'排出係数(2017)'!$A$4:$I$1151,6,FALSE)</f>
        <v>#N/A</v>
      </c>
      <c r="AL506" s="7" t="e">
        <f t="shared" si="222"/>
        <v>#N/A</v>
      </c>
      <c r="AM506" s="7" t="e">
        <f t="shared" si="223"/>
        <v>#N/A</v>
      </c>
      <c r="AN506" s="472" t="e">
        <f>VLOOKUP(AI506,'排出係数(2017)'!$A$4:$I$1151,7,FALSE)</f>
        <v>#N/A</v>
      </c>
      <c r="AO506" s="7" t="e">
        <f t="shared" si="224"/>
        <v>#N/A</v>
      </c>
      <c r="AP506" s="7" t="e">
        <f t="shared" si="225"/>
        <v>#N/A</v>
      </c>
      <c r="AQ506" s="7" t="e">
        <f t="shared" si="236"/>
        <v>#N/A</v>
      </c>
      <c r="AR506" s="7">
        <f t="shared" si="226"/>
        <v>0</v>
      </c>
      <c r="AS506" s="7" t="e">
        <f t="shared" si="237"/>
        <v>#N/A</v>
      </c>
      <c r="AT506" s="7" t="str">
        <f t="shared" si="227"/>
        <v/>
      </c>
      <c r="AU506" s="7" t="str">
        <f t="shared" si="228"/>
        <v/>
      </c>
      <c r="AV506" s="7" t="str">
        <f t="shared" si="229"/>
        <v/>
      </c>
      <c r="AW506" s="7" t="str">
        <f t="shared" si="230"/>
        <v/>
      </c>
      <c r="AX506" s="97"/>
      <c r="BD506" s="453" t="s">
        <v>155</v>
      </c>
      <c r="CG506"/>
      <c r="CH506"/>
      <c r="CK506" s="592" t="str">
        <f t="shared" si="238"/>
        <v/>
      </c>
      <c r="CL506" s="421" t="str">
        <f t="shared" si="239"/>
        <v/>
      </c>
      <c r="CM506" s="594"/>
      <c r="CN506" s="594"/>
      <c r="CO506" s="594"/>
      <c r="CP506" s="594"/>
      <c r="CQ506" s="594"/>
      <c r="CR506" s="594"/>
    </row>
    <row r="507" spans="1:96" s="13" customFormat="1" ht="13.75" customHeight="1">
      <c r="A507" s="137">
        <v>492</v>
      </c>
      <c r="B507" s="138"/>
      <c r="C507" s="139"/>
      <c r="D507" s="140"/>
      <c r="E507" s="139"/>
      <c r="F507" s="139"/>
      <c r="G507" s="191"/>
      <c r="H507" s="139"/>
      <c r="I507" s="141"/>
      <c r="J507" s="142"/>
      <c r="K507" s="139"/>
      <c r="L507" s="147"/>
      <c r="M507" s="148"/>
      <c r="N507" s="139"/>
      <c r="O507" s="589"/>
      <c r="P507" s="229" t="str">
        <f t="shared" si="231"/>
        <v/>
      </c>
      <c r="Q507" s="229" t="str">
        <f t="shared" si="232"/>
        <v/>
      </c>
      <c r="R507" s="230" t="str">
        <f t="shared" si="233"/>
        <v/>
      </c>
      <c r="S507" s="230" t="str">
        <f t="shared" si="234"/>
        <v/>
      </c>
      <c r="T507" s="351"/>
      <c r="U507" s="43"/>
      <c r="V507" s="42" t="str">
        <f t="shared" si="210"/>
        <v/>
      </c>
      <c r="W507" s="42" t="e">
        <f>IF(#REF!="","",#REF!)</f>
        <v>#REF!</v>
      </c>
      <c r="X507" s="31" t="str">
        <f t="shared" si="211"/>
        <v/>
      </c>
      <c r="Y507" s="7" t="e">
        <f t="shared" si="212"/>
        <v>#N/A</v>
      </c>
      <c r="Z507" s="7" t="e">
        <f t="shared" si="213"/>
        <v>#N/A</v>
      </c>
      <c r="AA507" s="7" t="e">
        <f t="shared" si="214"/>
        <v>#N/A</v>
      </c>
      <c r="AB507" s="7" t="str">
        <f t="shared" si="215"/>
        <v/>
      </c>
      <c r="AC507" s="11">
        <f t="shared" si="216"/>
        <v>1</v>
      </c>
      <c r="AD507" s="7" t="e">
        <f t="shared" si="217"/>
        <v>#N/A</v>
      </c>
      <c r="AE507" s="7" t="e">
        <f t="shared" si="218"/>
        <v>#N/A</v>
      </c>
      <c r="AF507" s="7" t="e">
        <f t="shared" si="219"/>
        <v>#N/A</v>
      </c>
      <c r="AG507" s="472" t="e">
        <f>VLOOKUP(AI507,'排出係数(2017)'!$A$4:$I$1151,9,FALSE)</f>
        <v>#N/A</v>
      </c>
      <c r="AH507" s="12" t="str">
        <f t="shared" si="220"/>
        <v xml:space="preserve"> </v>
      </c>
      <c r="AI507" s="7" t="e">
        <f t="shared" si="235"/>
        <v>#N/A</v>
      </c>
      <c r="AJ507" s="7" t="e">
        <f t="shared" si="221"/>
        <v>#N/A</v>
      </c>
      <c r="AK507" s="472" t="e">
        <f>VLOOKUP(AI507,'排出係数(2017)'!$A$4:$I$1151,6,FALSE)</f>
        <v>#N/A</v>
      </c>
      <c r="AL507" s="7" t="e">
        <f t="shared" si="222"/>
        <v>#N/A</v>
      </c>
      <c r="AM507" s="7" t="e">
        <f t="shared" si="223"/>
        <v>#N/A</v>
      </c>
      <c r="AN507" s="472" t="e">
        <f>VLOOKUP(AI507,'排出係数(2017)'!$A$4:$I$1151,7,FALSE)</f>
        <v>#N/A</v>
      </c>
      <c r="AO507" s="7" t="e">
        <f t="shared" si="224"/>
        <v>#N/A</v>
      </c>
      <c r="AP507" s="7" t="e">
        <f t="shared" si="225"/>
        <v>#N/A</v>
      </c>
      <c r="AQ507" s="7" t="e">
        <f t="shared" si="236"/>
        <v>#N/A</v>
      </c>
      <c r="AR507" s="7">
        <f t="shared" si="226"/>
        <v>0</v>
      </c>
      <c r="AS507" s="7" t="e">
        <f t="shared" si="237"/>
        <v>#N/A</v>
      </c>
      <c r="AT507" s="7" t="str">
        <f t="shared" si="227"/>
        <v/>
      </c>
      <c r="AU507" s="7" t="str">
        <f t="shared" si="228"/>
        <v/>
      </c>
      <c r="AV507" s="7" t="str">
        <f t="shared" si="229"/>
        <v/>
      </c>
      <c r="AW507" s="7" t="str">
        <f t="shared" si="230"/>
        <v/>
      </c>
      <c r="AX507" s="97"/>
      <c r="BD507" s="473" t="s">
        <v>1121</v>
      </c>
      <c r="CG507"/>
      <c r="CH507"/>
      <c r="CK507" s="592" t="str">
        <f t="shared" si="238"/>
        <v/>
      </c>
      <c r="CL507" s="421" t="str">
        <f t="shared" si="239"/>
        <v/>
      </c>
      <c r="CM507" s="594"/>
      <c r="CN507" s="594"/>
      <c r="CO507" s="594"/>
      <c r="CP507" s="594"/>
      <c r="CQ507" s="594"/>
      <c r="CR507" s="594"/>
    </row>
    <row r="508" spans="1:96" s="13" customFormat="1" ht="13.75" customHeight="1">
      <c r="A508" s="137">
        <v>493</v>
      </c>
      <c r="B508" s="138"/>
      <c r="C508" s="139"/>
      <c r="D508" s="140"/>
      <c r="E508" s="139"/>
      <c r="F508" s="139"/>
      <c r="G508" s="191"/>
      <c r="H508" s="139"/>
      <c r="I508" s="141"/>
      <c r="J508" s="142"/>
      <c r="K508" s="139"/>
      <c r="L508" s="147"/>
      <c r="M508" s="148"/>
      <c r="N508" s="139"/>
      <c r="O508" s="589"/>
      <c r="P508" s="229" t="str">
        <f t="shared" si="231"/>
        <v/>
      </c>
      <c r="Q508" s="229" t="str">
        <f t="shared" si="232"/>
        <v/>
      </c>
      <c r="R508" s="230" t="str">
        <f t="shared" si="233"/>
        <v/>
      </c>
      <c r="S508" s="230" t="str">
        <f t="shared" si="234"/>
        <v/>
      </c>
      <c r="T508" s="351"/>
      <c r="U508" s="43"/>
      <c r="V508" s="42" t="str">
        <f t="shared" si="210"/>
        <v/>
      </c>
      <c r="W508" s="42" t="e">
        <f>IF(#REF!="","",#REF!)</f>
        <v>#REF!</v>
      </c>
      <c r="X508" s="31" t="str">
        <f t="shared" si="211"/>
        <v/>
      </c>
      <c r="Y508" s="7" t="e">
        <f t="shared" si="212"/>
        <v>#N/A</v>
      </c>
      <c r="Z508" s="7" t="e">
        <f t="shared" si="213"/>
        <v>#N/A</v>
      </c>
      <c r="AA508" s="7" t="e">
        <f t="shared" si="214"/>
        <v>#N/A</v>
      </c>
      <c r="AB508" s="7" t="str">
        <f t="shared" si="215"/>
        <v/>
      </c>
      <c r="AC508" s="11">
        <f t="shared" si="216"/>
        <v>1</v>
      </c>
      <c r="AD508" s="7" t="e">
        <f t="shared" si="217"/>
        <v>#N/A</v>
      </c>
      <c r="AE508" s="7" t="e">
        <f t="shared" si="218"/>
        <v>#N/A</v>
      </c>
      <c r="AF508" s="7" t="e">
        <f t="shared" si="219"/>
        <v>#N/A</v>
      </c>
      <c r="AG508" s="472" t="e">
        <f>VLOOKUP(AI508,'排出係数(2017)'!$A$4:$I$1151,9,FALSE)</f>
        <v>#N/A</v>
      </c>
      <c r="AH508" s="12" t="str">
        <f t="shared" si="220"/>
        <v xml:space="preserve"> </v>
      </c>
      <c r="AI508" s="7" t="e">
        <f t="shared" si="235"/>
        <v>#N/A</v>
      </c>
      <c r="AJ508" s="7" t="e">
        <f t="shared" si="221"/>
        <v>#N/A</v>
      </c>
      <c r="AK508" s="472" t="e">
        <f>VLOOKUP(AI508,'排出係数(2017)'!$A$4:$I$1151,6,FALSE)</f>
        <v>#N/A</v>
      </c>
      <c r="AL508" s="7" t="e">
        <f t="shared" si="222"/>
        <v>#N/A</v>
      </c>
      <c r="AM508" s="7" t="e">
        <f t="shared" si="223"/>
        <v>#N/A</v>
      </c>
      <c r="AN508" s="472" t="e">
        <f>VLOOKUP(AI508,'排出係数(2017)'!$A$4:$I$1151,7,FALSE)</f>
        <v>#N/A</v>
      </c>
      <c r="AO508" s="7" t="e">
        <f t="shared" si="224"/>
        <v>#N/A</v>
      </c>
      <c r="AP508" s="7" t="e">
        <f t="shared" si="225"/>
        <v>#N/A</v>
      </c>
      <c r="AQ508" s="7" t="e">
        <f t="shared" si="236"/>
        <v>#N/A</v>
      </c>
      <c r="AR508" s="7">
        <f t="shared" si="226"/>
        <v>0</v>
      </c>
      <c r="AS508" s="7" t="e">
        <f t="shared" si="237"/>
        <v>#N/A</v>
      </c>
      <c r="AT508" s="7" t="str">
        <f t="shared" si="227"/>
        <v/>
      </c>
      <c r="AU508" s="7" t="str">
        <f t="shared" si="228"/>
        <v/>
      </c>
      <c r="AV508" s="7" t="str">
        <f t="shared" si="229"/>
        <v/>
      </c>
      <c r="AW508" s="7" t="str">
        <f t="shared" si="230"/>
        <v/>
      </c>
      <c r="AX508" s="97"/>
      <c r="BD508" s="453" t="s">
        <v>156</v>
      </c>
      <c r="CG508"/>
      <c r="CH508"/>
      <c r="CK508" s="592" t="str">
        <f t="shared" si="238"/>
        <v/>
      </c>
      <c r="CL508" s="421" t="str">
        <f t="shared" si="239"/>
        <v/>
      </c>
      <c r="CM508" s="594"/>
      <c r="CN508" s="594"/>
      <c r="CO508" s="594"/>
      <c r="CP508" s="594"/>
      <c r="CQ508" s="594"/>
      <c r="CR508" s="594"/>
    </row>
    <row r="509" spans="1:96" s="13" customFormat="1" ht="13.75" customHeight="1">
      <c r="A509" s="137">
        <v>494</v>
      </c>
      <c r="B509" s="138"/>
      <c r="C509" s="139"/>
      <c r="D509" s="140"/>
      <c r="E509" s="139"/>
      <c r="F509" s="139"/>
      <c r="G509" s="191"/>
      <c r="H509" s="139"/>
      <c r="I509" s="141"/>
      <c r="J509" s="142"/>
      <c r="K509" s="139"/>
      <c r="L509" s="147"/>
      <c r="M509" s="148"/>
      <c r="N509" s="139"/>
      <c r="O509" s="589"/>
      <c r="P509" s="229" t="str">
        <f t="shared" si="231"/>
        <v/>
      </c>
      <c r="Q509" s="229" t="str">
        <f t="shared" si="232"/>
        <v/>
      </c>
      <c r="R509" s="230" t="str">
        <f t="shared" si="233"/>
        <v/>
      </c>
      <c r="S509" s="230" t="str">
        <f t="shared" si="234"/>
        <v/>
      </c>
      <c r="T509" s="351"/>
      <c r="U509" s="43"/>
      <c r="V509" s="42" t="str">
        <f t="shared" si="210"/>
        <v/>
      </c>
      <c r="W509" s="42" t="e">
        <f>IF(#REF!="","",#REF!)</f>
        <v>#REF!</v>
      </c>
      <c r="X509" s="31" t="str">
        <f t="shared" si="211"/>
        <v/>
      </c>
      <c r="Y509" s="7" t="e">
        <f t="shared" si="212"/>
        <v>#N/A</v>
      </c>
      <c r="Z509" s="7" t="e">
        <f t="shared" si="213"/>
        <v>#N/A</v>
      </c>
      <c r="AA509" s="7" t="e">
        <f t="shared" si="214"/>
        <v>#N/A</v>
      </c>
      <c r="AB509" s="7" t="str">
        <f t="shared" si="215"/>
        <v/>
      </c>
      <c r="AC509" s="11">
        <f t="shared" si="216"/>
        <v>1</v>
      </c>
      <c r="AD509" s="7" t="e">
        <f t="shared" si="217"/>
        <v>#N/A</v>
      </c>
      <c r="AE509" s="7" t="e">
        <f t="shared" si="218"/>
        <v>#N/A</v>
      </c>
      <c r="AF509" s="7" t="e">
        <f t="shared" si="219"/>
        <v>#N/A</v>
      </c>
      <c r="AG509" s="472" t="e">
        <f>VLOOKUP(AI509,'排出係数(2017)'!$A$4:$I$1151,9,FALSE)</f>
        <v>#N/A</v>
      </c>
      <c r="AH509" s="12" t="str">
        <f t="shared" si="220"/>
        <v xml:space="preserve"> </v>
      </c>
      <c r="AI509" s="7" t="e">
        <f t="shared" si="235"/>
        <v>#N/A</v>
      </c>
      <c r="AJ509" s="7" t="e">
        <f t="shared" si="221"/>
        <v>#N/A</v>
      </c>
      <c r="AK509" s="472" t="e">
        <f>VLOOKUP(AI509,'排出係数(2017)'!$A$4:$I$1151,6,FALSE)</f>
        <v>#N/A</v>
      </c>
      <c r="AL509" s="7" t="e">
        <f t="shared" si="222"/>
        <v>#N/A</v>
      </c>
      <c r="AM509" s="7" t="e">
        <f t="shared" si="223"/>
        <v>#N/A</v>
      </c>
      <c r="AN509" s="472" t="e">
        <f>VLOOKUP(AI509,'排出係数(2017)'!$A$4:$I$1151,7,FALSE)</f>
        <v>#N/A</v>
      </c>
      <c r="AO509" s="7" t="e">
        <f t="shared" si="224"/>
        <v>#N/A</v>
      </c>
      <c r="AP509" s="7" t="e">
        <f t="shared" si="225"/>
        <v>#N/A</v>
      </c>
      <c r="AQ509" s="7" t="e">
        <f t="shared" si="236"/>
        <v>#N/A</v>
      </c>
      <c r="AR509" s="7">
        <f t="shared" si="226"/>
        <v>0</v>
      </c>
      <c r="AS509" s="7" t="e">
        <f t="shared" si="237"/>
        <v>#N/A</v>
      </c>
      <c r="AT509" s="7" t="str">
        <f t="shared" si="227"/>
        <v/>
      </c>
      <c r="AU509" s="7" t="str">
        <f t="shared" si="228"/>
        <v/>
      </c>
      <c r="AV509" s="7" t="str">
        <f t="shared" si="229"/>
        <v/>
      </c>
      <c r="AW509" s="7" t="str">
        <f t="shared" si="230"/>
        <v/>
      </c>
      <c r="AX509" s="97"/>
      <c r="BD509" s="453" t="s">
        <v>1113</v>
      </c>
      <c r="CG509"/>
      <c r="CH509"/>
      <c r="CK509" s="592" t="str">
        <f t="shared" si="238"/>
        <v/>
      </c>
      <c r="CL509" s="421" t="str">
        <f t="shared" si="239"/>
        <v/>
      </c>
      <c r="CM509" s="594"/>
      <c r="CN509" s="594"/>
      <c r="CO509" s="594"/>
      <c r="CP509" s="594"/>
      <c r="CQ509" s="594"/>
      <c r="CR509" s="594"/>
    </row>
    <row r="510" spans="1:96" s="13" customFormat="1" ht="13.75" customHeight="1">
      <c r="A510" s="137">
        <v>495</v>
      </c>
      <c r="B510" s="138"/>
      <c r="C510" s="139"/>
      <c r="D510" s="140"/>
      <c r="E510" s="139"/>
      <c r="F510" s="139"/>
      <c r="G510" s="191"/>
      <c r="H510" s="139"/>
      <c r="I510" s="141"/>
      <c r="J510" s="142"/>
      <c r="K510" s="139"/>
      <c r="L510" s="147"/>
      <c r="M510" s="148"/>
      <c r="N510" s="139"/>
      <c r="O510" s="589"/>
      <c r="P510" s="229" t="str">
        <f t="shared" si="231"/>
        <v/>
      </c>
      <c r="Q510" s="229" t="str">
        <f t="shared" si="232"/>
        <v/>
      </c>
      <c r="R510" s="230" t="str">
        <f t="shared" si="233"/>
        <v/>
      </c>
      <c r="S510" s="230" t="str">
        <f t="shared" si="234"/>
        <v/>
      </c>
      <c r="T510" s="351"/>
      <c r="U510" s="43"/>
      <c r="V510" s="42" t="str">
        <f t="shared" si="210"/>
        <v/>
      </c>
      <c r="W510" s="42" t="e">
        <f>IF(#REF!="","",#REF!)</f>
        <v>#REF!</v>
      </c>
      <c r="X510" s="31" t="str">
        <f t="shared" si="211"/>
        <v/>
      </c>
      <c r="Y510" s="7" t="e">
        <f t="shared" si="212"/>
        <v>#N/A</v>
      </c>
      <c r="Z510" s="7" t="e">
        <f t="shared" si="213"/>
        <v>#N/A</v>
      </c>
      <c r="AA510" s="7" t="e">
        <f t="shared" si="214"/>
        <v>#N/A</v>
      </c>
      <c r="AB510" s="7" t="str">
        <f t="shared" si="215"/>
        <v/>
      </c>
      <c r="AC510" s="11">
        <f t="shared" si="216"/>
        <v>1</v>
      </c>
      <c r="AD510" s="7" t="e">
        <f t="shared" si="217"/>
        <v>#N/A</v>
      </c>
      <c r="AE510" s="7" t="e">
        <f t="shared" si="218"/>
        <v>#N/A</v>
      </c>
      <c r="AF510" s="7" t="e">
        <f t="shared" si="219"/>
        <v>#N/A</v>
      </c>
      <c r="AG510" s="472" t="e">
        <f>VLOOKUP(AI510,'排出係数(2017)'!$A$4:$I$1151,9,FALSE)</f>
        <v>#N/A</v>
      </c>
      <c r="AH510" s="12" t="str">
        <f t="shared" si="220"/>
        <v xml:space="preserve"> </v>
      </c>
      <c r="AI510" s="7" t="e">
        <f t="shared" si="235"/>
        <v>#N/A</v>
      </c>
      <c r="AJ510" s="7" t="e">
        <f t="shared" si="221"/>
        <v>#N/A</v>
      </c>
      <c r="AK510" s="472" t="e">
        <f>VLOOKUP(AI510,'排出係数(2017)'!$A$4:$I$1151,6,FALSE)</f>
        <v>#N/A</v>
      </c>
      <c r="AL510" s="7" t="e">
        <f t="shared" si="222"/>
        <v>#N/A</v>
      </c>
      <c r="AM510" s="7" t="e">
        <f t="shared" si="223"/>
        <v>#N/A</v>
      </c>
      <c r="AN510" s="472" t="e">
        <f>VLOOKUP(AI510,'排出係数(2017)'!$A$4:$I$1151,7,FALSE)</f>
        <v>#N/A</v>
      </c>
      <c r="AO510" s="7" t="e">
        <f t="shared" si="224"/>
        <v>#N/A</v>
      </c>
      <c r="AP510" s="7" t="e">
        <f t="shared" si="225"/>
        <v>#N/A</v>
      </c>
      <c r="AQ510" s="7" t="e">
        <f t="shared" si="236"/>
        <v>#N/A</v>
      </c>
      <c r="AR510" s="7">
        <f t="shared" si="226"/>
        <v>0</v>
      </c>
      <c r="AS510" s="7" t="e">
        <f t="shared" si="237"/>
        <v>#N/A</v>
      </c>
      <c r="AT510" s="7" t="str">
        <f t="shared" si="227"/>
        <v/>
      </c>
      <c r="AU510" s="7" t="str">
        <f t="shared" si="228"/>
        <v/>
      </c>
      <c r="AV510" s="7" t="str">
        <f t="shared" si="229"/>
        <v/>
      </c>
      <c r="AW510" s="7" t="str">
        <f t="shared" si="230"/>
        <v/>
      </c>
      <c r="AX510" s="97"/>
      <c r="BD510" s="453" t="s">
        <v>157</v>
      </c>
      <c r="CG510"/>
      <c r="CH510"/>
      <c r="CK510" s="592" t="str">
        <f t="shared" si="238"/>
        <v/>
      </c>
      <c r="CL510" s="421" t="str">
        <f t="shared" si="239"/>
        <v/>
      </c>
      <c r="CM510" s="594"/>
      <c r="CN510" s="594"/>
      <c r="CO510" s="594"/>
      <c r="CP510" s="594"/>
      <c r="CQ510" s="594"/>
      <c r="CR510" s="594"/>
    </row>
    <row r="511" spans="1:96" s="13" customFormat="1" ht="13.75" customHeight="1">
      <c r="A511" s="137">
        <v>496</v>
      </c>
      <c r="B511" s="138"/>
      <c r="C511" s="139"/>
      <c r="D511" s="140"/>
      <c r="E511" s="139"/>
      <c r="F511" s="139"/>
      <c r="G511" s="191"/>
      <c r="H511" s="139"/>
      <c r="I511" s="141"/>
      <c r="J511" s="142"/>
      <c r="K511" s="139"/>
      <c r="L511" s="147"/>
      <c r="M511" s="148"/>
      <c r="N511" s="139"/>
      <c r="O511" s="589"/>
      <c r="P511" s="229" t="str">
        <f t="shared" si="231"/>
        <v/>
      </c>
      <c r="Q511" s="229" t="str">
        <f t="shared" si="232"/>
        <v/>
      </c>
      <c r="R511" s="230" t="str">
        <f t="shared" si="233"/>
        <v/>
      </c>
      <c r="S511" s="230" t="str">
        <f t="shared" si="234"/>
        <v/>
      </c>
      <c r="T511" s="351"/>
      <c r="U511" s="43"/>
      <c r="V511" s="42" t="str">
        <f t="shared" si="210"/>
        <v/>
      </c>
      <c r="W511" s="42" t="e">
        <f>IF(#REF!="","",#REF!)</f>
        <v>#REF!</v>
      </c>
      <c r="X511" s="31" t="str">
        <f t="shared" si="211"/>
        <v/>
      </c>
      <c r="Y511" s="7" t="e">
        <f t="shared" si="212"/>
        <v>#N/A</v>
      </c>
      <c r="Z511" s="7" t="e">
        <f t="shared" si="213"/>
        <v>#N/A</v>
      </c>
      <c r="AA511" s="7" t="e">
        <f t="shared" si="214"/>
        <v>#N/A</v>
      </c>
      <c r="AB511" s="7" t="str">
        <f t="shared" si="215"/>
        <v/>
      </c>
      <c r="AC511" s="11">
        <f t="shared" si="216"/>
        <v>1</v>
      </c>
      <c r="AD511" s="7" t="e">
        <f t="shared" si="217"/>
        <v>#N/A</v>
      </c>
      <c r="AE511" s="7" t="e">
        <f t="shared" si="218"/>
        <v>#N/A</v>
      </c>
      <c r="AF511" s="7" t="e">
        <f t="shared" si="219"/>
        <v>#N/A</v>
      </c>
      <c r="AG511" s="472" t="e">
        <f>VLOOKUP(AI511,'排出係数(2017)'!$A$4:$I$1151,9,FALSE)</f>
        <v>#N/A</v>
      </c>
      <c r="AH511" s="12" t="str">
        <f t="shared" si="220"/>
        <v xml:space="preserve"> </v>
      </c>
      <c r="AI511" s="7" t="e">
        <f t="shared" si="235"/>
        <v>#N/A</v>
      </c>
      <c r="AJ511" s="7" t="e">
        <f t="shared" si="221"/>
        <v>#N/A</v>
      </c>
      <c r="AK511" s="472" t="e">
        <f>VLOOKUP(AI511,'排出係数(2017)'!$A$4:$I$1151,6,FALSE)</f>
        <v>#N/A</v>
      </c>
      <c r="AL511" s="7" t="e">
        <f t="shared" si="222"/>
        <v>#N/A</v>
      </c>
      <c r="AM511" s="7" t="e">
        <f t="shared" si="223"/>
        <v>#N/A</v>
      </c>
      <c r="AN511" s="472" t="e">
        <f>VLOOKUP(AI511,'排出係数(2017)'!$A$4:$I$1151,7,FALSE)</f>
        <v>#N/A</v>
      </c>
      <c r="AO511" s="7" t="e">
        <f t="shared" si="224"/>
        <v>#N/A</v>
      </c>
      <c r="AP511" s="7" t="e">
        <f t="shared" si="225"/>
        <v>#N/A</v>
      </c>
      <c r="AQ511" s="7" t="e">
        <f t="shared" si="236"/>
        <v>#N/A</v>
      </c>
      <c r="AR511" s="7">
        <f t="shared" si="226"/>
        <v>0</v>
      </c>
      <c r="AS511" s="7" t="e">
        <f t="shared" si="237"/>
        <v>#N/A</v>
      </c>
      <c r="AT511" s="7" t="str">
        <f t="shared" si="227"/>
        <v/>
      </c>
      <c r="AU511" s="7" t="str">
        <f t="shared" si="228"/>
        <v/>
      </c>
      <c r="AV511" s="7" t="str">
        <f t="shared" si="229"/>
        <v/>
      </c>
      <c r="AW511" s="7" t="str">
        <f t="shared" si="230"/>
        <v/>
      </c>
      <c r="AX511" s="97"/>
      <c r="BD511" s="453" t="s">
        <v>158</v>
      </c>
      <c r="CG511"/>
      <c r="CH511"/>
      <c r="CK511" s="592" t="str">
        <f t="shared" si="238"/>
        <v/>
      </c>
      <c r="CL511" s="421" t="str">
        <f t="shared" si="239"/>
        <v/>
      </c>
      <c r="CM511" s="594"/>
      <c r="CN511" s="594"/>
      <c r="CO511" s="594"/>
      <c r="CP511" s="594"/>
      <c r="CQ511" s="594"/>
      <c r="CR511" s="594"/>
    </row>
    <row r="512" spans="1:96" s="13" customFormat="1" ht="13.75" customHeight="1">
      <c r="A512" s="137">
        <v>497</v>
      </c>
      <c r="B512" s="138"/>
      <c r="C512" s="139"/>
      <c r="D512" s="140"/>
      <c r="E512" s="139"/>
      <c r="F512" s="139"/>
      <c r="G512" s="191"/>
      <c r="H512" s="139"/>
      <c r="I512" s="141"/>
      <c r="J512" s="142"/>
      <c r="K512" s="139"/>
      <c r="L512" s="147"/>
      <c r="M512" s="148"/>
      <c r="N512" s="139"/>
      <c r="O512" s="589"/>
      <c r="P512" s="229" t="str">
        <f t="shared" si="231"/>
        <v/>
      </c>
      <c r="Q512" s="229" t="str">
        <f t="shared" si="232"/>
        <v/>
      </c>
      <c r="R512" s="230" t="str">
        <f t="shared" si="233"/>
        <v/>
      </c>
      <c r="S512" s="230" t="str">
        <f t="shared" si="234"/>
        <v/>
      </c>
      <c r="T512" s="351"/>
      <c r="U512" s="43"/>
      <c r="V512" s="42" t="str">
        <f t="shared" si="210"/>
        <v/>
      </c>
      <c r="W512" s="42" t="e">
        <f>IF(#REF!="","",#REF!)</f>
        <v>#REF!</v>
      </c>
      <c r="X512" s="31" t="str">
        <f t="shared" si="211"/>
        <v/>
      </c>
      <c r="Y512" s="7" t="e">
        <f t="shared" si="212"/>
        <v>#N/A</v>
      </c>
      <c r="Z512" s="7" t="e">
        <f t="shared" si="213"/>
        <v>#N/A</v>
      </c>
      <c r="AA512" s="7" t="e">
        <f t="shared" si="214"/>
        <v>#N/A</v>
      </c>
      <c r="AB512" s="7" t="str">
        <f t="shared" si="215"/>
        <v/>
      </c>
      <c r="AC512" s="11">
        <f t="shared" si="216"/>
        <v>1</v>
      </c>
      <c r="AD512" s="7" t="e">
        <f t="shared" si="217"/>
        <v>#N/A</v>
      </c>
      <c r="AE512" s="7" t="e">
        <f t="shared" si="218"/>
        <v>#N/A</v>
      </c>
      <c r="AF512" s="7" t="e">
        <f t="shared" si="219"/>
        <v>#N/A</v>
      </c>
      <c r="AG512" s="472" t="e">
        <f>VLOOKUP(AI512,'排出係数(2017)'!$A$4:$I$1151,9,FALSE)</f>
        <v>#N/A</v>
      </c>
      <c r="AH512" s="12" t="str">
        <f t="shared" si="220"/>
        <v xml:space="preserve"> </v>
      </c>
      <c r="AI512" s="7" t="e">
        <f t="shared" si="235"/>
        <v>#N/A</v>
      </c>
      <c r="AJ512" s="7" t="e">
        <f t="shared" si="221"/>
        <v>#N/A</v>
      </c>
      <c r="AK512" s="472" t="e">
        <f>VLOOKUP(AI512,'排出係数(2017)'!$A$4:$I$1151,6,FALSE)</f>
        <v>#N/A</v>
      </c>
      <c r="AL512" s="7" t="e">
        <f t="shared" si="222"/>
        <v>#N/A</v>
      </c>
      <c r="AM512" s="7" t="e">
        <f t="shared" si="223"/>
        <v>#N/A</v>
      </c>
      <c r="AN512" s="472" t="e">
        <f>VLOOKUP(AI512,'排出係数(2017)'!$A$4:$I$1151,7,FALSE)</f>
        <v>#N/A</v>
      </c>
      <c r="AO512" s="7" t="e">
        <f t="shared" si="224"/>
        <v>#N/A</v>
      </c>
      <c r="AP512" s="7" t="e">
        <f t="shared" si="225"/>
        <v>#N/A</v>
      </c>
      <c r="AQ512" s="7" t="e">
        <f t="shared" si="236"/>
        <v>#N/A</v>
      </c>
      <c r="AR512" s="7">
        <f t="shared" si="226"/>
        <v>0</v>
      </c>
      <c r="AS512" s="7" t="e">
        <f t="shared" si="237"/>
        <v>#N/A</v>
      </c>
      <c r="AT512" s="7" t="str">
        <f t="shared" si="227"/>
        <v/>
      </c>
      <c r="AU512" s="7" t="str">
        <f t="shared" si="228"/>
        <v/>
      </c>
      <c r="AV512" s="7" t="str">
        <f t="shared" si="229"/>
        <v/>
      </c>
      <c r="AW512" s="7" t="str">
        <f t="shared" si="230"/>
        <v/>
      </c>
      <c r="AX512" s="97"/>
      <c r="BD512" s="453" t="s">
        <v>2559</v>
      </c>
      <c r="CG512"/>
      <c r="CH512"/>
      <c r="CK512" s="592" t="str">
        <f t="shared" si="238"/>
        <v/>
      </c>
      <c r="CL512" s="421" t="str">
        <f t="shared" si="239"/>
        <v/>
      </c>
      <c r="CM512" s="594"/>
      <c r="CN512" s="594"/>
      <c r="CO512" s="594"/>
      <c r="CP512" s="594"/>
      <c r="CQ512" s="594"/>
      <c r="CR512" s="594"/>
    </row>
    <row r="513" spans="1:96" s="13" customFormat="1" ht="13.75" customHeight="1">
      <c r="A513" s="137">
        <v>498</v>
      </c>
      <c r="B513" s="138"/>
      <c r="C513" s="139"/>
      <c r="D513" s="140"/>
      <c r="E513" s="139"/>
      <c r="F513" s="139"/>
      <c r="G513" s="191"/>
      <c r="H513" s="139"/>
      <c r="I513" s="141"/>
      <c r="J513" s="142"/>
      <c r="K513" s="139"/>
      <c r="L513" s="147"/>
      <c r="M513" s="148"/>
      <c r="N513" s="139"/>
      <c r="O513" s="589"/>
      <c r="P513" s="229" t="str">
        <f t="shared" si="231"/>
        <v/>
      </c>
      <c r="Q513" s="229" t="str">
        <f t="shared" si="232"/>
        <v/>
      </c>
      <c r="R513" s="230" t="str">
        <f t="shared" si="233"/>
        <v/>
      </c>
      <c r="S513" s="230" t="str">
        <f t="shared" si="234"/>
        <v/>
      </c>
      <c r="T513" s="351"/>
      <c r="U513" s="43"/>
      <c r="V513" s="42" t="str">
        <f t="shared" si="210"/>
        <v/>
      </c>
      <c r="W513" s="42" t="e">
        <f>IF(#REF!="","",#REF!)</f>
        <v>#REF!</v>
      </c>
      <c r="X513" s="31" t="str">
        <f t="shared" si="211"/>
        <v/>
      </c>
      <c r="Y513" s="7" t="e">
        <f t="shared" si="212"/>
        <v>#N/A</v>
      </c>
      <c r="Z513" s="7" t="e">
        <f t="shared" si="213"/>
        <v>#N/A</v>
      </c>
      <c r="AA513" s="7" t="e">
        <f t="shared" si="214"/>
        <v>#N/A</v>
      </c>
      <c r="AB513" s="7" t="str">
        <f t="shared" si="215"/>
        <v/>
      </c>
      <c r="AC513" s="11">
        <f t="shared" si="216"/>
        <v>1</v>
      </c>
      <c r="AD513" s="7" t="e">
        <f t="shared" si="217"/>
        <v>#N/A</v>
      </c>
      <c r="AE513" s="7" t="e">
        <f t="shared" si="218"/>
        <v>#N/A</v>
      </c>
      <c r="AF513" s="7" t="e">
        <f t="shared" si="219"/>
        <v>#N/A</v>
      </c>
      <c r="AG513" s="472" t="e">
        <f>VLOOKUP(AI513,'排出係数(2017)'!$A$4:$I$1151,9,FALSE)</f>
        <v>#N/A</v>
      </c>
      <c r="AH513" s="12" t="str">
        <f t="shared" si="220"/>
        <v xml:space="preserve"> </v>
      </c>
      <c r="AI513" s="7" t="e">
        <f t="shared" si="235"/>
        <v>#N/A</v>
      </c>
      <c r="AJ513" s="7" t="e">
        <f t="shared" si="221"/>
        <v>#N/A</v>
      </c>
      <c r="AK513" s="472" t="e">
        <f>VLOOKUP(AI513,'排出係数(2017)'!$A$4:$I$1151,6,FALSE)</f>
        <v>#N/A</v>
      </c>
      <c r="AL513" s="7" t="e">
        <f t="shared" si="222"/>
        <v>#N/A</v>
      </c>
      <c r="AM513" s="7" t="e">
        <f t="shared" si="223"/>
        <v>#N/A</v>
      </c>
      <c r="AN513" s="472" t="e">
        <f>VLOOKUP(AI513,'排出係数(2017)'!$A$4:$I$1151,7,FALSE)</f>
        <v>#N/A</v>
      </c>
      <c r="AO513" s="7" t="e">
        <f t="shared" si="224"/>
        <v>#N/A</v>
      </c>
      <c r="AP513" s="7" t="e">
        <f t="shared" si="225"/>
        <v>#N/A</v>
      </c>
      <c r="AQ513" s="7" t="e">
        <f t="shared" si="236"/>
        <v>#N/A</v>
      </c>
      <c r="AR513" s="7">
        <f t="shared" si="226"/>
        <v>0</v>
      </c>
      <c r="AS513" s="7" t="e">
        <f t="shared" si="237"/>
        <v>#N/A</v>
      </c>
      <c r="AT513" s="7" t="str">
        <f t="shared" si="227"/>
        <v/>
      </c>
      <c r="AU513" s="7" t="str">
        <f t="shared" si="228"/>
        <v/>
      </c>
      <c r="AV513" s="7" t="str">
        <f t="shared" si="229"/>
        <v/>
      </c>
      <c r="AW513" s="7" t="str">
        <f t="shared" si="230"/>
        <v/>
      </c>
      <c r="AX513" s="97"/>
      <c r="BD513" s="475" t="s">
        <v>2560</v>
      </c>
      <c r="CG513"/>
      <c r="CH513"/>
      <c r="CK513" s="592" t="str">
        <f t="shared" si="238"/>
        <v/>
      </c>
      <c r="CL513" s="421" t="str">
        <f t="shared" si="239"/>
        <v/>
      </c>
      <c r="CM513" s="594"/>
      <c r="CN513" s="594"/>
      <c r="CO513" s="594"/>
      <c r="CP513" s="594"/>
      <c r="CQ513" s="594"/>
      <c r="CR513" s="594"/>
    </row>
    <row r="514" spans="1:96" s="13" customFormat="1" ht="13.75" customHeight="1">
      <c r="A514" s="137">
        <v>499</v>
      </c>
      <c r="B514" s="138"/>
      <c r="C514" s="139"/>
      <c r="D514" s="140"/>
      <c r="E514" s="139"/>
      <c r="F514" s="139"/>
      <c r="G514" s="191"/>
      <c r="H514" s="139"/>
      <c r="I514" s="141"/>
      <c r="J514" s="142"/>
      <c r="K514" s="139"/>
      <c r="L514" s="147"/>
      <c r="M514" s="148"/>
      <c r="N514" s="139"/>
      <c r="O514" s="589"/>
      <c r="P514" s="229" t="str">
        <f t="shared" si="231"/>
        <v/>
      </c>
      <c r="Q514" s="229" t="str">
        <f t="shared" si="232"/>
        <v/>
      </c>
      <c r="R514" s="230" t="str">
        <f t="shared" si="233"/>
        <v/>
      </c>
      <c r="S514" s="230" t="str">
        <f t="shared" si="234"/>
        <v/>
      </c>
      <c r="T514" s="351"/>
      <c r="U514" s="43"/>
      <c r="V514" s="42" t="str">
        <f t="shared" si="210"/>
        <v/>
      </c>
      <c r="W514" s="42" t="e">
        <f>IF(#REF!="","",#REF!)</f>
        <v>#REF!</v>
      </c>
      <c r="X514" s="31" t="str">
        <f t="shared" si="211"/>
        <v/>
      </c>
      <c r="Y514" s="7" t="e">
        <f t="shared" si="212"/>
        <v>#N/A</v>
      </c>
      <c r="Z514" s="7" t="e">
        <f t="shared" si="213"/>
        <v>#N/A</v>
      </c>
      <c r="AA514" s="7" t="e">
        <f t="shared" si="214"/>
        <v>#N/A</v>
      </c>
      <c r="AB514" s="7" t="str">
        <f t="shared" si="215"/>
        <v/>
      </c>
      <c r="AC514" s="11">
        <f t="shared" si="216"/>
        <v>1</v>
      </c>
      <c r="AD514" s="7" t="e">
        <f t="shared" si="217"/>
        <v>#N/A</v>
      </c>
      <c r="AE514" s="7" t="e">
        <f t="shared" si="218"/>
        <v>#N/A</v>
      </c>
      <c r="AF514" s="7" t="e">
        <f t="shared" si="219"/>
        <v>#N/A</v>
      </c>
      <c r="AG514" s="472" t="e">
        <f>VLOOKUP(AI514,'排出係数(2017)'!$A$4:$I$1151,9,FALSE)</f>
        <v>#N/A</v>
      </c>
      <c r="AH514" s="12" t="str">
        <f t="shared" si="220"/>
        <v xml:space="preserve"> </v>
      </c>
      <c r="AI514" s="7" t="e">
        <f t="shared" si="235"/>
        <v>#N/A</v>
      </c>
      <c r="AJ514" s="7" t="e">
        <f t="shared" si="221"/>
        <v>#N/A</v>
      </c>
      <c r="AK514" s="472" t="e">
        <f>VLOOKUP(AI514,'排出係数(2017)'!$A$4:$I$1151,6,FALSE)</f>
        <v>#N/A</v>
      </c>
      <c r="AL514" s="7" t="e">
        <f t="shared" si="222"/>
        <v>#N/A</v>
      </c>
      <c r="AM514" s="7" t="e">
        <f t="shared" si="223"/>
        <v>#N/A</v>
      </c>
      <c r="AN514" s="472" t="e">
        <f>VLOOKUP(AI514,'排出係数(2017)'!$A$4:$I$1151,7,FALSE)</f>
        <v>#N/A</v>
      </c>
      <c r="AO514" s="7" t="e">
        <f t="shared" si="224"/>
        <v>#N/A</v>
      </c>
      <c r="AP514" s="7" t="e">
        <f t="shared" si="225"/>
        <v>#N/A</v>
      </c>
      <c r="AQ514" s="7" t="e">
        <f t="shared" si="236"/>
        <v>#N/A</v>
      </c>
      <c r="AR514" s="7">
        <f t="shared" si="226"/>
        <v>0</v>
      </c>
      <c r="AS514" s="7" t="e">
        <f t="shared" si="237"/>
        <v>#N/A</v>
      </c>
      <c r="AT514" s="7" t="str">
        <f t="shared" si="227"/>
        <v/>
      </c>
      <c r="AU514" s="7" t="str">
        <f t="shared" si="228"/>
        <v/>
      </c>
      <c r="AV514" s="7" t="str">
        <f t="shared" si="229"/>
        <v/>
      </c>
      <c r="AW514" s="7" t="str">
        <f t="shared" si="230"/>
        <v/>
      </c>
      <c r="AX514" s="97"/>
      <c r="BD514" s="453" t="s">
        <v>83</v>
      </c>
      <c r="CG514"/>
      <c r="CH514"/>
      <c r="CK514" s="592" t="str">
        <f t="shared" si="238"/>
        <v/>
      </c>
      <c r="CL514" s="421" t="str">
        <f t="shared" si="239"/>
        <v/>
      </c>
      <c r="CM514" s="594"/>
      <c r="CN514" s="594"/>
      <c r="CO514" s="594"/>
      <c r="CP514" s="594"/>
      <c r="CQ514" s="594"/>
      <c r="CR514" s="594"/>
    </row>
    <row r="515" spans="1:96" s="13" customFormat="1" ht="13.75" customHeight="1" thickBot="1">
      <c r="A515" s="348">
        <v>500</v>
      </c>
      <c r="B515" s="135"/>
      <c r="C515" s="35"/>
      <c r="D515" s="101"/>
      <c r="E515" s="35"/>
      <c r="F515" s="35"/>
      <c r="G515" s="192"/>
      <c r="H515" s="35"/>
      <c r="I515" s="36"/>
      <c r="J515" s="37"/>
      <c r="K515" s="35"/>
      <c r="L515" s="149"/>
      <c r="M515" s="150"/>
      <c r="N515" s="35"/>
      <c r="O515" s="590"/>
      <c r="P515" s="231" t="str">
        <f t="shared" si="231"/>
        <v/>
      </c>
      <c r="Q515" s="231" t="str">
        <f t="shared" si="232"/>
        <v/>
      </c>
      <c r="R515" s="232" t="str">
        <f t="shared" si="233"/>
        <v/>
      </c>
      <c r="S515" s="232" t="str">
        <f t="shared" si="234"/>
        <v/>
      </c>
      <c r="T515" s="352"/>
      <c r="U515" s="43"/>
      <c r="V515" s="42" t="str">
        <f t="shared" si="210"/>
        <v/>
      </c>
      <c r="W515" s="42" t="e">
        <f>IF(#REF!="","",#REF!)</f>
        <v>#REF!</v>
      </c>
      <c r="X515" s="31" t="str">
        <f t="shared" si="211"/>
        <v/>
      </c>
      <c r="Y515" s="7" t="e">
        <f t="shared" si="212"/>
        <v>#N/A</v>
      </c>
      <c r="Z515" s="7" t="e">
        <f t="shared" si="213"/>
        <v>#N/A</v>
      </c>
      <c r="AA515" s="7" t="e">
        <f t="shared" si="214"/>
        <v>#N/A</v>
      </c>
      <c r="AB515" s="7" t="str">
        <f t="shared" si="215"/>
        <v/>
      </c>
      <c r="AC515" s="11">
        <f t="shared" si="216"/>
        <v>1</v>
      </c>
      <c r="AD515" s="7" t="e">
        <f t="shared" si="217"/>
        <v>#N/A</v>
      </c>
      <c r="AE515" s="7" t="e">
        <f t="shared" si="218"/>
        <v>#N/A</v>
      </c>
      <c r="AF515" s="7" t="e">
        <f t="shared" si="219"/>
        <v>#N/A</v>
      </c>
      <c r="AG515" s="472" t="e">
        <f>VLOOKUP(AI515,'排出係数(2017)'!$A$4:$I$1151,9,FALSE)</f>
        <v>#N/A</v>
      </c>
      <c r="AH515" s="12" t="str">
        <f t="shared" si="220"/>
        <v xml:space="preserve"> </v>
      </c>
      <c r="AI515" s="7" t="e">
        <f t="shared" si="235"/>
        <v>#N/A</v>
      </c>
      <c r="AJ515" s="7" t="e">
        <f t="shared" si="221"/>
        <v>#N/A</v>
      </c>
      <c r="AK515" s="472" t="e">
        <f>VLOOKUP(AI515,'排出係数(2017)'!$A$4:$I$1151,6,FALSE)</f>
        <v>#N/A</v>
      </c>
      <c r="AL515" s="7" t="e">
        <f t="shared" si="222"/>
        <v>#N/A</v>
      </c>
      <c r="AM515" s="7" t="e">
        <f t="shared" si="223"/>
        <v>#N/A</v>
      </c>
      <c r="AN515" s="472" t="e">
        <f>VLOOKUP(AI515,'排出係数(2017)'!$A$4:$I$1151,7,FALSE)</f>
        <v>#N/A</v>
      </c>
      <c r="AO515" s="7" t="e">
        <f t="shared" si="224"/>
        <v>#N/A</v>
      </c>
      <c r="AP515" s="7" t="e">
        <f t="shared" si="225"/>
        <v>#N/A</v>
      </c>
      <c r="AQ515" s="7" t="e">
        <f t="shared" si="236"/>
        <v>#N/A</v>
      </c>
      <c r="AR515" s="7">
        <f t="shared" si="226"/>
        <v>0</v>
      </c>
      <c r="AS515" s="7" t="e">
        <f t="shared" si="237"/>
        <v>#N/A</v>
      </c>
      <c r="AT515" s="7" t="str">
        <f t="shared" si="227"/>
        <v/>
      </c>
      <c r="AU515" s="7" t="str">
        <f t="shared" si="228"/>
        <v/>
      </c>
      <c r="AV515" s="7" t="str">
        <f t="shared" si="229"/>
        <v/>
      </c>
      <c r="AW515" s="7" t="str">
        <f t="shared" si="230"/>
        <v/>
      </c>
      <c r="AX515" s="97"/>
      <c r="BD515" s="473" t="s">
        <v>1123</v>
      </c>
      <c r="CG515"/>
      <c r="CH515"/>
      <c r="CK515" s="593" t="str">
        <f t="shared" si="238"/>
        <v/>
      </c>
      <c r="CL515" s="421" t="str">
        <f t="shared" si="239"/>
        <v/>
      </c>
      <c r="CM515" s="594"/>
      <c r="CN515" s="594"/>
      <c r="CO515" s="594"/>
      <c r="CP515" s="594"/>
      <c r="CQ515" s="594"/>
      <c r="CR515" s="594"/>
    </row>
    <row r="516" spans="1:96">
      <c r="I516" s="3"/>
      <c r="R516" s="16"/>
      <c r="S516" s="16"/>
      <c r="T516" s="16"/>
      <c r="U516" s="16"/>
      <c r="V516" s="16"/>
      <c r="W516" s="16"/>
      <c r="AX516" s="96"/>
      <c r="AY516" s="13"/>
      <c r="AZ516" s="13"/>
      <c r="BA516" s="13"/>
      <c r="BB516" s="13"/>
      <c r="BC516" s="13"/>
      <c r="BD516" s="453" t="s">
        <v>84</v>
      </c>
      <c r="BF516" s="13"/>
      <c r="BG516" s="13"/>
      <c r="BH516" s="13"/>
      <c r="BI516" s="13"/>
      <c r="BJ516" s="13"/>
      <c r="BK516" s="13"/>
    </row>
    <row r="517" spans="1:96">
      <c r="M517" s="13"/>
      <c r="N517" s="13"/>
      <c r="O517" s="13"/>
      <c r="AX517" s="96"/>
      <c r="AY517" s="13"/>
      <c r="AZ517" s="13"/>
      <c r="BA517" s="13"/>
      <c r="BB517" s="13"/>
      <c r="BC517" s="13"/>
      <c r="BD517" s="453" t="s">
        <v>1115</v>
      </c>
      <c r="BF517" s="13"/>
      <c r="BG517" s="13"/>
      <c r="BH517" s="13"/>
    </row>
    <row r="518" spans="1:96">
      <c r="M518" s="13"/>
      <c r="N518" s="13"/>
      <c r="O518" s="13"/>
      <c r="AX518" s="96"/>
      <c r="AY518" s="13"/>
      <c r="AZ518" s="13"/>
      <c r="BA518" s="13"/>
      <c r="BB518" s="13"/>
      <c r="BC518" s="13"/>
      <c r="BD518" s="453" t="s">
        <v>85</v>
      </c>
    </row>
    <row r="519" spans="1:96">
      <c r="M519" s="13"/>
      <c r="N519" s="13"/>
      <c r="O519" s="13"/>
      <c r="AX519" s="96"/>
      <c r="AY519" s="13"/>
      <c r="AZ519" s="13"/>
      <c r="BA519" s="13"/>
      <c r="BB519" s="13"/>
      <c r="BC519" s="13"/>
      <c r="BD519" s="473" t="s">
        <v>1125</v>
      </c>
    </row>
    <row r="520" spans="1:96">
      <c r="BD520" s="453" t="s">
        <v>1215</v>
      </c>
    </row>
    <row r="521" spans="1:96">
      <c r="BD521" s="473" t="s">
        <v>1117</v>
      </c>
    </row>
    <row r="522" spans="1:96">
      <c r="BD522" s="475" t="s">
        <v>2561</v>
      </c>
    </row>
    <row r="523" spans="1:96">
      <c r="BD523" s="473" t="s">
        <v>2562</v>
      </c>
    </row>
    <row r="524" spans="1:96">
      <c r="BD524" s="453" t="s">
        <v>159</v>
      </c>
    </row>
    <row r="525" spans="1:96">
      <c r="BD525" s="453" t="s">
        <v>86</v>
      </c>
    </row>
    <row r="526" spans="1:96">
      <c r="BD526" s="453" t="s">
        <v>87</v>
      </c>
    </row>
    <row r="527" spans="1:96">
      <c r="BD527" s="473" t="s">
        <v>88</v>
      </c>
    </row>
    <row r="528" spans="1:96">
      <c r="BD528" s="453" t="s">
        <v>89</v>
      </c>
    </row>
    <row r="529" spans="56:56">
      <c r="BD529" s="453" t="s">
        <v>1534</v>
      </c>
    </row>
    <row r="530" spans="56:56">
      <c r="BD530" s="453" t="s">
        <v>1538</v>
      </c>
    </row>
    <row r="531" spans="56:56">
      <c r="BD531" s="453" t="s">
        <v>160</v>
      </c>
    </row>
    <row r="532" spans="56:56">
      <c r="BD532" s="453" t="s">
        <v>161</v>
      </c>
    </row>
    <row r="533" spans="56:56">
      <c r="BD533" s="453" t="s">
        <v>162</v>
      </c>
    </row>
    <row r="534" spans="56:56">
      <c r="BD534" s="453" t="s">
        <v>163</v>
      </c>
    </row>
    <row r="535" spans="56:56">
      <c r="BD535" s="467" t="s">
        <v>164</v>
      </c>
    </row>
    <row r="536" spans="56:56">
      <c r="BD536" s="453" t="s">
        <v>90</v>
      </c>
    </row>
    <row r="537" spans="56:56">
      <c r="BD537" s="453" t="s">
        <v>91</v>
      </c>
    </row>
    <row r="538" spans="56:56">
      <c r="BD538" s="453" t="s">
        <v>92</v>
      </c>
    </row>
    <row r="539" spans="56:56">
      <c r="BD539" s="453" t="s">
        <v>1219</v>
      </c>
    </row>
    <row r="540" spans="56:56">
      <c r="BD540" s="467" t="s">
        <v>165</v>
      </c>
    </row>
    <row r="541" spans="56:56">
      <c r="BD541" s="473" t="s">
        <v>166</v>
      </c>
    </row>
    <row r="542" spans="56:56">
      <c r="BD542" s="473" t="s">
        <v>167</v>
      </c>
    </row>
    <row r="543" spans="56:56">
      <c r="BD543" s="473" t="s">
        <v>168</v>
      </c>
    </row>
    <row r="544" spans="56:56">
      <c r="BD544" s="453" t="s">
        <v>169</v>
      </c>
    </row>
    <row r="545" spans="56:56">
      <c r="BD545" s="453" t="s">
        <v>170</v>
      </c>
    </row>
    <row r="546" spans="56:56">
      <c r="BD546" s="453" t="s">
        <v>171</v>
      </c>
    </row>
    <row r="547" spans="56:56">
      <c r="BD547" s="453" t="s">
        <v>172</v>
      </c>
    </row>
    <row r="548" spans="56:56">
      <c r="BD548" s="473" t="s">
        <v>173</v>
      </c>
    </row>
    <row r="549" spans="56:56">
      <c r="BD549" s="473" t="s">
        <v>174</v>
      </c>
    </row>
    <row r="550" spans="56:56">
      <c r="BD550" s="453" t="s">
        <v>175</v>
      </c>
    </row>
    <row r="551" spans="56:56">
      <c r="BD551" s="453" t="s">
        <v>176</v>
      </c>
    </row>
    <row r="552" spans="56:56">
      <c r="BD552" s="453" t="s">
        <v>177</v>
      </c>
    </row>
    <row r="553" spans="56:56">
      <c r="BD553" s="453" t="s">
        <v>178</v>
      </c>
    </row>
    <row r="554" spans="56:56">
      <c r="BD554" s="453" t="s">
        <v>179</v>
      </c>
    </row>
    <row r="555" spans="56:56">
      <c r="BD555" s="453" t="s">
        <v>180</v>
      </c>
    </row>
    <row r="556" spans="56:56">
      <c r="BD556" s="453" t="s">
        <v>181</v>
      </c>
    </row>
    <row r="557" spans="56:56">
      <c r="BD557" s="453" t="s">
        <v>1492</v>
      </c>
    </row>
    <row r="558" spans="56:56">
      <c r="BD558" s="453" t="s">
        <v>1496</v>
      </c>
    </row>
    <row r="559" spans="56:56">
      <c r="BD559" s="453" t="s">
        <v>1500</v>
      </c>
    </row>
    <row r="560" spans="56:56">
      <c r="BD560" s="453" t="s">
        <v>683</v>
      </c>
    </row>
    <row r="561" spans="56:56">
      <c r="BD561" s="453" t="s">
        <v>687</v>
      </c>
    </row>
    <row r="562" spans="56:56">
      <c r="BD562" s="453" t="s">
        <v>691</v>
      </c>
    </row>
    <row r="563" spans="56:56">
      <c r="BD563" s="453" t="s">
        <v>798</v>
      </c>
    </row>
    <row r="564" spans="56:56">
      <c r="BD564" s="453" t="s">
        <v>802</v>
      </c>
    </row>
    <row r="565" spans="56:56">
      <c r="BD565" s="453" t="s">
        <v>806</v>
      </c>
    </row>
    <row r="566" spans="56:56">
      <c r="BD566" s="453" t="s">
        <v>1504</v>
      </c>
    </row>
    <row r="567" spans="56:56">
      <c r="BD567" s="453" t="s">
        <v>1508</v>
      </c>
    </row>
    <row r="568" spans="56:56">
      <c r="BD568" s="453" t="s">
        <v>1512</v>
      </c>
    </row>
    <row r="569" spans="56:56">
      <c r="BD569" s="453" t="s">
        <v>695</v>
      </c>
    </row>
    <row r="570" spans="56:56">
      <c r="BD570" s="453" t="s">
        <v>699</v>
      </c>
    </row>
    <row r="571" spans="56:56">
      <c r="BD571" s="453" t="s">
        <v>703</v>
      </c>
    </row>
    <row r="572" spans="56:56">
      <c r="BD572" s="453" t="s">
        <v>918</v>
      </c>
    </row>
    <row r="573" spans="56:56">
      <c r="BD573" s="453" t="s">
        <v>922</v>
      </c>
    </row>
    <row r="574" spans="56:56">
      <c r="BD574" s="473" t="s">
        <v>926</v>
      </c>
    </row>
    <row r="575" spans="56:56">
      <c r="BD575" s="473" t="s">
        <v>931</v>
      </c>
    </row>
    <row r="576" spans="56:56">
      <c r="BD576" s="473" t="s">
        <v>935</v>
      </c>
    </row>
    <row r="577" spans="56:56">
      <c r="BD577" s="453" t="s">
        <v>939</v>
      </c>
    </row>
    <row r="578" spans="56:56">
      <c r="BD578" s="453" t="s">
        <v>182</v>
      </c>
    </row>
    <row r="579" spans="56:56">
      <c r="BD579" s="453" t="s">
        <v>93</v>
      </c>
    </row>
    <row r="580" spans="56:56">
      <c r="BD580" s="453" t="s">
        <v>94</v>
      </c>
    </row>
    <row r="581" spans="56:56">
      <c r="BD581" s="473" t="s">
        <v>95</v>
      </c>
    </row>
    <row r="582" spans="56:56">
      <c r="BD582" s="473" t="s">
        <v>96</v>
      </c>
    </row>
    <row r="583" spans="56:56">
      <c r="BD583" s="453" t="s">
        <v>1520</v>
      </c>
    </row>
    <row r="584" spans="56:56">
      <c r="BD584" s="453" t="s">
        <v>1524</v>
      </c>
    </row>
    <row r="585" spans="56:56">
      <c r="BD585" s="453" t="s">
        <v>183</v>
      </c>
    </row>
    <row r="586" spans="56:56">
      <c r="BD586" s="453" t="s">
        <v>184</v>
      </c>
    </row>
    <row r="587" spans="56:56">
      <c r="BD587" s="453" t="s">
        <v>185</v>
      </c>
    </row>
    <row r="588" spans="56:56">
      <c r="BD588" s="453" t="s">
        <v>186</v>
      </c>
    </row>
    <row r="589" spans="56:56">
      <c r="BD589" s="453" t="s">
        <v>187</v>
      </c>
    </row>
    <row r="590" spans="56:56">
      <c r="BD590" s="453" t="s">
        <v>188</v>
      </c>
    </row>
    <row r="591" spans="56:56">
      <c r="BD591" s="453" t="s">
        <v>97</v>
      </c>
    </row>
    <row r="592" spans="56:56">
      <c r="BD592" s="453" t="s">
        <v>98</v>
      </c>
    </row>
    <row r="593" spans="56:56">
      <c r="BD593" s="473" t="s">
        <v>99</v>
      </c>
    </row>
    <row r="594" spans="56:56">
      <c r="BD594" s="453" t="s">
        <v>100</v>
      </c>
    </row>
    <row r="595" spans="56:56">
      <c r="BD595" s="453" t="s">
        <v>1528</v>
      </c>
    </row>
    <row r="596" spans="56:56">
      <c r="BD596" s="453" t="s">
        <v>1532</v>
      </c>
    </row>
    <row r="597" spans="56:56">
      <c r="BD597" s="453" t="s">
        <v>189</v>
      </c>
    </row>
    <row r="598" spans="56:56">
      <c r="BD598" s="453" t="s">
        <v>190</v>
      </c>
    </row>
    <row r="599" spans="56:56">
      <c r="BD599" s="453" t="s">
        <v>191</v>
      </c>
    </row>
    <row r="600" spans="56:56">
      <c r="BD600" s="453" t="s">
        <v>192</v>
      </c>
    </row>
    <row r="601" spans="56:56">
      <c r="BD601" s="467" t="s">
        <v>193</v>
      </c>
    </row>
    <row r="602" spans="56:56">
      <c r="BD602" s="453" t="s">
        <v>26</v>
      </c>
    </row>
    <row r="603" spans="56:56">
      <c r="BD603" s="453" t="s">
        <v>101</v>
      </c>
    </row>
    <row r="604" spans="56:56">
      <c r="BD604" s="453" t="s">
        <v>1733</v>
      </c>
    </row>
    <row r="605" spans="56:56">
      <c r="BD605" s="453" t="s">
        <v>1735</v>
      </c>
    </row>
    <row r="606" spans="56:56">
      <c r="BD606" s="453" t="s">
        <v>1740</v>
      </c>
    </row>
    <row r="607" spans="56:56">
      <c r="BD607" s="453" t="s">
        <v>102</v>
      </c>
    </row>
    <row r="608" spans="56:56">
      <c r="BD608" s="453" t="s">
        <v>1745</v>
      </c>
    </row>
    <row r="609" spans="56:56">
      <c r="BD609" s="453" t="s">
        <v>1747</v>
      </c>
    </row>
    <row r="610" spans="56:56">
      <c r="BD610" s="453" t="s">
        <v>1752</v>
      </c>
    </row>
    <row r="611" spans="56:56">
      <c r="BD611" s="473" t="s">
        <v>103</v>
      </c>
    </row>
    <row r="612" spans="56:56">
      <c r="BD612" s="453" t="s">
        <v>104</v>
      </c>
    </row>
    <row r="613" spans="56:56">
      <c r="BD613" s="453" t="s">
        <v>1536</v>
      </c>
    </row>
    <row r="614" spans="56:56">
      <c r="BD614" s="453" t="s">
        <v>1540</v>
      </c>
    </row>
    <row r="615" spans="56:56">
      <c r="BD615" s="453" t="s">
        <v>194</v>
      </c>
    </row>
    <row r="616" spans="56:56">
      <c r="BD616" s="453" t="s">
        <v>195</v>
      </c>
    </row>
    <row r="617" spans="56:56">
      <c r="BD617" s="467" t="s">
        <v>196</v>
      </c>
    </row>
    <row r="618" spans="56:56">
      <c r="BD618" s="453" t="s">
        <v>197</v>
      </c>
    </row>
    <row r="619" spans="56:56">
      <c r="BD619" s="473" t="s">
        <v>198</v>
      </c>
    </row>
    <row r="620" spans="56:56">
      <c r="BD620" s="453" t="s">
        <v>2563</v>
      </c>
    </row>
    <row r="621" spans="56:56">
      <c r="BD621" s="453" t="s">
        <v>2564</v>
      </c>
    </row>
    <row r="622" spans="56:56">
      <c r="BD622" s="467" t="s">
        <v>2565</v>
      </c>
    </row>
    <row r="623" spans="56:56">
      <c r="BD623" s="453" t="s">
        <v>2566</v>
      </c>
    </row>
    <row r="624" spans="56:56">
      <c r="BD624" s="453" t="s">
        <v>2567</v>
      </c>
    </row>
    <row r="625" spans="56:56">
      <c r="BD625" s="453" t="s">
        <v>2568</v>
      </c>
    </row>
    <row r="626" spans="56:56">
      <c r="BD626" s="453" t="s">
        <v>2569</v>
      </c>
    </row>
    <row r="627" spans="56:56">
      <c r="BD627" s="453" t="s">
        <v>2570</v>
      </c>
    </row>
    <row r="628" spans="56:56">
      <c r="BD628" s="453" t="s">
        <v>2571</v>
      </c>
    </row>
    <row r="629" spans="56:56">
      <c r="BD629" s="453" t="s">
        <v>2572</v>
      </c>
    </row>
    <row r="630" spans="56:56">
      <c r="BD630" s="453" t="s">
        <v>2573</v>
      </c>
    </row>
    <row r="631" spans="56:56">
      <c r="BD631" s="453" t="s">
        <v>2574</v>
      </c>
    </row>
    <row r="632" spans="56:56">
      <c r="BD632" s="453" t="s">
        <v>2575</v>
      </c>
    </row>
    <row r="633" spans="56:56">
      <c r="BD633" s="453" t="s">
        <v>2576</v>
      </c>
    </row>
    <row r="634" spans="56:56">
      <c r="BD634" s="453" t="s">
        <v>2577</v>
      </c>
    </row>
    <row r="635" spans="56:56">
      <c r="BD635" s="453" t="s">
        <v>2578</v>
      </c>
    </row>
    <row r="636" spans="56:56">
      <c r="BD636" s="453" t="s">
        <v>2579</v>
      </c>
    </row>
    <row r="637" spans="56:56">
      <c r="BD637" s="453" t="s">
        <v>2580</v>
      </c>
    </row>
    <row r="638" spans="56:56">
      <c r="BD638" s="453" t="s">
        <v>2581</v>
      </c>
    </row>
    <row r="639" spans="56:56">
      <c r="BD639" s="453" t="s">
        <v>2582</v>
      </c>
    </row>
    <row r="640" spans="56:56">
      <c r="BD640" s="453" t="s">
        <v>2583</v>
      </c>
    </row>
    <row r="641" spans="56:56">
      <c r="BD641" s="453" t="s">
        <v>2584</v>
      </c>
    </row>
    <row r="642" spans="56:56">
      <c r="BD642" s="467" t="s">
        <v>2585</v>
      </c>
    </row>
    <row r="643" spans="56:56">
      <c r="BD643" s="453" t="s">
        <v>2586</v>
      </c>
    </row>
    <row r="644" spans="56:56">
      <c r="BD644" s="453" t="s">
        <v>2587</v>
      </c>
    </row>
    <row r="645" spans="56:56">
      <c r="BD645" s="467" t="s">
        <v>2588</v>
      </c>
    </row>
    <row r="646" spans="56:56">
      <c r="BD646" s="453" t="s">
        <v>2589</v>
      </c>
    </row>
    <row r="647" spans="56:56">
      <c r="BD647" s="453" t="s">
        <v>2590</v>
      </c>
    </row>
    <row r="648" spans="56:56">
      <c r="BD648" s="467" t="s">
        <v>2591</v>
      </c>
    </row>
    <row r="649" spans="56:56">
      <c r="BD649" s="453" t="s">
        <v>2592</v>
      </c>
    </row>
    <row r="650" spans="56:56">
      <c r="BD650" s="453" t="s">
        <v>2593</v>
      </c>
    </row>
    <row r="651" spans="56:56">
      <c r="BD651" s="473" t="s">
        <v>2594</v>
      </c>
    </row>
    <row r="652" spans="56:56">
      <c r="BD652" s="467" t="s">
        <v>2595</v>
      </c>
    </row>
    <row r="653" spans="56:56">
      <c r="BD653" s="453" t="s">
        <v>2596</v>
      </c>
    </row>
    <row r="654" spans="56:56">
      <c r="BD654" s="467" t="s">
        <v>2597</v>
      </c>
    </row>
    <row r="655" spans="56:56">
      <c r="BD655" s="473" t="s">
        <v>2598</v>
      </c>
    </row>
    <row r="656" spans="56:56">
      <c r="BD656" s="453" t="s">
        <v>2599</v>
      </c>
    </row>
    <row r="657" spans="56:56">
      <c r="BD657" s="467" t="s">
        <v>2600</v>
      </c>
    </row>
    <row r="658" spans="56:56">
      <c r="BD658" s="473" t="s">
        <v>2601</v>
      </c>
    </row>
    <row r="659" spans="56:56">
      <c r="BD659" s="453" t="s">
        <v>2602</v>
      </c>
    </row>
    <row r="660" spans="56:56">
      <c r="BD660" s="453" t="s">
        <v>2603</v>
      </c>
    </row>
    <row r="661" spans="56:56">
      <c r="BD661" s="453" t="s">
        <v>2604</v>
      </c>
    </row>
    <row r="662" spans="56:56">
      <c r="BD662" s="453" t="s">
        <v>2605</v>
      </c>
    </row>
    <row r="663" spans="56:56">
      <c r="BD663" s="467" t="s">
        <v>2606</v>
      </c>
    </row>
    <row r="664" spans="56:56">
      <c r="BD664" s="453" t="s">
        <v>2607</v>
      </c>
    </row>
    <row r="665" spans="56:56">
      <c r="BD665" s="453" t="s">
        <v>2608</v>
      </c>
    </row>
    <row r="666" spans="56:56">
      <c r="BD666" s="453" t="s">
        <v>2609</v>
      </c>
    </row>
    <row r="667" spans="56:56">
      <c r="BD667" s="467" t="s">
        <v>2610</v>
      </c>
    </row>
    <row r="668" spans="56:56">
      <c r="BD668" s="453" t="s">
        <v>2611</v>
      </c>
    </row>
    <row r="669" spans="56:56">
      <c r="BD669" s="453" t="s">
        <v>2612</v>
      </c>
    </row>
    <row r="670" spans="56:56">
      <c r="BD670" s="467" t="s">
        <v>2613</v>
      </c>
    </row>
    <row r="671" spans="56:56">
      <c r="BD671" s="453" t="s">
        <v>2614</v>
      </c>
    </row>
    <row r="672" spans="56:56">
      <c r="BD672" s="467" t="s">
        <v>2615</v>
      </c>
    </row>
    <row r="673" spans="56:56">
      <c r="BD673" s="453" t="s">
        <v>2616</v>
      </c>
    </row>
    <row r="674" spans="56:56">
      <c r="BD674" s="453" t="s">
        <v>2617</v>
      </c>
    </row>
    <row r="675" spans="56:56">
      <c r="BD675" s="467" t="s">
        <v>2618</v>
      </c>
    </row>
    <row r="676" spans="56:56">
      <c r="BD676" s="453" t="s">
        <v>2619</v>
      </c>
    </row>
    <row r="677" spans="56:56">
      <c r="BD677" s="453" t="s">
        <v>2620</v>
      </c>
    </row>
    <row r="678" spans="56:56">
      <c r="BD678" s="473" t="s">
        <v>2621</v>
      </c>
    </row>
    <row r="679" spans="56:56">
      <c r="BD679" s="467" t="s">
        <v>2622</v>
      </c>
    </row>
    <row r="680" spans="56:56">
      <c r="BD680" s="453" t="s">
        <v>2623</v>
      </c>
    </row>
    <row r="681" spans="56:56">
      <c r="BD681" s="473" t="s">
        <v>2624</v>
      </c>
    </row>
    <row r="682" spans="56:56">
      <c r="BD682" s="453" t="s">
        <v>2625</v>
      </c>
    </row>
    <row r="683" spans="56:56">
      <c r="BD683" s="453" t="s">
        <v>2626</v>
      </c>
    </row>
    <row r="684" spans="56:56">
      <c r="BD684" s="467" t="s">
        <v>2627</v>
      </c>
    </row>
    <row r="685" spans="56:56">
      <c r="BD685" s="473" t="s">
        <v>2628</v>
      </c>
    </row>
    <row r="686" spans="56:56">
      <c r="BD686" s="453" t="s">
        <v>2629</v>
      </c>
    </row>
    <row r="687" spans="56:56">
      <c r="BD687" s="473" t="s">
        <v>2630</v>
      </c>
    </row>
    <row r="688" spans="56:56">
      <c r="BD688" s="473" t="s">
        <v>2631</v>
      </c>
    </row>
    <row r="689" spans="56:56">
      <c r="BD689" s="453" t="s">
        <v>2632</v>
      </c>
    </row>
    <row r="690" spans="56:56">
      <c r="BD690" s="453" t="s">
        <v>2633</v>
      </c>
    </row>
    <row r="691" spans="56:56">
      <c r="BD691" s="473" t="s">
        <v>2634</v>
      </c>
    </row>
    <row r="692" spans="56:56">
      <c r="BD692" s="453" t="s">
        <v>2635</v>
      </c>
    </row>
    <row r="693" spans="56:56">
      <c r="BD693" s="467" t="s">
        <v>2636</v>
      </c>
    </row>
    <row r="694" spans="56:56">
      <c r="BD694" s="453" t="s">
        <v>2637</v>
      </c>
    </row>
    <row r="695" spans="56:56">
      <c r="BD695" s="453" t="s">
        <v>2638</v>
      </c>
    </row>
    <row r="696" spans="56:56">
      <c r="BD696" s="453" t="s">
        <v>2639</v>
      </c>
    </row>
    <row r="697" spans="56:56">
      <c r="BD697" s="473" t="s">
        <v>2640</v>
      </c>
    </row>
    <row r="698" spans="56:56">
      <c r="BD698" s="453" t="s">
        <v>2641</v>
      </c>
    </row>
    <row r="699" spans="56:56">
      <c r="BD699" s="453" t="s">
        <v>2642</v>
      </c>
    </row>
    <row r="700" spans="56:56">
      <c r="BD700" s="473" t="s">
        <v>2643</v>
      </c>
    </row>
    <row r="701" spans="56:56">
      <c r="BD701" s="453" t="s">
        <v>2644</v>
      </c>
    </row>
    <row r="702" spans="56:56">
      <c r="BD702" s="473" t="s">
        <v>2645</v>
      </c>
    </row>
    <row r="703" spans="56:56">
      <c r="BD703" s="453" t="s">
        <v>2646</v>
      </c>
    </row>
    <row r="704" spans="56:56">
      <c r="BD704" s="453" t="s">
        <v>2647</v>
      </c>
    </row>
    <row r="705" spans="56:56">
      <c r="BD705" s="467" t="s">
        <v>2648</v>
      </c>
    </row>
    <row r="706" spans="56:56">
      <c r="BD706" s="453" t="s">
        <v>2649</v>
      </c>
    </row>
    <row r="707" spans="56:56">
      <c r="BD707" s="453" t="s">
        <v>2650</v>
      </c>
    </row>
    <row r="708" spans="56:56">
      <c r="BD708" s="453" t="s">
        <v>2651</v>
      </c>
    </row>
    <row r="709" spans="56:56">
      <c r="BD709" s="473" t="s">
        <v>2652</v>
      </c>
    </row>
    <row r="710" spans="56:56">
      <c r="BD710" s="453" t="s">
        <v>2653</v>
      </c>
    </row>
    <row r="711" spans="56:56">
      <c r="BD711" s="467" t="s">
        <v>2654</v>
      </c>
    </row>
    <row r="712" spans="56:56">
      <c r="BD712" s="473" t="s">
        <v>2655</v>
      </c>
    </row>
    <row r="713" spans="56:56">
      <c r="BD713" s="453" t="s">
        <v>2656</v>
      </c>
    </row>
    <row r="714" spans="56:56">
      <c r="BD714" s="467" t="s">
        <v>2657</v>
      </c>
    </row>
    <row r="715" spans="56:56">
      <c r="BD715" s="473" t="s">
        <v>2658</v>
      </c>
    </row>
    <row r="716" spans="56:56">
      <c r="BD716" s="453" t="s">
        <v>2659</v>
      </c>
    </row>
    <row r="717" spans="56:56">
      <c r="BD717" s="473" t="s">
        <v>2660</v>
      </c>
    </row>
    <row r="718" spans="56:56">
      <c r="BD718" s="473" t="s">
        <v>2661</v>
      </c>
    </row>
    <row r="719" spans="56:56">
      <c r="BD719" s="453" t="s">
        <v>2662</v>
      </c>
    </row>
    <row r="720" spans="56:56">
      <c r="BD720" s="453" t="s">
        <v>2663</v>
      </c>
    </row>
    <row r="721" spans="56:56">
      <c r="BD721" s="473" t="s">
        <v>2664</v>
      </c>
    </row>
    <row r="722" spans="56:56">
      <c r="BD722" s="453" t="s">
        <v>2665</v>
      </c>
    </row>
    <row r="723" spans="56:56">
      <c r="BD723" s="473" t="s">
        <v>2666</v>
      </c>
    </row>
    <row r="724" spans="56:56">
      <c r="BD724" s="453" t="s">
        <v>2667</v>
      </c>
    </row>
    <row r="725" spans="56:56">
      <c r="BD725" s="453" t="s">
        <v>2668</v>
      </c>
    </row>
    <row r="726" spans="56:56">
      <c r="BD726" s="453" t="s">
        <v>2669</v>
      </c>
    </row>
    <row r="727" spans="56:56">
      <c r="BD727" s="473" t="s">
        <v>2670</v>
      </c>
    </row>
    <row r="728" spans="56:56">
      <c r="BD728" s="453" t="s">
        <v>2671</v>
      </c>
    </row>
    <row r="729" spans="56:56">
      <c r="BD729" s="453" t="s">
        <v>2672</v>
      </c>
    </row>
    <row r="730" spans="56:56">
      <c r="BD730" s="473" t="s">
        <v>2673</v>
      </c>
    </row>
    <row r="731" spans="56:56">
      <c r="BD731" s="453" t="s">
        <v>2674</v>
      </c>
    </row>
    <row r="732" spans="56:56">
      <c r="BD732" s="473" t="s">
        <v>2675</v>
      </c>
    </row>
    <row r="733" spans="56:56">
      <c r="BD733" s="453" t="s">
        <v>2676</v>
      </c>
    </row>
    <row r="734" spans="56:56">
      <c r="BD734" s="453" t="s">
        <v>2677</v>
      </c>
    </row>
    <row r="735" spans="56:56">
      <c r="BD735" s="473" t="s">
        <v>2678</v>
      </c>
    </row>
    <row r="736" spans="56:56">
      <c r="BD736" s="453" t="s">
        <v>2679</v>
      </c>
    </row>
    <row r="737" spans="56:56">
      <c r="BD737" s="453" t="s">
        <v>2680</v>
      </c>
    </row>
    <row r="738" spans="56:56">
      <c r="BD738" s="453" t="s">
        <v>2681</v>
      </c>
    </row>
    <row r="739" spans="56:56">
      <c r="BD739" s="473" t="s">
        <v>2682</v>
      </c>
    </row>
    <row r="740" spans="56:56">
      <c r="BD740" s="453" t="s">
        <v>2683</v>
      </c>
    </row>
    <row r="741" spans="56:56">
      <c r="BD741" s="453" t="s">
        <v>2684</v>
      </c>
    </row>
    <row r="742" spans="56:56">
      <c r="BD742" s="467" t="s">
        <v>2685</v>
      </c>
    </row>
    <row r="743" spans="56:56">
      <c r="BD743" s="453" t="s">
        <v>2686</v>
      </c>
    </row>
    <row r="744" spans="56:56">
      <c r="BD744" s="467" t="s">
        <v>2687</v>
      </c>
    </row>
    <row r="745" spans="56:56">
      <c r="BD745" s="453" t="s">
        <v>2688</v>
      </c>
    </row>
    <row r="746" spans="56:56">
      <c r="BD746" s="453" t="s">
        <v>2689</v>
      </c>
    </row>
    <row r="747" spans="56:56">
      <c r="BD747" s="467" t="s">
        <v>2690</v>
      </c>
    </row>
    <row r="748" spans="56:56">
      <c r="BD748" s="453" t="s">
        <v>2691</v>
      </c>
    </row>
    <row r="749" spans="56:56">
      <c r="BD749" s="453" t="s">
        <v>2692</v>
      </c>
    </row>
    <row r="750" spans="56:56">
      <c r="BD750" s="453" t="s">
        <v>2693</v>
      </c>
    </row>
    <row r="751" spans="56:56">
      <c r="BD751" s="453" t="s">
        <v>2694</v>
      </c>
    </row>
    <row r="752" spans="56:56">
      <c r="BD752" s="453" t="s">
        <v>2695</v>
      </c>
    </row>
    <row r="753" spans="56:56">
      <c r="BD753" s="473" t="s">
        <v>2696</v>
      </c>
    </row>
    <row r="754" spans="56:56">
      <c r="BD754" s="453" t="s">
        <v>2697</v>
      </c>
    </row>
  </sheetData>
  <sheetProtection algorithmName="SHA-512" hashValue="MErtYNFWrh5zMHwic2TBNgieU8YyLgT+9NmOGJk3dlpApuNXHrTN1BgtkU3/BZHweAhgI5JdIDGY4Yv/9OhIcg==" saltValue="R5M5PLPkuBMAszm5fb7u9g==" spinCount="100000" sheet="1" objects="1" scenarios="1"/>
  <mergeCells count="30">
    <mergeCell ref="L5:M5"/>
    <mergeCell ref="R14:S14"/>
    <mergeCell ref="L7:M7"/>
    <mergeCell ref="I8:J8"/>
    <mergeCell ref="AX14:AX15"/>
    <mergeCell ref="J14:J15"/>
    <mergeCell ref="K14:K15"/>
    <mergeCell ref="L14:M14"/>
    <mergeCell ref="N14:N15"/>
    <mergeCell ref="A14:A15"/>
    <mergeCell ref="B14:B15"/>
    <mergeCell ref="C14:F14"/>
    <mergeCell ref="G14:G15"/>
    <mergeCell ref="H14:H15"/>
    <mergeCell ref="CK14:CK15"/>
    <mergeCell ref="B2:F2"/>
    <mergeCell ref="L8:M8"/>
    <mergeCell ref="T14:T15"/>
    <mergeCell ref="I14:I15"/>
    <mergeCell ref="I7:J7"/>
    <mergeCell ref="B3:F5"/>
    <mergeCell ref="I3:J3"/>
    <mergeCell ref="P14:Q14"/>
    <mergeCell ref="L3:M3"/>
    <mergeCell ref="I5:J5"/>
    <mergeCell ref="B6:F8"/>
    <mergeCell ref="I4:J4"/>
    <mergeCell ref="L4:M4"/>
    <mergeCell ref="I6:J6"/>
    <mergeCell ref="L6:M6"/>
  </mergeCells>
  <phoneticPr fontId="3"/>
  <conditionalFormatting sqref="O30:O515">
    <cfRule type="cellIs" dxfId="1" priority="2" stopIfTrue="1" operator="greaterThan">
      <formula>100000</formula>
    </cfRule>
  </conditionalFormatting>
  <conditionalFormatting sqref="O16:O29">
    <cfRule type="cellIs" dxfId="0" priority="1" stopIfTrue="1" operator="greaterThan">
      <formula>100000</formula>
    </cfRule>
  </conditionalFormatting>
  <dataValidations count="20">
    <dataValidation type="list" allowBlank="1" showInputMessage="1" showErrorMessage="1" sqref="B2" xr:uid="{00000000-0002-0000-0700-000000000000}">
      <formula1>$CI$17:$CI$21</formula1>
    </dataValidation>
    <dataValidation imeMode="hiragana" allowBlank="1" showInputMessage="1" showErrorMessage="1" sqref="G16:G515" xr:uid="{00000000-0002-0000-0700-000001000000}"/>
    <dataValidation type="list" allowBlank="1" showInputMessage="1" showErrorMessage="1" sqref="AU16:AU515" xr:uid="{00000000-0002-0000-0700-000002000000}">
      <formula1>Jナンバー分類</formula1>
    </dataValidation>
    <dataValidation type="list" allowBlank="1" showInputMessage="1" showErrorMessage="1" sqref="N16:N515" xr:uid="{00000000-0002-0000-0700-000003000000}">
      <formula1>$BP$17:$BP$18</formula1>
    </dataValidation>
    <dataValidation type="list" imeMode="hiragana" allowBlank="1" showInputMessage="1" showErrorMessage="1" sqref="M16:M515" xr:uid="{00000000-0002-0000-0700-000004000000}">
      <formula1>$BL$17:$BL$19</formula1>
    </dataValidation>
    <dataValidation type="list" imeMode="hiragana" allowBlank="1" showInputMessage="1" showErrorMessage="1" sqref="L16:L515" xr:uid="{00000000-0002-0000-0700-000005000000}">
      <formula1>$BO$17:$BO$18</formula1>
    </dataValidation>
    <dataValidation type="list" imeMode="off" allowBlank="1" showInputMessage="1" showErrorMessage="1" sqref="B16:B515" xr:uid="{00000000-0002-0000-0700-000006000000}">
      <formula1>$BN$17:$BN$46</formula1>
    </dataValidation>
    <dataValidation type="list" imeMode="hiragana" allowBlank="1" showInputMessage="1" showErrorMessage="1" sqref="K16:K515" xr:uid="{00000000-0002-0000-0700-000007000000}">
      <formula1>$BG$17:$BG$25</formula1>
    </dataValidation>
    <dataValidation type="whole" imeMode="off" allowBlank="1" showInputMessage="1" showErrorMessage="1" sqref="D16:D515" xr:uid="{00000000-0002-0000-0700-000008000000}">
      <formula1>0</formula1>
      <formula2>999</formula2>
    </dataValidation>
    <dataValidation type="textLength" imeMode="hiragana" operator="greaterThanOrEqual" allowBlank="1" showInputMessage="1" showErrorMessage="1" sqref="C16:C515" xr:uid="{00000000-0002-0000-0700-000009000000}">
      <formula1>1</formula1>
    </dataValidation>
    <dataValidation type="textLength" imeMode="hiragana" operator="lessThanOrEqual" allowBlank="1" showInputMessage="1" showErrorMessage="1" sqref="E16:E515" xr:uid="{00000000-0002-0000-0700-00000A000000}">
      <formula1>1</formula1>
    </dataValidation>
    <dataValidation type="whole" imeMode="off" allowBlank="1" showInputMessage="1" showErrorMessage="1" sqref="F16:F515" xr:uid="{00000000-0002-0000-0700-00000B000000}">
      <formula1>0</formula1>
      <formula2>9999</formula2>
    </dataValidation>
    <dataValidation operator="greaterThan" allowBlank="1" showInputMessage="1" showErrorMessage="1" sqref="V16:W515" xr:uid="{00000000-0002-0000-0700-00000C000000}"/>
    <dataValidation type="whole" imeMode="off" operator="greaterThan" allowBlank="1" showInputMessage="1" showErrorMessage="1" sqref="J16:J515" xr:uid="{00000000-0002-0000-0700-00000D000000}">
      <formula1>100</formula1>
    </dataValidation>
    <dataValidation type="whole" imeMode="halfAlpha" operator="greaterThan" allowBlank="1" showInputMessage="1" showErrorMessage="1" sqref="AC16:AC515" xr:uid="{00000000-0002-0000-0700-00000E000000}">
      <formula1>0</formula1>
    </dataValidation>
    <dataValidation imeMode="halfAlpha" allowBlank="1" showInputMessage="1" showErrorMessage="1" sqref="P16:Q515 AB16:AB515 AH16:AS515" xr:uid="{00000000-0002-0000-0700-00000F000000}"/>
    <dataValidation type="decimal" allowBlank="1" showInputMessage="1" showErrorMessage="1" sqref="O16:O515" xr:uid="{00000000-0002-0000-0700-000010000000}">
      <formula1>0</formula1>
      <formula2>999999</formula2>
    </dataValidation>
    <dataValidation type="list" allowBlank="1" showInputMessage="1" showErrorMessage="1" sqref="T16:T515" xr:uid="{00000000-0002-0000-0700-000011000000}">
      <formula1>$CJ$17:$CJ$20</formula1>
    </dataValidation>
    <dataValidation type="list" imeMode="hiragana" allowBlank="1" showInputMessage="1" showErrorMessage="1" sqref="H16:H515" xr:uid="{00000000-0002-0000-0700-000012000000}">
      <formula1>INDIRECT(AU16)</formula1>
    </dataValidation>
    <dataValidation type="list" operator="equal" allowBlank="1" showInputMessage="1" showErrorMessage="1" sqref="I16:I515" xr:uid="{00000000-0002-0000-0700-000013000000}">
      <formula1>$BD$17:$BD$754</formula1>
    </dataValidation>
  </dataValidations>
  <pageMargins left="0.7" right="0.7" top="0.75" bottom="0.75" header="0.3" footer="0.3"/>
  <pageSetup paperSize="9" scale="66" fitToHeight="0" orientation="portrait" horizontalDpi="300" verticalDpi="300" r:id="rId1"/>
  <colBreaks count="1" manualBreakCount="1">
    <brk id="20"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L63"/>
  <sheetViews>
    <sheetView zoomScale="75" zoomScaleNormal="75" workbookViewId="0">
      <selection activeCell="Q4" sqref="Q4"/>
    </sheetView>
  </sheetViews>
  <sheetFormatPr defaultColWidth="9" defaultRowHeight="16.5"/>
  <cols>
    <col min="1" max="1" width="4.08984375" style="73" customWidth="1"/>
    <col min="2" max="2" width="40.6328125" style="73" customWidth="1"/>
    <col min="3" max="3" width="8.6328125" style="73" customWidth="1"/>
    <col min="4" max="4" width="6.08984375" style="73" customWidth="1"/>
    <col min="5" max="5" width="78" style="73" bestFit="1" customWidth="1"/>
    <col min="6" max="6" width="0" style="73" hidden="1" customWidth="1"/>
    <col min="7" max="10" width="9" style="73" hidden="1" customWidth="1"/>
    <col min="11" max="16384" width="9" style="73"/>
  </cols>
  <sheetData>
    <row r="1" spans="1:12" ht="21.25" customHeight="1" thickBot="1">
      <c r="A1" s="314" t="s">
        <v>2484</v>
      </c>
      <c r="C1" s="81" t="s">
        <v>1912</v>
      </c>
    </row>
    <row r="2" spans="1:12" ht="48.75" customHeight="1" thickBot="1">
      <c r="A2" s="710" t="s">
        <v>1909</v>
      </c>
      <c r="B2" s="711"/>
      <c r="C2" s="326" t="s">
        <v>1910</v>
      </c>
      <c r="D2" s="126" t="s">
        <v>1922</v>
      </c>
      <c r="E2" s="125" t="s">
        <v>212</v>
      </c>
    </row>
    <row r="3" spans="1:12">
      <c r="A3" s="712" t="s">
        <v>1882</v>
      </c>
      <c r="B3" s="714" t="s">
        <v>211</v>
      </c>
      <c r="C3" s="876" t="str">
        <f>IF('様式1-3(計画措置）'!C3:C9="","",'様式1-3(計画措置）'!$C$3:$C$9)</f>
        <v/>
      </c>
      <c r="D3" s="233"/>
      <c r="E3" s="128" t="s">
        <v>1857</v>
      </c>
      <c r="I3" s="73" t="s">
        <v>1855</v>
      </c>
      <c r="J3" s="73" t="s">
        <v>1862</v>
      </c>
      <c r="L3" s="595"/>
    </row>
    <row r="4" spans="1:12">
      <c r="A4" s="713"/>
      <c r="B4" s="715"/>
      <c r="C4" s="876"/>
      <c r="D4" s="235"/>
      <c r="E4" s="200" t="s">
        <v>1858</v>
      </c>
      <c r="I4" s="73" t="s">
        <v>1856</v>
      </c>
      <c r="L4" s="595"/>
    </row>
    <row r="5" spans="1:12">
      <c r="A5" s="713"/>
      <c r="B5" s="715"/>
      <c r="C5" s="876"/>
      <c r="D5" s="235"/>
      <c r="E5" s="200" t="s">
        <v>1846</v>
      </c>
      <c r="L5" s="595"/>
    </row>
    <row r="6" spans="1:12">
      <c r="A6" s="713"/>
      <c r="B6" s="715"/>
      <c r="C6" s="876"/>
      <c r="D6" s="235"/>
      <c r="E6" s="200" t="s">
        <v>1849</v>
      </c>
      <c r="L6" s="595"/>
    </row>
    <row r="7" spans="1:12">
      <c r="A7" s="713"/>
      <c r="B7" s="715"/>
      <c r="C7" s="876"/>
      <c r="D7" s="235"/>
      <c r="E7" s="200" t="s">
        <v>1859</v>
      </c>
      <c r="L7" s="595"/>
    </row>
    <row r="8" spans="1:12">
      <c r="A8" s="713"/>
      <c r="B8" s="715"/>
      <c r="C8" s="876"/>
      <c r="D8" s="235"/>
      <c r="E8" s="200" t="s">
        <v>1860</v>
      </c>
      <c r="L8" s="595"/>
    </row>
    <row r="9" spans="1:12">
      <c r="A9" s="713"/>
      <c r="B9" s="715"/>
      <c r="C9" s="877"/>
      <c r="D9" s="236"/>
      <c r="E9" s="171" t="s">
        <v>1861</v>
      </c>
      <c r="L9" s="595"/>
    </row>
    <row r="10" spans="1:12">
      <c r="A10" s="713"/>
      <c r="B10" s="718" t="s">
        <v>1863</v>
      </c>
      <c r="C10" s="878" t="str">
        <f>IF('様式1-3(計画措置）'!C10:C15="","",'様式1-3(計画措置）'!$C$10:$C$15)</f>
        <v/>
      </c>
      <c r="D10" s="234"/>
      <c r="E10" s="130" t="s">
        <v>1864</v>
      </c>
      <c r="L10" s="595"/>
    </row>
    <row r="11" spans="1:12">
      <c r="A11" s="713"/>
      <c r="B11" s="715"/>
      <c r="C11" s="879"/>
      <c r="D11" s="235"/>
      <c r="E11" s="200" t="s">
        <v>1865</v>
      </c>
      <c r="L11" s="595"/>
    </row>
    <row r="12" spans="1:12">
      <c r="A12" s="713"/>
      <c r="B12" s="715"/>
      <c r="C12" s="879"/>
      <c r="D12" s="235"/>
      <c r="E12" s="200" t="s">
        <v>1866</v>
      </c>
      <c r="L12" s="595"/>
    </row>
    <row r="13" spans="1:12">
      <c r="A13" s="713"/>
      <c r="B13" s="715"/>
      <c r="C13" s="879"/>
      <c r="D13" s="235"/>
      <c r="E13" s="200" t="s">
        <v>1867</v>
      </c>
      <c r="L13" s="595"/>
    </row>
    <row r="14" spans="1:12">
      <c r="A14" s="713"/>
      <c r="B14" s="715"/>
      <c r="C14" s="879"/>
      <c r="D14" s="235"/>
      <c r="E14" s="200" t="s">
        <v>1868</v>
      </c>
      <c r="L14" s="595"/>
    </row>
    <row r="15" spans="1:12">
      <c r="A15" s="713"/>
      <c r="B15" s="715"/>
      <c r="C15" s="879"/>
      <c r="D15" s="236"/>
      <c r="E15" s="171" t="s">
        <v>1861</v>
      </c>
      <c r="L15" s="595"/>
    </row>
    <row r="16" spans="1:12">
      <c r="A16" s="713"/>
      <c r="B16" s="718" t="s">
        <v>1869</v>
      </c>
      <c r="C16" s="878" t="str">
        <f>IF('様式1-3(計画措置）'!C16:C18="","",'様式1-3(計画措置）'!$C$16:$C$18)</f>
        <v/>
      </c>
      <c r="D16" s="234"/>
      <c r="E16" s="130" t="s">
        <v>1883</v>
      </c>
      <c r="L16" s="595"/>
    </row>
    <row r="17" spans="1:12">
      <c r="A17" s="713"/>
      <c r="B17" s="715"/>
      <c r="C17" s="879"/>
      <c r="D17" s="235"/>
      <c r="E17" s="200" t="s">
        <v>1884</v>
      </c>
      <c r="L17" s="595"/>
    </row>
    <row r="18" spans="1:12">
      <c r="A18" s="713"/>
      <c r="B18" s="720"/>
      <c r="C18" s="880"/>
      <c r="D18" s="237"/>
      <c r="E18" s="172" t="s">
        <v>1861</v>
      </c>
      <c r="L18" s="595"/>
    </row>
    <row r="19" spans="1:12">
      <c r="A19" s="713"/>
      <c r="B19" s="718" t="s">
        <v>1870</v>
      </c>
      <c r="C19" s="878" t="str">
        <f>IF('様式1-3(計画措置）'!$C$19:$C$20="","",'様式1-3(計画措置）'!$C$19:$C$20)</f>
        <v/>
      </c>
      <c r="D19" s="234"/>
      <c r="E19" s="130" t="s">
        <v>1885</v>
      </c>
      <c r="L19" s="595"/>
    </row>
    <row r="20" spans="1:12">
      <c r="A20" s="713"/>
      <c r="B20" s="715"/>
      <c r="C20" s="879"/>
      <c r="D20" s="238"/>
      <c r="E20" s="201" t="s">
        <v>1861</v>
      </c>
      <c r="L20" s="595"/>
    </row>
    <row r="21" spans="1:12">
      <c r="A21" s="713"/>
      <c r="B21" s="718" t="s">
        <v>1871</v>
      </c>
      <c r="C21" s="878" t="str">
        <f>IF('様式1-3(計画措置）'!$C$21:$C$22="","",'様式1-3(計画措置）'!$C$21:$C$22)</f>
        <v/>
      </c>
      <c r="D21" s="234"/>
      <c r="E21" s="130" t="s">
        <v>1886</v>
      </c>
      <c r="L21" s="595"/>
    </row>
    <row r="22" spans="1:12">
      <c r="A22" s="713"/>
      <c r="B22" s="720"/>
      <c r="C22" s="880"/>
      <c r="D22" s="238"/>
      <c r="E22" s="201" t="s">
        <v>1861</v>
      </c>
      <c r="L22" s="595"/>
    </row>
    <row r="23" spans="1:12">
      <c r="A23" s="713"/>
      <c r="B23" s="718" t="s">
        <v>1872</v>
      </c>
      <c r="C23" s="878" t="str">
        <f>IF('様式1-3(計画措置）'!$C$23:$C$25="","",'様式1-3(計画措置）'!$C$23:$C$25)</f>
        <v/>
      </c>
      <c r="D23" s="234"/>
      <c r="E23" s="130" t="s">
        <v>1887</v>
      </c>
      <c r="L23" s="595"/>
    </row>
    <row r="24" spans="1:12">
      <c r="A24" s="713"/>
      <c r="B24" s="715"/>
      <c r="C24" s="879"/>
      <c r="D24" s="235"/>
      <c r="E24" s="200" t="s">
        <v>1888</v>
      </c>
      <c r="L24" s="595"/>
    </row>
    <row r="25" spans="1:12">
      <c r="A25" s="713"/>
      <c r="B25" s="720"/>
      <c r="C25" s="880"/>
      <c r="D25" s="237"/>
      <c r="E25" s="172" t="s">
        <v>1861</v>
      </c>
      <c r="L25" s="595"/>
    </row>
    <row r="26" spans="1:12">
      <c r="A26" s="713"/>
      <c r="B26" s="722" t="s">
        <v>1873</v>
      </c>
      <c r="C26" s="881" t="str">
        <f>IF('様式1-3(計画措置）'!$C$26:$C$27="","",'様式1-3(計画措置）'!$C$26:$C$27)</f>
        <v/>
      </c>
      <c r="D26" s="236"/>
      <c r="E26" s="129" t="s">
        <v>1889</v>
      </c>
      <c r="L26" s="595"/>
    </row>
    <row r="27" spans="1:12">
      <c r="A27" s="713"/>
      <c r="B27" s="715"/>
      <c r="C27" s="879"/>
      <c r="D27" s="238"/>
      <c r="E27" s="201" t="s">
        <v>1861</v>
      </c>
      <c r="L27" s="595"/>
    </row>
    <row r="28" spans="1:12">
      <c r="A28" s="713"/>
      <c r="B28" s="718" t="s">
        <v>1874</v>
      </c>
      <c r="C28" s="878" t="str">
        <f>IF('様式1-3(計画措置）'!$C$28:$C$30="","",'様式1-3(計画措置）'!$C$28:$C$30)</f>
        <v/>
      </c>
      <c r="D28" s="234"/>
      <c r="E28" s="130" t="s">
        <v>1890</v>
      </c>
      <c r="L28" s="595"/>
    </row>
    <row r="29" spans="1:12">
      <c r="A29" s="713"/>
      <c r="B29" s="715"/>
      <c r="C29" s="879"/>
      <c r="D29" s="235"/>
      <c r="E29" s="200" t="s">
        <v>1891</v>
      </c>
      <c r="L29" s="595"/>
    </row>
    <row r="30" spans="1:12">
      <c r="A30" s="713"/>
      <c r="B30" s="720"/>
      <c r="C30" s="880"/>
      <c r="D30" s="237"/>
      <c r="E30" s="172" t="s">
        <v>1861</v>
      </c>
      <c r="L30" s="595"/>
    </row>
    <row r="31" spans="1:12">
      <c r="A31" s="713"/>
      <c r="B31" s="722" t="s">
        <v>1875</v>
      </c>
      <c r="C31" s="881" t="str">
        <f>IF('様式1-3(計画措置）'!$C$31:$C$32="","",'様式1-3(計画措置）'!$C$31:$C$32)</f>
        <v/>
      </c>
      <c r="D31" s="236"/>
      <c r="E31" s="129" t="s">
        <v>1892</v>
      </c>
      <c r="L31" s="595"/>
    </row>
    <row r="32" spans="1:12">
      <c r="A32" s="713"/>
      <c r="B32" s="715"/>
      <c r="C32" s="879"/>
      <c r="D32" s="238"/>
      <c r="E32" s="201" t="s">
        <v>1861</v>
      </c>
      <c r="L32" s="595"/>
    </row>
    <row r="33" spans="1:12">
      <c r="A33" s="724" t="s">
        <v>1876</v>
      </c>
      <c r="B33" s="633"/>
      <c r="C33" s="878" t="str">
        <f>IF('様式1-3(計画措置）'!$C$33:$C$35="","",'様式1-3(計画措置）'!$C$33:$C$35)</f>
        <v/>
      </c>
      <c r="D33" s="234"/>
      <c r="E33" s="130" t="s">
        <v>1893</v>
      </c>
      <c r="L33" s="595"/>
    </row>
    <row r="34" spans="1:12">
      <c r="A34" s="725"/>
      <c r="B34" s="726"/>
      <c r="C34" s="879"/>
      <c r="D34" s="235"/>
      <c r="E34" s="200" t="s">
        <v>1894</v>
      </c>
      <c r="L34" s="595"/>
    </row>
    <row r="35" spans="1:12">
      <c r="A35" s="725"/>
      <c r="B35" s="726"/>
      <c r="C35" s="879"/>
      <c r="D35" s="236"/>
      <c r="E35" s="171" t="s">
        <v>1861</v>
      </c>
      <c r="L35" s="595"/>
    </row>
    <row r="36" spans="1:12" ht="17.5" customHeight="1">
      <c r="A36" s="724" t="s">
        <v>1877</v>
      </c>
      <c r="B36" s="633"/>
      <c r="C36" s="878" t="str">
        <f>IF('様式1-3(計画措置）'!$C$36:$C$40="","",'様式1-3(計画措置）'!$C$36:$C$40)</f>
        <v/>
      </c>
      <c r="D36" s="234"/>
      <c r="E36" s="130" t="s">
        <v>1895</v>
      </c>
      <c r="L36" s="595"/>
    </row>
    <row r="37" spans="1:12">
      <c r="A37" s="725"/>
      <c r="B37" s="726"/>
      <c r="C37" s="879"/>
      <c r="D37" s="235"/>
      <c r="E37" s="200" t="s">
        <v>1896</v>
      </c>
      <c r="L37" s="595"/>
    </row>
    <row r="38" spans="1:12">
      <c r="A38" s="725"/>
      <c r="B38" s="726"/>
      <c r="C38" s="879"/>
      <c r="D38" s="235"/>
      <c r="E38" s="200" t="s">
        <v>1897</v>
      </c>
      <c r="L38" s="595"/>
    </row>
    <row r="39" spans="1:12">
      <c r="A39" s="725"/>
      <c r="B39" s="726"/>
      <c r="C39" s="879"/>
      <c r="D39" s="235"/>
      <c r="E39" s="200" t="s">
        <v>1847</v>
      </c>
      <c r="L39" s="595"/>
    </row>
    <row r="40" spans="1:12">
      <c r="A40" s="725"/>
      <c r="B40" s="726"/>
      <c r="C40" s="879"/>
      <c r="D40" s="236"/>
      <c r="E40" s="171" t="s">
        <v>1861</v>
      </c>
      <c r="L40" s="595"/>
    </row>
    <row r="41" spans="1:12">
      <c r="A41" s="724" t="s">
        <v>1878</v>
      </c>
      <c r="B41" s="633"/>
      <c r="C41" s="878" t="str">
        <f>IF('様式1-3(計画措置）'!$C$41:$C$45="","",'様式1-3(計画措置）'!$C$41:$C$45)</f>
        <v/>
      </c>
      <c r="D41" s="234"/>
      <c r="E41" s="130" t="s">
        <v>1898</v>
      </c>
      <c r="L41" s="595"/>
    </row>
    <row r="42" spans="1:12">
      <c r="A42" s="725"/>
      <c r="B42" s="726"/>
      <c r="C42" s="879"/>
      <c r="D42" s="235"/>
      <c r="E42" s="200" t="s">
        <v>1899</v>
      </c>
      <c r="L42" s="595"/>
    </row>
    <row r="43" spans="1:12">
      <c r="A43" s="725"/>
      <c r="B43" s="726"/>
      <c r="C43" s="879"/>
      <c r="D43" s="235"/>
      <c r="E43" s="200" t="s">
        <v>1848</v>
      </c>
      <c r="L43" s="595"/>
    </row>
    <row r="44" spans="1:12">
      <c r="A44" s="725"/>
      <c r="B44" s="726"/>
      <c r="C44" s="879"/>
      <c r="D44" s="235"/>
      <c r="E44" s="200" t="s">
        <v>1913</v>
      </c>
      <c r="L44" s="595"/>
    </row>
    <row r="45" spans="1:12">
      <c r="A45" s="725"/>
      <c r="B45" s="726"/>
      <c r="C45" s="879"/>
      <c r="D45" s="236"/>
      <c r="E45" s="171" t="s">
        <v>1861</v>
      </c>
      <c r="L45" s="595"/>
    </row>
    <row r="46" spans="1:12" ht="17.5" customHeight="1">
      <c r="A46" s="724" t="s">
        <v>1879</v>
      </c>
      <c r="B46" s="633"/>
      <c r="C46" s="878" t="str">
        <f>IF('様式1-3(計画措置）'!$C$46:$C$50="","",'様式1-3(計画措置）'!$C$46:$C$50)</f>
        <v/>
      </c>
      <c r="D46" s="234"/>
      <c r="E46" s="130" t="s">
        <v>1900</v>
      </c>
      <c r="L46" s="595"/>
    </row>
    <row r="47" spans="1:12">
      <c r="A47" s="725"/>
      <c r="B47" s="726"/>
      <c r="C47" s="879"/>
      <c r="D47" s="235"/>
      <c r="E47" s="200" t="s">
        <v>1901</v>
      </c>
      <c r="L47" s="595"/>
    </row>
    <row r="48" spans="1:12">
      <c r="A48" s="725"/>
      <c r="B48" s="726"/>
      <c r="C48" s="879"/>
      <c r="D48" s="235"/>
      <c r="E48" s="200" t="s">
        <v>1902</v>
      </c>
      <c r="L48" s="595"/>
    </row>
    <row r="49" spans="1:12">
      <c r="A49" s="725"/>
      <c r="B49" s="726"/>
      <c r="C49" s="879"/>
      <c r="D49" s="235"/>
      <c r="E49" s="200" t="s">
        <v>1903</v>
      </c>
      <c r="L49" s="595"/>
    </row>
    <row r="50" spans="1:12">
      <c r="A50" s="725"/>
      <c r="B50" s="726"/>
      <c r="C50" s="879"/>
      <c r="D50" s="236"/>
      <c r="E50" s="171" t="s">
        <v>1861</v>
      </c>
      <c r="L50" s="595"/>
    </row>
    <row r="51" spans="1:12">
      <c r="A51" s="724" t="s">
        <v>1880</v>
      </c>
      <c r="B51" s="633"/>
      <c r="C51" s="878" t="str">
        <f>IF('様式1-3(計画措置）'!$C$51:$C$55="","",'様式1-3(計画措置）'!$C$51:$C$55)</f>
        <v/>
      </c>
      <c r="D51" s="234"/>
      <c r="E51" s="130" t="s">
        <v>1904</v>
      </c>
      <c r="L51" s="595"/>
    </row>
    <row r="52" spans="1:12">
      <c r="A52" s="725"/>
      <c r="B52" s="726"/>
      <c r="C52" s="879"/>
      <c r="D52" s="235"/>
      <c r="E52" s="200" t="s">
        <v>1905</v>
      </c>
      <c r="L52" s="595"/>
    </row>
    <row r="53" spans="1:12">
      <c r="A53" s="725"/>
      <c r="B53" s="726"/>
      <c r="C53" s="879"/>
      <c r="D53" s="235"/>
      <c r="E53" s="200" t="s">
        <v>1906</v>
      </c>
      <c r="L53" s="595"/>
    </row>
    <row r="54" spans="1:12">
      <c r="A54" s="725"/>
      <c r="B54" s="726"/>
      <c r="C54" s="879"/>
      <c r="D54" s="235"/>
      <c r="E54" s="200" t="s">
        <v>1907</v>
      </c>
      <c r="L54" s="595"/>
    </row>
    <row r="55" spans="1:12" ht="17" thickBot="1">
      <c r="A55" s="727"/>
      <c r="B55" s="728"/>
      <c r="C55" s="882"/>
      <c r="D55" s="239"/>
      <c r="E55" s="173" t="s">
        <v>1861</v>
      </c>
      <c r="L55" s="595"/>
    </row>
    <row r="56" spans="1:12" ht="17" thickBot="1">
      <c r="L56" s="595"/>
    </row>
    <row r="57" spans="1:12" ht="17.5" customHeight="1">
      <c r="A57" s="712" t="s">
        <v>1881</v>
      </c>
      <c r="B57" s="730"/>
      <c r="C57" s="731"/>
      <c r="D57" s="732"/>
      <c r="E57" s="733"/>
      <c r="L57" s="595"/>
    </row>
    <row r="58" spans="1:12">
      <c r="A58" s="725"/>
      <c r="B58" s="726"/>
      <c r="C58" s="734"/>
      <c r="D58" s="735"/>
      <c r="E58" s="736"/>
      <c r="L58" s="595"/>
    </row>
    <row r="59" spans="1:12">
      <c r="A59" s="725"/>
      <c r="B59" s="726"/>
      <c r="C59" s="734"/>
      <c r="D59" s="735"/>
      <c r="E59" s="736"/>
      <c r="L59" s="595"/>
    </row>
    <row r="60" spans="1:12">
      <c r="A60" s="725"/>
      <c r="B60" s="726"/>
      <c r="C60" s="734"/>
      <c r="D60" s="735"/>
      <c r="E60" s="736"/>
      <c r="L60" s="595"/>
    </row>
    <row r="61" spans="1:12">
      <c r="A61" s="725"/>
      <c r="B61" s="726"/>
      <c r="C61" s="734"/>
      <c r="D61" s="735"/>
      <c r="E61" s="736"/>
      <c r="L61" s="595"/>
    </row>
    <row r="62" spans="1:12">
      <c r="A62" s="725"/>
      <c r="B62" s="726"/>
      <c r="C62" s="734"/>
      <c r="D62" s="735"/>
      <c r="E62" s="736"/>
      <c r="L62" s="595"/>
    </row>
    <row r="63" spans="1:12" ht="17" thickBot="1">
      <c r="A63" s="727"/>
      <c r="B63" s="728"/>
      <c r="C63" s="737"/>
      <c r="D63" s="738"/>
      <c r="E63" s="739"/>
      <c r="L63" s="595"/>
    </row>
  </sheetData>
  <sheetProtection algorithmName="SHA-512" hashValue="FfhWhhFhcrvXOjFW422/537MQkwbri9S9dk7ZHK3DHJrXHhAR/VOSCJ1dMi56TCTRf3xQgUFr5nnjgX5UXLUwA==" saltValue="y5VGw85YZWcTP+GrT0Yq2w==" spinCount="100000" sheet="1" objects="1" scenarios="1"/>
  <mergeCells count="32">
    <mergeCell ref="A51:B55"/>
    <mergeCell ref="C51:C55"/>
    <mergeCell ref="A57:B63"/>
    <mergeCell ref="C57:E63"/>
    <mergeCell ref="A36:B40"/>
    <mergeCell ref="C36:C40"/>
    <mergeCell ref="A41:B45"/>
    <mergeCell ref="C41:C45"/>
    <mergeCell ref="A46:B50"/>
    <mergeCell ref="C46:C50"/>
    <mergeCell ref="B28:B30"/>
    <mergeCell ref="C28:C30"/>
    <mergeCell ref="B31:B32"/>
    <mergeCell ref="C31:C32"/>
    <mergeCell ref="A33:B35"/>
    <mergeCell ref="C33:C35"/>
    <mergeCell ref="A2:B2"/>
    <mergeCell ref="A3:A32"/>
    <mergeCell ref="B3:B9"/>
    <mergeCell ref="C3:C9"/>
    <mergeCell ref="B10:B15"/>
    <mergeCell ref="C10:C15"/>
    <mergeCell ref="B16:B18"/>
    <mergeCell ref="C16:C18"/>
    <mergeCell ref="B19:B20"/>
    <mergeCell ref="C19:C20"/>
    <mergeCell ref="B21:B22"/>
    <mergeCell ref="C21:C22"/>
    <mergeCell ref="B23:B25"/>
    <mergeCell ref="C23:C25"/>
    <mergeCell ref="B26:B27"/>
    <mergeCell ref="C26:C27"/>
  </mergeCells>
  <phoneticPr fontId="3"/>
  <dataValidations count="2">
    <dataValidation imeMode="hiragana" allowBlank="1" showInputMessage="1" showErrorMessage="1" sqref="E9 E15 E18 E20 E22 E25 E27 E30 E32 E35 E40 E45 E50 E55 C57:E63" xr:uid="{00000000-0002-0000-0800-000000000000}"/>
    <dataValidation type="list" imeMode="hiragana" allowBlank="1" showInputMessage="1" showErrorMessage="1" sqref="D3:D55" xr:uid="{00000000-0002-0000-0800-000001000000}">
      <formula1>$J$3:$J$4</formula1>
    </dataValidation>
  </dataValidations>
  <pageMargins left="0.70866141732283472" right="0.70866141732283472" top="0.74803149606299213" bottom="0.74803149606299213" header="0.31496062992125984" footer="0.31496062992125984"/>
  <pageSetup paperSize="9" scale="62"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はじめに</vt:lpstr>
      <vt:lpstr>様式1-1（計画表紙）</vt:lpstr>
      <vt:lpstr>様式1-2（計画排出量）</vt:lpstr>
      <vt:lpstr>様式1-3(計画措置）</vt:lpstr>
      <vt:lpstr>様式1-4（計画代替）</vt:lpstr>
      <vt:lpstr>様式1-5(計画事業場）</vt:lpstr>
      <vt:lpstr>様式2-1（実績表紙）</vt:lpstr>
      <vt:lpstr>様式2-2(実績排出量）</vt:lpstr>
      <vt:lpstr>様式2-3（実績措置）</vt:lpstr>
      <vt:lpstr>様式2-4（実績代替）</vt:lpstr>
      <vt:lpstr>様式2-5（実績事業場）</vt:lpstr>
      <vt:lpstr>排出係数(2017)</vt:lpstr>
      <vt:lpstr>排出係数</vt:lpstr>
      <vt:lpstr>産業分類表</vt:lpstr>
      <vt:lpstr>Jナンバー分類</vt:lpstr>
      <vt:lpstr>Jバス</vt:lpstr>
      <vt:lpstr>J車種重量</vt:lpstr>
      <vt:lpstr>J小型貨物</vt:lpstr>
      <vt:lpstr>J乗用</vt:lpstr>
      <vt:lpstr>J特殊</vt:lpstr>
      <vt:lpstr>J特種</vt:lpstr>
      <vt:lpstr>J普通貨物</vt:lpstr>
      <vt:lpstr>'排出係数(2017)'!Print_Area</vt:lpstr>
      <vt:lpstr>'様式1-1（計画表紙）'!Print_Area</vt:lpstr>
      <vt:lpstr>'様式1-2（計画排出量）'!Print_Area</vt:lpstr>
      <vt:lpstr>'様式2-1（実績表紙）'!Print_Area</vt:lpstr>
      <vt:lpstr>'様式2-2(実績排出量）'!Print_Area</vt:lpstr>
      <vt:lpstr>'様式2-4（実績代替）'!Print_Area</vt:lpstr>
      <vt:lpstr>'様式2-5（実績事業場）'!Print_Area</vt:lpstr>
      <vt:lpstr>ナンバー分類</vt:lpstr>
      <vt:lpstr>バス</vt:lpstr>
      <vt:lpstr>車種重量</vt:lpstr>
      <vt:lpstr>小型貨物</vt:lpstr>
      <vt:lpstr>乗用</vt:lpstr>
      <vt:lpstr>特殊</vt:lpstr>
      <vt:lpstr>特種</vt:lpstr>
      <vt:lpstr>'排出係数(2017)'!排出係数表</vt:lpstr>
      <vt:lpstr>排出係数表</vt:lpstr>
      <vt:lpstr>普通貨物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2006-06-14T08:49:40Z</cp:lastPrinted>
  <dcterms:created xsi:type="dcterms:W3CDTF">2005-04-06T04:47:46Z</dcterms:created>
  <dcterms:modified xsi:type="dcterms:W3CDTF">2024-03-28T00:59:22Z</dcterms:modified>
</cp:coreProperties>
</file>